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ustomProperty33.bin" ContentType="application/vnd.openxmlformats-officedocument.spreadsheetml.customProperty"/>
  <Override PartName="/xl/customProperty34.bin" ContentType="application/vnd.openxmlformats-officedocument.spreadsheetml.customProperty"/>
  <Override PartName="/xl/customProperty35.bin" ContentType="application/vnd.openxmlformats-officedocument.spreadsheetml.customProperty"/>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drawings/drawing6.xml" ContentType="application/vnd.openxmlformats-officedocument.drawing+xml"/>
  <Override PartName="/xl/customProperty39.bin" ContentType="application/vnd.openxmlformats-officedocument.spreadsheetml.customProperty"/>
  <Override PartName="/xl/customProperty40.bin" ContentType="application/vnd.openxmlformats-officedocument.spreadsheetml.customProperty"/>
  <Override PartName="/xl/customProperty41.bin" ContentType="application/vnd.openxmlformats-officedocument.spreadsheetml.customProperty"/>
  <Override PartName="/xl/customProperty42.bin" ContentType="application/vnd.openxmlformats-officedocument.spreadsheetml.customProperty"/>
  <Override PartName="/xl/customProperty43.bin" ContentType="application/vnd.openxmlformats-officedocument.spreadsheetml.customProperty"/>
  <Override PartName="/xl/customProperty44.bin" ContentType="application/vnd.openxmlformats-officedocument.spreadsheetml.customProperty"/>
  <Override PartName="/xl/customProperty45.bin" ContentType="application/vnd.openxmlformats-officedocument.spreadsheetml.customProperty"/>
  <Override PartName="/xl/customProperty46.bin" ContentType="application/vnd.openxmlformats-officedocument.spreadsheetml.customProperty"/>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customProperty57.bin" ContentType="application/vnd.openxmlformats-officedocument.spreadsheetml.customProperty"/>
  <Override PartName="/xl/drawings/drawing7.xml" ContentType="application/vnd.openxmlformats-officedocument.drawing+xml"/>
  <Override PartName="/xl/drawings/drawing8.xml" ContentType="application/vnd.openxmlformats-officedocument.drawing+xml"/>
  <Override PartName="/xl/charts/chart3.xml" ContentType="application/vnd.openxmlformats-officedocument.drawingml.chart+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showInkAnnotation="0" codeName="DieseArbeitsmappe"/>
  <mc:AlternateContent xmlns:mc="http://schemas.openxmlformats.org/markup-compatibility/2006">
    <mc:Choice Requires="x15">
      <x15ac:absPath xmlns:x15ac="http://schemas.microsoft.com/office/spreadsheetml/2010/11/ac" url="C:\Brose\seilech\UserDir\Desktop\"/>
    </mc:Choice>
  </mc:AlternateContent>
  <xr:revisionPtr revIDLastSave="0" documentId="8_{C697B903-B69C-41C5-8B18-DF40910DEAD7}" xr6:coauthVersionLast="46" xr6:coauthVersionMax="46" xr10:uidLastSave="{00000000-0000-0000-0000-000000000000}"/>
  <workbookProtection workbookAlgorithmName="SHA-512" workbookHashValue="ORRz9BLFeNesrKNm2i+x4sdJQ7XQX2mgJhOQcC1QZl7eomgT2aJ7DFUCIoyFeM8xR9UTrPOgPlmyr1ooUgyqEg==" workbookSaltValue="0U5aF0/EXH/dmZm5XXCgRA==" workbookSpinCount="100000" lockStructure="1"/>
  <bookViews>
    <workbookView xWindow="-120" yWindow="-120" windowWidth="20730" windowHeight="11160" tabRatio="831" xr2:uid="{00000000-000D-0000-FFFF-FFFF00000000}"/>
  </bookViews>
  <sheets>
    <sheet name="PMP Start" sheetId="35" r:id="rId1"/>
    <sheet name="8D-Report" sheetId="45" r:id="rId2"/>
    <sheet name="Statistic" sheetId="7" r:id="rId3"/>
    <sheet name="Is IsNot" sheetId="20" r:id="rId4"/>
    <sheet name="Ishikawa" sheetId="17" r:id="rId5"/>
    <sheet name="C&amp;E" sheetId="21" r:id="rId6"/>
    <sheet name="Verify" sheetId="8" r:id="rId7"/>
    <sheet name="5Why" sheetId="6" r:id="rId8"/>
    <sheet name="Read-Across" sheetId="44" r:id="rId9"/>
    <sheet name="Action plan" sheetId="39" r:id="rId10"/>
    <sheet name="Buttons" sheetId="38" state="hidden" r:id="rId11"/>
    <sheet name="Languages" sheetId="36" state="hidden" r:id="rId12"/>
    <sheet name="Evaluation" sheetId="14" r:id="rId13"/>
    <sheet name="Help" sheetId="43" r:id="rId14"/>
    <sheet name="Attachment 1" sheetId="49" r:id="rId15"/>
    <sheet name="Attachment 2" sheetId="50" r:id="rId16"/>
    <sheet name="Changelog" sheetId="46" state="hidden" r:id="rId17"/>
  </sheets>
  <externalReferences>
    <externalReference r:id="rId18"/>
  </externalReferences>
  <definedNames>
    <definedName name="_xlnm._FilterDatabase" localSheetId="9" hidden="1">'Action plan'!$C$15:$I$15</definedName>
    <definedName name="asd" localSheetId="1">'[1]8D-Report'!#REF!</definedName>
    <definedName name="asd" localSheetId="10">'[1]8D-Report'!#REF!</definedName>
    <definedName name="asd" localSheetId="13">'[1]8D-Report'!#REF!</definedName>
    <definedName name="asd" localSheetId="11">'[1]8D-Report'!#REF!</definedName>
    <definedName name="asd" localSheetId="0">'[1]8D-Report'!#REF!</definedName>
    <definedName name="asd" localSheetId="8">'[1]8D-Report'!#REF!</definedName>
    <definedName name="asd">'[1]8D-Report'!#REF!</definedName>
    <definedName name="bmAnwendungLL">'[1]Lessons Learned'!$AB$24</definedName>
    <definedName name="bmAnwendungNeinLL">'[1]Lessons Learned'!$AG$24</definedName>
    <definedName name="bmBezeichnungST">[1]Schadenstisch!$C$3</definedName>
    <definedName name="bmContainmentActions">[1]Ref!$M$2</definedName>
    <definedName name="bmCurLanguage">[1]PMP!$C$11</definedName>
    <definedName name="bmFehlerauftreten8D">'[1]8D-Report'!$B$51:$AY$51</definedName>
    <definedName name="bmFehlerauftretenAN">'[1]Action List'!$B$57:$AY$57</definedName>
    <definedName name="bmFehlerauftretenANEnde">'[1]Action List'!$B$60:$AY$60</definedName>
    <definedName name="bmFehlermerkmal">[1]Ref!$R$2</definedName>
    <definedName name="bmFehlerursacheAbstell">[1]Ref!$P$2</definedName>
    <definedName name="bmFehlerverursacherKundST">[1]Schadenstisch!$M$12</definedName>
    <definedName name="bmFehlerverursacherLiefBroST">[1]Schadenstisch!$J$14</definedName>
    <definedName name="bmFehlerverursacherLieferantST">[1]Schadenstisch!$J$12</definedName>
    <definedName name="bmFehlerverursacherST">[1]Schadenstisch!$D$12</definedName>
    <definedName name="bmFTA">[1]Ref!$N$2</definedName>
    <definedName name="bmHeaderData">[1]Ref!$J$2</definedName>
    <definedName name="bmIOLieferung">'[1]Action List'!$B$20:$Z$20</definedName>
    <definedName name="bmiOLieferung8D">'[1]8D-Report'!$B$40</definedName>
    <definedName name="bmIshaikawa">[1]Ref!$L$2</definedName>
    <definedName name="bmJa">[1]Ref!$S$2</definedName>
    <definedName name="bmMaschine">[1]Ref!$V$2</definedName>
    <definedName name="bmMasnahmeAnweisungST">[1]Schadenstisch!$D$34</definedName>
    <definedName name="bmMasnahmeAuftretenAN">'[1]Action List'!$B$56</definedName>
    <definedName name="bmMasnahmeAuftretenST">[1]Schadenstisch!$B$21</definedName>
    <definedName name="bmMasnahmeFMEAST">[1]Schadenstisch!$S$30</definedName>
    <definedName name="bmMasnahmeFreiST">[1]Schadenstisch!$J$32</definedName>
    <definedName name="bmMasnahmeNichtEndeAN">'[1]Action List'!$B$66:$Z$66</definedName>
    <definedName name="bmMasnahmeNichtentdeckenAN">'[1]Action List'!$B$60:$Z$60</definedName>
    <definedName name="bmMasnahmeNichtentdeckenST">[1]Schadenstisch!$B$25</definedName>
    <definedName name="bmMasnahmeNormST">[1]Schadenstisch!$J$30</definedName>
    <definedName name="bmMasnahmenST">[1]Schadenstisch!$D$30</definedName>
    <definedName name="bmMasnahmePLPST">[1]Schadenstisch!$J$34</definedName>
    <definedName name="bmMasnahmeWartungsplanST">[1]Schadenstisch!$S$32</definedName>
    <definedName name="bmMasnahmeWiederST">[1]Schadenstisch!$C$29:$Z$29</definedName>
    <definedName name="bmMasnahmeZeichnungST">[1]Schadenstisch!$D$32</definedName>
    <definedName name="bmMaterial">[1]Ref!$W$2</definedName>
    <definedName name="bmMensch">[1]Ref!$U$2</definedName>
    <definedName name="bmMethode">[1]Ref!$X$2</definedName>
    <definedName name="bmMittwelt">[1]Ref!$Y$2</definedName>
    <definedName name="bmnachweisAN" localSheetId="1">#REF!</definedName>
    <definedName name="bmnachweisAN" localSheetId="10">#REF!</definedName>
    <definedName name="bmnachweisAN" localSheetId="5">#REF!</definedName>
    <definedName name="bmnachweisAN" localSheetId="13">#REF!</definedName>
    <definedName name="bmnachweisAN" localSheetId="3">#REF!</definedName>
    <definedName name="bmnachweisAN" localSheetId="11">#REF!</definedName>
    <definedName name="bmnachweisAN" localSheetId="0">#REF!</definedName>
    <definedName name="bmnachweisAN" localSheetId="8">#REF!</definedName>
    <definedName name="bmnachweisAN">#REF!</definedName>
    <definedName name="bmNachweisNeinAN" localSheetId="1">#REF!</definedName>
    <definedName name="bmNachweisNeinAN" localSheetId="10">#REF!</definedName>
    <definedName name="bmNachweisNeinAN" localSheetId="5">#REF!</definedName>
    <definedName name="bmNachweisNeinAN" localSheetId="13">#REF!</definedName>
    <definedName name="bmNachweisNeinAN" localSheetId="3">#REF!</definedName>
    <definedName name="bmNachweisNeinAN" localSheetId="11">#REF!</definedName>
    <definedName name="bmNachweisNeinAN" localSheetId="0">#REF!</definedName>
    <definedName name="bmNachweisNeinAN" localSheetId="8">#REF!</definedName>
    <definedName name="bmNachweisNeinAN">#REF!</definedName>
    <definedName name="bmNein">[1]Ref!$T$2</definedName>
    <definedName name="bmNichtentdecken8D">'[1]8D-Report'!$B$55:$AY$55</definedName>
    <definedName name="bmNichtentdeckenAN">'[1]Action List'!$B$66:$AY$66</definedName>
    <definedName name="bmPcitureDestination" localSheetId="1">'[1]Lessons Learned'!#REF!</definedName>
    <definedName name="bmPcitureDestination" localSheetId="10">'[1]Lessons Learned'!#REF!</definedName>
    <definedName name="bmPcitureDestination" localSheetId="5">'[1]Lessons Learned'!#REF!</definedName>
    <definedName name="bmPcitureDestination" localSheetId="13">'[1]Lessons Learned'!#REF!</definedName>
    <definedName name="bmPcitureDestination" localSheetId="3">'[1]Lessons Learned'!#REF!</definedName>
    <definedName name="bmPcitureDestination" localSheetId="4">'[1]Lessons Learned'!#REF!</definedName>
    <definedName name="bmPcitureDestination" localSheetId="11">'[1]Lessons Learned'!#REF!</definedName>
    <definedName name="bmPcitureDestination" localSheetId="0">'[1]Lessons Learned'!#REF!</definedName>
    <definedName name="bmPcitureDestination" localSheetId="8">'[1]Lessons Learned'!#REF!</definedName>
    <definedName name="bmPcitureDestination">'[1]Lessons Learned'!#REF!</definedName>
    <definedName name="bmPcitureDestination8D">'[1]8D-Report'!$B$17</definedName>
    <definedName name="bmPcitureDestinationST">[1]Schadenstisch!$B$38</definedName>
    <definedName name="bmPictureSource">'[1]Problem description'!$B$34</definedName>
    <definedName name="bmProblem0kmKopf">'[1]Header Data'!$F$16</definedName>
    <definedName name="bmProblemDescription">[1]Ref!$K$2</definedName>
    <definedName name="bmProblemFeldKopf">'[1]Header Data'!$H$16</definedName>
    <definedName name="bmProblemKopfdaten">'[1]Header Data'!$D$16</definedName>
    <definedName name="bmProblemNeinQR">'[1]Problem description'!$AH$25</definedName>
    <definedName name="bmProblemQR">'[1]Problem description'!$AC$25</definedName>
    <definedName name="bmPrüfbericht8D">'[1]8D-Report'!$B$3</definedName>
    <definedName name="bmPSS">[1]Ref!$Q$2</definedName>
    <definedName name="bmreklamationsstatusST">[1]Schadenstisch!$C$36:$V$36</definedName>
    <definedName name="bmReproduzierbarJA" localSheetId="1">'[1]Lessons Learned'!#REF!</definedName>
    <definedName name="bmReproduzierbarJA" localSheetId="10">'[1]Lessons Learned'!#REF!</definedName>
    <definedName name="bmReproduzierbarJA" localSheetId="5">'[1]Lessons Learned'!#REF!</definedName>
    <definedName name="bmReproduzierbarJA" localSheetId="13">'[1]Lessons Learned'!#REF!</definedName>
    <definedName name="bmReproduzierbarJA" localSheetId="3">'[1]Lessons Learned'!#REF!</definedName>
    <definedName name="bmReproduzierbarJA" localSheetId="4">'[1]Lessons Learned'!#REF!</definedName>
    <definedName name="bmReproduzierbarJA" localSheetId="11">'[1]Lessons Learned'!#REF!</definedName>
    <definedName name="bmReproduzierbarJA" localSheetId="0">'[1]Lessons Learned'!#REF!</definedName>
    <definedName name="bmReproduzierbarJA" localSheetId="8">'[1]Lessons Learned'!#REF!</definedName>
    <definedName name="bmReproduzierbarJA">'[1]Lessons Learned'!#REF!</definedName>
    <definedName name="bmReproduzierbarNein" localSheetId="1">'[1]Lessons Learned'!#REF!</definedName>
    <definedName name="bmReproduzierbarNein" localSheetId="10">'[1]Lessons Learned'!#REF!</definedName>
    <definedName name="bmReproduzierbarNein" localSheetId="5">'[1]Lessons Learned'!#REF!</definedName>
    <definedName name="bmReproduzierbarNein" localSheetId="13">'[1]Lessons Learned'!#REF!</definedName>
    <definedName name="bmReproduzierbarNein" localSheetId="3">'[1]Lessons Learned'!#REF!</definedName>
    <definedName name="bmReproduzierbarNein" localSheetId="4">'[1]Lessons Learned'!#REF!</definedName>
    <definedName name="bmReproduzierbarNein" localSheetId="11">'[1]Lessons Learned'!#REF!</definedName>
    <definedName name="bmReproduzierbarNein" localSheetId="0">'[1]Lessons Learned'!#REF!</definedName>
    <definedName name="bmReproduzierbarNein" localSheetId="8">'[1]Lessons Learned'!#REF!</definedName>
    <definedName name="bmReproduzierbarNein">'[1]Lessons Learned'!#REF!</definedName>
    <definedName name="bmRootCause8d">'[1]8D-Report'!$B$41</definedName>
    <definedName name="bmRootCauseAction">'[1]Action List'!$B$41</definedName>
    <definedName name="bmRootCauseAuf8D" localSheetId="1">'[1]8D-Report'!#REF!</definedName>
    <definedName name="bmRootCauseAuf8D" localSheetId="10">'[1]8D-Report'!#REF!</definedName>
    <definedName name="bmRootCauseAuf8D" localSheetId="5">'[1]8D-Report'!#REF!</definedName>
    <definedName name="bmRootCauseAuf8D" localSheetId="13">'[1]8D-Report'!#REF!</definedName>
    <definedName name="bmRootCauseAuf8D" localSheetId="3">'[1]8D-Report'!#REF!</definedName>
    <definedName name="bmRootCauseAuf8D" localSheetId="4">'[1]8D-Report'!#REF!</definedName>
    <definedName name="bmRootCauseAuf8D" localSheetId="11">'[1]8D-Report'!#REF!</definedName>
    <definedName name="bmRootCauseAuf8D" localSheetId="0">'[1]8D-Report'!#REF!</definedName>
    <definedName name="bmRootCauseAuf8D" localSheetId="8">'[1]8D-Report'!#REF!</definedName>
    <definedName name="bmRootCauseAuf8D">'[1]8D-Report'!#REF!</definedName>
    <definedName name="bmRootCauseAufAction">'[1]Action List'!$A$41:$IV$41</definedName>
    <definedName name="bmRootCauseNichtAction">'[1]Action List'!$B$47</definedName>
    <definedName name="bmRootCauseNichtentdecken8D">'[1]8D-Report'!$B$46</definedName>
    <definedName name="bmRootVerifAufJa">'[1]Action List'!$AM$42</definedName>
    <definedName name="bmRootVerifAufNein">'[1]Action List'!$AS$42</definedName>
    <definedName name="bmRootVerifNichtJa">'[1]Action List'!$AM$48</definedName>
    <definedName name="bmRootVerifNichtNein">'[1]Action List'!$AS$48</definedName>
    <definedName name="bmsicherheitskritischja">'[1]Problem description'!$AC$21</definedName>
    <definedName name="bmsicherheitskritischnein">'[1]Problem description'!$AH$21</definedName>
    <definedName name="bmSofortmasnahme">'[1]Action List'!$B$17:$AY$17</definedName>
    <definedName name="bmSofortmasnahme8D">'[1]8D-Report'!$B$31:$AY$31</definedName>
    <definedName name="bmSofortmasnahmeEnde">'[1]Action List'!$B$20:$AY$20</definedName>
    <definedName name="bmSofortmasnahmeKunde">'[1]Action List'!$B$25:$AY$25</definedName>
    <definedName name="bmSofortmasnahmeKunde8D">'[1]8D-Report'!$B$35:$AY$35</definedName>
    <definedName name="bmSofortMN">'[1]Action List'!$B$16</definedName>
    <definedName name="bmStatusEnd" localSheetId="1">'8D-Report'!#REF!</definedName>
    <definedName name="bmStatusEnd" localSheetId="0">'PMP Start'!$X$90</definedName>
    <definedName name="bmStatusEnd">#REF!</definedName>
    <definedName name="bmStatusEndAN">'[1]Action List'!$AN$60</definedName>
    <definedName name="bmStatusEndLL">'[1]Lessons Learned'!$AS$22</definedName>
    <definedName name="bmStatusKundeEnde">'[1]Action List'!$AN$25</definedName>
    <definedName name="bmStatusKundeEndeAN">'[1]Action List'!$AN$66</definedName>
    <definedName name="bmStatusMasnahmeAN">'[1]Action List'!$AO$37</definedName>
    <definedName name="bmStatusSart" localSheetId="1">'8D-Report'!#REF!</definedName>
    <definedName name="bmStatusSart" localSheetId="0">'PMP Start'!$X$86</definedName>
    <definedName name="bmStatusSart">#REF!</definedName>
    <definedName name="bmStatusSartAN">'[1]Action List'!$AN$56</definedName>
    <definedName name="bmStatusSartLL">'[1]Lessons Learned'!$AS$10</definedName>
    <definedName name="bmStatusSartMasnahme">'[1]Action List'!$AN$30</definedName>
    <definedName name="bmStatusStartKunde">'[1]Action List'!$AN$21</definedName>
    <definedName name="bmStatusStartKundeAN">'[1]Action List'!$AN$62</definedName>
    <definedName name="bmStatusWiederauftreten">'[1]Action List'!$AN$68</definedName>
    <definedName name="bmStatusWiederauftretenEnde">'[1]Action List'!$AN$72</definedName>
    <definedName name="bmTools8DST" localSheetId="1">[1]Schadenstisch!#REF!</definedName>
    <definedName name="bmTools8DST" localSheetId="10">[1]Schadenstisch!#REF!</definedName>
    <definedName name="bmTools8DST" localSheetId="5">[1]Schadenstisch!#REF!</definedName>
    <definedName name="bmTools8DST" localSheetId="13">[1]Schadenstisch!#REF!</definedName>
    <definedName name="bmTools8DST" localSheetId="3">[1]Schadenstisch!#REF!</definedName>
    <definedName name="bmTools8DST" localSheetId="4">[1]Schadenstisch!#REF!</definedName>
    <definedName name="bmTools8DST" localSheetId="11">[1]Schadenstisch!#REF!</definedName>
    <definedName name="bmTools8DST" localSheetId="0">[1]Schadenstisch!#REF!</definedName>
    <definedName name="bmTools8DST" localSheetId="8">[1]Schadenstisch!#REF!</definedName>
    <definedName name="bmTools8DST">[1]Schadenstisch!#REF!</definedName>
    <definedName name="bmToolsPLSST">[1]Schadenstisch!$H$49</definedName>
    <definedName name="bmToolsST">[1]Schadenstisch!$D$49</definedName>
    <definedName name="bmTranslations">[1]Ref!$B$5:$G$290</definedName>
    <definedName name="bmwarnungNeinQR">'[1]Problem description'!$AH$29</definedName>
    <definedName name="bmWarnungQR">'[1]Problem description'!$AC$29</definedName>
    <definedName name="bmWhys">[1]Ref!$O$2</definedName>
    <definedName name="bmWiederauftreten8D">'[1]8D-Report'!$B$59:$AY$59</definedName>
    <definedName name="bmWiederauftretenEnde8D">'[1]8D-Report'!$B$63:$AY$64</definedName>
    <definedName name="bmWiederauftretenMasnahme">'[1]Action List'!$B$67:$AY$67</definedName>
    <definedName name="bmWiederentdeckenMasnahmeEnde">'[1]Action List'!$B$72:$AY$72</definedName>
    <definedName name="bmWiederholfehlerKopf">'[1]Header Data'!$L$16</definedName>
    <definedName name="bmWiederholfehlerNeinKopf">'[1]Header Data'!$N$16</definedName>
    <definedName name="_xlnm.Print_Area" localSheetId="1">'8D-Report'!$A$1:$CB$257</definedName>
    <definedName name="_xlnm.Print_Area" localSheetId="9">'Action plan'!$A$1:$I$75</definedName>
    <definedName name="_xlnm.Print_Area" localSheetId="14">'Attachment 1'!$A$1:$I$2</definedName>
    <definedName name="_xlnm.Print_Area" localSheetId="15">'Attachment 2'!$A$1:$I$2</definedName>
    <definedName name="_xlnm.Print_Area" localSheetId="5">'C&amp;E'!$A$1:$AO$43</definedName>
    <definedName name="_xlnm.Print_Area" localSheetId="16">Changelog!$A$1:$D$57</definedName>
    <definedName name="_xlnm.Print_Area" localSheetId="12">Evaluation!$A$1:$CB$67</definedName>
    <definedName name="_xlnm.Print_Area" localSheetId="13">Help!$A$1:$CB$56</definedName>
    <definedName name="_xlnm.Print_Area" localSheetId="3">'Is IsNot'!$A$1:$I$46</definedName>
    <definedName name="_xlnm.Print_Area" localSheetId="4">Ishikawa!$A$1:$BX$52</definedName>
    <definedName name="_xlnm.Print_Area" localSheetId="0">'PMP Start'!$A$1:$U$33</definedName>
    <definedName name="_xlnm.Print_Area" localSheetId="8">'Read-Across'!$A$1:$CB$89</definedName>
    <definedName name="_xlnm.Print_Area" localSheetId="2">Statistic!$A$1:$S$95</definedName>
    <definedName name="_xlnm.Print_Area" localSheetId="6">Verify!$A$1:$CB$87</definedName>
    <definedName name="_xlnm.Print_Titles" localSheetId="12">Evaluation!$2:$12</definedName>
    <definedName name="_xlnm.Print_Titles" localSheetId="8">'Read-Across'!$2:$12</definedName>
    <definedName name="FehlerverursacherProzessST">[1]Schadenstisch!$D$14</definedName>
    <definedName name="picture1" localSheetId="1">'8D-Report'!#REF!</definedName>
    <definedName name="picture1" localSheetId="0">'PMP Start'!#REF!</definedName>
    <definedName name="picture1">#REF!</definedName>
    <definedName name="plsa" localSheetId="1">'[1]8D-Report'!#REF!</definedName>
    <definedName name="plsa" localSheetId="10">'[1]8D-Report'!#REF!</definedName>
    <definedName name="plsa" localSheetId="13">'[1]8D-Report'!#REF!</definedName>
    <definedName name="plsa" localSheetId="11">'[1]8D-Report'!#REF!</definedName>
    <definedName name="plsa" localSheetId="0">'[1]8D-Report'!#REF!</definedName>
    <definedName name="plsa" localSheetId="8">'[1]8D-Report'!#REF!</definedName>
    <definedName name="plsa">'[1]8D-Report'!#REF!</definedName>
    <definedName name="RootCauseNicht8D" localSheetId="1">'[1]8D-Report'!#REF!</definedName>
    <definedName name="RootCauseNicht8D" localSheetId="10">'[1]8D-Report'!#REF!</definedName>
    <definedName name="RootCauseNicht8D" localSheetId="5">'[1]8D-Report'!#REF!</definedName>
    <definedName name="RootCauseNicht8D" localSheetId="13">'[1]8D-Report'!#REF!</definedName>
    <definedName name="RootCauseNicht8D" localSheetId="3">'[1]8D-Report'!#REF!</definedName>
    <definedName name="RootCauseNicht8D" localSheetId="4">'[1]8D-Report'!#REF!</definedName>
    <definedName name="RootCauseNicht8D" localSheetId="11">'[1]8D-Report'!#REF!</definedName>
    <definedName name="RootCauseNicht8D" localSheetId="0">'[1]8D-Report'!#REF!</definedName>
    <definedName name="RootCauseNicht8D" localSheetId="8">'[1]8D-Report'!#REF!</definedName>
    <definedName name="RootCauseNicht8D">'[1]8D-Report'!#REF!</definedName>
    <definedName name="X" localSheetId="1">'8D-Report'!#REF!</definedName>
    <definedName name="X">#REF!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A41" i="14" l="1"/>
  <c r="BA46" i="14"/>
  <c r="BA45" i="14"/>
  <c r="BA44" i="14"/>
  <c r="BA43" i="14"/>
  <c r="BA42" i="14"/>
  <c r="BA40" i="14"/>
  <c r="BA39" i="14"/>
  <c r="CG39" i="14" l="1"/>
  <c r="CC48" i="14"/>
  <c r="BE48" i="14" s="1"/>
  <c r="CK39" i="14"/>
  <c r="CC39" i="14"/>
  <c r="B2" i="36" l="1"/>
  <c r="A2" i="36"/>
  <c r="E8" i="39"/>
  <c r="AN43" i="21"/>
  <c r="AN42" i="21"/>
  <c r="AN41" i="21"/>
  <c r="AN40" i="21"/>
  <c r="AN39" i="21"/>
  <c r="AN38" i="21"/>
  <c r="AN37" i="21"/>
  <c r="AN36" i="21"/>
  <c r="AN35" i="21"/>
  <c r="AN34" i="21"/>
  <c r="AN33" i="21"/>
  <c r="AN32" i="21"/>
  <c r="AN31" i="21"/>
  <c r="AN30" i="21"/>
  <c r="AN29" i="21"/>
  <c r="AN28" i="21"/>
  <c r="AN27" i="21"/>
  <c r="AN26" i="21"/>
  <c r="AN25" i="21"/>
  <c r="AN24" i="21"/>
  <c r="AN23" i="21"/>
  <c r="AN22" i="21"/>
  <c r="AN21" i="21"/>
  <c r="AN20" i="21"/>
  <c r="AM10" i="21"/>
  <c r="AL10" i="21"/>
  <c r="AK10" i="21"/>
  <c r="AJ10" i="21"/>
  <c r="AI10" i="21"/>
  <c r="AH10" i="21"/>
  <c r="AG10" i="21"/>
  <c r="AF10" i="21"/>
  <c r="AE10" i="21"/>
  <c r="AD10" i="21"/>
  <c r="AC10" i="21"/>
  <c r="AB10" i="21"/>
  <c r="AA10" i="21"/>
  <c r="Z10" i="21"/>
  <c r="Y10" i="21"/>
  <c r="X10" i="21"/>
  <c r="W10" i="21"/>
  <c r="V10" i="21"/>
  <c r="U10" i="21"/>
  <c r="T10" i="21"/>
  <c r="S10" i="21"/>
  <c r="R10" i="21"/>
  <c r="Q10" i="21"/>
  <c r="P10" i="21"/>
  <c r="O10" i="21"/>
  <c r="N10" i="21"/>
  <c r="M10" i="21"/>
  <c r="L10" i="21"/>
  <c r="K10" i="21"/>
  <c r="J10" i="21"/>
  <c r="I10" i="21"/>
  <c r="H10" i="21"/>
  <c r="G10" i="21"/>
  <c r="F10" i="21"/>
  <c r="AG23" i="17"/>
  <c r="E5" i="20"/>
  <c r="C72" i="45"/>
  <c r="B1" i="39" l="1"/>
  <c r="A3" i="50"/>
  <c r="A3" i="49"/>
  <c r="A1" i="50"/>
  <c r="A1" i="49"/>
  <c r="C241" i="45"/>
  <c r="K18" i="35"/>
  <c r="K17" i="35"/>
  <c r="K22" i="35"/>
  <c r="AS35" i="45"/>
  <c r="C8" i="45"/>
  <c r="B93" i="38"/>
  <c r="B92" i="38"/>
  <c r="B95" i="38"/>
  <c r="B94" i="38"/>
  <c r="B100" i="38"/>
  <c r="B99" i="38"/>
  <c r="B102" i="38"/>
  <c r="B101" i="38"/>
  <c r="R20" i="45"/>
  <c r="C50" i="45"/>
  <c r="C47" i="45"/>
  <c r="C41" i="45"/>
  <c r="C38" i="45"/>
  <c r="R44" i="45"/>
  <c r="AJ38" i="45"/>
  <c r="AC41" i="45"/>
  <c r="AC38" i="45"/>
  <c r="V41" i="45"/>
  <c r="V38" i="45"/>
  <c r="K30" i="35"/>
  <c r="S55" i="43"/>
  <c r="D55" i="43"/>
  <c r="D52" i="43"/>
  <c r="S52" i="43"/>
  <c r="D45" i="43"/>
  <c r="S54" i="43"/>
  <c r="D50" i="43"/>
  <c r="D54" i="43"/>
  <c r="S53" i="43"/>
  <c r="D53" i="43"/>
  <c r="D47" i="43"/>
  <c r="S42" i="43"/>
  <c r="D42" i="43"/>
  <c r="C49" i="43"/>
  <c r="C44" i="43"/>
  <c r="D41" i="43"/>
  <c r="S47" i="43"/>
  <c r="C38" i="43"/>
  <c r="D5" i="43"/>
  <c r="S41" i="43"/>
  <c r="D39" i="43"/>
  <c r="S36" i="43"/>
  <c r="S35" i="43"/>
  <c r="S34" i="43"/>
  <c r="S33" i="43"/>
  <c r="D33" i="43"/>
  <c r="D36" i="43"/>
  <c r="D35" i="43"/>
  <c r="D34" i="43"/>
  <c r="D31" i="43"/>
  <c r="C30" i="43"/>
  <c r="S27" i="43"/>
  <c r="S28" i="43"/>
  <c r="D27" i="43"/>
  <c r="D28" i="43"/>
  <c r="D25" i="43"/>
  <c r="D8" i="43"/>
  <c r="D22" i="43"/>
  <c r="C24" i="43"/>
  <c r="S22" i="43"/>
  <c r="S19" i="43"/>
  <c r="S20" i="43"/>
  <c r="D20" i="43"/>
  <c r="S21" i="43"/>
  <c r="D19" i="43"/>
  <c r="D21" i="43"/>
  <c r="D17" i="43"/>
  <c r="S13" i="43"/>
  <c r="C16" i="43"/>
  <c r="S14" i="43"/>
  <c r="D14" i="43"/>
  <c r="D13" i="43"/>
  <c r="C7" i="43"/>
  <c r="C10" i="43"/>
  <c r="D11" i="43"/>
  <c r="C69" i="7"/>
  <c r="B37" i="38"/>
  <c r="C68" i="7"/>
  <c r="B36" i="38"/>
  <c r="C66" i="7"/>
  <c r="C67" i="7"/>
  <c r="B35" i="38"/>
  <c r="F7" i="44"/>
  <c r="C4" i="43"/>
  <c r="B1" i="43"/>
  <c r="F60" i="44"/>
  <c r="F32" i="44"/>
  <c r="BQ5" i="44"/>
  <c r="F15" i="44"/>
  <c r="F10" i="44"/>
  <c r="C21" i="44"/>
  <c r="F13" i="44"/>
  <c r="C72" i="44"/>
  <c r="BW5" i="44"/>
  <c r="F12" i="44"/>
  <c r="F49" i="44"/>
  <c r="F21" i="44"/>
  <c r="BK5" i="44"/>
  <c r="F14" i="44"/>
  <c r="F9" i="44"/>
  <c r="C5" i="44"/>
  <c r="C49" i="44"/>
  <c r="AK5" i="44"/>
  <c r="F8" i="44"/>
  <c r="F43" i="44"/>
  <c r="AE5" i="44"/>
  <c r="C18" i="44"/>
  <c r="BK141" i="45"/>
  <c r="AJ141" i="45"/>
  <c r="BE151" i="45"/>
  <c r="C151" i="45"/>
  <c r="BK151" i="45"/>
  <c r="BE141" i="45"/>
  <c r="C141" i="45"/>
  <c r="AX151" i="45"/>
  <c r="C149" i="45"/>
  <c r="AX141" i="45"/>
  <c r="C139" i="45"/>
  <c r="AQ151" i="45"/>
  <c r="AQ141" i="45"/>
  <c r="AJ151" i="45"/>
  <c r="B1" i="44"/>
  <c r="B63" i="38"/>
  <c r="B69" i="38"/>
  <c r="B65" i="38"/>
  <c r="B68" i="38"/>
  <c r="B67" i="38"/>
  <c r="B66" i="38"/>
  <c r="B55" i="38"/>
  <c r="B60" i="38"/>
  <c r="B59" i="38"/>
  <c r="B58" i="38"/>
  <c r="B54" i="38"/>
  <c r="AG21" i="17"/>
  <c r="C44" i="20"/>
  <c r="B32" i="38"/>
  <c r="B31" i="38"/>
  <c r="B30" i="38"/>
  <c r="B29" i="38"/>
  <c r="B25" i="38"/>
  <c r="B83" i="38"/>
  <c r="B28" i="38"/>
  <c r="B27" i="38"/>
  <c r="B26" i="38"/>
  <c r="B23" i="38"/>
  <c r="B21" i="38"/>
  <c r="B22" i="38"/>
  <c r="B24" i="38"/>
  <c r="B16" i="38"/>
  <c r="B18" i="38"/>
  <c r="B17" i="38"/>
  <c r="B13" i="38"/>
  <c r="B14" i="38"/>
  <c r="CE233" i="45"/>
  <c r="AR238" i="45"/>
  <c r="CE212" i="45"/>
  <c r="AF238" i="45"/>
  <c r="CE186" i="45"/>
  <c r="C238" i="45"/>
  <c r="R233" i="45"/>
  <c r="C249" i="45"/>
  <c r="AX226" i="45"/>
  <c r="C223" i="45"/>
  <c r="C229" i="45"/>
  <c r="AQ226" i="45"/>
  <c r="BK226" i="45"/>
  <c r="AJ226" i="45"/>
  <c r="BE226" i="45"/>
  <c r="C226" i="45"/>
  <c r="BE218" i="45"/>
  <c r="C218" i="45"/>
  <c r="AX218" i="45"/>
  <c r="C216" i="45"/>
  <c r="C221" i="45"/>
  <c r="AQ218" i="45"/>
  <c r="R212" i="45"/>
  <c r="BK218" i="45"/>
  <c r="AJ218" i="45"/>
  <c r="BK202" i="45"/>
  <c r="AJ202" i="45"/>
  <c r="BE192" i="45"/>
  <c r="C192" i="45"/>
  <c r="R186" i="45"/>
  <c r="BK192" i="45"/>
  <c r="BE202" i="45"/>
  <c r="C202" i="45"/>
  <c r="AX192" i="45"/>
  <c r="C190" i="45"/>
  <c r="AX202" i="45"/>
  <c r="C200" i="45"/>
  <c r="AQ192" i="45"/>
  <c r="AQ202" i="45"/>
  <c r="AJ192" i="45"/>
  <c r="CE159" i="45"/>
  <c r="CE124" i="45"/>
  <c r="CE79" i="45"/>
  <c r="AQ182" i="45"/>
  <c r="C174" i="45"/>
  <c r="AX165" i="45"/>
  <c r="C163" i="45"/>
  <c r="C182" i="45"/>
  <c r="AQ165" i="45"/>
  <c r="C179" i="45"/>
  <c r="BK165" i="45"/>
  <c r="AJ165" i="45"/>
  <c r="AQ177" i="45"/>
  <c r="BE165" i="45"/>
  <c r="C165" i="45"/>
  <c r="C177" i="45"/>
  <c r="R159" i="45"/>
  <c r="BK131" i="45"/>
  <c r="BE131" i="45"/>
  <c r="C131" i="45"/>
  <c r="AG127" i="45"/>
  <c r="AQ131" i="45"/>
  <c r="BM127" i="45"/>
  <c r="AJ131" i="45"/>
  <c r="R124" i="45"/>
  <c r="AX131" i="45"/>
  <c r="C129" i="45"/>
  <c r="Q127" i="45"/>
  <c r="C127" i="45"/>
  <c r="AW127" i="45"/>
  <c r="AP120" i="45"/>
  <c r="C120" i="45"/>
  <c r="AP109" i="45"/>
  <c r="AP116" i="45"/>
  <c r="C116" i="45"/>
  <c r="AP118" i="45"/>
  <c r="AP114" i="45"/>
  <c r="C114" i="45"/>
  <c r="C118" i="45"/>
  <c r="C109" i="45"/>
  <c r="C97" i="45"/>
  <c r="C94" i="45"/>
  <c r="C106" i="45"/>
  <c r="C103" i="45"/>
  <c r="C91" i="45"/>
  <c r="C88" i="45"/>
  <c r="C100" i="45"/>
  <c r="C85" i="45"/>
  <c r="C76" i="45"/>
  <c r="CF1" i="45"/>
  <c r="C82" i="45"/>
  <c r="C74" i="45"/>
  <c r="AP76" i="45"/>
  <c r="C79" i="45"/>
  <c r="C70" i="45"/>
  <c r="R67" i="45"/>
  <c r="AP56" i="45"/>
  <c r="AP50" i="45"/>
  <c r="AP53" i="45"/>
  <c r="AP35" i="45"/>
  <c r="AS38" i="45"/>
  <c r="AP29" i="45"/>
  <c r="C56" i="45"/>
  <c r="AP23" i="45"/>
  <c r="AP32" i="45"/>
  <c r="AP26" i="45"/>
  <c r="C53" i="45"/>
  <c r="C59" i="45"/>
  <c r="C35" i="45"/>
  <c r="C32" i="45"/>
  <c r="R5" i="45"/>
  <c r="B1" i="45"/>
  <c r="C29" i="45"/>
  <c r="C13" i="45"/>
  <c r="C26" i="45"/>
  <c r="C23" i="45"/>
  <c r="B2" i="38"/>
  <c r="K9" i="35"/>
  <c r="C16" i="7"/>
  <c r="C11" i="7"/>
  <c r="E38" i="20"/>
  <c r="B99" i="6"/>
  <c r="BP60" i="17"/>
  <c r="B1" i="8"/>
  <c r="K4" i="35"/>
  <c r="E56" i="7"/>
  <c r="K8" i="21"/>
  <c r="C58" i="7"/>
  <c r="F32" i="20"/>
  <c r="C14" i="20"/>
  <c r="P5" i="21" s="1"/>
  <c r="E16" i="20"/>
  <c r="K5" i="35"/>
  <c r="G6" i="20"/>
  <c r="F20" i="20"/>
  <c r="C7" i="7"/>
  <c r="B1" i="17"/>
  <c r="V8" i="21"/>
  <c r="E15" i="39"/>
  <c r="C10" i="39"/>
  <c r="C5" i="39"/>
  <c r="B56" i="6"/>
  <c r="C68" i="8"/>
  <c r="AR8" i="8"/>
  <c r="C6" i="8"/>
  <c r="C32" i="21"/>
  <c r="AJ8" i="21"/>
  <c r="AE8" i="21"/>
  <c r="Z8" i="21"/>
  <c r="T8" i="21"/>
  <c r="O8" i="21"/>
  <c r="J8" i="21"/>
  <c r="F8" i="21"/>
  <c r="BP57" i="17"/>
  <c r="C65" i="7"/>
  <c r="C61" i="7"/>
  <c r="C57" i="7"/>
  <c r="I56" i="7"/>
  <c r="C55" i="7"/>
  <c r="C26" i="7"/>
  <c r="C18" i="7"/>
  <c r="C12" i="7"/>
  <c r="C6" i="7"/>
  <c r="D38" i="20"/>
  <c r="F34" i="20"/>
  <c r="E32" i="20"/>
  <c r="E28" i="20"/>
  <c r="E24" i="20"/>
  <c r="D22" i="20"/>
  <c r="C20" i="20"/>
  <c r="X5" i="21" s="1"/>
  <c r="F14" i="20"/>
  <c r="F10" i="20"/>
  <c r="E8" i="20"/>
  <c r="I6" i="20"/>
  <c r="E6" i="20"/>
  <c r="D5" i="20"/>
  <c r="B79" i="38"/>
  <c r="D12" i="39"/>
  <c r="E12" i="39" s="1"/>
  <c r="B3" i="6"/>
  <c r="BE64" i="8"/>
  <c r="AJ8" i="8"/>
  <c r="BJ4" i="8"/>
  <c r="AO17" i="21"/>
  <c r="AI8" i="21"/>
  <c r="AD8" i="21"/>
  <c r="X8" i="21"/>
  <c r="S8" i="21"/>
  <c r="N8" i="21"/>
  <c r="I8" i="21"/>
  <c r="B1" i="21"/>
  <c r="BF54" i="17"/>
  <c r="AT3" i="17"/>
  <c r="C64" i="7"/>
  <c r="C60" i="7"/>
  <c r="O56" i="7"/>
  <c r="G56" i="7"/>
  <c r="C53" i="7"/>
  <c r="C23" i="7"/>
  <c r="C17" i="7"/>
  <c r="C5" i="7"/>
  <c r="C43" i="20"/>
  <c r="F36" i="20"/>
  <c r="E34" i="20"/>
  <c r="D32" i="20"/>
  <c r="D28" i="20"/>
  <c r="F15" i="39"/>
  <c r="D8" i="39"/>
  <c r="B1" i="6"/>
  <c r="AB8" i="8"/>
  <c r="AN17" i="21"/>
  <c r="AM8" i="21"/>
  <c r="AB8" i="21"/>
  <c r="R8" i="21"/>
  <c r="H8" i="21"/>
  <c r="D54" i="17"/>
  <c r="C63" i="7"/>
  <c r="M56" i="7"/>
  <c r="C28" i="7"/>
  <c r="C3" i="7"/>
  <c r="E36" i="20"/>
  <c r="C32" i="20"/>
  <c r="AL5" i="21" s="1"/>
  <c r="D24" i="20"/>
  <c r="E20" i="20"/>
  <c r="D16" i="20"/>
  <c r="E10" i="20"/>
  <c r="C8" i="20"/>
  <c r="J5" i="21" s="1"/>
  <c r="F6" i="20"/>
  <c r="B1" i="20"/>
  <c r="C4" i="35"/>
  <c r="B1" i="35"/>
  <c r="C56" i="8"/>
  <c r="AZ4" i="8"/>
  <c r="W8" i="21"/>
  <c r="BP63" i="17"/>
  <c r="C59" i="7"/>
  <c r="F56" i="7"/>
  <c r="C8" i="7"/>
  <c r="D34" i="20"/>
  <c r="C28" i="20"/>
  <c r="AB5" i="21" s="1"/>
  <c r="F16" i="20"/>
  <c r="F8" i="20"/>
  <c r="H5" i="20"/>
  <c r="B40" i="38"/>
  <c r="C12" i="39"/>
  <c r="C6" i="39"/>
  <c r="Q68" i="8"/>
  <c r="C8" i="8"/>
  <c r="D17" i="21"/>
  <c r="AL8" i="21"/>
  <c r="AA8" i="21"/>
  <c r="P8" i="21"/>
  <c r="G8" i="21"/>
  <c r="C62" i="7"/>
  <c r="K56" i="7"/>
  <c r="C27" i="7"/>
  <c r="C13" i="7"/>
  <c r="B1" i="7"/>
  <c r="D36" i="20"/>
  <c r="F28" i="20"/>
  <c r="F22" i="20"/>
  <c r="D20" i="20"/>
  <c r="E14" i="20"/>
  <c r="D10" i="20"/>
  <c r="F7" i="20"/>
  <c r="D6" i="20"/>
  <c r="K8" i="35"/>
  <c r="D10" i="39"/>
  <c r="E10" i="39" s="1"/>
  <c r="E99" i="6"/>
  <c r="AH8" i="21"/>
  <c r="L8" i="21"/>
  <c r="C3" i="17"/>
  <c r="C22" i="7"/>
  <c r="F38" i="20"/>
  <c r="E22" i="20"/>
  <c r="D14" i="20"/>
  <c r="H6" i="20"/>
  <c r="K29" i="35"/>
  <c r="D8" i="20"/>
  <c r="F24" i="20"/>
  <c r="C21" i="7"/>
  <c r="AF8" i="21"/>
  <c r="C54" i="8"/>
  <c r="B43" i="38"/>
  <c r="B75" i="38"/>
  <c r="B78" i="38"/>
  <c r="B76" i="38"/>
  <c r="B74" i="38"/>
  <c r="B72" i="38"/>
  <c r="B41" i="38"/>
  <c r="G15" i="39"/>
  <c r="C15" i="39"/>
  <c r="C11" i="39"/>
  <c r="C9" i="39"/>
  <c r="C7" i="39"/>
  <c r="E56" i="6"/>
  <c r="B13" i="6"/>
  <c r="AJ68" i="8"/>
  <c r="A114" i="38"/>
  <c r="B42" i="38"/>
  <c r="H15" i="39"/>
  <c r="D15" i="39"/>
  <c r="D11" i="39"/>
  <c r="E11" i="39" s="1"/>
  <c r="D9" i="39"/>
  <c r="E9" i="39" s="1"/>
  <c r="C8" i="39"/>
  <c r="F4" i="39"/>
  <c r="E13" i="6"/>
  <c r="BO68" i="8"/>
  <c r="BJ64" i="8"/>
  <c r="BO8" i="8"/>
  <c r="M8" i="8"/>
  <c r="BE4" i="8"/>
  <c r="C20" i="21"/>
  <c r="AK8" i="21"/>
  <c r="AG8" i="21"/>
  <c r="AC8" i="21"/>
  <c r="Y8" i="21"/>
  <c r="U8" i="21"/>
  <c r="Q8" i="21"/>
  <c r="M8" i="21"/>
  <c r="B73" i="38"/>
  <c r="B77" i="38"/>
  <c r="I15" i="39"/>
  <c r="B44" i="38"/>
  <c r="H5" i="21" l="1"/>
  <c r="L5" i="21"/>
  <c r="F5" i="21"/>
  <c r="N5" i="21"/>
  <c r="R5" i="21"/>
  <c r="V5" i="21"/>
  <c r="AF5" i="21"/>
  <c r="AD5" i="21"/>
  <c r="Z5" i="21"/>
  <c r="T5" i="21"/>
  <c r="AH5" i="21"/>
  <c r="AJ5" i="21"/>
  <c r="BC134" i="6"/>
  <c r="AD129" i="6"/>
  <c r="E124" i="6"/>
  <c r="BC114" i="6"/>
  <c r="AD109" i="6"/>
  <c r="E104" i="6"/>
  <c r="AD91" i="6"/>
  <c r="E86" i="6"/>
  <c r="BC76" i="6"/>
  <c r="AD71" i="6"/>
  <c r="E66" i="6"/>
  <c r="E48" i="6"/>
  <c r="BC38" i="6"/>
  <c r="AD33" i="6"/>
  <c r="E28" i="6"/>
  <c r="BC18" i="6"/>
  <c r="BC129" i="6"/>
  <c r="AD124" i="6"/>
  <c r="E119" i="6"/>
  <c r="BC109" i="6"/>
  <c r="AD104" i="6"/>
  <c r="BC91" i="6"/>
  <c r="AD86" i="6"/>
  <c r="E81" i="6"/>
  <c r="BC71" i="6"/>
  <c r="AD66" i="6"/>
  <c r="E61" i="6"/>
  <c r="AD48" i="6"/>
  <c r="E43" i="6"/>
  <c r="BC33" i="6"/>
  <c r="AD28" i="6"/>
  <c r="E23" i="6"/>
  <c r="AD134" i="6"/>
  <c r="BC119" i="6"/>
  <c r="E109" i="6"/>
  <c r="E91" i="6"/>
  <c r="AD76" i="6"/>
  <c r="BC61" i="6"/>
  <c r="BC43" i="6"/>
  <c r="E33" i="6"/>
  <c r="AD18" i="6"/>
  <c r="E134" i="6"/>
  <c r="BC104" i="6"/>
  <c r="BC86" i="6"/>
  <c r="AD61" i="6"/>
  <c r="AD43" i="6"/>
  <c r="E18" i="6"/>
  <c r="E129" i="6"/>
  <c r="AD114" i="6"/>
  <c r="AD38" i="6"/>
  <c r="BC23" i="6"/>
  <c r="BC124" i="6"/>
  <c r="E114" i="6"/>
  <c r="AD81" i="6"/>
  <c r="BC66" i="6"/>
  <c r="BC48" i="6"/>
  <c r="E38" i="6"/>
  <c r="AD23" i="6"/>
  <c r="AD119" i="6"/>
  <c r="E76" i="6"/>
  <c r="BC28" i="6"/>
  <c r="BC81" i="6"/>
  <c r="E7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Mors, Patrick</author>
  </authors>
  <commentList>
    <comment ref="G4" authorId="0" shapeId="0" xr:uid="{00000000-0006-0000-0000-000001000000}">
      <text>
        <r>
          <rPr>
            <b/>
            <sz val="9"/>
            <color indexed="81"/>
            <rFont val="Tahoma"/>
            <family val="2"/>
          </rPr>
          <t>Please choose language</t>
        </r>
      </text>
    </comment>
  </commentList>
</comments>
</file>

<file path=xl/sharedStrings.xml><?xml version="1.0" encoding="utf-8"?>
<sst xmlns="http://schemas.openxmlformats.org/spreadsheetml/2006/main" count="1135" uniqueCount="882">
  <si>
    <t>D1</t>
  </si>
  <si>
    <t>n.i.O.- Teil</t>
  </si>
  <si>
    <t>D2</t>
  </si>
  <si>
    <t>Wird der Fehler bei Wiedereinbringung des Produktes in den normalen Prozess entdeckt?</t>
  </si>
  <si>
    <t>i.O. - Teil</t>
  </si>
  <si>
    <t>Intern</t>
  </si>
  <si>
    <t xml:space="preserve">Wer hat es entdeckt (Name)? </t>
  </si>
  <si>
    <t>Wo wurde es entdeckt (Ausfallort)?</t>
  </si>
  <si>
    <t>Reklamationsdatum</t>
  </si>
  <si>
    <t>Problembeschreibung</t>
  </si>
  <si>
    <t>Ishikawa-Diagramm</t>
  </si>
  <si>
    <t>Warum ist das ein Problem?</t>
  </si>
  <si>
    <t>Wann ist es aufgetreten?</t>
  </si>
  <si>
    <t>Wie wurde es entdeckt?</t>
  </si>
  <si>
    <t>Welches Symptom sehen wir auf unseren Teilen?</t>
  </si>
  <si>
    <t>5x Warum</t>
  </si>
  <si>
    <t>Is / Is Not</t>
  </si>
  <si>
    <t>N.i.O.- Teile</t>
  </si>
  <si>
    <t>…</t>
  </si>
  <si>
    <t>Kunde</t>
  </si>
  <si>
    <t>Sortierergebnisse</t>
  </si>
  <si>
    <t xml:space="preserve">Sortierte Teile </t>
  </si>
  <si>
    <t>N.i.O- Teile</t>
  </si>
  <si>
    <t xml:space="preserve">Sortierdatum </t>
  </si>
  <si>
    <t>Produktionsdatum der sortierten Teile</t>
  </si>
  <si>
    <t>Fazit aus Sortierung</t>
  </si>
  <si>
    <t>D3</t>
  </si>
  <si>
    <t>Sofortmaßnahmen</t>
  </si>
  <si>
    <t>Auftreten</t>
  </si>
  <si>
    <t>Einflussfaktoren</t>
  </si>
  <si>
    <t>Spezifikation / Merkmal</t>
  </si>
  <si>
    <t>i.O.- Teil</t>
  </si>
  <si>
    <t>Direkter Bezug zum Problem?</t>
  </si>
  <si>
    <t>Priorisierung bzw Kommentar zum Einflussfaktor</t>
  </si>
  <si>
    <t>Nichtentdecken</t>
  </si>
  <si>
    <t>Kommentar</t>
  </si>
  <si>
    <t>D4</t>
  </si>
  <si>
    <t>Legende</t>
  </si>
  <si>
    <t>umgesetzt</t>
  </si>
  <si>
    <t>Maßnahme</t>
  </si>
  <si>
    <t>Verantwortlich</t>
  </si>
  <si>
    <t>Status</t>
  </si>
  <si>
    <t>Nachweis der Wirksamkeit</t>
  </si>
  <si>
    <t>D7</t>
  </si>
  <si>
    <t>Nein</t>
  </si>
  <si>
    <t>Ja</t>
  </si>
  <si>
    <t>Maschine</t>
  </si>
  <si>
    <t>Methode</t>
  </si>
  <si>
    <t>Mitwelt</t>
  </si>
  <si>
    <t>A</t>
  </si>
  <si>
    <t>B</t>
  </si>
  <si>
    <t>C</t>
  </si>
  <si>
    <t>Ishikawa</t>
  </si>
  <si>
    <t>Tool</t>
  </si>
  <si>
    <t>Schadenstisch</t>
  </si>
  <si>
    <t>D8</t>
  </si>
  <si>
    <t>Maßnahmen zur Ursachenanalyse</t>
  </si>
  <si>
    <t>Evaluation</t>
  </si>
  <si>
    <t>Problem / Defekt:</t>
  </si>
  <si>
    <t>Sprache:</t>
  </si>
  <si>
    <t>IST</t>
  </si>
  <si>
    <t>Unterschiede</t>
  </si>
  <si>
    <t>Veränderungen</t>
  </si>
  <si>
    <t>Problemstellung:</t>
  </si>
  <si>
    <t>WAS</t>
  </si>
  <si>
    <t>Objekt</t>
  </si>
  <si>
    <t>Problem</t>
  </si>
  <si>
    <t>WO</t>
  </si>
  <si>
    <t>am Objekt festgestellt</t>
  </si>
  <si>
    <t>geographisch</t>
  </si>
  <si>
    <t>WANN</t>
  </si>
  <si>
    <t>zuerst gesehen</t>
  </si>
  <si>
    <t>sonst noch gesehen</t>
  </si>
  <si>
    <t>Wann im Prozess gesehen 
(Lebenszyklus)</t>
  </si>
  <si>
    <t>Wann wurde das Problem zum ersten Mal festgestellt?
(Zeit und Datum)</t>
  </si>
  <si>
    <t>WIE</t>
  </si>
  <si>
    <t>wie entdeckt</t>
  </si>
  <si>
    <t>Wie hätte man es feststellen können, tat es aber nicht?</t>
  </si>
  <si>
    <t>wie viele betroffen</t>
  </si>
  <si>
    <t>Anzahl der Probleme</t>
  </si>
  <si>
    <t>Umfang</t>
  </si>
  <si>
    <t>Tendenz</t>
  </si>
  <si>
    <t>IST / IST NICHT Übersicht</t>
  </si>
  <si>
    <t>Textboxen</t>
  </si>
  <si>
    <t>Bewertungsbausteine</t>
  </si>
  <si>
    <t>Nicht die Ursache</t>
  </si>
  <si>
    <t>mögliche Ursache</t>
  </si>
  <si>
    <t>wahrscheinliche 
Ursache</t>
  </si>
  <si>
    <t>5 Warum</t>
  </si>
  <si>
    <t>Ergebnis</t>
  </si>
  <si>
    <t>Bemerkungen</t>
  </si>
  <si>
    <t>Validierung</t>
  </si>
  <si>
    <t>Poka Yoke</t>
  </si>
  <si>
    <t>Ist diese Vorgabe ausreichend?</t>
  </si>
  <si>
    <t>PLP</t>
  </si>
  <si>
    <t>Anweisungen</t>
  </si>
  <si>
    <t>Containment</t>
  </si>
  <si>
    <t>Requalifizierung</t>
  </si>
  <si>
    <t xml:space="preserve">Füllen Sie die vorliegende Tabelle entsprechend der Felder aus. </t>
  </si>
  <si>
    <t>Ursache</t>
  </si>
  <si>
    <t>Datum:</t>
  </si>
  <si>
    <t>D0</t>
  </si>
  <si>
    <t>Warum?</t>
  </si>
  <si>
    <t>Pos.</t>
  </si>
  <si>
    <t>Language:</t>
  </si>
  <si>
    <t>Customer</t>
  </si>
  <si>
    <t>deutsch [2]</t>
  </si>
  <si>
    <t>englisch [3]</t>
  </si>
  <si>
    <t>Internal</t>
  </si>
  <si>
    <t>Yes</t>
  </si>
  <si>
    <t>No</t>
  </si>
  <si>
    <t>Problem description</t>
  </si>
  <si>
    <t>Why is this a problem?</t>
  </si>
  <si>
    <t>When did it happen?</t>
  </si>
  <si>
    <t xml:space="preserve">Who detected the problem (name)? </t>
  </si>
  <si>
    <t>Where was the problem detected  (failure place)?</t>
  </si>
  <si>
    <t>How was the problem detected?</t>
  </si>
  <si>
    <t>Which symptoms do we see on our parts?</t>
  </si>
  <si>
    <t>Are we capturing the defect when we re-introduce the product into the normal process?</t>
  </si>
  <si>
    <t>Containment actions</t>
  </si>
  <si>
    <t>Actions for root cause analysis</t>
  </si>
  <si>
    <t>Legend</t>
  </si>
  <si>
    <t>Actions</t>
  </si>
  <si>
    <t>Responsible</t>
  </si>
  <si>
    <t>Evidence of effectiveness</t>
  </si>
  <si>
    <t>Fehlerursache</t>
  </si>
  <si>
    <t>Failure cause</t>
  </si>
  <si>
    <t>Abstellmaßnahmen</t>
  </si>
  <si>
    <t>Lessons Learned</t>
  </si>
  <si>
    <t>Corrective Actions</t>
  </si>
  <si>
    <t>Comment</t>
  </si>
  <si>
    <t>Abschluss</t>
  </si>
  <si>
    <t>Completion</t>
  </si>
  <si>
    <t>Attached documents:</t>
  </si>
  <si>
    <t>Ist der Fehler reproduzierbar?</t>
  </si>
  <si>
    <t>Falls nein, weitere Analysen durchführen.</t>
  </si>
  <si>
    <t>Is the error reproducible?</t>
  </si>
  <si>
    <t>Problem Statement:</t>
  </si>
  <si>
    <t>IST NICHT</t>
  </si>
  <si>
    <t>(könnte theoretisch sein, aber)</t>
  </si>
  <si>
    <t>Changes</t>
  </si>
  <si>
    <t>IS</t>
  </si>
  <si>
    <t>IS NOT</t>
  </si>
  <si>
    <t>WHAT</t>
  </si>
  <si>
    <t>Object</t>
  </si>
  <si>
    <t>WHERE</t>
  </si>
  <si>
    <t>WHEN</t>
  </si>
  <si>
    <t>When seen in the process (life cycle)</t>
  </si>
  <si>
    <t>HOW</t>
  </si>
  <si>
    <t>IS / IS NOT Summary</t>
  </si>
  <si>
    <t>Date</t>
  </si>
  <si>
    <t>Sorted parts</t>
  </si>
  <si>
    <t>Sorting date</t>
  </si>
  <si>
    <t>Sorting results</t>
  </si>
  <si>
    <t>Production date of the sorted parts</t>
  </si>
  <si>
    <t>Conclusion of sorting</t>
  </si>
  <si>
    <t>Mensch</t>
  </si>
  <si>
    <t>Material</t>
  </si>
  <si>
    <t>Ishikawa-Diagram</t>
  </si>
  <si>
    <t>Man</t>
  </si>
  <si>
    <t>Machine</t>
  </si>
  <si>
    <t>Method</t>
  </si>
  <si>
    <t>Not the cause</t>
  </si>
  <si>
    <t>Problem / Defect:</t>
  </si>
  <si>
    <t>Text boxes</t>
  </si>
  <si>
    <t>Evaluation modules</t>
  </si>
  <si>
    <t>Possible cause</t>
  </si>
  <si>
    <t>Probable cause</t>
  </si>
  <si>
    <t>Occurence</t>
  </si>
  <si>
    <t>Specification / Feature</t>
  </si>
  <si>
    <t>Direct reference to the problem?</t>
  </si>
  <si>
    <t>Prioritization or comment on the influence factor</t>
  </si>
  <si>
    <t>Fill in this table corresponding to the fields.</t>
  </si>
  <si>
    <t>Non-detection</t>
  </si>
  <si>
    <t>5 Why</t>
  </si>
  <si>
    <t>Where is the inspection characteristic covered?</t>
  </si>
  <si>
    <t>Inspection characteristic</t>
  </si>
  <si>
    <t>How is the testing defined (desired situation)?</t>
  </si>
  <si>
    <t>Is this specification sufficient?</t>
  </si>
  <si>
    <t>PCP</t>
  </si>
  <si>
    <t>Instructions</t>
  </si>
  <si>
    <t>Test benches</t>
  </si>
  <si>
    <t>Inspection plan</t>
  </si>
  <si>
    <t>Plants - Self control</t>
  </si>
  <si>
    <t>Re-qualification</t>
  </si>
  <si>
    <t>Werke - Selbstkontrolle</t>
  </si>
  <si>
    <t>Root cause</t>
  </si>
  <si>
    <t>Daraus folgt</t>
  </si>
  <si>
    <t>Why?</t>
  </si>
  <si>
    <t>Result</t>
  </si>
  <si>
    <t>Consequence</t>
  </si>
  <si>
    <t>Remarks</t>
  </si>
  <si>
    <t>Date:</t>
  </si>
  <si>
    <t>Buttons:</t>
  </si>
  <si>
    <t>5x Why</t>
  </si>
  <si>
    <t>Validation</t>
  </si>
  <si>
    <t>Fehler-Entwicklung</t>
  </si>
  <si>
    <t>Problem specification</t>
  </si>
  <si>
    <t>What is the specific deviation?</t>
  </si>
  <si>
    <t>Welches konkrete Objekt weißt eine Abweichung auf?</t>
  </si>
  <si>
    <t>Was genau ist die Abweichung?</t>
  </si>
  <si>
    <t>What similar object(s) could reasonably have the deviation, but does not?</t>
  </si>
  <si>
    <t>Welche identischen Objekte könnten theoretisch diese Abweichung aufweisen, tun es aber nicht?</t>
  </si>
  <si>
    <t>Welche anderen Abweichungen könnten theoretisch beobachtet werden, werden jedoch nicht?</t>
  </si>
  <si>
    <t>Where is the deviation on the object?</t>
  </si>
  <si>
    <t>Where is the object when the deviation is observed?</t>
  </si>
  <si>
    <t>Wo am Objekt befindet sich die Abweichung?</t>
  </si>
  <si>
    <t>Wo ist das Objekt, wenn die Abweichung beobachtet wird?</t>
  </si>
  <si>
    <t>Where else could the deviation be located on the object, but is not?</t>
  </si>
  <si>
    <t>Wo am Objekt könnte sich die Abweichung sonst noch befinden, was es jedoch nicht tut?</t>
  </si>
  <si>
    <t>Where else could the object be when the deviation is observed, but is not?</t>
  </si>
  <si>
    <t>When since that time has the deviation been observed? Any pattern?</t>
  </si>
  <si>
    <t>Wann wurde die Abweichung seitdem wieder beobachtet? Gibt es ein Schema?</t>
  </si>
  <si>
    <t>When else could the deviation have been observed first, but was not?</t>
  </si>
  <si>
    <t>Wann hätte man das Problem sonst zuerst feststellen können, tat es aber nicht?</t>
  </si>
  <si>
    <t>When since that time could the deviation have been observed, but was not?</t>
  </si>
  <si>
    <t>Wann seitdem hätte man es sonst noch feststellen können, tat es aber nicht?</t>
  </si>
  <si>
    <t>EXTENT</t>
  </si>
  <si>
    <t>UMFANG</t>
  </si>
  <si>
    <t xml:space="preserve">How many objects have this deviation? </t>
  </si>
  <si>
    <t>How many deviations are on each object?</t>
  </si>
  <si>
    <t>What is the size of a single deviation?</t>
  </si>
  <si>
    <t>Wie viele Objekte haben diese Abweichung?</t>
  </si>
  <si>
    <t>Wie viele Abweichungen sind an dem Objekt zu finden?</t>
  </si>
  <si>
    <t>Wie groß ist die einzelne Abweichung?</t>
  </si>
  <si>
    <t xml:space="preserve">How many objects could have the deviation, but do not? </t>
  </si>
  <si>
    <t>Wie viele Objekte könnten die Abweichung aufweisen, tun es jedoch nicht?</t>
  </si>
  <si>
    <t>How many deviations could there be on each object, but are not?</t>
  </si>
  <si>
    <t>Wie viele Abweichungen könnten an jedem Objekt sein, sind es aber nicht?</t>
  </si>
  <si>
    <t>Wie groß könnte die Abweichung sein, ist es aber nicht?</t>
  </si>
  <si>
    <t>What other size could the deviation be, but is not?</t>
  </si>
  <si>
    <t>What could be the trend, but is not? (…in the number of occurrences of the deviation? (…in the size of the deviation?)</t>
  </si>
  <si>
    <t>What other deviations could reasonably be observed, but are not?</t>
  </si>
  <si>
    <t>How was the deviation noticed?</t>
  </si>
  <si>
    <t>Wie wurde die Abweichung festgestellt?</t>
  </si>
  <si>
    <t>What is the trend? (…in the object?) (…in the number of occurrences of the deviation? (…in the size of the deviation?)</t>
  </si>
  <si>
    <t>Systemic</t>
  </si>
  <si>
    <t>Systemisch</t>
  </si>
  <si>
    <t>Status:</t>
  </si>
  <si>
    <t>Failure Visualisation</t>
  </si>
  <si>
    <t>Potentielle Ursachen aus dem Ishikawadiagramm</t>
  </si>
  <si>
    <t>Potential causes from the Ishikawa-diagram</t>
  </si>
  <si>
    <t>Was könnte der Trend sein, ist es jedoch nicht? (…am Objekt?) (…in der Anzahl der Vorkommen?) (…in der Größe der Abweichung?)</t>
  </si>
  <si>
    <t>Was ist der Trend? (…am Objekt?) (…in der Anzahl der Vorkommen?) (…in der Größe der Abweichung?)</t>
  </si>
  <si>
    <t>8D - Report</t>
  </si>
  <si>
    <t>Zum 8D - Bericht</t>
  </si>
  <si>
    <t>To 8D - Report</t>
  </si>
  <si>
    <t>Occurrence n.o.k.-parts - temporal course and validation of measures</t>
  </si>
  <si>
    <t>Auftreten N.i.O.-Teile - zeitlicher Verlauf und Validierung von Maßnahmen</t>
  </si>
  <si>
    <t>Sortierergebnisse (Containment)</t>
  </si>
  <si>
    <t>Sorting results (containment)</t>
  </si>
  <si>
    <t>validiert</t>
  </si>
  <si>
    <t>Distinctions</t>
  </si>
  <si>
    <t>8D-Report</t>
  </si>
  <si>
    <t>offen</t>
  </si>
  <si>
    <t>geplanter Termin</t>
  </si>
  <si>
    <t>Failure development</t>
  </si>
  <si>
    <t>Werkzeug</t>
  </si>
  <si>
    <t>fehlende Informationen</t>
  </si>
  <si>
    <t>Statistik</t>
  </si>
  <si>
    <t>Statistic</t>
  </si>
  <si>
    <t>Cause &amp; Effect Matrix</t>
  </si>
  <si>
    <t>Ursache &amp; Wirkungsmatrix</t>
  </si>
  <si>
    <t>Cause and effect matrix</t>
  </si>
  <si>
    <t>Ursache und Wirkungsmatrix</t>
  </si>
  <si>
    <t>Identification o.k. - Parts</t>
  </si>
  <si>
    <t xml:space="preserve">Identification suspected Parts </t>
  </si>
  <si>
    <t>Identifizierung i.O.- Teile</t>
  </si>
  <si>
    <t>Identifizierung verdächtiger Teile</t>
  </si>
  <si>
    <t>Action plan status list</t>
  </si>
  <si>
    <t>Implementation overview</t>
  </si>
  <si>
    <t>Project/Topic</t>
  </si>
  <si>
    <t>Person Responsible</t>
  </si>
  <si>
    <t>Today</t>
  </si>
  <si>
    <t>(DD.MM.YY)</t>
  </si>
  <si>
    <t>green</t>
  </si>
  <si>
    <t>completed</t>
  </si>
  <si>
    <t>white</t>
  </si>
  <si>
    <t>in progress</t>
  </si>
  <si>
    <t>yellow</t>
  </si>
  <si>
    <t>behind schedule</t>
  </si>
  <si>
    <t>red</t>
  </si>
  <si>
    <t>critical</t>
  </si>
  <si>
    <t>No.</t>
  </si>
  <si>
    <t>Work package</t>
  </si>
  <si>
    <t>Task / point / issue</t>
  </si>
  <si>
    <t>Person responsible</t>
  </si>
  <si>
    <t>Deadline (DD.MM.YY)</t>
  </si>
  <si>
    <t>Comments</t>
  </si>
  <si>
    <t>Clean point</t>
  </si>
  <si>
    <t>Datum</t>
  </si>
  <si>
    <t>Action plan</t>
  </si>
  <si>
    <t>Maßnahmenverfolgungsliste</t>
  </si>
  <si>
    <t>Realisierungsübersicht</t>
  </si>
  <si>
    <t>Projekt/Thema</t>
  </si>
  <si>
    <t>Verantwortlicher</t>
  </si>
  <si>
    <t>Stand</t>
  </si>
  <si>
    <t>Heute</t>
  </si>
  <si>
    <t>grün</t>
  </si>
  <si>
    <t>weiß</t>
  </si>
  <si>
    <t>gelb</t>
  </si>
  <si>
    <t>rot</t>
  </si>
  <si>
    <t>(TT.MM.JJ)</t>
  </si>
  <si>
    <t>erledigt</t>
  </si>
  <si>
    <t>in Arbeit</t>
  </si>
  <si>
    <t>im Verzug</t>
  </si>
  <si>
    <t>kritisch</t>
  </si>
  <si>
    <t>Nr.</t>
  </si>
  <si>
    <t>Arbeitspaket</t>
  </si>
  <si>
    <t>Aufgabe / Punkt / Thema</t>
  </si>
  <si>
    <t>Verantworlich</t>
  </si>
  <si>
    <t>Termin (TT.MM.JJ)</t>
  </si>
  <si>
    <t>Anmerkungen</t>
  </si>
  <si>
    <t>interne Maßnahmenverfolgungsliste</t>
  </si>
  <si>
    <t>Mindset for successfull problem solving</t>
  </si>
  <si>
    <t>Use of different methods according to complexity of the problem</t>
  </si>
  <si>
    <t>Wo könnte das Objekt sonst sein, wenn die Abweichung beobachtet wird, ist es jedoch nicht?</t>
  </si>
  <si>
    <t>verifiziert / 
in Umsetzung</t>
  </si>
  <si>
    <t>X</t>
  </si>
  <si>
    <t>Problem Statement</t>
  </si>
  <si>
    <t>Problemstellung</t>
  </si>
  <si>
    <t>Warum aufgetreten (A):</t>
  </si>
  <si>
    <t>Hilfe</t>
  </si>
  <si>
    <t>Help</t>
  </si>
  <si>
    <t>Auffälligkeiten</t>
  </si>
  <si>
    <t>Angefügte Dokumente:</t>
  </si>
  <si>
    <t>Abweichung ggü. Spezifikation / Merkmal</t>
  </si>
  <si>
    <t>Wo ist Prüfmerkmal abgedeckt?</t>
  </si>
  <si>
    <t>Prüfmerkmal</t>
  </si>
  <si>
    <t>Wie ist die Prüfung vorgegeben (Soll-Situation)?</t>
  </si>
  <si>
    <t>Wurde diese Prüfung nach Vorgabe durchgeführt?</t>
  </si>
  <si>
    <t>Prüfstände</t>
  </si>
  <si>
    <t>Prüfplan</t>
  </si>
  <si>
    <t>Zurück</t>
  </si>
  <si>
    <t>Back</t>
  </si>
  <si>
    <t>Revised by:</t>
  </si>
  <si>
    <t>O</t>
  </si>
  <si>
    <t>C &amp; E</t>
  </si>
  <si>
    <t xml:space="preserve">Es ist zu prüfen, ob das Fehlermerkmal durch eine Prüfung abgedeckt ist.
Falls "Ja": Weiterbearbeitung mit dem Einflussfaktorentest für Nichtentdecken
Falls "Nein": Weiterbearbeitung mit den 5 Warums  (Warum ist dieses Fehlermerkmal nicht durch eine Prüfung abgedeckt?)                    </t>
  </si>
  <si>
    <t>Deviation to Specification / Feature</t>
  </si>
  <si>
    <t>Umsetzungs-datum</t>
  </si>
  <si>
    <t>Read-Across</t>
  </si>
  <si>
    <t>Überprüfung ob Anwendung auf ähnliche Produkte/ Prozesse möglich (Read-Across)</t>
  </si>
  <si>
    <t>Check if applicable to similar products / processes (Read-Across)</t>
  </si>
  <si>
    <t>NA</t>
  </si>
  <si>
    <t>GREEN</t>
  </si>
  <si>
    <t>Original location</t>
  </si>
  <si>
    <t>Location with similar process / risk</t>
  </si>
  <si>
    <t>Not Applicable</t>
  </si>
  <si>
    <t>P</t>
  </si>
  <si>
    <t>Pass Through</t>
  </si>
  <si>
    <t>BLUE</t>
  </si>
  <si>
    <t>RED</t>
  </si>
  <si>
    <t>Not Completed</t>
  </si>
  <si>
    <t>Weitere</t>
  </si>
  <si>
    <t>Location</t>
  </si>
  <si>
    <t>Andere Werke</t>
  </si>
  <si>
    <t>Others</t>
  </si>
  <si>
    <t>Other plants</t>
  </si>
  <si>
    <t>Actions against reccurence</t>
  </si>
  <si>
    <t>Maßnahmen gegen Wiederauftreten</t>
  </si>
  <si>
    <t>Position mit ähnlichem Prozess / Risiko</t>
  </si>
  <si>
    <t>Ursprüngliche Position</t>
  </si>
  <si>
    <t>Position</t>
  </si>
  <si>
    <t>Nicht Anwendbar</t>
  </si>
  <si>
    <t>Nicht Abgeschlossen</t>
  </si>
  <si>
    <t>Durchlaufen</t>
  </si>
  <si>
    <t>Spezifikation / Merkmal korrekt</t>
  </si>
  <si>
    <t>Feature / specification correct</t>
  </si>
  <si>
    <t>- real place
- real parts
- real data
- compare to standards
- rapid response / deadlines
- logical thinking
- responsibilities / ownership</t>
  </si>
  <si>
    <t>Standard for problem solving at shopfloor …
- use printouts
- handwritten documentation</t>
  </si>
  <si>
    <t>Mentalität für erfolgreiche Problemlösung</t>
  </si>
  <si>
    <t>- echter Ort
- echte Teile
- echte Daten
- Vergleich mit Standards
- schnelle Reaktion / Deadlines
- Logisches Denken
- Verantwortlichkeiten / Eigentümer</t>
  </si>
  <si>
    <t>Verwendung verschiedener Methoden entsprechend der Komplexität des Problems</t>
  </si>
  <si>
    <t>Problem Solving Sheme (PSS)</t>
  </si>
  <si>
    <t>Problemlöseschablone (PLS)</t>
  </si>
  <si>
    <t>Standard um Probleme im Fertigungsbereich zu lösen
- Verwendung von Ausdrucken (DIN A0)
- handschriftliche Dokumentation</t>
  </si>
  <si>
    <t>Use this path to investigate why the problem was not detected</t>
  </si>
  <si>
    <t xml:space="preserve">Use this path to investigate what process/system is not robust </t>
  </si>
  <si>
    <t>Verwenden Sie diesen Pfad um den spezifischen Fehler verursacht durch den Fertigungsprozess zu untersuchen.</t>
  </si>
  <si>
    <t>Verwenden Sie diesen Pfad um zu untersuchen weshalb das Problem nicht entdeckt wurde.</t>
  </si>
  <si>
    <t>Verwenden Sie diesen Pfad um zu untersuchen welchen Prozess oder welches System nicht robust ist.</t>
  </si>
  <si>
    <t>Neue Projekte</t>
  </si>
  <si>
    <t>Produktionslinie(n) / Projekte</t>
  </si>
  <si>
    <t>New Projects</t>
  </si>
  <si>
    <t>Production lines / projects</t>
  </si>
  <si>
    <t>Problem- spezifikation</t>
  </si>
  <si>
    <t>Verifizierung der Einflussfaktoren</t>
  </si>
  <si>
    <t>Verifizierung Einflüsse</t>
  </si>
  <si>
    <t>Verify influences</t>
  </si>
  <si>
    <t>D5 / D6</t>
  </si>
  <si>
    <t xml:space="preserve">Systematic consideration regarding the 5Ms </t>
  </si>
  <si>
    <t>Systematische Betrachtung unter Berücksichtigung der 5Ms</t>
  </si>
  <si>
    <t>t</t>
  </si>
  <si>
    <t>It is to check whether the fault feature is covered by a test. 
If "Yes": Continue processing with the influencing factors test for non-detection. 
If "No": Continue processing with the 5 Whys (Why is this error feature not covered though a test?)</t>
  </si>
  <si>
    <t xml:space="preserve">What specific object(s) has a deviation? </t>
  </si>
  <si>
    <t>How could it have been noticed, but was not?</t>
  </si>
  <si>
    <t>Verification of the influencing factors</t>
  </si>
  <si>
    <t>Why occurred (O):</t>
  </si>
  <si>
    <t>Warum nicht entdeckt (N):</t>
  </si>
  <si>
    <t>Why not detected (N):</t>
  </si>
  <si>
    <t>Corrective actions implemented</t>
  </si>
  <si>
    <t>Containments implemented</t>
  </si>
  <si>
    <t>Logistik - Teile aus Seefracht</t>
  </si>
  <si>
    <t>Logistik - Teile aus Luftfracht</t>
  </si>
  <si>
    <t>Mother Nature</t>
  </si>
  <si>
    <t>Wann in der Prozesshistorie wurde das Problem erstmals festgestellt?</t>
  </si>
  <si>
    <t>Wann sonst in der Prozesshistorie hätte das Problem erstmals festgestellt werden können, wurde es aber nicht?</t>
  </si>
  <si>
    <t>When else, in the object's history, could the deviation have been observed first, but was not?</t>
  </si>
  <si>
    <t>Summary from Is/IsNot:</t>
  </si>
  <si>
    <t>Zusammenfassung Ist/IstNicht:</t>
  </si>
  <si>
    <t>Grundursache Auftreten</t>
  </si>
  <si>
    <t>Grundursache Nichtentdecken</t>
  </si>
  <si>
    <t>Root Cause for Occurrence</t>
  </si>
  <si>
    <t>Root Cause for Non-Detection</t>
  </si>
  <si>
    <t>IFT / Verify</t>
  </si>
  <si>
    <t>N.i.O. - Teil</t>
  </si>
  <si>
    <t>Noticeable observations</t>
  </si>
  <si>
    <t>Extent</t>
  </si>
  <si>
    <t>Umsetzung verifiziert</t>
  </si>
  <si>
    <t>Completion verified</t>
  </si>
  <si>
    <t>Abgeschlossen / Beteiligte informiert</t>
  </si>
  <si>
    <t>Completed &amp; involved parties informed</t>
  </si>
  <si>
    <t>description</t>
  </si>
  <si>
    <t>evaluation
(red,amber,green)</t>
  </si>
  <si>
    <t>result</t>
  </si>
  <si>
    <t>comments</t>
  </si>
  <si>
    <t>Description of what is good and what is bad in "What is wrong with what?"-form is done.</t>
  </si>
  <si>
    <t>Cross-functional team defined and functions available?</t>
  </si>
  <si>
    <t>Basic data and contact information available?</t>
  </si>
  <si>
    <t>Is/IsNot is used and fully complete (also colums distinctions and changes considered)?
All missing information has been answered and properly documented (see action plan)?</t>
  </si>
  <si>
    <t>The Is/IsNot adresses only one problem?</t>
  </si>
  <si>
    <t>Corrective actions have been defined on each root cause from D4 (occurence, non-decection and systemic)</t>
  </si>
  <si>
    <t>Evidence that the action(s) eliminate the root causes / Verification that corrective actions enable to "turn the problem on and off".</t>
  </si>
  <si>
    <t>Read-Across on corrective actions (occurence and non-detection) is done.</t>
  </si>
  <si>
    <t>D7 - Lessons Learned</t>
  </si>
  <si>
    <t>Direct product/process related documents have been communicated and implemented (like P-FMEA, work instructions, maintenance schedules, PLP, drawings…)</t>
  </si>
  <si>
    <t>Read-Across on systemic corrective actions is done.</t>
  </si>
  <si>
    <t>D8 - Completion</t>
  </si>
  <si>
    <t>Have the containments been removed after implementation and succesful validation of the corrective actions?</t>
  </si>
  <si>
    <t>Available points</t>
  </si>
  <si>
    <t>N/A</t>
  </si>
  <si>
    <t>ä</t>
  </si>
  <si>
    <t>Tools / Hinweise</t>
  </si>
  <si>
    <t>Tools / Hints</t>
  </si>
  <si>
    <t>Kopfdaten / Problemlösungsteam</t>
  </si>
  <si>
    <t>Header / Problem solving team</t>
  </si>
  <si>
    <t>Brose Werk (Kunde)</t>
  </si>
  <si>
    <t>Brose plant (Customer)</t>
  </si>
  <si>
    <t>End-customer (OEM/Tier1)</t>
  </si>
  <si>
    <t>Endkunde (OEM/Tier1)</t>
  </si>
  <si>
    <t>Ansprechpartner (Brose)</t>
  </si>
  <si>
    <t>Claim reference number / inspection report number (Brose)</t>
  </si>
  <si>
    <t>Kundenreferenznummer / Prüfberichtsnummer (Brose)</t>
  </si>
  <si>
    <t>bei Brose</t>
  </si>
  <si>
    <t>bei OEM/Tier1</t>
  </si>
  <si>
    <t>Wenn ja: weitere Aktivitäten in Rücksprache mit Brose definieren (z.B. zusätzliche 100%-Prüfung; bei zweitem Wiederholfehler zusätzlich 100%-Prüfung bei Brose durch Drittinstanz)</t>
  </si>
  <si>
    <t>Claim date</t>
  </si>
  <si>
    <t>Reklamierte Menge</t>
  </si>
  <si>
    <t>Rejected quantity</t>
  </si>
  <si>
    <t>Ansprechpartner (Lieferant)</t>
  </si>
  <si>
    <t>Contact person (Supplier)</t>
  </si>
  <si>
    <t>Kontaktdaten Ansprechpartner (Brose) [Telefon / E-Mail]</t>
  </si>
  <si>
    <t>Failure location 
[please tick a box]</t>
  </si>
  <si>
    <t>Repeat failure 
[please tick a box]</t>
  </si>
  <si>
    <t>Wiederholfehler 
[Bitte ankreuzen]</t>
  </si>
  <si>
    <t>Ausfallort 
[Bitte ankreuzen]</t>
  </si>
  <si>
    <t>Kontaktdaten Ansprechpartner (Lieferant) [Telefon / E-Mail]</t>
  </si>
  <si>
    <t>Brose Teilenummer 
[Format XXXXXX-XXX]</t>
  </si>
  <si>
    <t>Brose part number
[format XXXXXX-XXX]</t>
  </si>
  <si>
    <t>Supplier number
[Brose SAP Supplier number]</t>
  </si>
  <si>
    <t>Lieferantennummer
[Brose SAP Lieferantennummer]</t>
  </si>
  <si>
    <t>Lieferant
[vollständiger Name und Anschrift]</t>
  </si>
  <si>
    <t>Supplier 
[complete name and address]</t>
  </si>
  <si>
    <t>Problemlösungsteam</t>
  </si>
  <si>
    <t>Problem solving team</t>
  </si>
  <si>
    <t>weitere 
Teammitglieder:</t>
  </si>
  <si>
    <t>Teilenummer(n) Lieferant</t>
  </si>
  <si>
    <t>Anzahl fehlerhafter Teile</t>
  </si>
  <si>
    <t>Letzte Editierung [Datum der letzten Updates des 8D-Reports]</t>
  </si>
  <si>
    <t>Graphical representation of the problem [Please insert pictures, drawings or sketches]</t>
  </si>
  <si>
    <t>Grafische Darstellung des Problems [Bitte Bilder, Zeichnungen oder Skizzen hinzufügen]</t>
  </si>
  <si>
    <t>Was ist das PROBLEM? Nutze die W-Fragen oder IST/IST-NICHT, um das Problem in seinem Umfang und Auswirkung zu verstehen.</t>
  </si>
  <si>
    <t>What is the PROBLEM? Use the W-questions or IS / IS NOT, to understand the problem in its scope and impact.</t>
  </si>
  <si>
    <t>Which other Brose plants / parts are affected?</t>
  </si>
  <si>
    <t>Welche anderen Brose Werke / Teile sind betroffen?</t>
  </si>
  <si>
    <t>Wurde das reklamierte Teil nachgearbeitet?</t>
  </si>
  <si>
    <t>Was the rejected part reworked?</t>
  </si>
  <si>
    <t>Wann wurde(n) das/die Teil(e) produziert?</t>
  </si>
  <si>
    <t>When was/were the part(s) produced?</t>
  </si>
  <si>
    <t>A - Fehler = Sicherheitsrelevant
B - Fehler = erhebliche Produkt/Fertigungsprobleme
C - Fehler=  mittlere Störung</t>
  </si>
  <si>
    <t>A-failure = safety relevant
B-failure = siginificant product/production effect
C-failure = middle incident</t>
  </si>
  <si>
    <t>Suspect quantity Brose [pce.]</t>
  </si>
  <si>
    <t>Suspect quantity transport [pce.]</t>
  </si>
  <si>
    <t>Suspect quantity supplier [pce.]</t>
  </si>
  <si>
    <t>Suspect quantity OEM [pce.]</t>
  </si>
  <si>
    <t>Verdächtige Menge Brose [Stk.]</t>
  </si>
  <si>
    <t>Verdächtige Menge Transport [Stk.]</t>
  </si>
  <si>
    <t>Verdächtige Menge Lieferant [Stk.]</t>
  </si>
  <si>
    <t>Verdächtige Menge OEM [Stk.]</t>
  </si>
  <si>
    <t>n.i.O.-Menge Brose [Stk.]</t>
  </si>
  <si>
    <t>n.i.O.-Menge  Transport [Stk.]</t>
  </si>
  <si>
    <t>n.i.O.-Menge  Lieferant [Stk.]</t>
  </si>
  <si>
    <t>n.i.O.-Menge  OEM [Stk.]</t>
  </si>
  <si>
    <t>Ist, das Teil sicherheitskritisch? 
[Fehlereinstufung]</t>
  </si>
  <si>
    <t>Is the part safety critical?
[failure clustering]</t>
  </si>
  <si>
    <t>Planned date</t>
  </si>
  <si>
    <t>Realization date</t>
  </si>
  <si>
    <t>Kennzeichnung i.O.-Lieferung / Clean-Point (Einzelteil, Baugruppe, Gebinde…)</t>
  </si>
  <si>
    <t>Identification o.k. delivery (single part, assembly, handling unit, ...)</t>
  </si>
  <si>
    <t>Kennzeichnung</t>
  </si>
  <si>
    <t>Identification</t>
  </si>
  <si>
    <t>Anlieferdatum</t>
  </si>
  <si>
    <t>Date of delivery</t>
  </si>
  <si>
    <t>Lieferschein-Nr.</t>
  </si>
  <si>
    <t>Delivery note no.</t>
  </si>
  <si>
    <t>Bemerkung(en)</t>
  </si>
  <si>
    <t>Maßnahmen gegen Fehlerauftreten bzw. Fehlerursache (Produkt / Prozess, technische Lösungen,…)</t>
  </si>
  <si>
    <t>Actions against failure occurrence or failure cause respectively (product / process, technical solutions,…)</t>
  </si>
  <si>
    <t>Maßnahmen gegen Nichtentdecken (manuelle / automatische Kontrollen,…)</t>
  </si>
  <si>
    <t>Actions against non detection (manual / automatic controls,…)</t>
  </si>
  <si>
    <t>Lessons Learned / Read-Across</t>
  </si>
  <si>
    <t>PMP Start</t>
  </si>
  <si>
    <t>Aktualisierung / Anpassung der projekt-spezifischen Dokumentation 
[FMEA, Zeichnungen, Arbeits- und Wartungs-Anweisungen,…]</t>
  </si>
  <si>
    <t>Update / Rework of project-specific documentation 
[FMEA, drawings, work- and maintenance instructions,…]</t>
  </si>
  <si>
    <t>Completion status</t>
  </si>
  <si>
    <t>Abschluss Status</t>
  </si>
  <si>
    <t>Unterschrift:</t>
  </si>
  <si>
    <t>in Bearbeitung</t>
  </si>
  <si>
    <t>für Abschluss vorgeschlagen</t>
  </si>
  <si>
    <t>abgeschlossen</t>
  </si>
  <si>
    <t>Signature:</t>
  </si>
  <si>
    <t>Acceptance not yet clarified</t>
  </si>
  <si>
    <t>NO</t>
  </si>
  <si>
    <t>YES</t>
  </si>
  <si>
    <t>JA</t>
  </si>
  <si>
    <t>NEIN</t>
  </si>
  <si>
    <t>Akzeptanz noch nicht geklärt</t>
  </si>
  <si>
    <t>D1 / D8</t>
  </si>
  <si>
    <t>Ist/Ist Nicht</t>
  </si>
  <si>
    <t>Is/Is Not</t>
  </si>
  <si>
    <t>Bewertung</t>
  </si>
  <si>
    <t>Status 8D Lieferant</t>
  </si>
  <si>
    <t>Status 8D supplier</t>
  </si>
  <si>
    <t>Status 8D Brose</t>
  </si>
  <si>
    <t>8D-Status Brose</t>
  </si>
  <si>
    <t>Sofortmaßnahmen eingeführt</t>
  </si>
  <si>
    <t>Abstellmaßnahmen eingeführt</t>
  </si>
  <si>
    <t>C&amp;E</t>
  </si>
  <si>
    <t>Unbekannt</t>
  </si>
  <si>
    <t>Verify</t>
  </si>
  <si>
    <t>5Why</t>
  </si>
  <si>
    <t>3XXX</t>
  </si>
  <si>
    <t>n.a.</t>
  </si>
  <si>
    <t>Unter-
Lieferant(en)</t>
  </si>
  <si>
    <t>Sub-supplier(s)</t>
  </si>
  <si>
    <t>Sofortmaßnahme(n) Lieferant (Produktion, Lager, Ersatzteillager, Transport…)</t>
  </si>
  <si>
    <t>Containment action(s) supplier (production, stock, spare parts warehouse, transport, ...)</t>
  </si>
  <si>
    <t>Sofortmaßnahme(n) Brose/OEM/Tier1 (Produktion, Lager, Ersatzteillager, Transport…)</t>
  </si>
  <si>
    <t>Containment action(s) Brose/OEM/Tier (production, stock, spare parts warehouse, transport, ...)</t>
  </si>
  <si>
    <t>11XXX</t>
  </si>
  <si>
    <t>Ist/Ist Nicht (WERKZEUG)</t>
  </si>
  <si>
    <t>Endkunde - reklamierendes Werk</t>
  </si>
  <si>
    <t>Endkunde - andere Werke</t>
  </si>
  <si>
    <t>Endkunde - Sonstige</t>
  </si>
  <si>
    <t>Brose - reklamierendes Werk</t>
  </si>
  <si>
    <t>Brose - andere Werke</t>
  </si>
  <si>
    <t>Brose - Sonstige</t>
  </si>
  <si>
    <t>Logistik - externe Dienstleister</t>
  </si>
  <si>
    <t>Logistik - Sonstige</t>
  </si>
  <si>
    <t>Brose - claiming plant</t>
  </si>
  <si>
    <t>Brose - other plant(s)</t>
  </si>
  <si>
    <t>Lieferant - Produktion</t>
  </si>
  <si>
    <t>Lieferant - Lagerung</t>
  </si>
  <si>
    <t>Lieferant - Ersatzteillager</t>
  </si>
  <si>
    <t>Supplier - production</t>
  </si>
  <si>
    <t>Supplier - storage</t>
  </si>
  <si>
    <t>Supplier - spare parts</t>
  </si>
  <si>
    <t>Logistics - parts on seafreight</t>
  </si>
  <si>
    <t>Logistics - parts on airfreight</t>
  </si>
  <si>
    <t>Logistics - others</t>
  </si>
  <si>
    <t>Brose - others</t>
  </si>
  <si>
    <t>Logistics - external service provider</t>
  </si>
  <si>
    <t>Final results:</t>
  </si>
  <si>
    <t>team leader identified?</t>
  </si>
  <si>
    <t>Graphical representation of problem available (if applicable)? Pictures are showing the difference?</t>
  </si>
  <si>
    <t>The 'W-questions' have been used to describe the problem.</t>
  </si>
  <si>
    <t>Containment actions are defined, verified and validated. Brose / endcustomer is protected.</t>
  </si>
  <si>
    <t>Suspect quantities and n.o.k.-quantities are available?</t>
  </si>
  <si>
    <t>Corrective actions have been defined, verified and implemented  within expected time (Brose)</t>
  </si>
  <si>
    <t>Step D1 is used to describe the contact persons, the team as well as general information around the problem (e.g. material numbers, claim date etc.). Most of the general data will be provided by Brose.</t>
  </si>
  <si>
    <t>Please enter here the SAP notification number stated in the claim announcement from Brose.</t>
  </si>
  <si>
    <t>Die Referenznummer wird von Brose mitgeteilt - bitte achten Sie darauf, diese Nummer in jeder Korrespondenz mit Brose anzugeben.</t>
  </si>
  <si>
    <t>Bitte geben Sie hier die SAP Meldungsnummer aus dem Reklamationsanschreiben von Brose ein.</t>
  </si>
  <si>
    <t>Is/Is Not (TOOL)</t>
  </si>
  <si>
    <t>W-Fragen</t>
  </si>
  <si>
    <t>W-questions</t>
  </si>
  <si>
    <t>NOK - quantity Brose [pce.]</t>
  </si>
  <si>
    <t>NOK - quantity transport [pce.]</t>
  </si>
  <si>
    <t>NOK - quantity supplier [pce.]</t>
  </si>
  <si>
    <t>NOK - quantity OEM [pce.]</t>
  </si>
  <si>
    <t>NOK - part</t>
  </si>
  <si>
    <t>OK - part</t>
  </si>
  <si>
    <t>Verdächtige Menge und n.i.O.-Menge</t>
  </si>
  <si>
    <t>Suspect quantities and NOK-quantities</t>
  </si>
  <si>
    <t xml:space="preserve"> Fehler-Entwicklung (WERKZEUG)</t>
  </si>
  <si>
    <t>Failure development (TOOL)</t>
  </si>
  <si>
    <t>Read-Across (WERKZEUG)</t>
  </si>
  <si>
    <t>Read-Across (TOOL)</t>
  </si>
  <si>
    <t>Sortierergebnisse (WERKZEUG)</t>
  </si>
  <si>
    <t>Ishikawa-Diagramm (WERKZEUG)</t>
  </si>
  <si>
    <t>Ursache &amp; Wirkungsmatrix (WERKZEUG)</t>
  </si>
  <si>
    <t>Ishikawa-Diagram (TOOL)</t>
  </si>
  <si>
    <t>Cause &amp; Effect Matrix (TOOL)</t>
  </si>
  <si>
    <t>Verify influences (TOOL)</t>
  </si>
  <si>
    <t>Sorting results (TOOL)</t>
  </si>
  <si>
    <t>Hier werden detailiertere Informationen zum Problem geliefert - allerdings nicht systematisch hergeleitet wie beim Ist/Ist Nicht. Die W-Fragen dienen also vielmehr als eine kurze Übersicht innerhalb des 8D-Reports.</t>
  </si>
  <si>
    <t>These questions are used to deliver more detailed information regarding the problem, but the information is not gathered systematically compared to the Is/IsNot. The W-questions are thought to deliver a short but detailed overview of the problem within the 8D-report.</t>
  </si>
  <si>
    <t>Die verdächtige Menge beschreibt die Anzahl von Teilen, die noch untersucht werden muss, d.h. es ist noch nicht klar, ob diese Menge i.O. oder n.i.O. ist.
Die n.i.O.-Menge ist die Anzahl tatsächlich gefundener, also bestätigter, defekter Teile.
Es werden verschiedene Lagerorte bei der Betrachtung berücksichtigt.</t>
  </si>
  <si>
    <t>The suspect quantities decribe the amount of parts that still need to be analysed, which means that it is not yet known if those parts are OK or NOK.
The NOK-quantity is the amount of found and verified defective parts.
Different storage locations are considered here.</t>
  </si>
  <si>
    <t>Im Schritt D3 werden Notfall- und Sofortmaßnahmen bei Brose, OEM, beim Lieferanten usw. dokumentiert, die verhindern sollen, dass n.i.O.-Teile den Kunden (Brose / OEM) erreichen z.B. Ersatzlieferungen, Sortierungen, freigegebene Nacharbeiten etc.
Sobald die Belieferung mit i.O.-Teilen gewährleistet werden kann, ist der CleanPoint gegenüber Brose mitzuteilen, d.h. wann trifft die erste i.O.-Lieferung bei Brose ein, wie ist diese gekennzeichnet etc.
Ein 3D-Report, der alle relevanten Informationen von D1 bis D3 enthält, ist innerhalb 24h nach Eingang der Reklamation an Brose zu senden.</t>
  </si>
  <si>
    <t>Die Ursache und Wirkungsmatrix dient der genauen Bewertung vorliegender Fehlerursachen. In ihr werden die Dimensionen der IST-Kriterien aus der Ist-/ Ist Nicht Übersicht sowie die möglichen Ursachen aus dem Ishikawa-Diagramm gegenüber gestellt. 
Die gelben Quadrate stellen die Schnittpunkte der jeweiligen Kriterien dar. Tragen Sie entsprechende Werte ein und summieren Sie diese im Ergebnisfeld, um die wahrscheinlichste Fehlerursache des Problems zu bestimmen! Dabei können folgende Bewertungsschritte verwendet werden:
1 = kein Zusammenhang; 4 = kaum Zusammenhang; 7 = merkbarer Zusammenhang; 10 = stark ausgeprägter Zusammenhang</t>
  </si>
  <si>
    <t>Validierung (WERKZEUG)</t>
  </si>
  <si>
    <t>Bewertung (WERKZEUG)</t>
  </si>
  <si>
    <t>Schadenstisch (WERKZEUG)</t>
  </si>
  <si>
    <t>Interne Maßnahmenverfolgungsliste (WERKZEUG)</t>
  </si>
  <si>
    <t>Der Link führt zum Reiter "Statistik", auf das gleiche Blatt wie bei der Fehler-Entwicklung (siehe oben) - hierbei ist vor allem die untere Hälfte gemeint. Dort können Sortierergebnisse aus verschiedenen Lagerorten zusammengetragen und visualisiert werden.</t>
  </si>
  <si>
    <t>Validation (TOOL)</t>
  </si>
  <si>
    <t>Im Schritt D5/D6 werden langfristige Abstellmaßnahmen geplant, deren Umsetzung dokumentiert und die Effektivität verifiziert.
Zunächst werden wirksame Abstellmaßnahmen für die gefundenen Ursachen definiert. Diese Maßnahmen sollten immer mit Verantwortlichkeiten, genauen Zeitvorgaben und Status belegt werden. Im Allgemeinen wird dabei zwischen den Maßnahmen gegen Fehlerauftreten und gegen Nichtentdecken unterschieden. Anschließend muss die Maßnahmenwirksamkeit verifiziert und validiert werden, sodass sichergestellt werden kann, dass der Fehler nicht mehr auftritt.</t>
  </si>
  <si>
    <t>Im Schritt D1 werden die gegenseitigen Ansprechpartner, das Team sowie die grundlegenden Informationen zum Problem aufgenommen (z.B. Materialnummern, Reklamationsdatum, etc.). Einige Daten werden hierfür von Brose zur Verfügung gestellt.</t>
  </si>
  <si>
    <t>Closure</t>
  </si>
  <si>
    <t>Der 8D-Report als solches dient als Reportfunktion in der Automobilindustrie. Mit ihm kann zwischen Kunden und Lieferanten geklärt werden, welches Problem mit welcher Auswirkung vorliegt, wer die Ansprechpartner sind bzw. wer an der Problemlösung mitgewirkt hat sowie welche Maßnahmen ergriffen wurden. Er dient gleichzeitig als Leitfaden zur systematischen Problemlösung und unterstützt die Bearbeitung von Problemen durch entsprechende Werkzeuge.
Im Folgenden werden die einzelnen 8D-Schritte, bestimmte Begriffe sowie die jeweils notwendigen Werkzeuge erklärt. Bitte beachten Sie, dass von Brose vor allem darauf geachtet wird, dass die Probleme systematisch bearbeitet werden - der Einsatz bestimmter Werkzeuge ist demnach obligatorisch (entsprechend gekennzeichnet).</t>
  </si>
  <si>
    <t xml:space="preserve">Nun kann die Read-Across-Analyse aus den vorherigen Schritten (siehe oben) finalisiert werden. Ziel ist es, dass Lessons Learned geteilt werden und somit das Wiederauftreten dieses Problems oder ähnlicher Probleme verhindert werden kann. </t>
  </si>
  <si>
    <t>Evaluation (TOOL)</t>
  </si>
  <si>
    <t>Das Bewertungsschema ist ein Werkzeug, um einen 8D-Report möglichst objektiv zu bewerten. Die zu bewertenden Kriterinen sind, wie der 8D-Bericht selbst, in 8 Schritte eingeteilt. Mit der Bewertung mittels der Ampelfarben "rot = nicht akzeptabel", "gelb = akzeptabel" und "grün = OK" werden unterschiedlich viele Punkte vergeben. Das Gesamtergebnis wird am Ende mit einer Prozentzahl angegeben. Durch die Bewertung sollen die erforderlichen 8D-Inhalte überprüft und eine hohe Qualität der Reporte sichergestellt werden.</t>
  </si>
  <si>
    <t>To avoid reoccurring failures, a consequent visualization of failures is important, both in the team and in the production line. Therefore, the "table of defect parts" is used to inform and train employees. By presenting defective parts and demonstrating containment actions, employees are integrated in the problem solving process.</t>
  </si>
  <si>
    <t>In the action plan, all actions can be documented. This list allows a clear overview of responsibilities, due dates and documents the status of every action. The implementation of actions can hereby be guarenteed.</t>
  </si>
  <si>
    <t>Internal action plan (TOOL)</t>
  </si>
  <si>
    <t>Der Schritt D0 dient der groben Beschreibung des Problems. Im Reklamationsfall erhalten Sie diese Information von Brose. 
Eine Problemstellung beschreibt immer kurz und knapp "WAS ist falsch mit WAS" in der Form Objekt und Abweichung. Zur Veranschaulichung wird der Soll-Zustand dem Ist-Zustand gegenübergestellt (dies ist in den meisten Fällen eindeutig, bei bestimmten Spezifikationen jedoch manchmal nicht direkt ersichtlich).
Beispiele:
- z.B. Stromaufnahme zu hoch (1A) versus Stromaufnahme bei 0,1A
- Schaftlänge zu lang (33mm) versus Schaftlänge 30±0,2mm</t>
  </si>
  <si>
    <t>Im Schritt D2 wird im Gegensatz zu D0 das Problem in seiner Auswirkung, den Symptomen etc. aus Beobachtungen und Datenanalyse so detailgenau wie möglich beschrieben. Dabei gilt, dass immer nur vorliegende Zahlen, Daten und Fakten verwendet werden dürfen - Vermutungen können zu falschen Schlüssen führen und sind hier unbedingt zu vermeiden!
Zur Datensammlung können Bilder, Videos, Analysen sowie auch bereits vorhandene Daten aus den Sofortmaßnahmen (siehe D3) verwendet werden. Dabei gilt, dass der Schritt D2 nicht sequentiell nach dem D1 und vor dem D3 erfolgt, sondern dass diese Informationen über den gesamten Problemlösungsprozess ständig aktualisiert und ergänzt werden sollen.</t>
  </si>
  <si>
    <t>Das Ist/Ist Nicht sammelt alle Informationen zur Beschreibung des Problems mithilfe von 12 Fragen. Die Besonderheit ist, dass nicht nur gefragt wird, was genau beobachtet wurde, sondern was THEORETISCH hätte beobachtet werden können - aber eben nicht auftrat. Achten Sie hierbei ganz besonders auf die Arbeit mit Fakten - wenn Sie sich nicht sicher sind, tragen Sie solche Informationen immer als "fehlende Information" ein und versuchen Sie diese Fragen im Laufe der Problemlösung zu beantworten! Versuchen Sie nach Möglichkeit jedes Feld auszufüllen!
Die beiden Spalten "Unterschiede" und "Veränderungen" werden dazu genutzt, ggfs. schon erste Ideen für mögliche Ursachen zu sammeln. So kann in der Spalte "Unterschiede" eine Begründung geliefert werden, weshalb die eine Situation beobachtet wurde und eine andere nicht - z.B. Temperatureinfluss, wenn ein Fehler geographisch nur in warmen und nicht in kalten Regionen beobachtet wurde. Die Spalte "Veränderungen" beschreibt, dass z.B. genau zum Produktionszeitraum eine Wartung der Produktionsanlage durchgeführt wurde und diese ggfs. Einfluss auf das Problem hat.</t>
  </si>
  <si>
    <t>Der Link führt zum Reiter "Statistik" - hier können die Informationen gesammelt werden, wie viele n.i.O.-Teile in welchem Zeitraum und an welchem Ort gefunden wurden. Das Diagramm dient auch dem Wirksamkeitsnachweis im späteren Schritt D6 (Verifizierung / Validierung).</t>
  </si>
  <si>
    <t>With the help of the Read-Across it is possible to check if the chosen containments can be applied to other projects, processes, plants or suppliers for the purpose of lessons learned. Please fill the rows with your chosen containments and the columns with projects, processes etc. which could be affected as well. Then check for each line and column of the matrix if it is applicable and feasible.</t>
  </si>
  <si>
    <t>Im Schritt D4 werden alle Maßnahmen dokumentiert, die zum Finden der technischen Ursachen sowie der Grundursachen notwendig sind. Wichtig ist, dass die Ursachen durch Tests und Vergleiche verifiziert werden. Nur wenn dieser Nachweis erbracht ist, können die später definierten Abstellmaßnahmen effektiv sein.
Um nachhaltig sicherzustellen, dass ähnlich gelagerte Fehler nicht wieder auftreten, muss im Zuge der Ursachenanalyse über die technische Ursache hinaus auch die organisatorische Ebene, also die systemische Ursache, betrachtet werden. Deshalb ist eine Orientierung an den drei Bereichen „Warum ist der Fehler aufgetreten?“, „Warum wurde der Fehler nicht entdeckt?“ und „Warum wurde der Fehler nicht verhindert?“ sinnvoll.</t>
  </si>
  <si>
    <t>Tragen Sie eine hinreichende Beschreibung des vorliegenden Problems in das Feld "Problem / Defekt" ein. Das Ishikawa-Diagramm hilft Ihnen bei der Ermittlung der Fehlerursachen. Die Fehlerquellen werden nach Art und Entdeckung unterschieden und teilen sich jeweils auf die Faktoren Mensch, Maschine, Material, Methode und Mitwelt auf. Erweitern Sie diese Unterteilung durch genauere Ursachen innerhalb eines Oberpunktes. Nutzen Sie hierzu die bereitgestellten Felder und Pfeile in der unteren Box durch Drag &amp; Drop und geben Sie mögliche Fehlerquellen in die gelben Felder ein. Bewerten Sie anschließend die vorliegenden Ursachen mit Hilfe der bereitgestellten Bewertungsbausteine!</t>
  </si>
  <si>
    <t>Verifizierung der Einflussfaktoren (WERKZEUG)</t>
  </si>
  <si>
    <t>Die aus dem Ishikawa-Diagramm ermittelten Einflussgrößen müssen hinsichtlich ihrer Plausibilität geprüft werden. Hierzu wird die potentielle Ursache auf einem guten und einem schlechten Teil geprüft.
Beispiel: Sie haben einen Fensterheber mit Geräuschen. Als Einflussgröße aus dem Ishikawa wurde für die Kategorie Mensch "Fettung vorhanden" ausgewählt. Nun prüfen Sie, ob das Fett jeweils bei i.O. und n.i.O.-Teil vorhanden ist. Falls ja, kann dies als Ursache ausgeschlossen werden. Wenn das Ergebnis negativ ist (Fettung bei i.O.-Teil vorhanden, bei n.i.O.-Teil aber nicht), haben Sie eine plausible Ursache gefunden.</t>
  </si>
  <si>
    <t>5xWarum (WERKZEUG)</t>
  </si>
  <si>
    <t>5xWhy (TOOL)</t>
  </si>
  <si>
    <t>Das 5xWarum wird verwendet, um kausale Ursachen des Problems mit Hilfe einer Warum-Fragestellung zu ergründen. Beachten Sie die Unterteilung in "Auftreten", "Nicht-Entdecken" und "Systemisch". Systemisch bedeutet, zu untersuchen, welcher Prozess oder welches System nicht robust ist und damit dafür verantwortlich ist, dass der Fehler überhaupt erst gemacht werden konnte.
Nicht immer reichen fünf Fragen aus, um die Kernursache zu finden. Prüfen Sie dies und setzen Sie den Prozess gegebenenfalls fort.</t>
  </si>
  <si>
    <t>The 5xWhy is used to explore the root causes with why-questions. Note the subdivision into "occurence", "non-detection" and "systemic". Systemic means to investigate what process/system was not robust and thus was allowing the failure to be made.
Five questions are not always enough to find the root cause. Check this and continue the process if necessary.</t>
  </si>
  <si>
    <t>Der Link führt zum Reiter "Statistik" - auf das gleiche Blatt wie bei der Fehler-Entwicklung (siehe oben). In diesem Schritt soll das Diagramm dem Wirksamkeitsnachweis dienen. Es muss dargelegt werden, dass Maßnahmen getroffen sind, sodass der Fehler nicht mehr auftritt. 
(Hinweis: Verifizierung = "Es funktioniert akutell" vs. Validierung = "Es funktioniert immer")</t>
  </si>
  <si>
    <t>Mithilfe des Read-Across soll geprüft werden, ob die getroffenen Abstellmaßnahmen als Lessons Learned auch auf andere Projekte, Prozesse oder Werke sowie auch auf andere Lieferanten angewendet werden können. Tragen Sie diesmal alle getroffenen Abstellmaßnahmen in die Zeilen sowie alle Projekte, Prozesse usw., die ebenfalls betroffen sein könnten, in die Spalten ein. Danach gehen Sie die Matrix durch und prüfen für jeden Punkt, ob dieser anwendbar und schließlich auch umsetzbar ist.</t>
  </si>
  <si>
    <t>Mithilfe des Read-Across soll geprüft werden, ob die getroffenen Sofortmaßnahmen als Lessons Learned auch auf andere Projekte, Prozesse oder Werke sowie auch auf andere Lieferanten angewendet werden können. Tragen Sie hierzu alle getroffenen Maßnahmen in die Zeilen sowie alle Projekte, Prozesse usw., die ebenfalls betroffen sein könnten, in die Spalten ein. Danach gehen Sie die Matrix durch und prüfen für jeden Punkt, ob dieser anwendbar und schließlich auch umsetzbar ist.</t>
  </si>
  <si>
    <t>Um das Wiederauftreten von Fehlern zu vermeiden, ist eine konsequente Visualisierung der Fehler - sowohl im Team als auch in der Produktion - besonders wichtig. Deshalb kann der sog. "Schadenstisch" genutzt werden, um Mitarbeiter zu informieren und zu schulen. Wenn fehlerhafte Teile präsentiert und Sofortmaßnahmen aufgezeigt werden, werden die Mitarbeiter besser in den Problemlösungsprozess eingebunden.</t>
  </si>
  <si>
    <t xml:space="preserve">In der Maßnahmenverfolgungsliste können alle Maßnahmen dokumentiert werden. Diese Liste dient als Werkzeug zur übersichtlichen Darstellung von Verantwortlichkeiten, Zeitvorgaben sowie der Dokumentation des aktuellen Status einer jeden Maßnahme. Somit kann die Umsetzung der Maßnahmen gewährleistet werden. </t>
  </si>
  <si>
    <t>A number given to you by Brose - please refer to this number in any correspondence with Brose.</t>
  </si>
  <si>
    <t>With the help of the Read-Across it is possible to check if the chosen corrective actions can be applied to other projects, processes, plants or suppliers for the purpose of lessons learned. This time, please fill the rows with your chosen corrective actions and the columns with projects, processes etc. which could be affected as well. Then check for each line and column of the matrix if it is applicable and feasible.</t>
  </si>
  <si>
    <t>"Table of defect parts" - GER: "Schadenstisch" (TOOL)</t>
  </si>
  <si>
    <t>Im Schritt D7 soll das Wiederauftreten des Fehlers verhindert werden. Hierbei sollte über das unmittelbare Problem hinausgedacht werden. Wo könnte bspw. das gleiche Problem auftreten? Modifizieren Sie ggfs. die notwendigen Systeme, Praktiken und Prozeduren, um ein Wiederauftreten dieses Problems oder ähnlicher Probleme zu verhindern.
Im Allgemeinen spricht man auch von Maßnahmen gegen die systemischen Grundursachen.</t>
  </si>
  <si>
    <t>Im Schritt D8 wird die Problemlösung und somit auch der 8D-Report abgeschlossen. Bitte achten Sie darauf, dass das Thema sowohl bei Brose als auch bei Ihnen offiziell abgeschlossen ist. Es ist wichtig, dass das Problem und dessen Lösung dokumentiert und kommuniziert sind.</t>
  </si>
  <si>
    <t>Diese Felder werden nur von Brose gefüllt - hier erhalten Sie Rückmeldung von Brose ob der 8D akzeptiert wurde.</t>
  </si>
  <si>
    <t>These fields are filled by Brose only - here you will get the feedback from Brose if the 8D has been accepted.</t>
  </si>
  <si>
    <t>Bitte geben Sie hier den aktuellen Stand der Problemlösung ihrerseits an. Wenn Sie den 8D abschließen möchten, so schlagen sie den 8D für den Abschluss vor und geben in der letzten Spalte über das DropDown-Menü (beim Klick auf das Feld) den Akzeptanzstatus an.
Nach Review seitens Brose erhalten Sie die Rückinformation ob, Brose seinerseits mit dem Abschluss des 8Ds einverstanden ist.</t>
  </si>
  <si>
    <t>Vorlage zum Lieferanten-8D</t>
  </si>
  <si>
    <t>Template for supplier-8D</t>
  </si>
  <si>
    <t>Ziel der Vorlage zum Lieferanten-8D</t>
  </si>
  <si>
    <t>Target of the template for supplier-8D</t>
  </si>
  <si>
    <t>Eine Standardmethode um Reklamationen von Brose in einer strukturierten Art und Weise zu lösen und dadurch Wiederholfehler zu vermeiden.</t>
  </si>
  <si>
    <t>One standard method to solve complaints from Brose in a structured way and thus to avoid repeated issues</t>
  </si>
  <si>
    <t>- Probleme mit bekannter Ursache und Maßnahmen können mit bestehendem 
  Wissen gelöst werden (gilt nicht bei Wiederholfehlern).
- Probleme mit unbekannter Ursache und Maßnahmen benötigen strukturierte 
  Ansätze und Tools
Mindestanforderung ist der 8D-Report - die Verwendung von Is IsNot, Ishikawa und 5Why (grün hinterlegte Reiter) wird empfohlen.</t>
  </si>
  <si>
    <t>- problems with known cause and countermeasure can be solved by using 
  existing knowledge (does not apply for repeat failures)
- problems with unknown cause and countermeasure need a structured 
  approach and tools
The minium requirement is the 8D-report - the usage of Is IsNot, Ishikawa and 5Why (tabs highlighted in green) is recommended.</t>
  </si>
  <si>
    <t>Internal action plan status list</t>
  </si>
  <si>
    <t>Contact person (Brose)</t>
  </si>
  <si>
    <t>Contact information for contact person (Brose) [phone / E-Mail]</t>
  </si>
  <si>
    <t>At Brose</t>
  </si>
  <si>
    <t>At OEM/tier1</t>
  </si>
  <si>
    <t>If the answer is yes: further actions have to be defined in cooperation with Brose (e.g. additional 100%-control at the supplier or, for the second occurrence, an additional 100%-control at Brose by a third party)</t>
  </si>
  <si>
    <t>Contact information for contact person (supplier) [phone / E-Mail]</t>
  </si>
  <si>
    <t>Further 
team members:</t>
  </si>
  <si>
    <t>Supplier part number(s)</t>
  </si>
  <si>
    <t>Amount of defective parts</t>
  </si>
  <si>
    <t>Open</t>
  </si>
  <si>
    <t>Verified / 
in progress</t>
  </si>
  <si>
    <t>Realized</t>
  </si>
  <si>
    <t>Validated</t>
  </si>
  <si>
    <t>Identification of o.k. delivery (single part, assembly, handling unit, ...)</t>
  </si>
  <si>
    <t>If not, perform further analysis.</t>
  </si>
  <si>
    <t>In process</t>
  </si>
  <si>
    <t>Suggested for closure</t>
  </si>
  <si>
    <t>Closed</t>
  </si>
  <si>
    <t>(logically could be, but)</t>
  </si>
  <si>
    <t>When in the process history was the deviation first observed?</t>
  </si>
  <si>
    <t>Missing Information</t>
  </si>
  <si>
    <t>Observed on object</t>
  </si>
  <si>
    <t>Geographically</t>
  </si>
  <si>
    <t>First observed</t>
  </si>
  <si>
    <t>Elsewhere observed</t>
  </si>
  <si>
    <t>When was the deviation observed first? 
(date and time)</t>
  </si>
  <si>
    <t>How discovered</t>
  </si>
  <si>
    <t>How many affected</t>
  </si>
  <si>
    <t>Number of problems</t>
  </si>
  <si>
    <t>Tendency</t>
  </si>
  <si>
    <t>N.o.k.-parts</t>
  </si>
  <si>
    <t>Endcustomer - claiming plant</t>
  </si>
  <si>
    <t>Endcustomer - other plant(s)</t>
  </si>
  <si>
    <t>Endcustomer - others</t>
  </si>
  <si>
    <t>Influencing factors</t>
  </si>
  <si>
    <t>O.k.-part</t>
  </si>
  <si>
    <t>N.o.k.-part</t>
  </si>
  <si>
    <t>Has this test been performed according to specification?</t>
  </si>
  <si>
    <t>Use this path to investigate the specific nonconformance caused by the manufacturing process</t>
  </si>
  <si>
    <t>Unknown</t>
  </si>
  <si>
    <t>The 8D-report is used as a reporting document in the automotive industry. With this document, it can be clarified between the customer and supplier what problem is present with which effects, who the contact persons are (e.g. who has been involved in the problem-solving), and which measures were taken. It acts as a guideline for systematic problem solving and supports the problem solving process by providing the corresponding tools.
The following descriptions explain the 8D-steps, required technical terms, as well as the tools themselves. Please consider that Brose is especially focused on systematic problem solving - the use of some of the tools is therefore seen as mandatory (marked accordingly).</t>
  </si>
  <si>
    <t>Step D0 acts as a rough description of the problem. In case of an official claim, you will receive this information from Brose.
The problem description should always explain "WHAT is wrong with WHAT?" (in the form of object and deviation). For demonstration, the NOK-condition is opposed to the desired OK-condition (usually this is clear, but in some cases the required condition is not obvious).
Examples:
- current consumption too high (1A) versus desired current consumption of 0,1A 
- shaft length too long (33mm) versus shaft length 30±0,2mm</t>
  </si>
  <si>
    <t>In step D2, the problem is described according to its effect and symptoms as detailed as possible (compared to D0 where the problem was desribed in a rough manner only). It is only allowed to use data, facts and figures - assumptions can lead to wrong conclusions and should therefore be avoided strictly!
For collecting data, pictures, videos, and analysis data can be used as well as data from the containment actions if available (see step D3). Step D2 does not have to occur between D1 and D3 in a sequential manner, but rather this information should be gathered and updated throughout the entire problem solving process.</t>
  </si>
  <si>
    <t>The Is/Is Not is a collection of all information to describe the problem using 12 questions. The specialty is that it asks not only what has been observed, but also what THEORETICALLY could have been observed, but in fact was not. Be sure to use facts only - if you are not sure, add the information to the column "missing information" and try to find an answer to these questions while the problem solving process is ongoing. Try to fill in each row if possible!
The two columns "distinctions" and "changes" are used to generate first clues in regards to potential causes. The column "distinctions" is used to find suggestions why one state was observed, while the other wasn't - e.g. influence from temperatures could have influenced why a problem was geographically observed only in warmer regions, while not observed in colder regions. The column "changes" describes if e.g. a maintenance was done at the same period as the defective part was produced and thus could have caused the problem.</t>
  </si>
  <si>
    <t>The link leads to the tab "Statistic" - here it is collected all information how much NOK-parts are found where and when. The chart is also used to show evidence in later step D6 (verification and validation).</t>
  </si>
  <si>
    <t>In step D3, containment actions at Brose, the OEM or the supplier are documented which shall avoid NOK-parts being delivered to the customer (Brose / OEM) e.g. by using replacement deliveries, sorting activities or approved rework etc.
In the moment the delivery with OK-parts can be ensured, the clean point has to be communicated to Brose, which means when does the first OK-delivery arrive at Brose, how is it marked etc.
A 3D-report that contains all relevant information from step D1 to D3 has to be sent to Brose within 24 hours after a claim has been raised.</t>
  </si>
  <si>
    <t>The link, like the Failure-Development (see above), leads to the tab "Statistic"- here it pertains to the lower half of this sheet. There, it is possible to collect sorting results and to generate a graphical representation.</t>
  </si>
  <si>
    <t>In step D4, all measures are documented that are necessary to analyse the technical causes and root causes. It is important that all causes are verified by doing tests or comparisons. Corrective actions that will be defined later can only be effective if evidence is shown that the real causes are found.
To sustainably ensure that similar problems will not occur again, it is necessary to also consider the organizational backgrounds - the systemic causes. Therefore, an orientation at the three areas "Why is the defect made?", "Why was the defect shipped?" and "Why was the defect not avoided previously?"may be useful.</t>
  </si>
  <si>
    <t>Apply a sufficient description of the problem in the field "problem / defect" . The Ishikawa-diagram helps you to identify the causes of errors. The sources of errors are divided by type and detection? into the following factors: Man, Machine, Material, Method and Nature. Expand this subdivision with more detailed causes within a superior point. In order to do this, use the provided fields and arrows in the lower box by drag &amp; drop and fill in possible sources of errors in the yellow fields. Then, evaluate the noted causes by using the provided evaluation modules.</t>
  </si>
  <si>
    <t>The Cause and Effect Matrix helps to accurately assess the available failure sources. Therein, the dimensions of the IS-criteria from the Is-/Is Not-Summary are compared to the possible causes from the Ishikawa-diagram. The yellow squares represent the intersections of respective criteria. Enter appropriate values and add them together in the "Result"-field to determine the most probable fault cause of the problem. The following measurement steps can be used: 
1 = no relationship; 4 = barely connected; 7 = noticeably connected; 10 = very strong correlation</t>
  </si>
  <si>
    <t>The influences found in the Ishikawa-diagram need to be evaluated according to their plausibility. Therefore, the potential cause is proven by a comparison of a good versus a bad part. 
Example: You have found a noisy window regulator. One chosen influence from the Ishikawa is found in category "Man," which is "part lubricated". It is now checked on the OK and NOK-part if the lubricant is present or not. If so, the influence can be disregarded. If the response is negative (OK-part was lubricated, NOK-part wasn't), one plausible cause has been found.</t>
  </si>
  <si>
    <t xml:space="preserve">In step D5/D6, permanent corrective actions are planned, their implementation is documented and the efficiency is verified.
First, corrective actions are defined for the root causes found. These actions must always include responsibilities, due dates and a current status. In general, there are actions for eliminating the failure occurence and the non-detection. Then, the actions' effectiveness must be verified and validated so that it can be ensured that the failure will not reocurr. </t>
  </si>
  <si>
    <t>The link, like the Failure-Development (see above), leads to the tab "Statistic". In this step, the chart is used to show evidence. It must be shown that actions are implemented so that the failure will not reoccur.
(Note: verification = "It worked this time" vs. validation = "It works every time").</t>
  </si>
  <si>
    <t>In step D8, the problem solving process and, thus, the 8D-report is closed. Please make sure that the issue is officially closed in both the Brose and your system. It is important that the problem and its solution was documented and communicated.</t>
  </si>
  <si>
    <t>In step D7, the recurrence of the failure shall be prevented for the purpose of lessons learned. Therefore, think beyond the immediate problem. For instance, where could the same problem occur? Modify the necessary systems, practices, and procedures to prevent the recurrence of this and similar problems.
In general, measures against the systemic root causes are discussed.</t>
  </si>
  <si>
    <t>The Read-Across-Analysis of previous steps (see above) can now be finalized. The goal is to share lessons learned and, thus, prevent the recurrence of this or similar problems.</t>
  </si>
  <si>
    <t>Please enter here the current stauts of the problem solving. If you want to close the 8D, you need to set your intent to close the issue and set the acceptance-status in the last column by chosing an option from the drop-down menu (click on the field to open).
After review from Brose you will get a feedback if Brose accepts the closure of the 8D.</t>
  </si>
  <si>
    <t>The evaluation matrix is a tool to evaluate the 8D-report as objectively as possible. The evaluation criteria are categorized in 8 steps like the 8D-report itself. When evaluating by using the traffic light colours "red = not acceptable", "amber = acceptable" and "green = OK", a different number of points is awarded. The overall result will be expressed as a percentage. Using this evaluation, the necessary 8D-contents are reviewed and reports of high quality shall be ensured.</t>
  </si>
  <si>
    <t>Datum wann nächstes Update des 8D-Reports zur Verfügung gestellt wird</t>
  </si>
  <si>
    <t>Date when next update of 8D-report will be provided</t>
  </si>
  <si>
    <t>Last revision [date of the last 8D-report update]</t>
  </si>
  <si>
    <t>D0 - Problem Statement</t>
  </si>
  <si>
    <t xml:space="preserve">D1 - Header / Team building </t>
  </si>
  <si>
    <t>D2 - Problem description</t>
  </si>
  <si>
    <t>Ergebnis:</t>
  </si>
  <si>
    <t>Geprüft durch:</t>
  </si>
  <si>
    <t>Verfügbare Punkte</t>
  </si>
  <si>
    <t>Beschreibung</t>
  </si>
  <si>
    <t>Bewertung (rot, gelb, grün)</t>
  </si>
  <si>
    <t>Kommentare</t>
  </si>
  <si>
    <t>D0 - Problemstellung</t>
  </si>
  <si>
    <t>D1 - Kopfdaten / Problemlösungsteam</t>
  </si>
  <si>
    <t>D2 - Problembeschreibung</t>
  </si>
  <si>
    <t>D3 - Containment actions</t>
  </si>
  <si>
    <t>Beschreibung dessen was gut und was schlecht ist "Was ist falsch mit was?" wurde durchgeführt.</t>
  </si>
  <si>
    <t>Teamleiter definiert?</t>
  </si>
  <si>
    <t>Funktionsübergreifendes Team wurde definiert und die Funktionen der Teilnehmer sind verfügbar?</t>
  </si>
  <si>
    <t>Grunddaten und Kontaktdaten wurden gepflegt?</t>
  </si>
  <si>
    <t>Leiter des Problemlösungsteams:</t>
  </si>
  <si>
    <t>Problembeschreibung:</t>
  </si>
  <si>
    <t>Leader of the PS-team:</t>
  </si>
  <si>
    <t>Problem Description:</t>
  </si>
  <si>
    <t>Gibt es (sofern möglich) eine bildliche Darstellung des Problems? Erklären die Bilder die Abweichung?</t>
  </si>
  <si>
    <t>Die 'W-Fragen" wurden genutzt um das Problem zu beschreiben</t>
  </si>
  <si>
    <t>Das Ist/Ist Nicht wurde komplett genutzt (auch die Spalten Auffälligkeiten und Änderungen)?</t>
  </si>
  <si>
    <t>A summary of the Is-data is done out of the Is/IsNot to thoroughly describe the problem?</t>
  </si>
  <si>
    <t>Eine Zusammenfassung der Ist-Daten wurde aus dem Ist/IstNicht erstellt um das Problem so genau wie möglich zu beschreiben?</t>
  </si>
  <si>
    <t>Bezieht sich das Ist/IstNicht nur auf ein Problem?</t>
  </si>
  <si>
    <t>Verdächtige Mengen und n.i.O.-Mengen sind angegeben?</t>
  </si>
  <si>
    <t>D3 - Sofortmaßnahmen</t>
  </si>
  <si>
    <t>Sofortmaßnahmen wurden definiert, verifiziert und validiert. Brose / Endkunde sind geschützt?</t>
  </si>
  <si>
    <t>Sortierergebisse aus der Lieferkette zu allen Kundenstandorten sind verfügbar (Reiter 'Statistic')?</t>
  </si>
  <si>
    <t>Inspection results in the supply chain to all customer locations are available (tab 'Statistic')?</t>
  </si>
  <si>
    <t>Der 'Clean-Point' wurde festgelegt (Identifkation des guten Materials und wann die erste Anlieferung mit gutem Material verfügbar ist)?</t>
  </si>
  <si>
    <t>Determination of clean point (identification of good material and when the first delivery with good material will be available)?</t>
  </si>
  <si>
    <t>Read-Across der Sofortmaßnahmen wurde durchgeführt - Brose / Endkunden sind vor ähnlichen Problemen geschützt?</t>
  </si>
  <si>
    <t>Read-Across on containments is done - Brose / endcustomer is protected from similar problems?</t>
  </si>
  <si>
    <t>Containment has been verified and implemented within the (from Brose) expected time?</t>
  </si>
  <si>
    <t>D4 - Fehlerursache</t>
  </si>
  <si>
    <t>D4 - Failure cause</t>
  </si>
  <si>
    <t>Potentielle Ursachen für Auftreten und Nicht-Entdecken sind identifiziert (Ishikawa)?</t>
  </si>
  <si>
    <t>Potential causes are identified for occurence and non-detection (Ishikawa)?</t>
  </si>
  <si>
    <t>The problem description from the Is/IsNot has been used as the problem statement in the Ishikawa?</t>
  </si>
  <si>
    <t>Die Problembeschreibung aus dem Ist/IstNicht wurde für die Problemstellung im Ishikawa genutzt?</t>
  </si>
  <si>
    <t>Eine erste Bewertung welche der potentiellen Ursachen die höchste Priorität haben wurde durchgeführt (Ishikawa)?</t>
  </si>
  <si>
    <t>Wahrscheinliche und mögliche Ursachen der ersten Bewertung wurden mittels C&amp;E priorisiert?</t>
  </si>
  <si>
    <t>Verifizierung durchgeführt / Eliminierung der möglichen Ursachen (Verify)?</t>
  </si>
  <si>
    <t>Verification done / Elimination of potential causes (Verify)?</t>
  </si>
  <si>
    <t>Probable and possible causes from the first evaluation have been prioritised by using C&amp;E?</t>
  </si>
  <si>
    <t>5xWarum wurde auf jede der bestätigte Ursachen angewendet (Auftreten und Nicht-Entdecken)? Wurde das systemische 5xWarum genutzt?</t>
  </si>
  <si>
    <t>5Why is done on each verified cause (occurence and non-detection)? Systemic 5Why was done?</t>
  </si>
  <si>
    <t>Nachweis dass das Problem sich dadurch steuern lässt (gezeigt wir die Ursache bestätigt wurde)?</t>
  </si>
  <si>
    <t>Sofortmaßnahmen wurden innerhalb der (von Brose) geforderten Zeit verifiziert und eingeführt?</t>
  </si>
  <si>
    <t>Grundursachen wurden innerhalb der (von Brose) geforderten Zeit gefunden und bestätigt?</t>
  </si>
  <si>
    <t>Root causes have been found and verified within expected time (Brose)?</t>
  </si>
  <si>
    <t>Evidence that problem has been able to be turned on/off (show how the root cause was confirmed)?</t>
  </si>
  <si>
    <t>First evaluation which potential influences have the highest priority was done (Ishikawa)?</t>
  </si>
  <si>
    <t>Abstellmaßnahmen wurden für jede Grundursache aus D4 bestimmt (Auftreten, Nicht-Entdecken und Systemisch)</t>
  </si>
  <si>
    <t>Nachweis, dass die Maßnahmen die Grundursachen beheben erbracht / Verifizierung, dass das Problem über die Abstellmaßnahmen "ein und ausgeschaltet" werden kann</t>
  </si>
  <si>
    <t>Beschreibung der Methode die genutzt wurde um die Wirksamkeit der Maßnahmen zu bestimmen ist vorhanden?</t>
  </si>
  <si>
    <t>Description of the method used to determine effectiveness of actions is available?</t>
  </si>
  <si>
    <t>Nachweis für die signifikante Verbesserung durch die eingeführten Maßnahmen ist vorhanden (mit Daten)? Grafiken, welche den Zustand vor und nach der Einführung der Abstellmaßnahmen zeigen sind verfügbar (Reiter "Statistic")?</t>
  </si>
  <si>
    <t>Evidence with data that show the significant improvement after implementation of the action(s). Charts with data of Before and After the implementation of the permanent corrective actions are available (tab 'Statistic')</t>
  </si>
  <si>
    <t>Read-Across der Abstellmaßnahmen wurde durchgeführt (Auftreten und Nicht-Entdecken).</t>
  </si>
  <si>
    <t>D5/D6 - Abstellmaßnahmen</t>
  </si>
  <si>
    <t>D5/D6 - Corrective Actions</t>
  </si>
  <si>
    <t>D8 - Abschluss</t>
  </si>
  <si>
    <t>Read-Across der Abstellmaßnahmen auf systemische Grundursachen wurde durchgeführt.</t>
  </si>
  <si>
    <t>Dokumente mit direktem Bezug zur Fertigung wurden verteilt und eingeführt (z.B. FMEA, Arbeitsanweisungen, Wartungsanweisungen, Kontrollpläne, Zeichnungen…)</t>
  </si>
  <si>
    <t>Wurden die Sofortmaßnahmen nach der Einführung und der erfolgreichen Validierung der Abstellmaßnahmen wieder entfernt?</t>
  </si>
  <si>
    <t>Finale Dokumentation zu Brose wurde innerhalb der geforderten Zeiten gesendet?</t>
  </si>
  <si>
    <t>Final documentation to Brose has been send within expected time?</t>
  </si>
  <si>
    <t>Die im 8D erarbeiteten Lösungen wurden als LessonsLearned kommuniziert?</t>
  </si>
  <si>
    <t>The solutions identified within the 8D are forwarded as LessonsLearned?</t>
  </si>
  <si>
    <t>Evaluation by Brose or Self-Evaluation</t>
  </si>
  <si>
    <t>Bewertung durch Brose oder Selbstbewertung</t>
  </si>
  <si>
    <t>Achtung! Es wurden noch nicht alle Felder bewertet!</t>
  </si>
  <si>
    <t>Warning! Yet not all fields have been rated!</t>
  </si>
  <si>
    <t>amber</t>
  </si>
  <si>
    <t>BLAU</t>
  </si>
  <si>
    <t>GRÜN</t>
  </si>
  <si>
    <t>ROT</t>
  </si>
  <si>
    <t>English</t>
  </si>
  <si>
    <t>Release</t>
  </si>
  <si>
    <t>Release_date</t>
  </si>
  <si>
    <t>changed_by</t>
  </si>
  <si>
    <t>morspat</t>
  </si>
  <si>
    <t>change_description</t>
  </si>
  <si>
    <t>Legend for Evaluation</t>
  </si>
  <si>
    <t>Minimum requirements are NOT fulfilled in any of the D-steps</t>
  </si>
  <si>
    <t>Evaluation =red ("r")
8D has to be reworked</t>
  </si>
  <si>
    <t>Minimum requirements are fulfilled BUT additional points
are NOT fulfilled</t>
  </si>
  <si>
    <t>Evaluation =amber ("a")</t>
  </si>
  <si>
    <t>Evaluation = green ("g")</t>
  </si>
  <si>
    <t>D0
Problem
Statement</t>
  </si>
  <si>
    <r>
      <rPr>
        <b/>
        <sz val="10"/>
        <rFont val="Univers"/>
        <family val="2"/>
      </rPr>
      <t>Minimum Requirements</t>
    </r>
    <r>
      <rPr>
        <sz val="10"/>
        <rFont val="Univers"/>
        <family val="2"/>
      </rPr>
      <t>:
Description of what is good and what is bad in "What is wrong with what?"-form is done.</t>
    </r>
  </si>
  <si>
    <t>D1
Team</t>
  </si>
  <si>
    <t>D2
Problem
Description</t>
  </si>
  <si>
    <t>D3
Containment
Actions</t>
  </si>
  <si>
    <t>D4
Failure
Cause</t>
  </si>
  <si>
    <t>D5/D6
Corrective 
Actions</t>
  </si>
  <si>
    <t>D7
Lessons
Learned</t>
  </si>
  <si>
    <t>D8
Completion</t>
  </si>
  <si>
    <r>
      <rPr>
        <b/>
        <sz val="10"/>
        <rFont val="Univers"/>
        <family val="2"/>
      </rPr>
      <t xml:space="preserve">Additional Points: 
</t>
    </r>
    <r>
      <rPr>
        <sz val="10"/>
        <rFont val="Univers"/>
        <family val="2"/>
      </rPr>
      <t xml:space="preserve">
Evaluation of PMP by independent person </t>
    </r>
  </si>
  <si>
    <t>Ist-Situation</t>
  </si>
  <si>
    <t>Soll-Situation</t>
  </si>
  <si>
    <t>Target-Situation</t>
  </si>
  <si>
    <t>Is-Situation</t>
  </si>
  <si>
    <t>Leitung</t>
  </si>
  <si>
    <t>Leader</t>
  </si>
  <si>
    <t>Leader
(Problem solving team)</t>
  </si>
  <si>
    <t>Evaluation (English only)</t>
  </si>
  <si>
    <r>
      <rPr>
        <b/>
        <sz val="10"/>
        <rFont val="Univers"/>
        <family val="2"/>
      </rPr>
      <t>Minimum Requirements:</t>
    </r>
    <r>
      <rPr>
        <sz val="10"/>
        <rFont val="Univers"/>
        <family val="2"/>
      </rPr>
      <t xml:space="preserve">
1) Team-leader and cross-functional team are defined and functions available
2) Contact Information team-leader available
</t>
    </r>
  </si>
  <si>
    <r>
      <rPr>
        <b/>
        <sz val="10"/>
        <rFont val="Univers"/>
        <family val="2"/>
      </rPr>
      <t xml:space="preserve">Minimum Requirements:
</t>
    </r>
    <r>
      <rPr>
        <sz val="10"/>
        <rFont val="Univers"/>
        <family val="2"/>
      </rPr>
      <t xml:space="preserve">
1) Problem Description 
2) Graphical representation of the problem available
3) W-questions used
</t>
    </r>
  </si>
  <si>
    <r>
      <rPr>
        <b/>
        <sz val="10"/>
        <rFont val="Univers"/>
        <family val="2"/>
      </rPr>
      <t>Additional Points:</t>
    </r>
    <r>
      <rPr>
        <sz val="10"/>
        <rFont val="Univers"/>
        <family val="2"/>
      </rPr>
      <t xml:space="preserve">
Is/Is-Not is used properly
(instead of W-questions)</t>
    </r>
  </si>
  <si>
    <r>
      <rPr>
        <b/>
        <sz val="10"/>
        <rFont val="Univers"/>
        <family val="2"/>
      </rPr>
      <t>Minimum Reqirements:</t>
    </r>
    <r>
      <rPr>
        <sz val="10"/>
        <rFont val="Univers"/>
        <family val="2"/>
      </rPr>
      <t xml:space="preserve">
1) Containment actions are defined, verified and validated
2) Inspection results / clean-point are available (use statistic sheet or equivalent)
3) Read-Across for other delivering locations is done
5) Timeframe within Brose expectation
= 24hours (see Brose quality Management Regulations, chapter 22)</t>
    </r>
  </si>
  <si>
    <r>
      <rPr>
        <b/>
        <sz val="10"/>
        <rFont val="Univers"/>
        <family val="2"/>
      </rPr>
      <t>Additional Points:</t>
    </r>
    <r>
      <rPr>
        <sz val="10"/>
        <rFont val="Univers"/>
        <family val="2"/>
      </rPr>
      <t xml:space="preserve">
1) Additional tracking and feedback via containment sheet 
2) Proof of action effectiveness is well documented with facts and figures
3) Risks resulting from containments are evaluated and documented</t>
    </r>
  </si>
  <si>
    <r>
      <rPr>
        <b/>
        <sz val="10"/>
        <rFont val="Univers"/>
        <family val="2"/>
      </rPr>
      <t>Minimum Requirements:</t>
    </r>
    <r>
      <rPr>
        <sz val="10"/>
        <rFont val="Univers"/>
        <family val="2"/>
      </rPr>
      <t xml:space="preserve">
Technical (root-)causes are identified (e.g. with 5Why) and verified 
(each for occurence and non-detection)</t>
    </r>
  </si>
  <si>
    <r>
      <rPr>
        <b/>
        <sz val="10"/>
        <rFont val="Univers"/>
        <family val="2"/>
      </rPr>
      <t xml:space="preserve">Additional Points: 
</t>
    </r>
    <r>
      <rPr>
        <sz val="10"/>
        <rFont val="Univers"/>
        <family val="2"/>
      </rPr>
      <t>1)</t>
    </r>
    <r>
      <rPr>
        <b/>
        <sz val="10"/>
        <rFont val="Univers"/>
        <family val="2"/>
      </rPr>
      <t xml:space="preserve"> </t>
    </r>
    <r>
      <rPr>
        <sz val="10"/>
        <rFont val="Univers"/>
        <family val="2"/>
      </rPr>
      <t xml:space="preserve">Systemic (root-)causes are identified (e.g. with 5Why) and verified
(each for occurence and non-detection)
</t>
    </r>
  </si>
  <si>
    <r>
      <rPr>
        <b/>
        <sz val="10"/>
        <rFont val="Univers"/>
        <family val="2"/>
      </rPr>
      <t>Minimum Requirements:</t>
    </r>
    <r>
      <rPr>
        <sz val="10"/>
        <rFont val="Univers"/>
        <family val="2"/>
      </rPr>
      <t xml:space="preserve">
1) Corrective actions have been defined, verified and validated on each technical root cause
3) Read-Across for other delivering locations is done
3) Containment Actions have been removed after validation of PCA
4) Timeframe within Brose expectation = 5 days (see Brose quality Management Regulations, chapter 22)</t>
    </r>
  </si>
  <si>
    <r>
      <rPr>
        <b/>
        <sz val="10"/>
        <rFont val="Univers"/>
        <family val="2"/>
      </rPr>
      <t xml:space="preserve">Additional Points: 
</t>
    </r>
    <r>
      <rPr>
        <sz val="10"/>
        <rFont val="Univers"/>
        <family val="2"/>
      </rPr>
      <t>1)</t>
    </r>
    <r>
      <rPr>
        <b/>
        <sz val="10"/>
        <rFont val="Univers"/>
        <family val="2"/>
      </rPr>
      <t xml:space="preserve"> </t>
    </r>
    <r>
      <rPr>
        <sz val="10"/>
        <rFont val="Univers"/>
        <family val="2"/>
      </rPr>
      <t xml:space="preserve">Verification Sheet is used as proof of effectiveness and all actions are well documented with facts and figures
</t>
    </r>
  </si>
  <si>
    <r>
      <rPr>
        <b/>
        <sz val="10"/>
        <rFont val="Univers"/>
        <family val="2"/>
      </rPr>
      <t>Minimum Requirements:</t>
    </r>
    <r>
      <rPr>
        <sz val="10"/>
        <rFont val="Univers"/>
        <family val="2"/>
      </rPr>
      <t xml:space="preserve">
Direct product/process related documents have been communicated and implemented (like P-FMEA, work instructions, maintenance schedules, PLP, drawings…). </t>
    </r>
  </si>
  <si>
    <r>
      <rPr>
        <b/>
        <sz val="10"/>
        <rFont val="Univers"/>
        <family val="2"/>
      </rPr>
      <t xml:space="preserve">Additional Points: 
</t>
    </r>
    <r>
      <rPr>
        <sz val="10"/>
        <rFont val="Univers"/>
        <family val="2"/>
      </rPr>
      <t xml:space="preserve">
Necessary systemic changes (e.g. a Basic-FMEA, Design-Guidelines, Standards/Norms…) have been addressed (Lessons Learned applied)
</t>
    </r>
  </si>
  <si>
    <r>
      <rPr>
        <b/>
        <sz val="10"/>
        <rFont val="Univers"/>
        <family val="2"/>
      </rPr>
      <t>Minimum Requirements:</t>
    </r>
    <r>
      <rPr>
        <sz val="10"/>
        <rFont val="Univers"/>
        <family val="2"/>
      </rPr>
      <t xml:space="preserve">
1) Final 8D-Report send to Brose 
2) Timeframe within Brose expectation = 10 days (see Brose quality Management Regulations, chapter 22)</t>
    </r>
  </si>
  <si>
    <r>
      <t xml:space="preserve">up to 
</t>
    </r>
    <r>
      <rPr>
        <b/>
        <sz val="12"/>
        <rFont val="Univers"/>
        <family val="2"/>
      </rPr>
      <t>D8</t>
    </r>
  </si>
  <si>
    <r>
      <t xml:space="preserve">up to </t>
    </r>
    <r>
      <rPr>
        <b/>
        <sz val="12"/>
        <rFont val="Univers"/>
        <family val="2"/>
      </rPr>
      <t>D5/D6</t>
    </r>
  </si>
  <si>
    <r>
      <t xml:space="preserve">up to 
</t>
    </r>
    <r>
      <rPr>
        <b/>
        <sz val="12"/>
        <rFont val="Univers"/>
        <family val="2"/>
      </rPr>
      <t>D3</t>
    </r>
  </si>
  <si>
    <t>Quality of problem solving</t>
  </si>
  <si>
    <t>- Added tab 'Changelog'
- Change of Brose logo to current logo
- Fixed cell formating in '8D-report' #Q47 "Claim date"
- Removed description in 'Help' #E55 as tool isn't used for supplier-8D
- New Evaluation (reduced and more user-friendly)</t>
  </si>
  <si>
    <t>Minimum requirements AND all additional points are fulfilled
OR minimum requirements are fulfilled and additional points are not available (only D0 &amp; D1)</t>
  </si>
  <si>
    <t/>
  </si>
  <si>
    <t>Release 2021 (15.04.2021)</t>
  </si>
  <si>
    <t>Bitte beachten</t>
  </si>
  <si>
    <t>Please note</t>
  </si>
  <si>
    <t>Das Dokument "brose-8-d-problem-solving-scheme" ist Eigentum von Brose. Wesentliche Änderungen sind ohne unsere vorherige schriftliche Genehmigung nicht gestattet. Ausnahmen gelten für das Hinzufügen weiterer Zeilen (z.B. für weitere Maßnahmen), das Hinzufügen weiterer Inhalte (z.B. Bilder) sowie die Anpassung von Zeilenhöhen sofern die Standardinhalte dadurch nicht ausgeblendet werden.</t>
  </si>
  <si>
    <t>Accepted by supplier</t>
  </si>
  <si>
    <t>Declined by supplier</t>
  </si>
  <si>
    <t>Akzeptiert durch Lieferant</t>
  </si>
  <si>
    <t>Abgelehnt durch Lieferant</t>
  </si>
  <si>
    <t>Kommentar / Notizen</t>
  </si>
  <si>
    <t>Comments / Notes</t>
  </si>
  <si>
    <t>The document "brose-8-d-problem-solving-scheme" is property of Brose. Major modifications are strictly prohibited without prior written consent.
Exceptions are valid for adding new lines (e.g. for further measures), adding contents (e.g. pictures) or the modification of line heights if standard contents are not hidden by this.</t>
  </si>
  <si>
    <t>Please make sure you're always using the latest version of our template. You may find this via
https://www.brose.com/de-en/purchasing/handbooks-templates/</t>
  </si>
  <si>
    <t>Bitte stellen Sie sicher, dass Sie immer die neueste Version unserer Vorlage verwenden. Sie finden diese auf 
https://www.brose.com/de-de/einkauf/handbuecher-vorlagen/</t>
  </si>
  <si>
    <t>- Added further tabs for general documentation
- Added "Please note" to introduction page
- Reworked D8 in 8D-Report (removed signature and feedback from Brose)</t>
  </si>
  <si>
    <t>Attachments</t>
  </si>
  <si>
    <t>Anhänge</t>
  </si>
  <si>
    <t>Hier können Sie eigene Dokumente ablegen und beliebige Daten ergänzen.</t>
  </si>
  <si>
    <t>Here you can store your own documents and add any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</si>
</sst>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dd/mm/yy;@"/>
    <numFmt numFmtId="165" formatCode="0.0%"/>
  </numFmts>
  <fonts count="86">
    <font>
      <sz val="10"/>
      <name val="Univers"/>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name val="Univers"/>
      <family val="2"/>
    </font>
    <font>
      <u/>
      <sz val="10"/>
      <name val="Univers"/>
      <family val="2"/>
    </font>
    <font>
      <sz val="10"/>
      <name val="Univers"/>
      <family val="2"/>
    </font>
    <font>
      <b/>
      <sz val="18"/>
      <name val="Univers"/>
      <family val="2"/>
    </font>
    <font>
      <sz val="12"/>
      <name val="Univers"/>
      <family val="2"/>
    </font>
    <font>
      <b/>
      <sz val="14"/>
      <name val="Univers"/>
      <family val="2"/>
    </font>
    <font>
      <b/>
      <sz val="20"/>
      <name val="Univers"/>
      <family val="2"/>
    </font>
    <font>
      <b/>
      <sz val="28"/>
      <name val="Univers"/>
      <family val="2"/>
    </font>
    <font>
      <sz val="8"/>
      <name val="Univers"/>
      <family val="2"/>
    </font>
    <font>
      <b/>
      <sz val="24"/>
      <name val="Univers"/>
      <family val="2"/>
    </font>
    <font>
      <b/>
      <sz val="12"/>
      <name val="Univers"/>
      <family val="2"/>
    </font>
    <font>
      <b/>
      <sz val="10"/>
      <name val="Univers"/>
      <family val="2"/>
    </font>
    <font>
      <sz val="8"/>
      <name val="Univers"/>
      <family val="2"/>
    </font>
    <font>
      <sz val="10"/>
      <color indexed="10"/>
      <name val="Univers"/>
      <family val="2"/>
    </font>
    <font>
      <b/>
      <sz val="11"/>
      <name val="Univers"/>
      <family val="2"/>
    </font>
    <font>
      <sz val="14"/>
      <name val="Univers"/>
      <family val="2"/>
    </font>
    <font>
      <sz val="14"/>
      <name val="Univers"/>
      <family val="2"/>
    </font>
    <font>
      <sz val="12"/>
      <name val="Univers"/>
      <family val="2"/>
    </font>
    <font>
      <sz val="10"/>
      <color indexed="8"/>
      <name val="Univers"/>
      <family val="2"/>
    </font>
    <font>
      <sz val="28"/>
      <name val="Univers"/>
      <family val="2"/>
    </font>
    <font>
      <sz val="10"/>
      <color indexed="10"/>
      <name val="Univers"/>
      <family val="2"/>
    </font>
    <font>
      <b/>
      <u/>
      <sz val="12"/>
      <name val="Univers"/>
      <family val="2"/>
    </font>
    <font>
      <b/>
      <u/>
      <sz val="20"/>
      <name val="Univers"/>
      <family val="2"/>
    </font>
    <font>
      <b/>
      <sz val="22"/>
      <name val="Univers"/>
      <family val="2"/>
    </font>
    <font>
      <b/>
      <sz val="9"/>
      <color indexed="81"/>
      <name val="Tahoma"/>
      <family val="2"/>
    </font>
    <font>
      <b/>
      <sz val="12"/>
      <color theme="1"/>
      <name val="Univers"/>
      <family val="2"/>
    </font>
    <font>
      <b/>
      <sz val="10"/>
      <color theme="1"/>
      <name val="Univers"/>
      <family val="2"/>
    </font>
    <font>
      <sz val="12"/>
      <color theme="1"/>
      <name val="Univers"/>
      <family val="2"/>
    </font>
    <font>
      <b/>
      <u/>
      <sz val="10"/>
      <name val="Univers"/>
      <family val="2"/>
    </font>
    <font>
      <sz val="10"/>
      <color rgb="FFFF0000"/>
      <name val="Univers"/>
      <family val="2"/>
    </font>
    <font>
      <sz val="10"/>
      <name val="Arial"/>
      <family val="2"/>
    </font>
    <font>
      <sz val="11"/>
      <name val="Univers"/>
      <family val="2"/>
    </font>
    <font>
      <sz val="10"/>
      <color theme="0" tint="-4.9989318521683403E-2"/>
      <name val="Univers"/>
      <family val="2"/>
    </font>
    <font>
      <b/>
      <sz val="10"/>
      <color rgb="FFFF0000"/>
      <name val="Univers"/>
      <family val="2"/>
    </font>
    <font>
      <b/>
      <sz val="12"/>
      <color rgb="FFFF0000"/>
      <name val="Univers"/>
      <family val="2"/>
    </font>
    <font>
      <sz val="10"/>
      <color theme="0"/>
      <name val="Univers"/>
      <family val="2"/>
    </font>
    <font>
      <b/>
      <sz val="12"/>
      <color theme="0"/>
      <name val="Univers"/>
      <family val="2"/>
    </font>
    <font>
      <i/>
      <u/>
      <sz val="10"/>
      <name val="Univers"/>
      <family val="2"/>
    </font>
    <font>
      <i/>
      <sz val="10"/>
      <name val="Univers"/>
      <family val="2"/>
    </font>
    <font>
      <sz val="10"/>
      <color indexed="12"/>
      <name val="Univers"/>
      <family val="2"/>
    </font>
    <font>
      <i/>
      <sz val="10"/>
      <color theme="1"/>
      <name val="Univers"/>
      <family val="2"/>
    </font>
    <font>
      <b/>
      <sz val="16"/>
      <name val="Univers"/>
      <family val="2"/>
    </font>
    <font>
      <sz val="14"/>
      <color theme="1"/>
      <name val="Univers"/>
      <family val="2"/>
    </font>
    <font>
      <u/>
      <sz val="12"/>
      <color rgb="FFFF0000"/>
      <name val="Univers"/>
      <family val="2"/>
    </font>
    <font>
      <sz val="12"/>
      <color rgb="FFFF0000"/>
      <name val="Univers"/>
      <family val="2"/>
    </font>
    <font>
      <sz val="10"/>
      <color rgb="FF00B050"/>
      <name val="Univers"/>
      <family val="2"/>
    </font>
    <font>
      <sz val="12"/>
      <color rgb="FF00B050"/>
      <name val="Univers"/>
      <family val="2"/>
    </font>
    <font>
      <b/>
      <sz val="8"/>
      <name val="Univers"/>
      <family val="2"/>
    </font>
    <font>
      <b/>
      <i/>
      <sz val="12"/>
      <name val="Univers"/>
      <family val="2"/>
    </font>
    <font>
      <b/>
      <sz val="16"/>
      <color theme="1"/>
      <name val="Univers"/>
      <family val="2"/>
    </font>
    <font>
      <sz val="36"/>
      <color theme="0"/>
      <name val="Univers"/>
      <family val="2"/>
    </font>
    <font>
      <sz val="11"/>
      <color theme="0" tint="-0.34998626667073579"/>
      <name val="Univers"/>
      <family val="2"/>
    </font>
    <font>
      <b/>
      <sz val="12"/>
      <color theme="0" tint="-0.249977111117893"/>
      <name val="Univers"/>
      <family val="2"/>
    </font>
    <font>
      <sz val="6"/>
      <name val="Univers"/>
      <family val="2"/>
    </font>
    <font>
      <sz val="10"/>
      <color rgb="FF80C535"/>
      <name val="Univers"/>
      <family val="2"/>
    </font>
    <font>
      <sz val="11"/>
      <color theme="1"/>
      <name val="Univers"/>
      <family val="2"/>
    </font>
    <font>
      <b/>
      <i/>
      <sz val="10"/>
      <color theme="0" tint="-0.249977111117893"/>
      <name val="Univers"/>
      <family val="2"/>
    </font>
    <font>
      <b/>
      <u/>
      <sz val="16"/>
      <name val="Univers"/>
      <family val="2"/>
    </font>
    <font>
      <b/>
      <sz val="11"/>
      <color rgb="FFFF0000"/>
      <name val="Univers"/>
      <family val="2"/>
    </font>
    <font>
      <sz val="22"/>
      <name val="Univers"/>
      <family val="2"/>
    </font>
    <font>
      <sz val="10"/>
      <color theme="3" tint="0.39997558519241921"/>
      <name val="Univers"/>
      <family val="2"/>
    </font>
    <font>
      <sz val="10"/>
      <color rgb="FFFF5050"/>
      <name val="Univers"/>
      <family val="2"/>
    </font>
    <font>
      <sz val="12"/>
      <name val="Wingdings 3"/>
      <family val="1"/>
      <charset val="2"/>
    </font>
    <font>
      <b/>
      <sz val="20"/>
      <color rgb="FFFF0000"/>
      <name val="Univers"/>
      <family val="2"/>
    </font>
    <font>
      <sz val="18"/>
      <name val="Wingdings 3"/>
      <family val="1"/>
      <charset val="2"/>
    </font>
    <font>
      <sz val="9"/>
      <name val="Univers"/>
      <family val="2"/>
    </font>
    <font>
      <sz val="20"/>
      <name val="Univers"/>
      <family val="2"/>
    </font>
    <font>
      <sz val="10"/>
      <color rgb="FFE4E4E4"/>
      <name val="Univers"/>
      <family val="2"/>
    </font>
    <font>
      <u/>
      <sz val="16"/>
      <color rgb="FFFF0000"/>
      <name val="Univers"/>
      <family val="2"/>
    </font>
    <font>
      <sz val="11"/>
      <color theme="0"/>
      <name val="Univers"/>
      <family val="2"/>
    </font>
    <font>
      <b/>
      <sz val="20"/>
      <name val="Wingdings 3"/>
      <family val="1"/>
      <charset val="2"/>
    </font>
    <font>
      <b/>
      <sz val="10"/>
      <color theme="0"/>
      <name val="Univers"/>
      <family val="2"/>
    </font>
    <font>
      <sz val="12"/>
      <color rgb="FFCC7900"/>
      <name val="Univers"/>
      <family val="2"/>
    </font>
    <font>
      <sz val="12"/>
      <color rgb="FF005400"/>
      <name val="Univers"/>
      <family val="2"/>
    </font>
    <font>
      <b/>
      <sz val="11"/>
      <color theme="0" tint="-0.249977111117893"/>
      <name val="Univers"/>
      <family val="2"/>
    </font>
    <font>
      <sz val="16"/>
      <name val="Univers"/>
      <family val="2"/>
    </font>
  </fonts>
  <fills count="29">
    <fill>
      <patternFill patternType="none"/>
    </fill>
    <fill>
      <patternFill patternType="gray125"/>
    </fill>
    <fill>
      <patternFill patternType="solid">
        <fgColor indexed="26"/>
        <bgColor indexed="64"/>
      </patternFill>
    </fill>
    <fill>
      <patternFill patternType="solid">
        <fgColor indexed="9"/>
        <bgColor indexed="64"/>
      </patternFill>
    </fill>
    <fill>
      <patternFill patternType="solid">
        <fgColor rgb="FFFFFFCC"/>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FFFF00"/>
        <bgColor indexed="64"/>
      </patternFill>
    </fill>
    <fill>
      <patternFill patternType="solid">
        <fgColor rgb="FF00FF00"/>
        <bgColor indexed="64"/>
      </patternFill>
    </fill>
    <fill>
      <patternFill patternType="solid">
        <fgColor rgb="FFFF0000"/>
        <bgColor indexed="64"/>
      </patternFill>
    </fill>
    <fill>
      <patternFill patternType="solid">
        <fgColor rgb="FFFFFFC0"/>
        <bgColor indexed="64"/>
      </patternFill>
    </fill>
    <fill>
      <patternFill patternType="solid">
        <fgColor theme="0" tint="-0.249977111117893"/>
        <bgColor indexed="64"/>
      </patternFill>
    </fill>
    <fill>
      <patternFill patternType="solid">
        <fgColor theme="1"/>
        <bgColor indexed="64"/>
      </patternFill>
    </fill>
    <fill>
      <patternFill patternType="solid">
        <fgColor theme="3" tint="0.39997558519241921"/>
        <bgColor indexed="64"/>
      </patternFill>
    </fill>
    <fill>
      <patternFill patternType="solid">
        <fgColor rgb="FF80C535"/>
        <bgColor indexed="64"/>
      </patternFill>
    </fill>
    <fill>
      <patternFill patternType="solid">
        <fgColor rgb="FFFF5050"/>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rgb="FF92D050"/>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rgb="FFFDFF9F"/>
        <bgColor indexed="64"/>
      </patternFill>
    </fill>
    <fill>
      <patternFill patternType="solid">
        <fgColor rgb="FF9FFBA1"/>
        <bgColor indexed="64"/>
      </patternFill>
    </fill>
    <fill>
      <patternFill patternType="solid">
        <fgColor rgb="FFCCFFCC"/>
        <bgColor indexed="64"/>
      </patternFill>
    </fill>
  </fills>
  <borders count="158">
    <border>
      <left/>
      <right/>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medium">
        <color indexed="64"/>
      </left>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bottom style="thick">
        <color indexed="64"/>
      </bottom>
      <diagonal/>
    </border>
    <border>
      <left style="thin">
        <color indexed="64"/>
      </left>
      <right/>
      <top/>
      <bottom style="thick">
        <color indexed="64"/>
      </bottom>
      <diagonal/>
    </border>
    <border>
      <left style="mediumDashed">
        <color indexed="64"/>
      </left>
      <right style="mediumDashed">
        <color indexed="64"/>
      </right>
      <top/>
      <bottom style="thin">
        <color indexed="64"/>
      </bottom>
      <diagonal/>
    </border>
    <border>
      <left style="mediumDashed">
        <color indexed="64"/>
      </left>
      <right/>
      <top style="thin">
        <color indexed="64"/>
      </top>
      <bottom style="thin">
        <color indexed="64"/>
      </bottom>
      <diagonal/>
    </border>
    <border>
      <left/>
      <right style="mediumDashed">
        <color indexed="64"/>
      </right>
      <top style="thin">
        <color indexed="64"/>
      </top>
      <bottom style="thin">
        <color indexed="64"/>
      </bottom>
      <diagonal/>
    </border>
    <border>
      <left style="mediumDashed">
        <color indexed="64"/>
      </left>
      <right/>
      <top/>
      <bottom style="thin">
        <color indexed="64"/>
      </bottom>
      <diagonal/>
    </border>
    <border>
      <left/>
      <right style="mediumDashed">
        <color indexed="64"/>
      </right>
      <top/>
      <bottom style="thin">
        <color indexed="64"/>
      </bottom>
      <diagonal/>
    </border>
    <border>
      <left style="mediumDashed">
        <color indexed="64"/>
      </left>
      <right/>
      <top style="thin">
        <color indexed="64"/>
      </top>
      <bottom/>
      <diagonal/>
    </border>
    <border>
      <left/>
      <right style="mediumDashed">
        <color indexed="64"/>
      </right>
      <top style="thin">
        <color indexed="64"/>
      </top>
      <bottom/>
      <diagonal/>
    </border>
    <border>
      <left style="mediumDashed">
        <color indexed="64"/>
      </left>
      <right style="mediumDashed">
        <color indexed="64"/>
      </right>
      <top style="medium">
        <color indexed="64"/>
      </top>
      <bottom/>
      <diagonal/>
    </border>
    <border>
      <left style="mediumDashed">
        <color indexed="64"/>
      </left>
      <right style="mediumDashed">
        <color indexed="64"/>
      </right>
      <top style="thin">
        <color indexed="64"/>
      </top>
      <bottom/>
      <diagonal/>
    </border>
    <border>
      <left style="thick">
        <color theme="0" tint="-0.34998626667073579"/>
      </left>
      <right/>
      <top style="thick">
        <color theme="0" tint="-0.34998626667073579"/>
      </top>
      <bottom/>
      <diagonal/>
    </border>
    <border>
      <left/>
      <right style="thin">
        <color indexed="64"/>
      </right>
      <top style="thick">
        <color theme="0" tint="-0.34998626667073579"/>
      </top>
      <bottom/>
      <diagonal/>
    </border>
    <border>
      <left style="thick">
        <color theme="0" tint="-0.34998626667073579"/>
      </left>
      <right/>
      <top/>
      <bottom style="thick">
        <color theme="0" tint="-0.34998626667073579"/>
      </bottom>
      <diagonal/>
    </border>
    <border diagonalDown="1">
      <left/>
      <right style="thin">
        <color indexed="64"/>
      </right>
      <top/>
      <bottom style="thick">
        <color theme="0" tint="-0.34998626667073579"/>
      </bottom>
      <diagonal style="thick">
        <color theme="0" tint="-0.34998626667073579"/>
      </diagonal>
    </border>
    <border diagonalUp="1">
      <left/>
      <right style="thin">
        <color indexed="64"/>
      </right>
      <top style="thick">
        <color theme="0" tint="-0.34998626667073579"/>
      </top>
      <bottom/>
      <diagonal style="thick">
        <color theme="0" tint="-0.34998626667073579"/>
      </diagonal>
    </border>
    <border>
      <left/>
      <right/>
      <top style="thick">
        <color theme="0" tint="-0.34998626667073579"/>
      </top>
      <bottom/>
      <diagonal/>
    </border>
    <border diagonalDown="1">
      <left/>
      <right/>
      <top/>
      <bottom style="thick">
        <color theme="0" tint="-0.34998626667073579"/>
      </bottom>
      <diagonal style="thick">
        <color theme="0" tint="-0.34998626667073579"/>
      </diagonal>
    </border>
    <border diagonalUp="1">
      <left/>
      <right/>
      <top style="thick">
        <color theme="0" tint="-0.34998626667073579"/>
      </top>
      <bottom/>
      <diagonal style="thick">
        <color theme="0" tint="-0.34998626667073579"/>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diagonal/>
    </border>
    <border>
      <left style="thin">
        <color indexed="64"/>
      </left>
      <right style="thick">
        <color indexed="64"/>
      </right>
      <top/>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medium">
        <color indexed="64"/>
      </right>
      <top style="thick">
        <color indexed="64"/>
      </top>
      <bottom/>
      <diagonal/>
    </border>
    <border>
      <left style="medium">
        <color indexed="64"/>
      </left>
      <right/>
      <top style="thick">
        <color indexed="64"/>
      </top>
      <bottom style="thin">
        <color indexed="64"/>
      </bottom>
      <diagonal/>
    </border>
    <border>
      <left/>
      <right/>
      <top style="thick">
        <color indexed="64"/>
      </top>
      <bottom style="thin">
        <color indexed="64"/>
      </bottom>
      <diagonal/>
    </border>
    <border>
      <left style="thick">
        <color indexed="64"/>
      </left>
      <right/>
      <top style="thick">
        <color indexed="64"/>
      </top>
      <bottom style="thin">
        <color indexed="64"/>
      </bottom>
      <diagonal/>
    </border>
    <border>
      <left/>
      <right style="medium">
        <color indexed="64"/>
      </right>
      <top style="thick">
        <color indexed="64"/>
      </top>
      <bottom style="thin">
        <color indexed="64"/>
      </bottom>
      <diagonal/>
    </border>
    <border>
      <left/>
      <right style="thick">
        <color indexed="64"/>
      </right>
      <top style="thick">
        <color indexed="64"/>
      </top>
      <bottom style="thin">
        <color indexed="64"/>
      </bottom>
      <diagonal/>
    </border>
    <border>
      <left style="thin">
        <color indexed="64"/>
      </left>
      <right style="medium">
        <color indexed="64"/>
      </right>
      <top style="thick">
        <color indexed="64"/>
      </top>
      <bottom style="thin">
        <color indexed="64"/>
      </bottom>
      <diagonal/>
    </border>
    <border>
      <left style="thin">
        <color indexed="64"/>
      </left>
      <right style="medium">
        <color indexed="64"/>
      </right>
      <top/>
      <bottom style="thick">
        <color indexed="64"/>
      </bottom>
      <diagonal/>
    </border>
    <border>
      <left style="medium">
        <color indexed="64"/>
      </left>
      <right/>
      <top style="thin">
        <color indexed="64"/>
      </top>
      <bottom style="thick">
        <color indexed="64"/>
      </bottom>
      <diagonal/>
    </border>
    <border>
      <left/>
      <right/>
      <top style="thin">
        <color indexed="64"/>
      </top>
      <bottom style="thick">
        <color indexed="64"/>
      </bottom>
      <diagonal/>
    </border>
    <border>
      <left style="thick">
        <color indexed="64"/>
      </left>
      <right/>
      <top style="thin">
        <color indexed="64"/>
      </top>
      <bottom style="thick">
        <color indexed="64"/>
      </bottom>
      <diagonal/>
    </border>
    <border>
      <left/>
      <right style="medium">
        <color indexed="64"/>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style="thick">
        <color indexed="64"/>
      </left>
      <right style="thin">
        <color indexed="64"/>
      </right>
      <top/>
      <bottom/>
      <diagonal/>
    </border>
    <border>
      <left style="medium">
        <color indexed="64"/>
      </left>
      <right style="thin">
        <color indexed="64"/>
      </right>
      <top/>
      <bottom style="thick">
        <color indexed="64"/>
      </bottom>
      <diagonal/>
    </border>
    <border>
      <left style="thick">
        <color indexed="64"/>
      </left>
      <right/>
      <top/>
      <bottom style="thick">
        <color indexed="64"/>
      </bottom>
      <diagonal/>
    </border>
    <border>
      <left style="thin">
        <color indexed="64"/>
      </left>
      <right style="thick">
        <color indexed="64"/>
      </right>
      <top/>
      <bottom style="thick">
        <color indexed="64"/>
      </bottom>
      <diagonal/>
    </border>
    <border>
      <left style="thick">
        <color indexed="64"/>
      </left>
      <right style="thin">
        <color indexed="64"/>
      </right>
      <top/>
      <bottom style="thick">
        <color indexed="64"/>
      </bottom>
      <diagonal/>
    </border>
    <border>
      <left/>
      <right style="thin">
        <color indexed="64"/>
      </right>
      <top style="thick">
        <color indexed="64"/>
      </top>
      <bottom style="thin">
        <color indexed="64"/>
      </bottom>
      <diagonal/>
    </border>
    <border>
      <left/>
      <right style="thin">
        <color indexed="64"/>
      </right>
      <top style="thin">
        <color indexed="64"/>
      </top>
      <bottom style="thick">
        <color indexed="64"/>
      </bottom>
      <diagonal/>
    </border>
    <border>
      <left/>
      <right/>
      <top style="dashed">
        <color theme="0" tint="-0.24994659260841701"/>
      </top>
      <bottom style="dashed">
        <color theme="0" tint="-0.24994659260841701"/>
      </bottom>
      <diagonal/>
    </border>
    <border>
      <left style="thin">
        <color indexed="64"/>
      </left>
      <right/>
      <top style="thin">
        <color indexed="64"/>
      </top>
      <bottom style="dashed">
        <color theme="0" tint="-0.24994659260841701"/>
      </bottom>
      <diagonal/>
    </border>
    <border>
      <left/>
      <right/>
      <top style="thin">
        <color indexed="64"/>
      </top>
      <bottom style="dashed">
        <color theme="0" tint="-0.24994659260841701"/>
      </bottom>
      <diagonal/>
    </border>
    <border>
      <left/>
      <right style="thin">
        <color indexed="64"/>
      </right>
      <top style="thin">
        <color indexed="64"/>
      </top>
      <bottom style="dashed">
        <color theme="0" tint="-0.24994659260841701"/>
      </bottom>
      <diagonal/>
    </border>
    <border>
      <left style="thin">
        <color indexed="64"/>
      </left>
      <right/>
      <top style="dashed">
        <color theme="0" tint="-0.24994659260841701"/>
      </top>
      <bottom style="dashed">
        <color theme="0" tint="-0.24994659260841701"/>
      </bottom>
      <diagonal/>
    </border>
    <border>
      <left/>
      <right style="thin">
        <color indexed="64"/>
      </right>
      <top style="dashed">
        <color theme="0" tint="-0.24994659260841701"/>
      </top>
      <bottom style="dashed">
        <color theme="0" tint="-0.24994659260841701"/>
      </bottom>
      <diagonal/>
    </border>
    <border>
      <left style="thin">
        <color indexed="64"/>
      </left>
      <right/>
      <top style="dashed">
        <color theme="0" tint="-0.24994659260841701"/>
      </top>
      <bottom style="thin">
        <color indexed="64"/>
      </bottom>
      <diagonal/>
    </border>
    <border>
      <left/>
      <right/>
      <top style="dashed">
        <color theme="0" tint="-0.24994659260841701"/>
      </top>
      <bottom style="thin">
        <color indexed="64"/>
      </bottom>
      <diagonal/>
    </border>
    <border>
      <left/>
      <right style="thin">
        <color indexed="64"/>
      </right>
      <top style="dashed">
        <color theme="0" tint="-0.24994659260841701"/>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medium">
        <color indexed="64"/>
      </left>
      <right/>
      <top style="thin">
        <color indexed="64"/>
      </top>
      <bottom style="medium">
        <color indexed="64"/>
      </bottom>
      <diagonal/>
    </border>
    <border>
      <left style="thin">
        <color indexed="64"/>
      </left>
      <right/>
      <top style="double">
        <color indexed="64"/>
      </top>
      <bottom/>
      <diagonal/>
    </border>
    <border>
      <left/>
      <right style="thin">
        <color indexed="64"/>
      </right>
      <top style="double">
        <color indexed="64"/>
      </top>
      <bottom/>
      <diagonal/>
    </border>
    <border>
      <left style="medium">
        <color indexed="64"/>
      </left>
      <right/>
      <top style="double">
        <color indexed="64"/>
      </top>
      <bottom/>
      <diagonal/>
    </border>
    <border>
      <left style="thin">
        <color indexed="64"/>
      </left>
      <right style="thin">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medium">
        <color indexed="64"/>
      </right>
      <top style="double">
        <color indexed="64"/>
      </top>
      <bottom style="double">
        <color indexed="64"/>
      </bottom>
      <diagonal/>
    </border>
    <border>
      <left style="thin">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s>
  <cellStyleXfs count="16">
    <xf numFmtId="0" fontId="0" fillId="0" borderId="0"/>
    <xf numFmtId="0" fontId="11" fillId="0" borderId="0" applyNumberFormat="0" applyFill="0" applyBorder="0" applyAlignment="0" applyProtection="0">
      <alignment vertical="top"/>
      <protection locked="0"/>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44" fontId="10" fillId="0" borderId="0" applyFont="0" applyFill="0" applyBorder="0" applyAlignment="0" applyProtection="0"/>
    <xf numFmtId="0" fontId="40" fillId="0" borderId="0"/>
    <xf numFmtId="0" fontId="7" fillId="0" borderId="0"/>
    <xf numFmtId="0" fontId="10" fillId="0" borderId="0" applyProtection="0"/>
    <xf numFmtId="0" fontId="10" fillId="0" borderId="0"/>
    <xf numFmtId="0" fontId="10" fillId="0" borderId="0">
      <alignment vertical="center"/>
    </xf>
    <xf numFmtId="0" fontId="6" fillId="0" borderId="0"/>
    <xf numFmtId="0" fontId="3" fillId="0" borderId="0"/>
    <xf numFmtId="0" fontId="1" fillId="0" borderId="0"/>
  </cellStyleXfs>
  <cellXfs count="1667">
    <xf numFmtId="0" fontId="0" fillId="0" borderId="0" xfId="0"/>
    <xf numFmtId="0" fontId="12" fillId="0" borderId="0" xfId="5">
      <alignment vertical="center"/>
    </xf>
    <xf numFmtId="0" fontId="13" fillId="0" borderId="0" xfId="5" applyNumberFormat="1" applyFont="1" applyFill="1" applyBorder="1" applyAlignment="1" applyProtection="1">
      <alignment vertical="center"/>
    </xf>
    <xf numFmtId="0" fontId="14" fillId="0" borderId="0" xfId="5" applyNumberFormat="1" applyFont="1" applyFill="1" applyAlignment="1" applyProtection="1"/>
    <xf numFmtId="0" fontId="12" fillId="0" borderId="0" xfId="5" applyFont="1" applyFill="1" applyAlignment="1" applyProtection="1">
      <alignment vertical="center"/>
    </xf>
    <xf numFmtId="0" fontId="14" fillId="0" borderId="0" xfId="5" applyNumberFormat="1" applyFont="1" applyFill="1" applyBorder="1" applyAlignment="1" applyProtection="1"/>
    <xf numFmtId="0" fontId="0" fillId="0" borderId="0" xfId="0" applyBorder="1"/>
    <xf numFmtId="0" fontId="12" fillId="0" borderId="0" xfId="5" applyBorder="1">
      <alignment vertical="center"/>
    </xf>
    <xf numFmtId="0" fontId="0" fillId="0" borderId="0" xfId="0" applyFill="1"/>
    <xf numFmtId="0" fontId="12" fillId="0" borderId="0" xfId="5" applyFill="1" applyBorder="1" applyAlignment="1">
      <alignment vertical="top" wrapText="1"/>
    </xf>
    <xf numFmtId="0" fontId="0" fillId="0" borderId="0" xfId="0" applyBorder="1" applyAlignment="1"/>
    <xf numFmtId="0" fontId="15" fillId="0" borderId="0" xfId="0" applyFont="1" applyBorder="1" applyAlignment="1">
      <alignment horizontal="left"/>
    </xf>
    <xf numFmtId="0" fontId="0" fillId="0" borderId="0" xfId="0" applyAlignment="1">
      <alignment horizontal="left"/>
    </xf>
    <xf numFmtId="0" fontId="0" fillId="0" borderId="0" xfId="0" applyBorder="1" applyAlignment="1">
      <alignment vertical="center"/>
    </xf>
    <xf numFmtId="0" fontId="23" fillId="0" borderId="0" xfId="0" applyFont="1"/>
    <xf numFmtId="0" fontId="30" fillId="0" borderId="0" xfId="0" applyFont="1"/>
    <xf numFmtId="0" fontId="20" fillId="0" borderId="0" xfId="5" applyFont="1" applyFill="1" applyBorder="1" applyAlignment="1">
      <alignment vertical="center"/>
    </xf>
    <xf numFmtId="0" fontId="0" fillId="0" borderId="8" xfId="0" applyBorder="1" applyAlignment="1">
      <alignment vertical="center" wrapText="1"/>
    </xf>
    <xf numFmtId="0" fontId="0" fillId="0" borderId="13" xfId="0" applyBorder="1" applyAlignment="1">
      <alignment vertical="center" wrapText="1"/>
    </xf>
    <xf numFmtId="0" fontId="12" fillId="0" borderId="0" xfId="4" applyFill="1" applyBorder="1" applyAlignment="1" applyProtection="1">
      <alignment vertical="center" wrapText="1"/>
      <protection locked="0"/>
    </xf>
    <xf numFmtId="0" fontId="0" fillId="0" borderId="0" xfId="0" applyFill="1" applyBorder="1" applyAlignment="1">
      <alignment horizontal="center" vertical="center"/>
    </xf>
    <xf numFmtId="0" fontId="12" fillId="0" borderId="0" xfId="5" applyFont="1" applyBorder="1" applyAlignment="1">
      <alignment vertical="center"/>
    </xf>
    <xf numFmtId="0" fontId="14" fillId="0" borderId="0" xfId="5" applyNumberFormat="1" applyFont="1" applyFill="1" applyBorder="1" applyAlignment="1" applyProtection="1">
      <alignment vertical="center"/>
    </xf>
    <xf numFmtId="0" fontId="12" fillId="0" borderId="0" xfId="5" applyBorder="1" applyAlignment="1">
      <alignment vertical="center"/>
    </xf>
    <xf numFmtId="0" fontId="12" fillId="3" borderId="0" xfId="5" applyFont="1" applyFill="1" applyBorder="1" applyAlignment="1" applyProtection="1">
      <alignment vertical="top" wrapText="1"/>
      <protection locked="0"/>
    </xf>
    <xf numFmtId="0" fontId="27" fillId="0" borderId="0" xfId="0" applyFont="1" applyFill="1" applyBorder="1" applyAlignment="1">
      <alignment vertical="center"/>
    </xf>
    <xf numFmtId="0" fontId="0" fillId="0" borderId="0" xfId="0" applyFill="1" applyBorder="1" applyAlignment="1">
      <alignment vertical="center"/>
    </xf>
    <xf numFmtId="0" fontId="0" fillId="0" borderId="0" xfId="0" applyAlignment="1"/>
    <xf numFmtId="14" fontId="12" fillId="0" borderId="0" xfId="5" applyNumberFormat="1" applyFill="1" applyBorder="1" applyAlignment="1">
      <alignment vertical="top" wrapText="1"/>
    </xf>
    <xf numFmtId="0" fontId="12" fillId="0" borderId="0" xfId="0" applyNumberFormat="1" applyFont="1" applyFill="1" applyBorder="1" applyAlignment="1" applyProtection="1">
      <alignment vertical="center" wrapText="1"/>
      <protection locked="0"/>
    </xf>
    <xf numFmtId="0" fontId="0" fillId="5" borderId="0" xfId="0" applyFill="1"/>
    <xf numFmtId="0" fontId="0" fillId="5" borderId="0" xfId="0" applyFill="1" applyBorder="1"/>
    <xf numFmtId="0" fontId="12" fillId="0" borderId="0" xfId="0" applyFont="1"/>
    <xf numFmtId="0" fontId="12" fillId="5" borderId="0" xfId="0" applyFont="1" applyFill="1" applyBorder="1"/>
    <xf numFmtId="0" fontId="12" fillId="5" borderId="0" xfId="0" applyFont="1" applyFill="1" applyBorder="1" applyAlignment="1"/>
    <xf numFmtId="0" fontId="0" fillId="5" borderId="10" xfId="0" applyFill="1" applyBorder="1"/>
    <xf numFmtId="0" fontId="35" fillId="5" borderId="0" xfId="0" applyFont="1" applyFill="1" applyBorder="1" applyAlignment="1">
      <alignment vertical="center" wrapText="1"/>
    </xf>
    <xf numFmtId="14" fontId="35" fillId="5" borderId="0" xfId="0" applyNumberFormat="1" applyFont="1" applyFill="1" applyBorder="1" applyAlignment="1">
      <alignment vertical="center" wrapText="1"/>
    </xf>
    <xf numFmtId="0" fontId="38" fillId="0" borderId="0" xfId="0" applyFont="1" applyAlignment="1"/>
    <xf numFmtId="0" fontId="32" fillId="5" borderId="0" xfId="0" applyFont="1" applyFill="1" applyBorder="1" applyAlignment="1"/>
    <xf numFmtId="0" fontId="32" fillId="0" borderId="0" xfId="0" applyFont="1" applyAlignment="1"/>
    <xf numFmtId="0" fontId="12" fillId="5" borderId="0" xfId="0" applyNumberFormat="1" applyFont="1" applyFill="1" applyBorder="1" applyAlignment="1" applyProtection="1">
      <alignment vertical="center" wrapText="1"/>
      <protection locked="0"/>
    </xf>
    <xf numFmtId="0" fontId="12" fillId="5" borderId="0" xfId="5" applyFill="1" applyBorder="1" applyAlignment="1">
      <alignment vertical="top" wrapText="1"/>
    </xf>
    <xf numFmtId="0" fontId="0" fillId="5" borderId="0" xfId="0" applyFill="1" applyBorder="1" applyAlignment="1"/>
    <xf numFmtId="0" fontId="40" fillId="0" borderId="0" xfId="8" applyFill="1"/>
    <xf numFmtId="0" fontId="12" fillId="0" borderId="0" xfId="8" applyFont="1" applyFill="1"/>
    <xf numFmtId="0" fontId="12" fillId="0" borderId="0" xfId="0" applyFont="1" applyFill="1" applyBorder="1"/>
    <xf numFmtId="0" fontId="37" fillId="5" borderId="0" xfId="0" applyFont="1" applyFill="1" applyBorder="1" applyAlignment="1">
      <alignment vertical="center"/>
    </xf>
    <xf numFmtId="0" fontId="12" fillId="0" borderId="0" xfId="0" applyFont="1" applyBorder="1" applyAlignment="1">
      <alignment vertical="center"/>
    </xf>
    <xf numFmtId="0" fontId="9" fillId="5" borderId="0" xfId="0" applyFont="1" applyFill="1" applyBorder="1" applyAlignment="1">
      <alignment vertical="center" wrapText="1"/>
    </xf>
    <xf numFmtId="0" fontId="12" fillId="5" borderId="0" xfId="5" applyFont="1" applyFill="1" applyBorder="1" applyAlignment="1">
      <alignment horizontal="left" vertical="top" wrapText="1" indent="1"/>
    </xf>
    <xf numFmtId="0" fontId="12" fillId="5" borderId="0" xfId="5" applyFont="1" applyFill="1" applyBorder="1" applyAlignment="1">
      <alignment vertical="top" wrapText="1"/>
    </xf>
    <xf numFmtId="0" fontId="12" fillId="5" borderId="0" xfId="5" applyFill="1" applyBorder="1" applyAlignment="1">
      <alignment horizontal="left" vertical="top" wrapText="1" indent="1"/>
    </xf>
    <xf numFmtId="0" fontId="0" fillId="5" borderId="0" xfId="0" applyFill="1" applyBorder="1"/>
    <xf numFmtId="0" fontId="10" fillId="0" borderId="0" xfId="0" applyFont="1"/>
    <xf numFmtId="0" fontId="43" fillId="0" borderId="0" xfId="0" applyFont="1"/>
    <xf numFmtId="0" fontId="45" fillId="5" borderId="0" xfId="5" applyNumberFormat="1" applyFont="1" applyFill="1" applyBorder="1" applyAlignment="1" applyProtection="1">
      <alignment horizontal="left" vertical="center"/>
    </xf>
    <xf numFmtId="0" fontId="45" fillId="5" borderId="0" xfId="0" applyFont="1" applyFill="1" applyBorder="1" applyAlignment="1">
      <alignment vertical="center"/>
    </xf>
    <xf numFmtId="0" fontId="45" fillId="5" borderId="0" xfId="5" applyFont="1" applyFill="1" applyBorder="1" applyAlignment="1">
      <alignment horizontal="center" vertical="center"/>
    </xf>
    <xf numFmtId="0" fontId="10" fillId="5" borderId="0" xfId="5" applyFont="1" applyFill="1" applyBorder="1" applyAlignment="1">
      <alignment vertical="top" wrapText="1"/>
    </xf>
    <xf numFmtId="0" fontId="10" fillId="5" borderId="0" xfId="0" applyFont="1" applyFill="1" applyBorder="1"/>
    <xf numFmtId="0" fontId="10" fillId="5" borderId="0" xfId="8" applyFont="1" applyFill="1" applyBorder="1"/>
    <xf numFmtId="0" fontId="10" fillId="5" borderId="0" xfId="8" applyFont="1" applyFill="1" applyBorder="1" applyAlignment="1">
      <alignment horizontal="center" vertical="center" wrapText="1"/>
    </xf>
    <xf numFmtId="0" fontId="49" fillId="5" borderId="0" xfId="8" applyFont="1" applyFill="1" applyBorder="1" applyAlignment="1" applyProtection="1">
      <alignment horizontal="left" vertical="top" wrapText="1"/>
      <protection locked="0"/>
    </xf>
    <xf numFmtId="0" fontId="49" fillId="5" borderId="0" xfId="8" applyFont="1" applyFill="1" applyBorder="1" applyAlignment="1" applyProtection="1">
      <alignment horizontal="left" wrapText="1"/>
      <protection locked="0"/>
    </xf>
    <xf numFmtId="0" fontId="10" fillId="5" borderId="0" xfId="8" applyFont="1" applyFill="1" applyBorder="1" applyAlignment="1">
      <alignment wrapText="1"/>
    </xf>
    <xf numFmtId="0" fontId="42" fillId="5" borderId="0" xfId="0" applyFont="1" applyFill="1" applyBorder="1" applyAlignment="1">
      <alignment vertical="center"/>
    </xf>
    <xf numFmtId="0" fontId="0" fillId="5" borderId="0" xfId="0" applyFill="1" applyBorder="1"/>
    <xf numFmtId="0" fontId="0" fillId="5" borderId="0" xfId="0" applyFill="1" applyBorder="1" applyAlignment="1">
      <alignment vertical="center" wrapText="1"/>
    </xf>
    <xf numFmtId="0" fontId="20" fillId="5" borderId="0" xfId="0" applyFont="1" applyFill="1" applyBorder="1"/>
    <xf numFmtId="14" fontId="12" fillId="5" borderId="0" xfId="5" applyNumberFormat="1" applyFill="1" applyBorder="1" applyAlignment="1">
      <alignment vertical="top" wrapText="1"/>
    </xf>
    <xf numFmtId="0" fontId="12" fillId="5" borderId="0" xfId="5" applyNumberFormat="1" applyFill="1" applyBorder="1" applyAlignment="1">
      <alignment vertical="top" wrapText="1"/>
    </xf>
    <xf numFmtId="14" fontId="12" fillId="5" borderId="11" xfId="5" applyNumberFormat="1" applyFill="1" applyBorder="1" applyAlignment="1">
      <alignment vertical="top" wrapText="1"/>
    </xf>
    <xf numFmtId="0" fontId="12" fillId="5" borderId="11" xfId="5" applyNumberFormat="1" applyFill="1" applyBorder="1" applyAlignment="1">
      <alignment vertical="top" wrapText="1"/>
    </xf>
    <xf numFmtId="1" fontId="12" fillId="2" borderId="4" xfId="5" applyNumberFormat="1" applyFill="1" applyBorder="1" applyAlignment="1">
      <alignment vertical="top" wrapText="1"/>
    </xf>
    <xf numFmtId="1" fontId="12" fillId="2" borderId="8" xfId="5" applyNumberFormat="1" applyFill="1" applyBorder="1" applyAlignment="1">
      <alignment vertical="top" wrapText="1"/>
    </xf>
    <xf numFmtId="1" fontId="12" fillId="4" borderId="2" xfId="5" applyNumberFormat="1" applyFill="1" applyBorder="1" applyAlignment="1">
      <alignment vertical="top" wrapText="1"/>
    </xf>
    <xf numFmtId="1" fontId="12" fillId="2" borderId="6" xfId="5" applyNumberFormat="1" applyFill="1" applyBorder="1" applyAlignment="1">
      <alignment vertical="top" wrapText="1"/>
    </xf>
    <xf numFmtId="1" fontId="12" fillId="2" borderId="13" xfId="5" applyNumberFormat="1" applyFill="1" applyBorder="1" applyAlignment="1">
      <alignment vertical="top" wrapText="1"/>
    </xf>
    <xf numFmtId="1" fontId="12" fillId="2" borderId="2" xfId="5" applyNumberFormat="1" applyFill="1" applyBorder="1" applyAlignment="1">
      <alignment vertical="top" wrapText="1"/>
    </xf>
    <xf numFmtId="1" fontId="12" fillId="2" borderId="17" xfId="5" applyNumberFormat="1" applyFill="1" applyBorder="1" applyAlignment="1">
      <alignment vertical="top" wrapText="1"/>
    </xf>
    <xf numFmtId="14" fontId="10" fillId="4" borderId="18" xfId="5" applyNumberFormat="1" applyFont="1" applyFill="1" applyBorder="1" applyAlignment="1">
      <alignment horizontal="center" vertical="top" wrapText="1"/>
    </xf>
    <xf numFmtId="14" fontId="10" fillId="2" borderId="9" xfId="5" applyNumberFormat="1" applyFont="1" applyFill="1" applyBorder="1" applyAlignment="1">
      <alignment horizontal="center" vertical="top" wrapText="1"/>
    </xf>
    <xf numFmtId="14" fontId="10" fillId="2" borderId="18" xfId="5" applyNumberFormat="1" applyFont="1" applyFill="1" applyBorder="1" applyAlignment="1">
      <alignment horizontal="center" vertical="top" wrapText="1"/>
    </xf>
    <xf numFmtId="0" fontId="0" fillId="5" borderId="11" xfId="0" applyFill="1" applyBorder="1" applyAlignment="1"/>
    <xf numFmtId="0" fontId="0" fillId="5" borderId="8" xfId="0" applyFill="1" applyBorder="1" applyAlignment="1"/>
    <xf numFmtId="0" fontId="0" fillId="5" borderId="10" xfId="0" applyFill="1" applyBorder="1" applyAlignment="1"/>
    <xf numFmtId="0" fontId="10" fillId="0" borderId="19" xfId="0" applyFont="1" applyBorder="1" applyAlignment="1">
      <alignment vertical="top" wrapText="1"/>
    </xf>
    <xf numFmtId="0" fontId="10" fillId="0" borderId="22" xfId="0" applyFont="1" applyBorder="1" applyAlignment="1">
      <alignment vertical="top" wrapText="1"/>
    </xf>
    <xf numFmtId="0" fontId="10" fillId="0" borderId="0" xfId="0" applyFont="1" applyBorder="1" applyAlignment="1">
      <alignment vertical="top" wrapText="1"/>
    </xf>
    <xf numFmtId="0" fontId="10" fillId="0" borderId="23" xfId="0" applyFont="1" applyBorder="1" applyAlignment="1">
      <alignment vertical="top" wrapText="1"/>
    </xf>
    <xf numFmtId="0" fontId="12" fillId="5" borderId="0" xfId="5" applyFill="1" applyBorder="1" applyAlignment="1">
      <alignment vertical="center" wrapText="1"/>
    </xf>
    <xf numFmtId="0" fontId="20" fillId="5" borderId="0" xfId="0" applyFont="1" applyFill="1" applyBorder="1" applyAlignment="1">
      <alignment vertical="center"/>
    </xf>
    <xf numFmtId="0" fontId="21" fillId="0" borderId="0" xfId="0" applyFont="1" applyBorder="1" applyAlignment="1">
      <alignment vertical="top" wrapText="1"/>
    </xf>
    <xf numFmtId="0" fontId="21" fillId="0" borderId="23" xfId="0" applyFont="1" applyBorder="1" applyAlignment="1">
      <alignment vertical="top" wrapText="1"/>
    </xf>
    <xf numFmtId="0" fontId="10" fillId="5" borderId="0" xfId="8" applyFont="1" applyFill="1" applyBorder="1" applyAlignment="1" applyProtection="1">
      <alignment horizontal="left" vertical="top" wrapText="1"/>
      <protection locked="0"/>
    </xf>
    <xf numFmtId="0" fontId="37" fillId="5" borderId="0" xfId="0" applyFont="1" applyFill="1" applyBorder="1" applyAlignment="1">
      <alignment horizontal="center" vertical="center" wrapText="1"/>
    </xf>
    <xf numFmtId="0" fontId="37" fillId="5" borderId="0" xfId="0" applyFont="1" applyFill="1" applyBorder="1" applyAlignment="1">
      <alignment horizontal="left" vertical="center" wrapText="1" indent="1"/>
    </xf>
    <xf numFmtId="0" fontId="50" fillId="5" borderId="0" xfId="0" applyFont="1" applyFill="1" applyBorder="1" applyAlignment="1">
      <alignment horizontal="center" vertical="center" wrapText="1"/>
    </xf>
    <xf numFmtId="0" fontId="10" fillId="5" borderId="0" xfId="0" applyFont="1" applyFill="1" applyBorder="1" applyAlignment="1">
      <alignment horizontal="left" vertical="center" wrapText="1" indent="1"/>
    </xf>
    <xf numFmtId="0" fontId="37" fillId="5" borderId="0" xfId="0" applyFont="1" applyFill="1" applyBorder="1" applyAlignment="1">
      <alignment vertical="center" wrapText="1"/>
    </xf>
    <xf numFmtId="0" fontId="52" fillId="5" borderId="0" xfId="0" applyFont="1" applyFill="1" applyBorder="1" applyAlignment="1">
      <alignment horizontal="center" vertical="center"/>
    </xf>
    <xf numFmtId="0" fontId="10" fillId="5" borderId="0" xfId="8" applyFont="1" applyFill="1" applyBorder="1" applyAlignment="1">
      <alignment horizontal="left" vertical="top" wrapText="1"/>
    </xf>
    <xf numFmtId="0" fontId="10" fillId="5" borderId="0" xfId="8" applyFont="1" applyFill="1" applyBorder="1" applyAlignment="1">
      <alignment vertical="top" wrapText="1"/>
    </xf>
    <xf numFmtId="0" fontId="10" fillId="5" borderId="0" xfId="0" applyNumberFormat="1" applyFont="1" applyFill="1" applyBorder="1" applyAlignment="1" applyProtection="1">
      <alignment horizontal="left" vertical="top" wrapText="1"/>
      <protection locked="0"/>
    </xf>
    <xf numFmtId="0" fontId="49" fillId="5" borderId="0" xfId="8" applyFont="1" applyFill="1" applyBorder="1" applyAlignment="1" applyProtection="1">
      <alignment horizontal="center" vertical="center" wrapText="1"/>
      <protection locked="0"/>
    </xf>
    <xf numFmtId="0" fontId="40" fillId="5" borderId="0" xfId="8" applyFont="1" applyFill="1" applyBorder="1" applyAlignment="1">
      <alignment horizontal="left" vertical="top"/>
    </xf>
    <xf numFmtId="0" fontId="39" fillId="0" borderId="0" xfId="0" applyFont="1" applyBorder="1" applyAlignment="1">
      <alignment vertical="top" wrapText="1"/>
    </xf>
    <xf numFmtId="0" fontId="53" fillId="0" borderId="0" xfId="0" applyFont="1" applyBorder="1" applyAlignment="1"/>
    <xf numFmtId="0" fontId="39" fillId="0" borderId="0" xfId="0" applyFont="1" applyAlignment="1">
      <alignment horizontal="left" vertical="center"/>
    </xf>
    <xf numFmtId="0" fontId="10" fillId="5" borderId="0" xfId="0" applyFont="1" applyFill="1" applyBorder="1" applyAlignment="1" applyProtection="1">
      <alignment vertical="center"/>
    </xf>
    <xf numFmtId="0" fontId="56" fillId="0" borderId="0" xfId="0" applyFont="1" applyBorder="1" applyAlignment="1"/>
    <xf numFmtId="0" fontId="32" fillId="0" borderId="0" xfId="0" applyFont="1" applyBorder="1" applyAlignment="1"/>
    <xf numFmtId="0" fontId="20" fillId="0" borderId="0" xfId="0" applyFont="1" applyAlignment="1">
      <alignment vertical="top" textRotation="90"/>
    </xf>
    <xf numFmtId="0" fontId="0" fillId="5" borderId="0" xfId="0" applyFill="1" applyBorder="1"/>
    <xf numFmtId="0" fontId="57" fillId="0" borderId="0" xfId="0" applyFont="1" applyBorder="1" applyAlignment="1">
      <alignment horizontal="center" vertical="center"/>
    </xf>
    <xf numFmtId="0" fontId="10" fillId="7" borderId="18" xfId="0" applyFont="1" applyFill="1" applyBorder="1" applyAlignment="1">
      <alignment horizontal="center" vertical="center"/>
    </xf>
    <xf numFmtId="0" fontId="10" fillId="5" borderId="18" xfId="0" applyNumberFormat="1" applyFont="1" applyFill="1" applyBorder="1" applyAlignment="1" applyProtection="1">
      <alignment horizontal="left" vertical="top" wrapText="1"/>
      <protection locked="0"/>
    </xf>
    <xf numFmtId="0" fontId="10" fillId="5" borderId="52" xfId="0" applyNumberFormat="1" applyFont="1" applyFill="1" applyBorder="1" applyAlignment="1" applyProtection="1">
      <alignment horizontal="left" vertical="top" wrapText="1"/>
      <protection locked="0"/>
    </xf>
    <xf numFmtId="1" fontId="12" fillId="2" borderId="8" xfId="5" applyNumberFormat="1" applyFill="1" applyBorder="1" applyAlignment="1">
      <alignment horizontal="right" vertical="top" wrapText="1"/>
    </xf>
    <xf numFmtId="0" fontId="54" fillId="5" borderId="0" xfId="0" applyFont="1" applyFill="1" applyBorder="1" applyAlignment="1">
      <alignment vertical="center"/>
    </xf>
    <xf numFmtId="0" fontId="0" fillId="0" borderId="0" xfId="0" applyAlignment="1">
      <alignment horizontal="center"/>
    </xf>
    <xf numFmtId="0" fontId="17" fillId="0" borderId="0" xfId="0" applyFont="1" applyBorder="1" applyAlignment="1">
      <alignment vertical="top"/>
    </xf>
    <xf numFmtId="0" fontId="10" fillId="5" borderId="0" xfId="5" applyFont="1" applyFill="1" applyBorder="1" applyAlignment="1" applyProtection="1">
      <alignment vertical="top" wrapText="1"/>
    </xf>
    <xf numFmtId="0" fontId="10" fillId="5" borderId="0" xfId="0" applyFont="1" applyFill="1" applyBorder="1" applyAlignment="1">
      <alignment vertical="center"/>
    </xf>
    <xf numFmtId="0" fontId="13" fillId="5" borderId="0" xfId="0" applyFont="1" applyFill="1" applyBorder="1" applyAlignment="1">
      <alignment vertical="center"/>
    </xf>
    <xf numFmtId="0" fontId="14" fillId="5" borderId="0" xfId="5" applyNumberFormat="1" applyFont="1" applyFill="1" applyBorder="1" applyAlignment="1" applyProtection="1">
      <alignment vertical="center"/>
    </xf>
    <xf numFmtId="0" fontId="0" fillId="5" borderId="0" xfId="0" applyFill="1" applyBorder="1" applyAlignment="1">
      <alignment vertical="top"/>
    </xf>
    <xf numFmtId="0" fontId="12" fillId="5" borderId="0" xfId="5" applyFill="1" applyBorder="1" applyAlignment="1" applyProtection="1">
      <alignment vertical="top" wrapText="1"/>
    </xf>
    <xf numFmtId="0" fontId="12" fillId="5" borderId="0" xfId="5" applyFont="1" applyFill="1" applyBorder="1" applyAlignment="1" applyProtection="1">
      <alignment vertical="top" wrapText="1"/>
    </xf>
    <xf numFmtId="0" fontId="0" fillId="5" borderId="0" xfId="0" applyFill="1" applyBorder="1" applyProtection="1"/>
    <xf numFmtId="0" fontId="12" fillId="5" borderId="0" xfId="5" applyFill="1" applyBorder="1" applyAlignment="1" applyProtection="1">
      <alignment vertical="top" wrapText="1"/>
      <protection locked="0"/>
    </xf>
    <xf numFmtId="0" fontId="10" fillId="5" borderId="0" xfId="0" applyNumberFormat="1" applyFont="1" applyFill="1" applyBorder="1" applyAlignment="1" applyProtection="1">
      <alignment vertical="center" wrapText="1"/>
    </xf>
    <xf numFmtId="0" fontId="11" fillId="5" borderId="0" xfId="1" applyFill="1" applyBorder="1" applyAlignment="1" applyProtection="1">
      <alignment horizontal="center" vertical="center" wrapText="1"/>
    </xf>
    <xf numFmtId="0" fontId="10" fillId="5" borderId="0" xfId="4" applyFont="1" applyFill="1" applyBorder="1" applyAlignment="1" applyProtection="1">
      <alignment vertical="center" wrapText="1"/>
    </xf>
    <xf numFmtId="0" fontId="10" fillId="5" borderId="0" xfId="4" applyFont="1" applyFill="1" applyBorder="1" applyAlignment="1" applyProtection="1"/>
    <xf numFmtId="0" fontId="14" fillId="5" borderId="0" xfId="5" applyNumberFormat="1" applyFont="1" applyFill="1" applyAlignment="1" applyProtection="1"/>
    <xf numFmtId="0" fontId="12" fillId="5" borderId="0" xfId="5" applyFont="1" applyFill="1" applyAlignment="1" applyProtection="1">
      <alignment vertical="center"/>
    </xf>
    <xf numFmtId="0" fontId="14" fillId="5" borderId="0" xfId="5" applyNumberFormat="1" applyFont="1" applyFill="1" applyBorder="1" applyAlignment="1" applyProtection="1"/>
    <xf numFmtId="0" fontId="12" fillId="5" borderId="0" xfId="2" applyNumberFormat="1" applyFont="1" applyFill="1" applyBorder="1" applyProtection="1">
      <alignment vertical="center"/>
    </xf>
    <xf numFmtId="0" fontId="12" fillId="5" borderId="0" xfId="2" applyNumberFormat="1" applyFont="1" applyFill="1" applyBorder="1" applyAlignment="1" applyProtection="1">
      <alignment horizontal="center" vertical="center"/>
    </xf>
    <xf numFmtId="0" fontId="12" fillId="5" borderId="0" xfId="2" applyNumberFormat="1" applyFont="1" applyFill="1" applyBorder="1" applyAlignment="1" applyProtection="1">
      <alignment vertical="center" wrapText="1"/>
    </xf>
    <xf numFmtId="0" fontId="0" fillId="5" borderId="0" xfId="0" applyFill="1" applyProtection="1"/>
    <xf numFmtId="0" fontId="0" fillId="5" borderId="0" xfId="0" applyFill="1" applyAlignment="1"/>
    <xf numFmtId="0" fontId="11" fillId="5" borderId="0" xfId="1" applyFont="1" applyFill="1" applyBorder="1" applyAlignment="1" applyProtection="1">
      <alignment vertical="top" wrapText="1"/>
    </xf>
    <xf numFmtId="0" fontId="11" fillId="5" borderId="0" xfId="1" applyFill="1" applyBorder="1" applyAlignment="1" applyProtection="1">
      <alignment vertical="top" wrapText="1"/>
    </xf>
    <xf numFmtId="0" fontId="12" fillId="5" borderId="0" xfId="5" applyFont="1" applyFill="1" applyBorder="1" applyAlignment="1" applyProtection="1">
      <alignment vertical="center"/>
    </xf>
    <xf numFmtId="0" fontId="20" fillId="0" borderId="0" xfId="0" applyFont="1" applyFill="1" applyBorder="1" applyAlignment="1">
      <alignment horizontal="center" vertical="center" textRotation="90"/>
    </xf>
    <xf numFmtId="0" fontId="0" fillId="0" borderId="0" xfId="0" applyFill="1" applyBorder="1" applyAlignment="1">
      <alignment vertical="top" wrapText="1"/>
    </xf>
    <xf numFmtId="0" fontId="20" fillId="0" borderId="0" xfId="0" applyFont="1" applyFill="1" applyBorder="1" applyAlignment="1">
      <alignment vertical="center" textRotation="90"/>
    </xf>
    <xf numFmtId="0" fontId="14" fillId="0" borderId="0" xfId="0" applyFont="1" applyFill="1" applyBorder="1" applyAlignment="1">
      <alignment vertical="center" textRotation="90"/>
    </xf>
    <xf numFmtId="0" fontId="14" fillId="5" borderId="1" xfId="5" applyNumberFormat="1" applyFont="1" applyFill="1" applyBorder="1" applyAlignment="1" applyProtection="1"/>
    <xf numFmtId="0" fontId="0" fillId="0" borderId="0" xfId="0" applyFill="1" applyBorder="1"/>
    <xf numFmtId="0" fontId="0" fillId="5" borderId="0" xfId="0" applyFill="1"/>
    <xf numFmtId="0" fontId="7" fillId="12" borderId="67" xfId="9" applyFill="1" applyBorder="1" applyProtection="1">
      <protection locked="0"/>
    </xf>
    <xf numFmtId="0" fontId="7" fillId="12" borderId="67" xfId="9" applyFill="1" applyBorder="1" applyAlignment="1" applyProtection="1">
      <alignment wrapText="1"/>
      <protection locked="0"/>
    </xf>
    <xf numFmtId="0" fontId="7" fillId="12" borderId="68" xfId="9" applyFill="1" applyBorder="1" applyAlignment="1" applyProtection="1">
      <alignment wrapText="1"/>
      <protection locked="0"/>
    </xf>
    <xf numFmtId="0" fontId="7" fillId="12" borderId="68" xfId="9" applyFill="1" applyBorder="1" applyProtection="1">
      <protection locked="0"/>
    </xf>
    <xf numFmtId="0" fontId="7" fillId="10" borderId="0" xfId="9" applyFill="1" applyAlignment="1" applyProtection="1">
      <alignment horizontal="left"/>
    </xf>
    <xf numFmtId="0" fontId="7" fillId="10" borderId="14" xfId="9" applyFill="1" applyBorder="1" applyAlignment="1" applyProtection="1">
      <alignment horizontal="left"/>
    </xf>
    <xf numFmtId="0" fontId="7" fillId="0" borderId="68" xfId="9" applyFill="1" applyBorder="1" applyAlignment="1" applyProtection="1">
      <alignment horizontal="left"/>
    </xf>
    <xf numFmtId="0" fontId="7" fillId="9" borderId="0" xfId="9" applyFill="1" applyAlignment="1" applyProtection="1">
      <alignment horizontal="left"/>
    </xf>
    <xf numFmtId="0" fontId="7" fillId="9" borderId="14" xfId="9" applyFill="1" applyBorder="1" applyAlignment="1" applyProtection="1">
      <alignment horizontal="left"/>
    </xf>
    <xf numFmtId="0" fontId="7" fillId="11" borderId="0" xfId="9" applyFill="1" applyAlignment="1" applyProtection="1">
      <alignment horizontal="left"/>
    </xf>
    <xf numFmtId="0" fontId="7" fillId="11" borderId="14" xfId="9" applyFill="1" applyBorder="1" applyAlignment="1" applyProtection="1">
      <alignment horizontal="left"/>
    </xf>
    <xf numFmtId="0" fontId="7" fillId="0" borderId="69" xfId="9" applyFill="1" applyBorder="1" applyAlignment="1" applyProtection="1">
      <alignment horizontal="left"/>
    </xf>
    <xf numFmtId="164" fontId="7" fillId="0" borderId="68" xfId="9" applyNumberFormat="1" applyFill="1" applyBorder="1" applyAlignment="1" applyProtection="1">
      <alignment horizontal="left"/>
    </xf>
    <xf numFmtId="0" fontId="36" fillId="0" borderId="2" xfId="9" applyFont="1" applyBorder="1" applyAlignment="1" applyProtection="1">
      <alignment vertical="top"/>
    </xf>
    <xf numFmtId="0" fontId="36" fillId="0" borderId="2" xfId="9" applyFont="1" applyBorder="1" applyAlignment="1" applyProtection="1">
      <alignment vertical="top" wrapText="1"/>
    </xf>
    <xf numFmtId="0" fontId="7" fillId="5" borderId="0" xfId="9" applyFill="1" applyProtection="1"/>
    <xf numFmtId="0" fontId="7" fillId="5" borderId="0" xfId="9" applyFill="1" applyBorder="1" applyProtection="1"/>
    <xf numFmtId="0" fontId="7" fillId="5" borderId="10" xfId="9" applyFill="1" applyBorder="1" applyProtection="1"/>
    <xf numFmtId="0" fontId="7" fillId="5" borderId="0" xfId="9" applyFill="1" applyBorder="1" applyAlignment="1" applyProtection="1">
      <alignment horizontal="center" vertical="center"/>
      <protection locked="0"/>
    </xf>
    <xf numFmtId="0" fontId="7" fillId="5" borderId="11" xfId="9" applyFill="1" applyBorder="1" applyProtection="1"/>
    <xf numFmtId="0" fontId="7" fillId="5" borderId="0" xfId="9" applyFill="1" applyAlignment="1" applyProtection="1">
      <alignment horizontal="left"/>
    </xf>
    <xf numFmtId="0" fontId="7" fillId="5" borderId="14" xfId="9" applyFill="1" applyBorder="1" applyAlignment="1" applyProtection="1">
      <alignment horizontal="left"/>
    </xf>
    <xf numFmtId="0" fontId="7" fillId="12" borderId="67" xfId="9" applyFill="1" applyBorder="1" applyAlignment="1" applyProtection="1">
      <alignment horizontal="left" vertical="center" wrapText="1"/>
      <protection locked="0"/>
    </xf>
    <xf numFmtId="164" fontId="7" fillId="12" borderId="67" xfId="9" applyNumberFormat="1" applyFill="1" applyBorder="1" applyAlignment="1" applyProtection="1">
      <alignment horizontal="left" vertical="center"/>
      <protection locked="0"/>
    </xf>
    <xf numFmtId="0" fontId="7" fillId="12" borderId="67" xfId="9" applyFill="1" applyBorder="1" applyAlignment="1" applyProtection="1">
      <alignment horizontal="left" vertical="center"/>
      <protection locked="0"/>
    </xf>
    <xf numFmtId="0" fontId="7" fillId="12" borderId="68" xfId="9" applyFill="1" applyBorder="1" applyAlignment="1" applyProtection="1">
      <alignment horizontal="left" vertical="center" wrapText="1"/>
      <protection locked="0"/>
    </xf>
    <xf numFmtId="164" fontId="7" fillId="12" borderId="68" xfId="9" applyNumberFormat="1" applyFill="1" applyBorder="1" applyAlignment="1" applyProtection="1">
      <alignment horizontal="left" vertical="center"/>
      <protection locked="0"/>
    </xf>
    <xf numFmtId="0" fontId="7" fillId="12" borderId="68" xfId="9" applyFill="1" applyBorder="1" applyAlignment="1" applyProtection="1">
      <alignment horizontal="left" vertical="center"/>
      <protection locked="0"/>
    </xf>
    <xf numFmtId="164" fontId="0" fillId="5" borderId="0" xfId="0" applyNumberFormat="1" applyFill="1"/>
    <xf numFmtId="0" fontId="32" fillId="5" borderId="0" xfId="0" applyFont="1" applyFill="1" applyAlignment="1">
      <alignment horizontal="left"/>
    </xf>
    <xf numFmtId="0" fontId="10" fillId="5" borderId="18" xfId="8" applyFont="1" applyFill="1" applyBorder="1" applyAlignment="1">
      <alignment horizontal="left" vertical="top" wrapText="1"/>
    </xf>
    <xf numFmtId="0" fontId="10" fillId="4" borderId="14" xfId="8" applyFont="1" applyFill="1" applyBorder="1" applyAlignment="1">
      <alignment horizontal="left" vertical="top" wrapText="1"/>
    </xf>
    <xf numFmtId="0" fontId="10" fillId="4" borderId="12" xfId="8" applyFont="1" applyFill="1" applyBorder="1" applyAlignment="1">
      <alignment horizontal="left" vertical="top" wrapText="1"/>
    </xf>
    <xf numFmtId="0" fontId="10" fillId="5" borderId="3" xfId="8" applyFont="1" applyFill="1" applyBorder="1" applyAlignment="1">
      <alignment horizontal="left" vertical="top" wrapText="1"/>
    </xf>
    <xf numFmtId="0" fontId="10" fillId="4" borderId="20" xfId="8" applyFont="1" applyFill="1" applyBorder="1" applyAlignment="1">
      <alignment horizontal="left" vertical="top" wrapText="1"/>
    </xf>
    <xf numFmtId="0" fontId="10" fillId="4" borderId="59" xfId="8" applyFont="1" applyFill="1" applyBorder="1" applyAlignment="1">
      <alignment horizontal="left" vertical="top" wrapText="1"/>
    </xf>
    <xf numFmtId="0" fontId="10" fillId="4" borderId="0" xfId="8" applyFont="1" applyFill="1" applyBorder="1" applyAlignment="1">
      <alignment horizontal="left" vertical="top" wrapText="1"/>
    </xf>
    <xf numFmtId="0" fontId="10" fillId="4" borderId="13" xfId="8" applyFont="1" applyFill="1" applyBorder="1" applyAlignment="1">
      <alignment horizontal="left" vertical="top" wrapText="1"/>
    </xf>
    <xf numFmtId="0" fontId="10" fillId="4" borderId="17" xfId="8" applyFont="1" applyFill="1" applyBorder="1" applyAlignment="1">
      <alignment horizontal="left" vertical="top" wrapText="1"/>
    </xf>
    <xf numFmtId="0" fontId="10" fillId="4" borderId="13" xfId="8" applyFont="1" applyFill="1" applyBorder="1" applyAlignment="1" applyProtection="1">
      <alignment horizontal="left" vertical="top" wrapText="1"/>
      <protection locked="0"/>
    </xf>
    <xf numFmtId="0" fontId="10" fillId="4" borderId="17" xfId="8" applyFont="1" applyFill="1" applyBorder="1" applyAlignment="1" applyProtection="1">
      <alignment horizontal="left" vertical="top" wrapText="1"/>
      <protection locked="0"/>
    </xf>
    <xf numFmtId="0" fontId="10" fillId="4" borderId="14" xfId="8" applyFont="1" applyFill="1" applyBorder="1" applyAlignment="1" applyProtection="1">
      <alignment horizontal="left" vertical="top" wrapText="1"/>
      <protection locked="0"/>
    </xf>
    <xf numFmtId="0" fontId="10" fillId="4" borderId="12" xfId="8" applyFont="1" applyFill="1" applyBorder="1" applyAlignment="1" applyProtection="1">
      <alignment horizontal="left" vertical="top" wrapText="1"/>
      <protection locked="0"/>
    </xf>
    <xf numFmtId="0" fontId="10" fillId="4" borderId="29" xfId="8" applyFont="1" applyFill="1" applyBorder="1" applyAlignment="1" applyProtection="1">
      <alignment horizontal="left" vertical="top" wrapText="1"/>
      <protection locked="0"/>
    </xf>
    <xf numFmtId="0" fontId="10" fillId="4" borderId="59" xfId="8" applyFont="1" applyFill="1" applyBorder="1" applyAlignment="1" applyProtection="1">
      <alignment horizontal="left" vertical="top" wrapText="1"/>
      <protection locked="0"/>
    </xf>
    <xf numFmtId="0" fontId="10" fillId="4" borderId="12" xfId="0" applyNumberFormat="1" applyFont="1" applyFill="1" applyBorder="1" applyAlignment="1" applyProtection="1">
      <alignment horizontal="left" vertical="top" wrapText="1"/>
      <protection locked="0"/>
    </xf>
    <xf numFmtId="0" fontId="12" fillId="5" borderId="0" xfId="5" applyFill="1" applyBorder="1" applyAlignment="1" applyProtection="1">
      <alignment vertical="center" wrapText="1"/>
    </xf>
    <xf numFmtId="0" fontId="12" fillId="5" borderId="10" xfId="0" applyFont="1" applyFill="1" applyBorder="1" applyAlignment="1">
      <alignment wrapText="1"/>
    </xf>
    <xf numFmtId="0" fontId="12" fillId="0" borderId="0" xfId="0" applyFont="1" applyAlignment="1">
      <alignment wrapText="1"/>
    </xf>
    <xf numFmtId="0" fontId="12" fillId="0" borderId="0" xfId="0" applyFont="1" applyBorder="1" applyAlignment="1">
      <alignment wrapText="1"/>
    </xf>
    <xf numFmtId="0" fontId="10" fillId="4" borderId="36" xfId="0" applyFont="1" applyFill="1" applyBorder="1" applyAlignment="1">
      <alignment horizontal="left" vertical="top" wrapText="1"/>
    </xf>
    <xf numFmtId="0" fontId="20" fillId="0" borderId="0" xfId="0" applyFont="1" applyFill="1" applyBorder="1" applyAlignment="1">
      <alignment vertical="top" textRotation="90"/>
    </xf>
    <xf numFmtId="0" fontId="0" fillId="0" borderId="0" xfId="0" applyBorder="1" applyAlignment="1">
      <alignment horizontal="center" vertical="center"/>
    </xf>
    <xf numFmtId="0" fontId="0" fillId="0" borderId="0" xfId="0" applyBorder="1" applyAlignment="1">
      <alignment horizontal="left"/>
    </xf>
    <xf numFmtId="0" fontId="10" fillId="5" borderId="0" xfId="0" applyFont="1" applyFill="1" applyBorder="1" applyAlignment="1"/>
    <xf numFmtId="0" fontId="14" fillId="5" borderId="71" xfId="5" applyNumberFormat="1" applyFont="1" applyFill="1" applyBorder="1" applyAlignment="1" applyProtection="1"/>
    <xf numFmtId="0" fontId="32" fillId="5" borderId="0" xfId="0" applyFont="1" applyFill="1" applyBorder="1" applyAlignment="1">
      <alignment horizontal="left"/>
    </xf>
    <xf numFmtId="0" fontId="0" fillId="5" borderId="0" xfId="0" applyFill="1" applyBorder="1"/>
    <xf numFmtId="0" fontId="45" fillId="5" borderId="0" xfId="0" applyFont="1" applyFill="1" applyBorder="1" applyAlignment="1">
      <alignment vertical="center" wrapText="1"/>
    </xf>
    <xf numFmtId="0" fontId="41" fillId="5" borderId="0" xfId="0" applyFont="1" applyFill="1" applyBorder="1" applyAlignment="1">
      <alignment vertical="center"/>
    </xf>
    <xf numFmtId="0" fontId="0" fillId="5" borderId="0" xfId="0" applyFill="1" applyAlignment="1">
      <alignment vertical="top"/>
    </xf>
    <xf numFmtId="0" fontId="0" fillId="0" borderId="0" xfId="0" applyBorder="1" applyAlignment="1">
      <alignment vertical="top" wrapText="1"/>
    </xf>
    <xf numFmtId="0" fontId="10" fillId="0" borderId="0" xfId="0" applyFont="1" applyFill="1"/>
    <xf numFmtId="0" fontId="32" fillId="5" borderId="0" xfId="0" applyFont="1" applyFill="1" applyBorder="1" applyAlignment="1">
      <alignment horizontal="left"/>
    </xf>
    <xf numFmtId="0" fontId="0" fillId="5" borderId="0" xfId="0" applyFill="1" applyBorder="1"/>
    <xf numFmtId="0" fontId="0" fillId="5" borderId="0" xfId="0" applyFill="1" applyBorder="1" applyAlignment="1">
      <alignment vertical="center"/>
    </xf>
    <xf numFmtId="0" fontId="41" fillId="5" borderId="0" xfId="0" applyFont="1" applyFill="1" applyBorder="1" applyAlignment="1">
      <alignment vertical="center" wrapText="1"/>
    </xf>
    <xf numFmtId="0" fontId="60" fillId="5" borderId="0" xfId="0" applyFont="1" applyFill="1" applyBorder="1" applyAlignment="1">
      <alignment vertical="center" textRotation="180"/>
    </xf>
    <xf numFmtId="0" fontId="61" fillId="5" borderId="0" xfId="0" applyFont="1" applyFill="1" applyBorder="1" applyAlignment="1">
      <alignment vertical="center"/>
    </xf>
    <xf numFmtId="0" fontId="14" fillId="5" borderId="0" xfId="0" applyFont="1" applyFill="1" applyBorder="1" applyAlignment="1">
      <alignment vertical="center"/>
    </xf>
    <xf numFmtId="10" fontId="63" fillId="5" borderId="0" xfId="0" applyNumberFormat="1" applyFont="1" applyFill="1" applyBorder="1" applyAlignment="1">
      <alignment vertical="center" textRotation="180"/>
    </xf>
    <xf numFmtId="0" fontId="62" fillId="5" borderId="0" xfId="0" applyFont="1" applyFill="1" applyBorder="1" applyAlignment="1">
      <alignment vertical="center"/>
    </xf>
    <xf numFmtId="165" fontId="25" fillId="5" borderId="0" xfId="0" applyNumberFormat="1" applyFont="1" applyFill="1" applyBorder="1" applyAlignment="1">
      <alignment vertical="center"/>
    </xf>
    <xf numFmtId="0" fontId="44" fillId="5" borderId="0" xfId="0" applyFont="1" applyFill="1" applyBorder="1" applyAlignment="1">
      <alignment vertical="center"/>
    </xf>
    <xf numFmtId="0" fontId="14" fillId="5" borderId="0" xfId="0" applyNumberFormat="1" applyFont="1" applyFill="1" applyBorder="1" applyAlignment="1">
      <alignment vertical="center"/>
    </xf>
    <xf numFmtId="0" fontId="14" fillId="5" borderId="0" xfId="0" applyFont="1" applyFill="1" applyBorder="1" applyAlignment="1"/>
    <xf numFmtId="0" fontId="14" fillId="6" borderId="5" xfId="0" applyFont="1" applyFill="1" applyBorder="1" applyAlignment="1">
      <alignment vertical="center" textRotation="90"/>
    </xf>
    <xf numFmtId="0" fontId="14" fillId="6" borderId="11" xfId="0" applyFont="1" applyFill="1" applyBorder="1" applyAlignment="1">
      <alignment vertical="center"/>
    </xf>
    <xf numFmtId="0" fontId="14" fillId="6" borderId="0" xfId="0" applyFont="1" applyFill="1" applyBorder="1" applyAlignment="1">
      <alignment vertical="center"/>
    </xf>
    <xf numFmtId="0" fontId="18" fillId="6" borderId="37" xfId="0" applyFont="1" applyFill="1" applyBorder="1" applyAlignment="1">
      <alignment vertical="center" textRotation="90"/>
    </xf>
    <xf numFmtId="0" fontId="18" fillId="6" borderId="5" xfId="0" applyFont="1" applyFill="1" applyBorder="1" applyAlignment="1">
      <alignment vertical="center" textRotation="90"/>
    </xf>
    <xf numFmtId="0" fontId="18" fillId="6" borderId="38" xfId="0" applyFont="1" applyFill="1" applyBorder="1" applyAlignment="1">
      <alignment vertical="center" textRotation="90"/>
    </xf>
    <xf numFmtId="0" fontId="18" fillId="6" borderId="76" xfId="0" applyFont="1" applyFill="1" applyBorder="1" applyAlignment="1">
      <alignment vertical="center" textRotation="90"/>
    </xf>
    <xf numFmtId="0" fontId="18" fillId="6" borderId="75" xfId="0" applyFont="1" applyFill="1" applyBorder="1" applyAlignment="1">
      <alignment vertical="center" textRotation="90"/>
    </xf>
    <xf numFmtId="0" fontId="14" fillId="6" borderId="37" xfId="0" applyFont="1" applyFill="1" applyBorder="1" applyAlignment="1">
      <alignment vertical="center" textRotation="90"/>
    </xf>
    <xf numFmtId="0" fontId="14" fillId="6" borderId="35" xfId="0" applyFont="1" applyFill="1" applyBorder="1" applyAlignment="1">
      <alignment vertical="center"/>
    </xf>
    <xf numFmtId="0" fontId="10" fillId="0" borderId="0" xfId="0" applyFont="1" applyFill="1" applyBorder="1" applyAlignment="1">
      <alignment vertical="top" wrapText="1"/>
    </xf>
    <xf numFmtId="0" fontId="38" fillId="0" borderId="0" xfId="1" applyFont="1" applyBorder="1" applyAlignment="1" applyProtection="1">
      <alignment horizontal="left" vertical="top" wrapText="1"/>
    </xf>
    <xf numFmtId="0" fontId="38" fillId="0" borderId="23" xfId="1" applyFont="1" applyBorder="1" applyAlignment="1" applyProtection="1">
      <alignment horizontal="left" vertical="top" wrapText="1"/>
    </xf>
    <xf numFmtId="0" fontId="17" fillId="0" borderId="0" xfId="0" applyFont="1" applyAlignment="1">
      <alignment vertical="center"/>
    </xf>
    <xf numFmtId="0" fontId="15" fillId="0" borderId="0" xfId="0" applyFont="1" applyBorder="1" applyAlignment="1"/>
    <xf numFmtId="0" fontId="25" fillId="0" borderId="0" xfId="0" applyFont="1" applyBorder="1" applyAlignment="1">
      <alignment vertical="top" wrapText="1"/>
    </xf>
    <xf numFmtId="0" fontId="25" fillId="0" borderId="19" xfId="0" applyFont="1" applyBorder="1" applyAlignment="1">
      <alignment vertical="top" wrapText="1"/>
    </xf>
    <xf numFmtId="0" fontId="0" fillId="0" borderId="23" xfId="0" applyBorder="1"/>
    <xf numFmtId="0" fontId="25" fillId="0" borderId="20" xfId="0" applyFont="1" applyBorder="1" applyAlignment="1">
      <alignment vertical="top" wrapText="1"/>
    </xf>
    <xf numFmtId="0" fontId="0" fillId="0" borderId="20" xfId="0" applyBorder="1"/>
    <xf numFmtId="0" fontId="0" fillId="0" borderId="25" xfId="0" applyBorder="1"/>
    <xf numFmtId="0" fontId="0" fillId="4" borderId="3" xfId="0" applyFill="1" applyBorder="1"/>
    <xf numFmtId="0" fontId="12" fillId="5" borderId="0" xfId="5" applyFont="1" applyFill="1" applyBorder="1" applyAlignment="1">
      <alignment horizontal="left" vertical="top" wrapText="1" indent="1"/>
    </xf>
    <xf numFmtId="0" fontId="0" fillId="5" borderId="0" xfId="0" applyFill="1" applyBorder="1" applyAlignment="1">
      <alignment vertical="center"/>
    </xf>
    <xf numFmtId="0" fontId="0" fillId="5" borderId="0" xfId="0" applyFill="1" applyBorder="1"/>
    <xf numFmtId="0" fontId="0" fillId="5" borderId="0" xfId="0" applyFill="1" applyBorder="1"/>
    <xf numFmtId="0" fontId="25" fillId="4" borderId="9" xfId="0" applyFont="1" applyFill="1" applyBorder="1" applyAlignment="1">
      <alignment vertical="top"/>
    </xf>
    <xf numFmtId="0" fontId="25" fillId="4" borderId="3" xfId="0" applyFont="1" applyFill="1" applyBorder="1" applyAlignment="1">
      <alignment vertical="top"/>
    </xf>
    <xf numFmtId="0" fontId="25" fillId="4" borderId="7" xfId="0" applyFont="1" applyFill="1" applyBorder="1" applyAlignment="1">
      <alignment vertical="top"/>
    </xf>
    <xf numFmtId="0" fontId="25" fillId="4" borderId="11" xfId="0" applyFont="1" applyFill="1" applyBorder="1" applyAlignment="1">
      <alignment vertical="top"/>
    </xf>
    <xf numFmtId="0" fontId="25" fillId="4" borderId="0" xfId="0" applyFont="1" applyFill="1" applyBorder="1" applyAlignment="1">
      <alignment vertical="top"/>
    </xf>
    <xf numFmtId="0" fontId="25" fillId="4" borderId="14" xfId="0" applyFont="1" applyFill="1" applyBorder="1" applyAlignment="1">
      <alignment vertical="top"/>
    </xf>
    <xf numFmtId="0" fontId="25" fillId="4" borderId="8" xfId="0" applyFont="1" applyFill="1" applyBorder="1" applyAlignment="1">
      <alignment vertical="top"/>
    </xf>
    <xf numFmtId="0" fontId="25" fillId="4" borderId="10" xfId="0" applyFont="1" applyFill="1" applyBorder="1" applyAlignment="1">
      <alignment vertical="top"/>
    </xf>
    <xf numFmtId="0" fontId="0" fillId="5" borderId="0" xfId="0" applyFill="1" applyAlignment="1">
      <alignment vertical="center"/>
    </xf>
    <xf numFmtId="0" fontId="17" fillId="5" borderId="0" xfId="0" applyFont="1" applyFill="1" applyAlignment="1">
      <alignment vertical="center"/>
    </xf>
    <xf numFmtId="0" fontId="69" fillId="0" borderId="0" xfId="0" applyFont="1"/>
    <xf numFmtId="0" fontId="33" fillId="5" borderId="0" xfId="0" applyFont="1" applyFill="1" applyBorder="1" applyAlignment="1">
      <alignment horizontal="left" vertical="center"/>
    </xf>
    <xf numFmtId="0" fontId="33" fillId="0" borderId="0" xfId="0" applyFont="1" applyAlignment="1">
      <alignment horizontal="left" vertical="center"/>
    </xf>
    <xf numFmtId="0" fontId="46" fillId="5" borderId="0" xfId="5" applyNumberFormat="1" applyFont="1" applyFill="1" applyBorder="1" applyAlignment="1" applyProtection="1">
      <alignment vertical="center"/>
    </xf>
    <xf numFmtId="0" fontId="10" fillId="0" borderId="0" xfId="0" applyFont="1" applyFill="1" applyBorder="1" applyAlignment="1">
      <alignment horizontal="left" vertical="center" wrapText="1"/>
    </xf>
    <xf numFmtId="0" fontId="17" fillId="0" borderId="20" xfId="0" applyFont="1" applyBorder="1" applyAlignment="1">
      <alignment horizontal="left" vertical="center"/>
    </xf>
    <xf numFmtId="0" fontId="45" fillId="5" borderId="0" xfId="0" applyFont="1" applyFill="1" applyBorder="1" applyAlignment="1">
      <alignment horizontal="left" vertical="center"/>
    </xf>
    <xf numFmtId="0" fontId="45" fillId="5" borderId="0" xfId="0" applyFont="1" applyFill="1" applyBorder="1" applyAlignment="1">
      <alignment horizontal="center" vertical="center"/>
    </xf>
    <xf numFmtId="0" fontId="46" fillId="5" borderId="0" xfId="5" applyNumberFormat="1" applyFont="1" applyFill="1" applyBorder="1" applyAlignment="1" applyProtection="1">
      <alignment horizontal="center" vertical="center"/>
    </xf>
    <xf numFmtId="0" fontId="20" fillId="0" borderId="0" xfId="0" applyFont="1" applyFill="1" applyBorder="1" applyAlignment="1">
      <alignment horizontal="center" vertical="top" textRotation="90"/>
    </xf>
    <xf numFmtId="0" fontId="13" fillId="0" borderId="0" xfId="0" applyFont="1" applyFill="1" applyBorder="1" applyAlignment="1">
      <alignment horizontal="center" vertical="center"/>
    </xf>
    <xf numFmtId="0" fontId="16" fillId="0" borderId="0" xfId="5" applyNumberFormat="1" applyFont="1" applyFill="1" applyBorder="1" applyAlignment="1" applyProtection="1">
      <alignment horizontal="center" vertical="center"/>
    </xf>
    <xf numFmtId="0" fontId="0" fillId="0" borderId="0" xfId="0" applyBorder="1" applyAlignment="1">
      <alignment horizontal="center" vertical="top" wrapText="1"/>
    </xf>
    <xf numFmtId="0" fontId="0" fillId="0" borderId="0" xfId="0" applyFill="1" applyBorder="1" applyAlignment="1">
      <alignment horizontal="left" vertical="center"/>
    </xf>
    <xf numFmtId="0" fontId="0" fillId="0" borderId="8" xfId="0" applyFill="1" applyBorder="1" applyAlignment="1">
      <alignment horizontal="left" vertical="center"/>
    </xf>
    <xf numFmtId="0" fontId="0" fillId="0" borderId="0" xfId="0" applyFill="1" applyBorder="1" applyAlignment="1">
      <alignment horizontal="center" vertical="center"/>
    </xf>
    <xf numFmtId="0" fontId="10" fillId="0" borderId="0" xfId="0" applyFont="1" applyFill="1" applyBorder="1" applyAlignment="1">
      <alignment horizontal="left" vertical="top" wrapText="1"/>
    </xf>
    <xf numFmtId="0" fontId="0" fillId="0" borderId="4" xfId="0" applyFill="1" applyBorder="1" applyAlignment="1">
      <alignment horizontal="left" vertical="center"/>
    </xf>
    <xf numFmtId="0" fontId="28" fillId="0" borderId="4" xfId="0" applyFont="1" applyFill="1" applyBorder="1" applyAlignment="1">
      <alignment horizontal="left" vertical="center"/>
    </xf>
    <xf numFmtId="0" fontId="0" fillId="5" borderId="0" xfId="0" applyFill="1" applyBorder="1"/>
    <xf numFmtId="0" fontId="0" fillId="0" borderId="17" xfId="0" applyBorder="1" applyAlignment="1">
      <alignment horizontal="center" vertical="center" wrapText="1"/>
    </xf>
    <xf numFmtId="0" fontId="20" fillId="7" borderId="59" xfId="5" applyFont="1" applyFill="1" applyBorder="1" applyAlignment="1">
      <alignment horizontal="center" wrapText="1"/>
    </xf>
    <xf numFmtId="0" fontId="18" fillId="5" borderId="54" xfId="0" applyNumberFormat="1" applyFont="1" applyFill="1" applyBorder="1" applyAlignment="1" applyProtection="1">
      <alignment horizontal="left" vertical="top" wrapText="1"/>
      <protection locked="0"/>
    </xf>
    <xf numFmtId="0" fontId="18" fillId="5" borderId="12" xfId="0" applyNumberFormat="1" applyFont="1" applyFill="1" applyBorder="1" applyAlignment="1" applyProtection="1">
      <alignment horizontal="left" vertical="top" wrapText="1"/>
      <protection locked="0"/>
    </xf>
    <xf numFmtId="0" fontId="18" fillId="5" borderId="52" xfId="8" applyFont="1" applyFill="1" applyBorder="1" applyAlignment="1" applyProtection="1">
      <alignment horizontal="left" vertical="top" wrapText="1"/>
      <protection locked="0"/>
    </xf>
    <xf numFmtId="0" fontId="18" fillId="5" borderId="18" xfId="8" applyFont="1" applyFill="1" applyBorder="1" applyAlignment="1" applyProtection="1">
      <alignment horizontal="left" vertical="top" wrapText="1"/>
      <protection locked="0"/>
    </xf>
    <xf numFmtId="0" fontId="18" fillId="5" borderId="52" xfId="8" applyFont="1" applyFill="1" applyBorder="1" applyAlignment="1">
      <alignment horizontal="left" vertical="top" wrapText="1"/>
    </xf>
    <xf numFmtId="0" fontId="18" fillId="5" borderId="18" xfId="8" applyFont="1" applyFill="1" applyBorder="1" applyAlignment="1">
      <alignment horizontal="left" vertical="top" wrapText="1"/>
    </xf>
    <xf numFmtId="0" fontId="18" fillId="5" borderId="50" xfId="8" applyFont="1" applyFill="1" applyBorder="1" applyAlignment="1">
      <alignment horizontal="left" vertical="top" wrapText="1"/>
    </xf>
    <xf numFmtId="0" fontId="18" fillId="5" borderId="60" xfId="8" applyFont="1" applyFill="1" applyBorder="1" applyAlignment="1">
      <alignment horizontal="left" vertical="top" wrapText="1"/>
    </xf>
    <xf numFmtId="0" fontId="18" fillId="5" borderId="7" xfId="8" applyFont="1" applyFill="1" applyBorder="1" applyAlignment="1" applyProtection="1">
      <alignment horizontal="left" vertical="center" wrapText="1"/>
      <protection locked="0"/>
    </xf>
    <xf numFmtId="0" fontId="18" fillId="5" borderId="18" xfId="8" applyFont="1" applyFill="1" applyBorder="1" applyAlignment="1" applyProtection="1">
      <alignment horizontal="left" vertical="center" wrapText="1"/>
      <protection locked="0"/>
    </xf>
    <xf numFmtId="0" fontId="18" fillId="5" borderId="31" xfId="8" applyFont="1" applyFill="1" applyBorder="1" applyAlignment="1">
      <alignment horizontal="left" vertical="top" wrapText="1"/>
    </xf>
    <xf numFmtId="0" fontId="18" fillId="5" borderId="7" xfId="8" applyFont="1" applyFill="1" applyBorder="1" applyAlignment="1">
      <alignment horizontal="left" vertical="top" wrapText="1"/>
    </xf>
    <xf numFmtId="0" fontId="18" fillId="5" borderId="7" xfId="8" applyFont="1" applyFill="1" applyBorder="1" applyAlignment="1" applyProtection="1">
      <alignment horizontal="left" vertical="top" wrapText="1"/>
      <protection locked="0"/>
    </xf>
    <xf numFmtId="0" fontId="18" fillId="5" borderId="7" xfId="8" applyFont="1" applyFill="1" applyBorder="1" applyAlignment="1" applyProtection="1">
      <alignment horizontal="left" vertical="top" wrapText="1"/>
    </xf>
    <xf numFmtId="0" fontId="18" fillId="5" borderId="18" xfId="8" applyFont="1" applyFill="1" applyBorder="1" applyAlignment="1" applyProtection="1">
      <alignment horizontal="left" vertical="top" wrapText="1"/>
    </xf>
    <xf numFmtId="0" fontId="18" fillId="5" borderId="31" xfId="8" applyFont="1" applyFill="1" applyBorder="1" applyAlignment="1" applyProtection="1">
      <alignment horizontal="left" vertical="top" wrapText="1"/>
    </xf>
    <xf numFmtId="0" fontId="18" fillId="5" borderId="60" xfId="8" applyFont="1" applyFill="1" applyBorder="1" applyAlignment="1" applyProtection="1">
      <alignment horizontal="left" vertical="top" wrapText="1"/>
      <protection locked="0"/>
    </xf>
    <xf numFmtId="0" fontId="18" fillId="5" borderId="3" xfId="8" applyFont="1" applyFill="1" applyBorder="1" applyAlignment="1">
      <alignment horizontal="left" vertical="top" wrapText="1"/>
    </xf>
    <xf numFmtId="0" fontId="18" fillId="5" borderId="3" xfId="8" applyFont="1" applyFill="1" applyBorder="1" applyAlignment="1" applyProtection="1">
      <alignment horizontal="left" vertical="top" wrapText="1"/>
    </xf>
    <xf numFmtId="0" fontId="18" fillId="5" borderId="19" xfId="8" applyFont="1" applyFill="1" applyBorder="1" applyAlignment="1" applyProtection="1">
      <alignment horizontal="left" vertical="top" wrapText="1"/>
    </xf>
    <xf numFmtId="0" fontId="18" fillId="5" borderId="60" xfId="8" applyFont="1" applyFill="1" applyBorder="1" applyAlignment="1" applyProtection="1">
      <alignment horizontal="left" vertical="top" wrapText="1"/>
    </xf>
    <xf numFmtId="0" fontId="18" fillId="5" borderId="31" xfId="0" applyFont="1" applyFill="1" applyBorder="1" applyAlignment="1">
      <alignment horizontal="left" vertical="top" wrapText="1"/>
    </xf>
    <xf numFmtId="0" fontId="18" fillId="5" borderId="60" xfId="0" applyFont="1" applyFill="1" applyBorder="1" applyAlignment="1">
      <alignment horizontal="left" vertical="top" wrapText="1"/>
    </xf>
    <xf numFmtId="0" fontId="0" fillId="5" borderId="0" xfId="0" applyFill="1" applyAlignment="1">
      <alignment horizontal="center"/>
    </xf>
    <xf numFmtId="0" fontId="0" fillId="5" borderId="0" xfId="0" applyFill="1" applyBorder="1"/>
    <xf numFmtId="0" fontId="13" fillId="0" borderId="14" xfId="0" applyFont="1" applyFill="1" applyBorder="1" applyAlignment="1">
      <alignment vertical="center"/>
    </xf>
    <xf numFmtId="0" fontId="20" fillId="0" borderId="14" xfId="0" applyFont="1" applyFill="1" applyBorder="1" applyAlignment="1">
      <alignment vertical="top" textRotation="90"/>
    </xf>
    <xf numFmtId="0" fontId="13" fillId="0" borderId="0" xfId="0" applyFont="1" applyFill="1" applyBorder="1" applyAlignment="1">
      <alignment vertical="center" wrapText="1"/>
    </xf>
    <xf numFmtId="0" fontId="13" fillId="0" borderId="0" xfId="0" applyFont="1" applyFill="1" applyBorder="1" applyAlignment="1">
      <alignment vertical="center"/>
    </xf>
    <xf numFmtId="0" fontId="0" fillId="6" borderId="21" xfId="0" applyFill="1" applyBorder="1"/>
    <xf numFmtId="0" fontId="0" fillId="6" borderId="19" xfId="0" applyFill="1" applyBorder="1"/>
    <xf numFmtId="0" fontId="0" fillId="6" borderId="22" xfId="0" applyFill="1" applyBorder="1"/>
    <xf numFmtId="0" fontId="0" fillId="6" borderId="0" xfId="0" applyFill="1" applyBorder="1" applyAlignment="1"/>
    <xf numFmtId="0" fontId="0" fillId="6" borderId="10" xfId="0" applyFill="1" applyBorder="1" applyAlignment="1"/>
    <xf numFmtId="0" fontId="0" fillId="6" borderId="20" xfId="0" applyFill="1" applyBorder="1" applyAlignment="1"/>
    <xf numFmtId="0" fontId="0" fillId="6" borderId="0" xfId="0" applyFill="1" applyBorder="1"/>
    <xf numFmtId="0" fontId="0" fillId="6" borderId="16" xfId="0" applyFill="1" applyBorder="1"/>
    <xf numFmtId="0" fontId="0" fillId="6" borderId="23" xfId="0" applyFill="1" applyBorder="1"/>
    <xf numFmtId="0" fontId="10" fillId="6" borderId="23" xfId="0" applyFont="1" applyFill="1" applyBorder="1" applyAlignment="1"/>
    <xf numFmtId="0" fontId="0" fillId="6" borderId="24" xfId="0" applyFill="1" applyBorder="1"/>
    <xf numFmtId="0" fontId="0" fillId="6" borderId="20" xfId="0" applyFill="1" applyBorder="1"/>
    <xf numFmtId="0" fontId="0" fillId="6" borderId="25" xfId="0" applyFill="1" applyBorder="1"/>
    <xf numFmtId="0" fontId="0" fillId="6" borderId="10" xfId="0" applyFill="1" applyBorder="1"/>
    <xf numFmtId="0" fontId="0" fillId="5" borderId="14" xfId="0" applyFill="1" applyBorder="1"/>
    <xf numFmtId="0" fontId="10" fillId="5" borderId="14" xfId="0" applyFont="1" applyFill="1" applyBorder="1" applyAlignment="1"/>
    <xf numFmtId="0" fontId="0" fillId="5" borderId="13" xfId="0" applyFill="1" applyBorder="1"/>
    <xf numFmtId="14" fontId="10" fillId="2" borderId="3" xfId="5" applyNumberFormat="1" applyFont="1" applyFill="1" applyBorder="1" applyAlignment="1">
      <alignment horizontal="center" vertical="top" wrapText="1"/>
    </xf>
    <xf numFmtId="0" fontId="0" fillId="0" borderId="2" xfId="0" applyFill="1" applyBorder="1" applyAlignment="1">
      <alignment horizontal="left" vertical="center"/>
    </xf>
    <xf numFmtId="0" fontId="28" fillId="0" borderId="2" xfId="0" applyFont="1" applyFill="1" applyBorder="1" applyAlignment="1">
      <alignment horizontal="left" vertical="center"/>
    </xf>
    <xf numFmtId="0" fontId="0" fillId="6" borderId="0" xfId="0" applyFill="1"/>
    <xf numFmtId="0" fontId="12" fillId="0" borderId="0" xfId="0" applyFont="1" applyFill="1" applyBorder="1" applyAlignment="1">
      <alignment wrapText="1"/>
    </xf>
    <xf numFmtId="0" fontId="73" fillId="0" borderId="0" xfId="0" applyFont="1" applyFill="1" applyBorder="1" applyAlignment="1">
      <alignment horizontal="center" vertical="center" textRotation="90" wrapText="1"/>
    </xf>
    <xf numFmtId="0" fontId="12" fillId="0" borderId="0" xfId="0" applyFont="1" applyFill="1" applyAlignment="1">
      <alignment wrapText="1"/>
    </xf>
    <xf numFmtId="0" fontId="12" fillId="0" borderId="11" xfId="0" applyFont="1" applyBorder="1" applyAlignment="1">
      <alignment wrapText="1"/>
    </xf>
    <xf numFmtId="0" fontId="12" fillId="0" borderId="83" xfId="0" applyFont="1" applyBorder="1" applyAlignment="1">
      <alignment wrapText="1"/>
    </xf>
    <xf numFmtId="0" fontId="12" fillId="0" borderId="84" xfId="0" applyFont="1" applyBorder="1" applyAlignment="1">
      <alignment wrapText="1"/>
    </xf>
    <xf numFmtId="0" fontId="12" fillId="0" borderId="85" xfId="0" applyFont="1" applyBorder="1" applyAlignment="1">
      <alignment wrapText="1"/>
    </xf>
    <xf numFmtId="0" fontId="12" fillId="0" borderId="86" xfId="0" applyFont="1" applyBorder="1" applyAlignment="1">
      <alignment wrapText="1"/>
    </xf>
    <xf numFmtId="0" fontId="12" fillId="0" borderId="87" xfId="0" applyFont="1" applyBorder="1" applyAlignment="1">
      <alignment wrapText="1"/>
    </xf>
    <xf numFmtId="0" fontId="12" fillId="0" borderId="84" xfId="0" applyFont="1" applyBorder="1" applyAlignment="1">
      <alignment horizontal="left" wrapText="1"/>
    </xf>
    <xf numFmtId="0" fontId="12" fillId="0" borderId="14" xfId="0" applyFont="1" applyBorder="1" applyAlignment="1">
      <alignment wrapText="1"/>
    </xf>
    <xf numFmtId="0" fontId="12" fillId="0" borderId="0" xfId="0" applyFont="1" applyFill="1" applyAlignment="1">
      <alignment horizontal="center" wrapText="1"/>
    </xf>
    <xf numFmtId="0" fontId="12" fillId="0" borderId="20" xfId="0" applyFont="1" applyBorder="1" applyAlignment="1">
      <alignment wrapText="1"/>
    </xf>
    <xf numFmtId="0" fontId="74"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0" fillId="0" borderId="0" xfId="0" applyFont="1" applyFill="1" applyBorder="1" applyAlignment="1"/>
    <xf numFmtId="0" fontId="10" fillId="0" borderId="0" xfId="0" applyFont="1" applyAlignment="1">
      <alignment readingOrder="1"/>
    </xf>
    <xf numFmtId="0" fontId="10" fillId="0" borderId="16" xfId="0" applyFont="1" applyFill="1" applyBorder="1" applyAlignment="1"/>
    <xf numFmtId="0" fontId="75" fillId="0" borderId="0" xfId="0" applyFont="1" applyBorder="1" applyAlignment="1">
      <alignment vertical="center" textRotation="90" wrapText="1"/>
    </xf>
    <xf numFmtId="0" fontId="10" fillId="0" borderId="0" xfId="0" applyFont="1" applyBorder="1" applyAlignment="1"/>
    <xf numFmtId="0" fontId="10" fillId="0" borderId="11" xfId="0" applyFont="1" applyFill="1" applyBorder="1" applyAlignment="1"/>
    <xf numFmtId="0" fontId="10" fillId="0" borderId="11" xfId="0" applyFont="1" applyBorder="1" applyAlignment="1"/>
    <xf numFmtId="0" fontId="58" fillId="0" borderId="0" xfId="0" applyFont="1" applyAlignment="1">
      <alignment horizontal="left" wrapText="1"/>
    </xf>
    <xf numFmtId="0" fontId="40" fillId="4" borderId="62" xfId="8" applyFont="1" applyFill="1" applyBorder="1" applyAlignment="1">
      <alignment horizontal="left" vertical="top" wrapText="1"/>
    </xf>
    <xf numFmtId="0" fontId="40" fillId="4" borderId="17" xfId="8" applyFont="1" applyFill="1" applyBorder="1" applyAlignment="1">
      <alignment horizontal="left" vertical="top" wrapText="1"/>
    </xf>
    <xf numFmtId="0" fontId="12" fillId="0" borderId="88" xfId="0" applyFont="1" applyBorder="1" applyAlignment="1">
      <alignment horizontal="left" wrapText="1"/>
    </xf>
    <xf numFmtId="0" fontId="12" fillId="0" borderId="89" xfId="0" applyFont="1" applyBorder="1" applyAlignment="1">
      <alignment wrapText="1"/>
    </xf>
    <xf numFmtId="0" fontId="12" fillId="0" borderId="90" xfId="0" applyFont="1" applyBorder="1" applyAlignment="1">
      <alignment wrapText="1"/>
    </xf>
    <xf numFmtId="0" fontId="12" fillId="0" borderId="88" xfId="0" applyFont="1" applyBorder="1" applyAlignment="1">
      <alignment wrapText="1"/>
    </xf>
    <xf numFmtId="0" fontId="15" fillId="5" borderId="47" xfId="0" applyFont="1" applyFill="1" applyBorder="1" applyAlignment="1">
      <alignment horizontal="left" vertical="top" wrapText="1"/>
    </xf>
    <xf numFmtId="0" fontId="10" fillId="4" borderId="109" xfId="0" applyFont="1" applyFill="1" applyBorder="1" applyAlignment="1">
      <alignment horizontal="left" vertical="top" wrapText="1"/>
    </xf>
    <xf numFmtId="0" fontId="10" fillId="4" borderId="116" xfId="0" applyFont="1" applyFill="1" applyBorder="1" applyAlignment="1">
      <alignment horizontal="left" vertical="top" wrapText="1"/>
    </xf>
    <xf numFmtId="0" fontId="20" fillId="0" borderId="122" xfId="0" applyFont="1" applyBorder="1" applyAlignment="1">
      <alignment horizontal="center" vertical="center"/>
    </xf>
    <xf numFmtId="0" fontId="20" fillId="0" borderId="6" xfId="0" applyFont="1" applyBorder="1" applyAlignment="1">
      <alignment horizontal="center" vertical="center"/>
    </xf>
    <xf numFmtId="0" fontId="20" fillId="0" borderId="123" xfId="0" applyFont="1" applyBorder="1" applyAlignment="1">
      <alignment horizontal="center" vertical="center"/>
    </xf>
    <xf numFmtId="16" fontId="0" fillId="0" borderId="0" xfId="0" applyNumberFormat="1"/>
    <xf numFmtId="0" fontId="68" fillId="5" borderId="0" xfId="0" applyFont="1" applyFill="1" applyBorder="1" applyAlignment="1">
      <alignment vertical="center" wrapText="1"/>
    </xf>
    <xf numFmtId="0" fontId="0" fillId="0" borderId="0" xfId="0" applyFill="1" applyBorder="1" applyAlignment="1">
      <alignment horizontal="left" vertical="center"/>
    </xf>
    <xf numFmtId="0" fontId="0" fillId="5" borderId="0" xfId="0" applyFill="1" applyBorder="1"/>
    <xf numFmtId="0" fontId="0" fillId="5" borderId="0" xfId="0" applyFill="1" applyBorder="1"/>
    <xf numFmtId="0" fontId="0" fillId="5" borderId="0" xfId="0" applyFill="1" applyBorder="1"/>
    <xf numFmtId="0" fontId="10" fillId="5" borderId="0" xfId="0" quotePrefix="1" applyFont="1" applyFill="1"/>
    <xf numFmtId="0" fontId="16" fillId="0" borderId="0" xfId="5" applyNumberFormat="1" applyFont="1" applyFill="1" applyBorder="1" applyAlignment="1" applyProtection="1">
      <alignment horizontal="center" vertical="center"/>
    </xf>
    <xf numFmtId="0" fontId="0" fillId="0" borderId="0" xfId="0" applyFill="1" applyBorder="1" applyAlignment="1">
      <alignment horizontal="left" vertical="center"/>
    </xf>
    <xf numFmtId="0" fontId="16" fillId="6" borderId="0" xfId="5" applyNumberFormat="1" applyFont="1" applyFill="1" applyBorder="1" applyAlignment="1" applyProtection="1">
      <alignment horizontal="center" vertical="center"/>
    </xf>
    <xf numFmtId="0" fontId="12" fillId="6" borderId="0" xfId="5" applyFont="1" applyFill="1" applyBorder="1" applyAlignment="1" applyProtection="1">
      <alignment vertical="top" wrapText="1"/>
      <protection locked="0"/>
    </xf>
    <xf numFmtId="0" fontId="12" fillId="6" borderId="0" xfId="5" applyFill="1" applyBorder="1" applyAlignment="1" applyProtection="1">
      <alignment vertical="center" wrapText="1"/>
    </xf>
    <xf numFmtId="0" fontId="12" fillId="6" borderId="0" xfId="5" applyFill="1" applyBorder="1" applyAlignment="1" applyProtection="1">
      <alignment vertical="top" wrapText="1"/>
      <protection locked="0"/>
    </xf>
    <xf numFmtId="0" fontId="16" fillId="0" borderId="0" xfId="5" applyNumberFormat="1" applyFont="1" applyFill="1" applyBorder="1" applyAlignment="1" applyProtection="1">
      <alignment vertical="center"/>
    </xf>
    <xf numFmtId="0" fontId="16" fillId="6" borderId="0" xfId="5" applyNumberFormat="1" applyFont="1" applyFill="1" applyBorder="1" applyAlignment="1" applyProtection="1">
      <alignment vertical="center"/>
    </xf>
    <xf numFmtId="0" fontId="24" fillId="0" borderId="0" xfId="0" applyFont="1"/>
    <xf numFmtId="0" fontId="10" fillId="4" borderId="54" xfId="0" applyNumberFormat="1" applyFont="1" applyFill="1" applyBorder="1" applyAlignment="1" applyProtection="1">
      <alignment horizontal="left" vertical="top" wrapText="1"/>
      <protection locked="0"/>
    </xf>
    <xf numFmtId="0" fontId="10" fillId="4" borderId="54" xfId="8" applyFont="1" applyFill="1" applyBorder="1" applyAlignment="1" applyProtection="1">
      <alignment horizontal="left" vertical="top" wrapText="1"/>
      <protection locked="0"/>
    </xf>
    <xf numFmtId="0" fontId="10" fillId="4" borderId="62" xfId="8" applyFont="1" applyFill="1" applyBorder="1" applyAlignment="1" applyProtection="1">
      <alignment horizontal="left" vertical="top" wrapText="1"/>
      <protection locked="0"/>
    </xf>
    <xf numFmtId="0" fontId="0" fillId="0" borderId="10" xfId="0" applyBorder="1"/>
    <xf numFmtId="0" fontId="45" fillId="5" borderId="0" xfId="0" applyFont="1" applyFill="1" applyBorder="1" applyAlignment="1">
      <alignment horizontal="center" vertical="center"/>
    </xf>
    <xf numFmtId="0" fontId="46" fillId="5" borderId="0" xfId="5" applyNumberFormat="1" applyFont="1" applyFill="1" applyBorder="1" applyAlignment="1" applyProtection="1">
      <alignment horizontal="center" vertical="center"/>
    </xf>
    <xf numFmtId="0" fontId="45" fillId="5" borderId="0" xfId="0" applyFont="1" applyFill="1" applyBorder="1" applyAlignment="1">
      <alignment horizontal="left" vertical="center"/>
    </xf>
    <xf numFmtId="0" fontId="0" fillId="0" borderId="0" xfId="0" applyFill="1" applyBorder="1" applyAlignment="1">
      <alignment horizontal="left" vertical="center"/>
    </xf>
    <xf numFmtId="0" fontId="0" fillId="0" borderId="0" xfId="0" applyFill="1" applyBorder="1" applyAlignment="1">
      <alignment horizontal="left" vertical="center"/>
    </xf>
    <xf numFmtId="0" fontId="10" fillId="4" borderId="14" xfId="0" applyFont="1" applyFill="1" applyBorder="1" applyAlignment="1">
      <alignment vertical="center"/>
    </xf>
    <xf numFmtId="0" fontId="10" fillId="4" borderId="7" xfId="0" applyFont="1" applyFill="1" applyBorder="1" applyAlignment="1">
      <alignment vertical="center"/>
    </xf>
    <xf numFmtId="0" fontId="10" fillId="4" borderId="13" xfId="0" applyFont="1" applyFill="1" applyBorder="1" applyAlignment="1">
      <alignment vertical="center"/>
    </xf>
    <xf numFmtId="0" fontId="46" fillId="14" borderId="0" xfId="0" applyFont="1" applyFill="1"/>
    <xf numFmtId="0" fontId="45" fillId="14" borderId="0" xfId="0" applyFont="1" applyFill="1"/>
    <xf numFmtId="0" fontId="10" fillId="4" borderId="9" xfId="0" applyFont="1" applyFill="1" applyBorder="1" applyAlignment="1">
      <alignment vertical="top" wrapText="1"/>
    </xf>
    <xf numFmtId="0" fontId="10" fillId="4" borderId="3" xfId="0" applyFont="1" applyFill="1" applyBorder="1" applyAlignment="1">
      <alignment vertical="top" wrapText="1"/>
    </xf>
    <xf numFmtId="0" fontId="10" fillId="4" borderId="0" xfId="0" applyFont="1" applyFill="1" applyBorder="1" applyAlignment="1">
      <alignment vertical="top" wrapText="1"/>
    </xf>
    <xf numFmtId="0" fontId="10" fillId="4" borderId="8" xfId="0" applyFont="1" applyFill="1" applyBorder="1" applyAlignment="1">
      <alignment vertical="top" wrapText="1"/>
    </xf>
    <xf numFmtId="0" fontId="10" fillId="4" borderId="10" xfId="0" applyFont="1" applyFill="1" applyBorder="1" applyAlignment="1">
      <alignment vertical="top" wrapText="1"/>
    </xf>
    <xf numFmtId="0" fontId="0" fillId="0" borderId="0" xfId="0"/>
    <xf numFmtId="0" fontId="0" fillId="0" borderId="0" xfId="0" applyFill="1"/>
    <xf numFmtId="0" fontId="0" fillId="5" borderId="0" xfId="0" applyFill="1"/>
    <xf numFmtId="0" fontId="0" fillId="5" borderId="0" xfId="0" applyFill="1" applyBorder="1" applyAlignment="1"/>
    <xf numFmtId="0" fontId="0" fillId="0" borderId="0" xfId="0" applyFill="1" applyBorder="1" applyAlignment="1"/>
    <xf numFmtId="0" fontId="0" fillId="0" borderId="21" xfId="0" applyFill="1" applyBorder="1" applyAlignment="1">
      <alignment vertical="center" wrapText="1"/>
    </xf>
    <xf numFmtId="0" fontId="65" fillId="0" borderId="44" xfId="0" applyFont="1" applyFill="1" applyBorder="1" applyAlignment="1">
      <alignment horizontal="left" vertical="center" wrapText="1"/>
    </xf>
    <xf numFmtId="0" fontId="0" fillId="0" borderId="20" xfId="0" applyFill="1" applyBorder="1" applyAlignment="1">
      <alignment vertical="center" wrapText="1"/>
    </xf>
    <xf numFmtId="0" fontId="0" fillId="0" borderId="0" xfId="0" applyFill="1" applyBorder="1" applyAlignment="1">
      <alignment vertical="center" wrapText="1"/>
    </xf>
    <xf numFmtId="0" fontId="0" fillId="8" borderId="15" xfId="0" applyFill="1" applyBorder="1" applyAlignment="1">
      <alignment horizontal="center" vertical="top"/>
    </xf>
    <xf numFmtId="0" fontId="21" fillId="7" borderId="43" xfId="0" applyFont="1" applyFill="1" applyBorder="1" applyAlignment="1">
      <alignment horizontal="center" vertical="top"/>
    </xf>
    <xf numFmtId="0" fontId="21" fillId="7" borderId="44" xfId="0" applyFont="1" applyFill="1" applyBorder="1" applyAlignment="1">
      <alignment horizontal="center" vertical="top"/>
    </xf>
    <xf numFmtId="0" fontId="21" fillId="5" borderId="0" xfId="0" applyFont="1" applyFill="1" applyAlignment="1">
      <alignment horizontal="center" vertical="top"/>
    </xf>
    <xf numFmtId="0" fontId="0" fillId="16" borderId="21" xfId="0" applyFill="1" applyBorder="1" applyAlignment="1">
      <alignment vertical="top"/>
    </xf>
    <xf numFmtId="0" fontId="0" fillId="16" borderId="16" xfId="0" applyFill="1" applyBorder="1" applyAlignment="1">
      <alignment vertical="top"/>
    </xf>
    <xf numFmtId="0" fontId="0" fillId="0" borderId="0" xfId="0" applyAlignment="1">
      <alignment vertical="top" wrapText="1"/>
    </xf>
    <xf numFmtId="0" fontId="10" fillId="0" borderId="0" xfId="0" quotePrefix="1" applyFont="1" applyBorder="1" applyAlignment="1">
      <alignment vertical="top" wrapText="1"/>
    </xf>
    <xf numFmtId="0" fontId="0" fillId="21" borderId="16" xfId="0" applyFill="1" applyBorder="1" applyAlignment="1">
      <alignment vertical="top"/>
    </xf>
    <xf numFmtId="0" fontId="0" fillId="0" borderId="16" xfId="0" applyBorder="1" applyAlignment="1">
      <alignment vertical="top"/>
    </xf>
    <xf numFmtId="0" fontId="10" fillId="0" borderId="0" xfId="0" applyFont="1" applyAlignment="1">
      <alignment vertical="top" wrapText="1"/>
    </xf>
    <xf numFmtId="0" fontId="0" fillId="7" borderId="16" xfId="0" applyFill="1" applyBorder="1" applyAlignment="1">
      <alignment vertical="top"/>
    </xf>
    <xf numFmtId="0" fontId="10" fillId="7" borderId="0" xfId="0" applyFont="1" applyFill="1" applyBorder="1" applyAlignment="1">
      <alignment vertical="top" wrapText="1"/>
    </xf>
    <xf numFmtId="0" fontId="0" fillId="0" borderId="24" xfId="0" applyBorder="1" applyAlignment="1">
      <alignment vertical="top"/>
    </xf>
    <xf numFmtId="0" fontId="0" fillId="21" borderId="21" xfId="0" applyFill="1" applyBorder="1" applyAlignment="1">
      <alignment horizontal="right" vertical="top"/>
    </xf>
    <xf numFmtId="0" fontId="0" fillId="0" borderId="19" xfId="0" applyBorder="1" applyAlignment="1">
      <alignment vertical="top" wrapText="1"/>
    </xf>
    <xf numFmtId="0" fontId="0" fillId="0" borderId="0" xfId="0" applyFill="1" applyAlignment="1">
      <alignment vertical="top"/>
    </xf>
    <xf numFmtId="0" fontId="0" fillId="0" borderId="24" xfId="0" applyFill="1" applyBorder="1" applyAlignment="1">
      <alignment vertical="top"/>
    </xf>
    <xf numFmtId="0" fontId="0" fillId="0" borderId="20" xfId="0" applyFill="1" applyBorder="1" applyAlignment="1">
      <alignment vertical="top" wrapText="1"/>
    </xf>
    <xf numFmtId="0" fontId="0" fillId="7" borderId="0" xfId="0" applyFill="1" applyAlignment="1">
      <alignment vertical="top"/>
    </xf>
    <xf numFmtId="0" fontId="0" fillId="0" borderId="0" xfId="0" applyFill="1" applyAlignment="1">
      <alignment vertical="top" wrapText="1"/>
    </xf>
    <xf numFmtId="0" fontId="10" fillId="0" borderId="0" xfId="0" applyFont="1" applyFill="1" applyAlignment="1">
      <alignment vertical="top" wrapText="1"/>
    </xf>
    <xf numFmtId="0" fontId="0" fillId="0" borderId="20" xfId="0" applyBorder="1" applyAlignment="1">
      <alignment vertical="top" wrapText="1"/>
    </xf>
    <xf numFmtId="0" fontId="10" fillId="0" borderId="20" xfId="0" applyFont="1" applyBorder="1" applyAlignment="1">
      <alignment vertical="top" wrapText="1"/>
    </xf>
    <xf numFmtId="0" fontId="0" fillId="21" borderId="21" xfId="0" applyFill="1" applyBorder="1" applyAlignment="1">
      <alignment vertical="top"/>
    </xf>
    <xf numFmtId="0" fontId="0" fillId="21" borderId="0" xfId="0" applyFill="1" applyBorder="1" applyAlignment="1">
      <alignment vertical="top"/>
    </xf>
    <xf numFmtId="0" fontId="0" fillId="16" borderId="16" xfId="0" applyFill="1" applyBorder="1" applyAlignment="1">
      <alignment horizontal="right" vertical="top"/>
    </xf>
    <xf numFmtId="0" fontId="0" fillId="0" borderId="0" xfId="0" applyAlignment="1">
      <alignment vertical="top"/>
    </xf>
    <xf numFmtId="0" fontId="65" fillId="0" borderId="19" xfId="0" applyFont="1" applyFill="1" applyBorder="1" applyAlignment="1">
      <alignment horizontal="left" vertical="center" wrapText="1"/>
    </xf>
    <xf numFmtId="0" fontId="65" fillId="0" borderId="20" xfId="0" applyFont="1" applyFill="1" applyBorder="1" applyAlignment="1">
      <alignment horizontal="left" vertical="center" wrapText="1"/>
    </xf>
    <xf numFmtId="0" fontId="21" fillId="16" borderId="15" xfId="0" applyFont="1" applyFill="1" applyBorder="1" applyAlignment="1">
      <alignment horizontal="center" vertical="center"/>
    </xf>
    <xf numFmtId="0" fontId="45" fillId="14" borderId="0" xfId="0" applyFont="1" applyFill="1" applyAlignment="1">
      <alignment horizontal="center"/>
    </xf>
    <xf numFmtId="0" fontId="10" fillId="0" borderId="0" xfId="0" applyFont="1" applyAlignment="1">
      <alignment horizontal="center"/>
    </xf>
    <xf numFmtId="0" fontId="21" fillId="4" borderId="26" xfId="0" applyFont="1" applyFill="1" applyBorder="1" applyAlignment="1">
      <alignment horizontal="center"/>
    </xf>
    <xf numFmtId="0" fontId="21" fillId="4" borderId="27" xfId="0" applyFont="1" applyFill="1" applyBorder="1" applyAlignment="1">
      <alignment horizontal="center"/>
    </xf>
    <xf numFmtId="0" fontId="10" fillId="0" borderId="0" xfId="0" applyFont="1" applyFill="1" applyAlignment="1">
      <alignment horizontal="center"/>
    </xf>
    <xf numFmtId="0" fontId="21" fillId="4" borderId="42" xfId="0" applyFont="1" applyFill="1" applyBorder="1" applyAlignment="1">
      <alignment horizontal="center"/>
    </xf>
    <xf numFmtId="0" fontId="10" fillId="5" borderId="0" xfId="0" applyFont="1" applyFill="1" applyBorder="1" applyAlignment="1">
      <alignment horizontal="left" vertical="center" wrapText="1"/>
    </xf>
    <xf numFmtId="0" fontId="11" fillId="5" borderId="0" xfId="1" applyFont="1" applyFill="1" applyBorder="1" applyAlignment="1" applyProtection="1">
      <alignment horizontal="center" vertical="center" wrapText="1"/>
    </xf>
    <xf numFmtId="0" fontId="10" fillId="5" borderId="0" xfId="0" applyFont="1" applyFill="1" applyAlignment="1">
      <alignment vertical="top"/>
    </xf>
    <xf numFmtId="0" fontId="0" fillId="21" borderId="0" xfId="0" applyFill="1" applyAlignment="1">
      <alignment vertical="top"/>
    </xf>
    <xf numFmtId="0" fontId="0" fillId="7" borderId="0" xfId="0" applyFill="1" applyAlignment="1">
      <alignment vertical="top" wrapText="1"/>
    </xf>
    <xf numFmtId="0" fontId="0" fillId="5" borderId="0" xfId="0" applyFill="1" applyBorder="1" applyAlignment="1">
      <alignment horizontal="center"/>
    </xf>
    <xf numFmtId="0" fontId="3" fillId="0" borderId="0" xfId="14" applyAlignment="1">
      <alignment horizontal="left" vertical="top"/>
    </xf>
    <xf numFmtId="0" fontId="3" fillId="0" borderId="0" xfId="14" applyAlignment="1">
      <alignment vertical="top"/>
    </xf>
    <xf numFmtId="14" fontId="3" fillId="0" borderId="0" xfId="14" applyNumberFormat="1" applyAlignment="1">
      <alignment horizontal="left" vertical="top"/>
    </xf>
    <xf numFmtId="0" fontId="81" fillId="0" borderId="0" xfId="14" applyFont="1" applyAlignment="1">
      <alignment horizontal="left" vertical="top"/>
    </xf>
    <xf numFmtId="0" fontId="2" fillId="0" borderId="0" xfId="14" quotePrefix="1" applyFont="1" applyAlignment="1">
      <alignment horizontal="left" vertical="top" wrapText="1"/>
    </xf>
    <xf numFmtId="0" fontId="0" fillId="5" borderId="0" xfId="0" applyFill="1" applyBorder="1"/>
    <xf numFmtId="0" fontId="10" fillId="5" borderId="60" xfId="0" applyFont="1" applyFill="1" applyBorder="1" applyAlignment="1">
      <alignment horizontal="center" vertical="center"/>
    </xf>
    <xf numFmtId="0" fontId="10" fillId="5" borderId="143" xfId="0" applyFont="1" applyFill="1" applyBorder="1" applyAlignment="1">
      <alignment horizontal="center" vertical="center"/>
    </xf>
    <xf numFmtId="0" fontId="10" fillId="5" borderId="147" xfId="0" applyFont="1" applyFill="1" applyBorder="1" applyAlignment="1">
      <alignment horizontal="center" vertical="center"/>
    </xf>
    <xf numFmtId="0" fontId="10" fillId="5" borderId="150" xfId="0" applyFont="1" applyFill="1" applyBorder="1" applyAlignment="1">
      <alignment horizontal="center" vertical="center"/>
    </xf>
    <xf numFmtId="0" fontId="10" fillId="5" borderId="150" xfId="0" applyFont="1" applyFill="1" applyBorder="1" applyAlignment="1">
      <alignment horizontal="left" vertical="center"/>
    </xf>
    <xf numFmtId="0" fontId="84" fillId="5" borderId="0" xfId="0" applyFont="1" applyFill="1" applyBorder="1" applyAlignment="1">
      <alignment vertical="center" wrapText="1"/>
    </xf>
    <xf numFmtId="0" fontId="12" fillId="5" borderId="0" xfId="0" applyFont="1" applyFill="1" applyBorder="1" applyAlignment="1">
      <alignment wrapText="1"/>
    </xf>
    <xf numFmtId="0" fontId="46" fillId="5" borderId="0" xfId="5" applyNumberFormat="1" applyFont="1" applyFill="1" applyBorder="1" applyAlignment="1" applyProtection="1">
      <alignment horizontal="center" vertical="center"/>
    </xf>
    <xf numFmtId="0" fontId="0" fillId="0" borderId="16" xfId="0" applyBorder="1"/>
    <xf numFmtId="0" fontId="10" fillId="0" borderId="0" xfId="0" applyFont="1" applyBorder="1" applyAlignment="1">
      <alignment horizontal="center"/>
    </xf>
    <xf numFmtId="0" fontId="17" fillId="5" borderId="0" xfId="0" applyFont="1" applyFill="1" applyBorder="1" applyAlignment="1" applyProtection="1">
      <alignment vertical="top"/>
    </xf>
    <xf numFmtId="0" fontId="10" fillId="5" borderId="0" xfId="0" applyFont="1" applyFill="1" applyProtection="1"/>
    <xf numFmtId="0" fontId="25" fillId="5" borderId="0" xfId="11" applyFont="1" applyFill="1" applyBorder="1" applyAlignment="1" applyProtection="1">
      <alignment vertical="top" wrapText="1"/>
    </xf>
    <xf numFmtId="0" fontId="39" fillId="5" borderId="0" xfId="0" applyFont="1" applyFill="1" applyProtection="1"/>
    <xf numFmtId="0" fontId="19" fillId="5" borderId="0" xfId="0" applyFont="1" applyFill="1" applyBorder="1" applyAlignment="1" applyProtection="1">
      <alignment vertical="top"/>
    </xf>
    <xf numFmtId="0" fontId="10" fillId="5" borderId="0" xfId="0" applyFont="1" applyFill="1" applyBorder="1" applyProtection="1"/>
    <xf numFmtId="0" fontId="13" fillId="5" borderId="0" xfId="0" applyFont="1" applyFill="1" applyBorder="1" applyAlignment="1" applyProtection="1">
      <alignment vertical="center"/>
    </xf>
    <xf numFmtId="0" fontId="17" fillId="5" borderId="0" xfId="0" applyFont="1" applyFill="1" applyBorder="1" applyAlignment="1" applyProtection="1">
      <alignment vertical="center"/>
    </xf>
    <xf numFmtId="0" fontId="27" fillId="5" borderId="0" xfId="0" applyFont="1" applyFill="1" applyBorder="1" applyAlignment="1" applyProtection="1">
      <alignment vertical="center"/>
    </xf>
    <xf numFmtId="0" fontId="57" fillId="5" borderId="0" xfId="0" applyFont="1" applyFill="1" applyBorder="1" applyAlignment="1" applyProtection="1">
      <alignment horizontal="center" vertical="center"/>
    </xf>
    <xf numFmtId="0" fontId="0" fillId="5" borderId="0" xfId="0" applyFill="1" applyBorder="1" applyAlignment="1" applyProtection="1">
      <alignment horizontal="center" vertical="center"/>
    </xf>
    <xf numFmtId="0" fontId="0" fillId="5" borderId="0" xfId="0" applyFill="1" applyBorder="1" applyAlignment="1" applyProtection="1">
      <alignment vertical="center"/>
    </xf>
    <xf numFmtId="0" fontId="20" fillId="5" borderId="0" xfId="0" applyFont="1" applyFill="1" applyBorder="1" applyAlignment="1" applyProtection="1">
      <alignment vertical="top" textRotation="90"/>
    </xf>
    <xf numFmtId="0" fontId="20" fillId="5" borderId="0" xfId="0" applyFont="1" applyFill="1" applyBorder="1" applyAlignment="1" applyProtection="1"/>
    <xf numFmtId="0" fontId="20" fillId="5" borderId="0" xfId="0" applyFont="1" applyFill="1" applyBorder="1" applyAlignment="1" applyProtection="1">
      <alignment vertical="center"/>
    </xf>
    <xf numFmtId="0" fontId="12" fillId="5" borderId="0" xfId="5" applyFill="1" applyBorder="1" applyAlignment="1" applyProtection="1">
      <alignment horizontal="left" vertical="top" wrapText="1"/>
    </xf>
    <xf numFmtId="0" fontId="12" fillId="5" borderId="0" xfId="5" applyFont="1" applyFill="1" applyBorder="1" applyAlignment="1" applyProtection="1">
      <alignment horizontal="left" vertical="top" wrapText="1"/>
    </xf>
    <xf numFmtId="0" fontId="0" fillId="5" borderId="0" xfId="0" applyFill="1" applyBorder="1" applyAlignment="1" applyProtection="1">
      <alignment horizontal="left" vertical="center"/>
    </xf>
    <xf numFmtId="0" fontId="25" fillId="5" borderId="0" xfId="11" quotePrefix="1" applyFont="1" applyFill="1" applyBorder="1" applyAlignment="1" applyProtection="1">
      <alignment vertical="top" wrapText="1"/>
    </xf>
    <xf numFmtId="0" fontId="12" fillId="5" borderId="0" xfId="5" applyFill="1" applyBorder="1" applyProtection="1">
      <alignment vertical="center"/>
    </xf>
    <xf numFmtId="0" fontId="45" fillId="5" borderId="0" xfId="5" applyFont="1" applyFill="1" applyBorder="1" applyAlignment="1" applyProtection="1">
      <alignment vertical="center"/>
    </xf>
    <xf numFmtId="0" fontId="45" fillId="5" borderId="0" xfId="5" applyNumberFormat="1" applyFont="1" applyFill="1" applyBorder="1" applyAlignment="1" applyProtection="1">
      <alignment horizontal="center" vertical="center"/>
    </xf>
    <xf numFmtId="0" fontId="12" fillId="5" borderId="0" xfId="5" applyFill="1" applyBorder="1" applyAlignment="1" applyProtection="1">
      <alignment vertical="center"/>
    </xf>
    <xf numFmtId="0" fontId="45" fillId="5" borderId="0" xfId="0" applyFont="1" applyFill="1" applyBorder="1" applyAlignment="1" applyProtection="1">
      <alignment vertical="center"/>
    </xf>
    <xf numFmtId="0" fontId="45" fillId="5" borderId="0" xfId="5" applyFont="1" applyFill="1" applyBorder="1" applyAlignment="1" applyProtection="1">
      <alignment horizontal="center" vertical="center"/>
    </xf>
    <xf numFmtId="0" fontId="12" fillId="5" borderId="0" xfId="5" applyFill="1" applyBorder="1" applyAlignment="1" applyProtection="1">
      <alignment horizontal="center" vertical="center"/>
    </xf>
    <xf numFmtId="0" fontId="45" fillId="5" borderId="0" xfId="0" applyFont="1" applyFill="1" applyBorder="1" applyAlignment="1" applyProtection="1">
      <alignment horizontal="left" vertical="center"/>
    </xf>
    <xf numFmtId="0" fontId="45" fillId="5" borderId="0" xfId="0" applyFont="1" applyFill="1" applyBorder="1" applyAlignment="1" applyProtection="1">
      <alignment horizontal="center" vertical="center"/>
    </xf>
    <xf numFmtId="0" fontId="12" fillId="5" borderId="0" xfId="0" applyFont="1" applyFill="1" applyBorder="1" applyAlignment="1" applyProtection="1">
      <alignment vertical="center"/>
    </xf>
    <xf numFmtId="0" fontId="20" fillId="5" borderId="0" xfId="0" applyFont="1" applyFill="1" applyBorder="1" applyAlignment="1" applyProtection="1">
      <alignment horizontal="center" vertical="center" textRotation="90"/>
    </xf>
    <xf numFmtId="0" fontId="10" fillId="5" borderId="0" xfId="5" applyFont="1" applyFill="1" applyBorder="1" applyAlignment="1" applyProtection="1">
      <alignment horizontal="left" vertical="top" wrapText="1"/>
    </xf>
    <xf numFmtId="0" fontId="17" fillId="5" borderId="0" xfId="0" applyFont="1" applyFill="1" applyBorder="1" applyAlignment="1" applyProtection="1">
      <alignment horizontal="left" vertical="center"/>
    </xf>
    <xf numFmtId="14" fontId="10" fillId="5" borderId="0" xfId="5" applyNumberFormat="1" applyFont="1" applyFill="1" applyBorder="1" applyAlignment="1" applyProtection="1">
      <alignment vertical="top" wrapText="1"/>
    </xf>
    <xf numFmtId="0" fontId="20" fillId="5" borderId="0" xfId="5" applyFont="1" applyFill="1" applyBorder="1" applyAlignment="1" applyProtection="1">
      <alignment vertical="center"/>
    </xf>
    <xf numFmtId="0" fontId="20" fillId="5" borderId="0" xfId="0" applyFont="1" applyFill="1" applyBorder="1" applyAlignment="1" applyProtection="1">
      <alignment horizontal="left" vertical="top"/>
    </xf>
    <xf numFmtId="0" fontId="21" fillId="5" borderId="0" xfId="5" applyFont="1" applyFill="1" applyBorder="1" applyAlignment="1" applyProtection="1">
      <alignment vertical="center"/>
    </xf>
    <xf numFmtId="0" fontId="10" fillId="5" borderId="0" xfId="0" applyFont="1" applyFill="1" applyBorder="1" applyAlignment="1" applyProtection="1"/>
    <xf numFmtId="0" fontId="22" fillId="5" borderId="0" xfId="5" applyFont="1" applyFill="1" applyBorder="1" applyAlignment="1" applyProtection="1">
      <alignment vertical="top" wrapText="1"/>
    </xf>
    <xf numFmtId="0" fontId="0" fillId="5" borderId="0" xfId="0" applyFill="1" applyAlignment="1" applyProtection="1"/>
    <xf numFmtId="0" fontId="0" fillId="5" borderId="0" xfId="0" applyFill="1" applyBorder="1" applyAlignment="1" applyProtection="1"/>
    <xf numFmtId="14" fontId="12" fillId="5" borderId="0" xfId="5" applyNumberFormat="1" applyFill="1" applyBorder="1" applyAlignment="1" applyProtection="1">
      <alignment vertical="top" wrapText="1"/>
    </xf>
    <xf numFmtId="0" fontId="12" fillId="5" borderId="0" xfId="5" applyFont="1" applyFill="1" applyBorder="1" applyAlignment="1" applyProtection="1">
      <alignment vertical="center" wrapText="1"/>
    </xf>
    <xf numFmtId="0" fontId="10" fillId="5" borderId="0" xfId="0" applyFont="1" applyFill="1" applyBorder="1" applyAlignment="1" applyProtection="1">
      <alignment vertical="center" wrapText="1"/>
    </xf>
    <xf numFmtId="0" fontId="18" fillId="5" borderId="0" xfId="5" applyFont="1" applyFill="1" applyBorder="1" applyAlignment="1" applyProtection="1">
      <alignment vertical="center" wrapText="1"/>
    </xf>
    <xf numFmtId="0" fontId="22" fillId="5" borderId="0" xfId="5" applyFont="1" applyFill="1" applyBorder="1" applyAlignment="1" applyProtection="1">
      <alignment vertical="center" wrapText="1"/>
    </xf>
    <xf numFmtId="14" fontId="12" fillId="5" borderId="0" xfId="5" applyNumberFormat="1" applyFont="1" applyFill="1" applyBorder="1" applyAlignment="1" applyProtection="1">
      <alignment vertical="top" wrapText="1"/>
    </xf>
    <xf numFmtId="0" fontId="55" fillId="5" borderId="0" xfId="0" applyFont="1" applyFill="1" applyAlignment="1" applyProtection="1"/>
    <xf numFmtId="0" fontId="10" fillId="5" borderId="0" xfId="5" applyFont="1" applyFill="1" applyBorder="1" applyAlignment="1" applyProtection="1">
      <alignment vertical="center" wrapText="1"/>
    </xf>
    <xf numFmtId="0" fontId="14" fillId="5" borderId="0" xfId="5" applyFont="1" applyFill="1" applyBorder="1" applyAlignment="1" applyProtection="1">
      <alignment vertical="center" wrapText="1"/>
    </xf>
    <xf numFmtId="0" fontId="20" fillId="5" borderId="0" xfId="5" applyFont="1" applyFill="1" applyAlignment="1" applyProtection="1">
      <alignment vertical="center"/>
    </xf>
    <xf numFmtId="0" fontId="26" fillId="5" borderId="0" xfId="5" applyFont="1" applyFill="1" applyBorder="1" applyAlignment="1" applyProtection="1">
      <alignment vertical="center" wrapText="1"/>
    </xf>
    <xf numFmtId="0" fontId="22" fillId="5" borderId="0" xfId="5" applyFont="1" applyFill="1" applyBorder="1" applyAlignment="1" applyProtection="1">
      <alignment vertical="top"/>
    </xf>
    <xf numFmtId="0" fontId="29" fillId="5" borderId="0" xfId="0" applyFont="1" applyFill="1" applyBorder="1" applyAlignment="1" applyProtection="1">
      <alignment vertical="center"/>
    </xf>
    <xf numFmtId="0" fontId="20" fillId="5" borderId="0" xfId="6" applyFont="1" applyFill="1" applyBorder="1" applyAlignment="1" applyProtection="1">
      <alignment horizontal="left" vertical="center"/>
    </xf>
    <xf numFmtId="0" fontId="21" fillId="5" borderId="0" xfId="6" applyFont="1" applyFill="1" applyBorder="1" applyAlignment="1" applyProtection="1">
      <alignment horizontal="left" vertical="center"/>
    </xf>
    <xf numFmtId="0" fontId="12" fillId="5" borderId="0" xfId="6" applyFont="1" applyFill="1" applyBorder="1" applyAlignment="1" applyProtection="1">
      <alignment horizontal="left" vertical="center"/>
    </xf>
    <xf numFmtId="0" fontId="12" fillId="5" borderId="0" xfId="6" applyFont="1" applyFill="1" applyBorder="1" applyAlignment="1" applyProtection="1">
      <alignment horizontal="right" vertical="center"/>
    </xf>
    <xf numFmtId="0" fontId="12" fillId="5" borderId="0" xfId="5" applyFill="1" applyBorder="1" applyAlignment="1" applyProtection="1">
      <alignment horizontal="center" vertical="top" wrapText="1"/>
    </xf>
    <xf numFmtId="0" fontId="12" fillId="5" borderId="0" xfId="6" applyFill="1" applyBorder="1" applyAlignment="1" applyProtection="1">
      <alignment horizontal="left" vertical="center"/>
    </xf>
    <xf numFmtId="0" fontId="0" fillId="5" borderId="0" xfId="0" applyFill="1" applyBorder="1" applyAlignment="1" applyProtection="1">
      <alignment horizontal="right" vertical="center"/>
    </xf>
    <xf numFmtId="0" fontId="10" fillId="5" borderId="0" xfId="6" applyFont="1" applyFill="1" applyBorder="1" applyAlignment="1" applyProtection="1">
      <alignment horizontal="center" vertical="center"/>
    </xf>
    <xf numFmtId="0" fontId="10" fillId="5" borderId="0" xfId="6" applyFont="1" applyFill="1" applyBorder="1" applyAlignment="1" applyProtection="1">
      <alignment horizontal="right" vertical="center"/>
    </xf>
    <xf numFmtId="0" fontId="10" fillId="5" borderId="0" xfId="6" applyFont="1" applyFill="1" applyBorder="1" applyAlignment="1" applyProtection="1">
      <alignment horizontal="left" vertical="center"/>
    </xf>
    <xf numFmtId="0" fontId="10" fillId="5" borderId="0" xfId="6" applyFont="1" applyFill="1" applyBorder="1" applyAlignment="1" applyProtection="1">
      <alignment vertical="center"/>
    </xf>
    <xf numFmtId="0" fontId="12" fillId="5" borderId="0" xfId="6" applyFont="1" applyFill="1" applyBorder="1" applyAlignment="1" applyProtection="1">
      <alignment vertical="center"/>
    </xf>
    <xf numFmtId="0" fontId="12" fillId="5" borderId="0" xfId="6" applyFill="1" applyBorder="1" applyAlignment="1" applyProtection="1">
      <alignment vertical="center"/>
    </xf>
    <xf numFmtId="0" fontId="12" fillId="5" borderId="0" xfId="6" applyFont="1" applyFill="1" applyBorder="1" applyAlignment="1" applyProtection="1">
      <alignment horizontal="left" vertical="top"/>
    </xf>
    <xf numFmtId="0" fontId="12" fillId="5" borderId="0" xfId="6" applyFont="1" applyFill="1" applyBorder="1" applyAlignment="1" applyProtection="1">
      <alignment vertical="top"/>
    </xf>
    <xf numFmtId="0" fontId="10" fillId="5" borderId="0" xfId="6" applyFont="1" applyFill="1" applyBorder="1" applyAlignment="1" applyProtection="1">
      <alignment horizontal="left" vertical="top" wrapText="1"/>
    </xf>
    <xf numFmtId="0" fontId="0" fillId="5" borderId="0" xfId="0" applyFill="1" applyBorder="1" applyAlignment="1" applyProtection="1">
      <alignment vertical="top"/>
    </xf>
    <xf numFmtId="0" fontId="10" fillId="5" borderId="0" xfId="0" applyFont="1" applyFill="1" applyBorder="1" applyAlignment="1" applyProtection="1">
      <alignment vertical="top"/>
    </xf>
    <xf numFmtId="0" fontId="10" fillId="5" borderId="0" xfId="6" applyFont="1" applyFill="1" applyBorder="1" applyAlignment="1" applyProtection="1">
      <alignment vertical="top"/>
    </xf>
    <xf numFmtId="0" fontId="26" fillId="5" borderId="0" xfId="6" applyFont="1" applyFill="1" applyBorder="1" applyAlignment="1" applyProtection="1">
      <alignment vertical="top"/>
    </xf>
    <xf numFmtId="0" fontId="25" fillId="5" borderId="0" xfId="6" applyFont="1" applyFill="1" applyBorder="1" applyAlignment="1" applyProtection="1">
      <alignment vertical="top"/>
    </xf>
    <xf numFmtId="0" fontId="10" fillId="5" borderId="0" xfId="7" applyNumberFormat="1" applyFont="1" applyFill="1" applyBorder="1" applyAlignment="1" applyProtection="1">
      <alignment vertical="top" wrapText="1"/>
    </xf>
    <xf numFmtId="0" fontId="12" fillId="5" borderId="0" xfId="7" applyNumberFormat="1" applyFont="1" applyFill="1" applyBorder="1" applyAlignment="1" applyProtection="1">
      <alignment vertical="top" wrapText="1"/>
    </xf>
    <xf numFmtId="0" fontId="10" fillId="5" borderId="0" xfId="5" applyFont="1" applyFill="1" applyBorder="1" applyAlignment="1" applyProtection="1">
      <alignment horizontal="center" vertical="top" wrapText="1"/>
    </xf>
    <xf numFmtId="14" fontId="12" fillId="5" borderId="0" xfId="5" applyNumberFormat="1" applyFill="1" applyBorder="1" applyAlignment="1" applyProtection="1">
      <alignment horizontal="left" vertical="top" wrapText="1"/>
    </xf>
    <xf numFmtId="0" fontId="0" fillId="5" borderId="0" xfId="0" applyFill="1" applyBorder="1" applyAlignment="1" applyProtection="1">
      <alignment vertical="top" wrapText="1"/>
    </xf>
    <xf numFmtId="0" fontId="26" fillId="5" borderId="0" xfId="6" applyFont="1" applyFill="1" applyBorder="1" applyAlignment="1" applyProtection="1">
      <alignment vertical="center"/>
    </xf>
    <xf numFmtId="0" fontId="25" fillId="5" borderId="0" xfId="6" applyFont="1" applyFill="1" applyBorder="1" applyAlignment="1" applyProtection="1">
      <alignment vertical="center"/>
    </xf>
    <xf numFmtId="0" fontId="20" fillId="5" borderId="0" xfId="0" applyFont="1" applyFill="1" applyBorder="1" applyAlignment="1" applyProtection="1">
      <alignment vertical="center" textRotation="90"/>
    </xf>
    <xf numFmtId="0" fontId="0" fillId="5" borderId="0" xfId="0" applyFill="1" applyBorder="1" applyAlignment="1" applyProtection="1">
      <alignment vertical="center" wrapText="1"/>
    </xf>
    <xf numFmtId="0" fontId="12" fillId="5" borderId="0" xfId="6" applyFill="1" applyBorder="1" applyAlignment="1" applyProtection="1">
      <alignment horizontal="center" vertical="center"/>
    </xf>
    <xf numFmtId="0" fontId="10" fillId="5" borderId="0" xfId="0" applyFont="1" applyFill="1" applyBorder="1" applyAlignment="1" applyProtection="1">
      <alignment vertical="top" wrapText="1"/>
    </xf>
    <xf numFmtId="0" fontId="24" fillId="5" borderId="0" xfId="6" applyFont="1" applyFill="1" applyBorder="1" applyAlignment="1" applyProtection="1">
      <alignment horizontal="left" vertical="center"/>
    </xf>
    <xf numFmtId="0" fontId="13" fillId="5" borderId="0" xfId="0" applyFont="1" applyFill="1" applyBorder="1" applyAlignment="1" applyProtection="1">
      <alignment vertical="center" wrapText="1"/>
    </xf>
    <xf numFmtId="0" fontId="10" fillId="5" borderId="0" xfId="6" applyFont="1" applyFill="1" applyBorder="1" applyAlignment="1" applyProtection="1">
      <alignment horizontal="left" vertical="top"/>
    </xf>
    <xf numFmtId="16" fontId="10" fillId="5" borderId="0" xfId="5" applyNumberFormat="1" applyFont="1" applyFill="1" applyBorder="1" applyAlignment="1" applyProtection="1">
      <alignment vertical="top" wrapText="1"/>
    </xf>
    <xf numFmtId="16" fontId="12" fillId="5" borderId="0" xfId="5" applyNumberFormat="1" applyFill="1" applyBorder="1" applyAlignment="1" applyProtection="1">
      <alignment vertical="top" wrapText="1"/>
    </xf>
    <xf numFmtId="0" fontId="0" fillId="5" borderId="0" xfId="0" applyFill="1" applyBorder="1" applyAlignment="1" applyProtection="1">
      <alignment horizontal="center" vertical="center" wrapText="1"/>
    </xf>
    <xf numFmtId="14" fontId="10" fillId="5" borderId="0" xfId="5" applyNumberFormat="1" applyFont="1" applyFill="1" applyBorder="1" applyAlignment="1" applyProtection="1">
      <alignment horizontal="left" vertical="top" wrapText="1"/>
    </xf>
    <xf numFmtId="16" fontId="10" fillId="5" borderId="0" xfId="5" applyNumberFormat="1" applyFont="1" applyFill="1" applyBorder="1" applyAlignment="1" applyProtection="1">
      <alignment horizontal="left" vertical="top" wrapText="1"/>
    </xf>
    <xf numFmtId="16" fontId="12" fillId="5" borderId="0" xfId="5" applyNumberFormat="1" applyFill="1" applyBorder="1" applyAlignment="1" applyProtection="1">
      <alignment horizontal="left" vertical="top" wrapText="1"/>
    </xf>
    <xf numFmtId="14" fontId="12" fillId="5" borderId="0" xfId="5" applyNumberFormat="1" applyFont="1" applyFill="1" applyBorder="1" applyAlignment="1" applyProtection="1">
      <alignment horizontal="left" vertical="top" wrapText="1"/>
    </xf>
    <xf numFmtId="0" fontId="13" fillId="5" borderId="0" xfId="0" applyFont="1" applyFill="1" applyBorder="1" applyAlignment="1" applyProtection="1">
      <alignment horizontal="center" vertical="center"/>
    </xf>
    <xf numFmtId="0" fontId="0" fillId="5" borderId="0" xfId="0" applyFill="1" applyBorder="1" applyAlignment="1" applyProtection="1">
      <alignment horizontal="left" wrapText="1"/>
    </xf>
    <xf numFmtId="44" fontId="10" fillId="5" borderId="0" xfId="7" applyFont="1" applyFill="1" applyBorder="1" applyAlignment="1" applyProtection="1">
      <alignment vertical="top" wrapText="1"/>
    </xf>
    <xf numFmtId="0" fontId="47" fillId="5" borderId="0" xfId="0" applyNumberFormat="1" applyFont="1" applyFill="1" applyBorder="1" applyAlignment="1" applyProtection="1">
      <alignment wrapText="1"/>
    </xf>
    <xf numFmtId="0" fontId="0" fillId="5" borderId="0" xfId="0" applyNumberFormat="1" applyFill="1" applyBorder="1" applyAlignment="1" applyProtection="1">
      <alignment vertical="center"/>
    </xf>
    <xf numFmtId="0" fontId="26" fillId="5" borderId="0" xfId="0" applyFont="1" applyFill="1" applyBorder="1" applyAlignment="1" applyProtection="1">
      <alignment vertical="center"/>
    </xf>
    <xf numFmtId="0" fontId="14" fillId="5" borderId="0" xfId="0" applyFont="1" applyFill="1" applyBorder="1" applyAlignment="1" applyProtection="1">
      <alignment vertical="center" textRotation="90"/>
    </xf>
    <xf numFmtId="0" fontId="0" fillId="5" borderId="0" xfId="0" applyFill="1" applyBorder="1" applyAlignment="1" applyProtection="1">
      <alignment wrapText="1"/>
    </xf>
    <xf numFmtId="0" fontId="11" fillId="5" borderId="0" xfId="1" applyFill="1" applyBorder="1" applyAlignment="1" applyProtection="1">
      <alignment vertical="center" wrapText="1"/>
    </xf>
    <xf numFmtId="0" fontId="11" fillId="5" borderId="0" xfId="1" applyFont="1" applyFill="1" applyBorder="1" applyAlignment="1" applyProtection="1">
      <alignment vertical="center" wrapText="1"/>
    </xf>
    <xf numFmtId="0" fontId="39" fillId="5" borderId="0" xfId="0" applyFont="1" applyFill="1" applyBorder="1" applyAlignment="1" applyProtection="1">
      <alignment vertical="center"/>
    </xf>
    <xf numFmtId="0" fontId="12" fillId="5" borderId="0" xfId="4" applyFill="1" applyBorder="1" applyAlignment="1" applyProtection="1">
      <alignment vertical="center" wrapText="1"/>
    </xf>
    <xf numFmtId="0" fontId="25" fillId="5" borderId="0" xfId="5" applyFont="1" applyFill="1" applyBorder="1" applyAlignment="1" applyProtection="1">
      <alignment vertical="top" wrapText="1"/>
    </xf>
    <xf numFmtId="0" fontId="26" fillId="5" borderId="0" xfId="5" applyFont="1" applyFill="1" applyBorder="1" applyAlignment="1" applyProtection="1">
      <alignment vertical="top" wrapText="1"/>
    </xf>
    <xf numFmtId="0" fontId="0" fillId="5" borderId="0" xfId="0" applyFill="1" applyBorder="1" applyAlignment="1" applyProtection="1">
      <alignment horizontal="center" vertical="top" wrapText="1"/>
    </xf>
    <xf numFmtId="0" fontId="15" fillId="5" borderId="0" xfId="0" applyFont="1" applyFill="1" applyBorder="1" applyAlignment="1" applyProtection="1">
      <alignment vertical="center"/>
    </xf>
    <xf numFmtId="0" fontId="0" fillId="5" borderId="0" xfId="0" applyFill="1" applyAlignment="1" applyProtection="1">
      <alignment horizontal="left"/>
    </xf>
    <xf numFmtId="0" fontId="0" fillId="5" borderId="0" xfId="0" applyFill="1" applyBorder="1" applyAlignment="1" applyProtection="1">
      <alignment horizontal="left"/>
    </xf>
    <xf numFmtId="0" fontId="0" fillId="5" borderId="0" xfId="0" applyFill="1" applyBorder="1" applyAlignment="1" applyProtection="1">
      <alignment horizontal="left" vertical="top"/>
    </xf>
    <xf numFmtId="0" fontId="39" fillId="5" borderId="0" xfId="0" applyFont="1" applyFill="1" applyBorder="1" applyAlignment="1" applyProtection="1">
      <alignment horizontal="center"/>
    </xf>
    <xf numFmtId="0" fontId="72" fillId="13" borderId="2" xfId="5" applyNumberFormat="1" applyFont="1" applyFill="1" applyBorder="1" applyAlignment="1" applyProtection="1">
      <alignment vertical="top" wrapText="1"/>
    </xf>
    <xf numFmtId="0" fontId="14" fillId="5" borderId="0" xfId="5" applyNumberFormat="1" applyFont="1" applyFill="1" applyBorder="1" applyAlignment="1" applyProtection="1">
      <alignment vertical="top" wrapText="1"/>
    </xf>
    <xf numFmtId="0" fontId="14" fillId="5" borderId="0" xfId="0" applyFont="1" applyFill="1" applyProtection="1"/>
    <xf numFmtId="0" fontId="32" fillId="5" borderId="0" xfId="0" applyFont="1" applyFill="1" applyBorder="1" applyAlignment="1" applyProtection="1"/>
    <xf numFmtId="0" fontId="38" fillId="5" borderId="0" xfId="0" applyFont="1" applyFill="1" applyAlignment="1" applyProtection="1"/>
    <xf numFmtId="0" fontId="12" fillId="5" borderId="0" xfId="5" applyFill="1" applyProtection="1">
      <alignment vertical="center"/>
    </xf>
    <xf numFmtId="0" fontId="0" fillId="5" borderId="1" xfId="0" applyFill="1" applyBorder="1" applyProtection="1"/>
    <xf numFmtId="0" fontId="0" fillId="5" borderId="71" xfId="0" applyFill="1" applyBorder="1" applyProtection="1"/>
    <xf numFmtId="0" fontId="1" fillId="0" borderId="0" xfId="14" applyFont="1" applyAlignment="1">
      <alignment horizontal="left" vertical="top"/>
    </xf>
    <xf numFmtId="0" fontId="1" fillId="0" borderId="0" xfId="14" quotePrefix="1" applyFont="1" applyAlignment="1">
      <alignment horizontal="left" vertical="top" wrapText="1"/>
    </xf>
    <xf numFmtId="0" fontId="0" fillId="5" borderId="0" xfId="0" applyFill="1" applyProtection="1">
      <protection locked="0"/>
    </xf>
    <xf numFmtId="164" fontId="0" fillId="5" borderId="0" xfId="0" applyNumberFormat="1" applyFill="1" applyProtection="1">
      <protection locked="0"/>
    </xf>
    <xf numFmtId="0" fontId="32" fillId="5" borderId="0" xfId="0" applyFont="1" applyFill="1" applyAlignment="1" applyProtection="1">
      <alignment horizontal="left"/>
    </xf>
    <xf numFmtId="164" fontId="0" fillId="5" borderId="0" xfId="0" applyNumberFormat="1" applyFill="1" applyProtection="1"/>
    <xf numFmtId="0" fontId="10" fillId="5" borderId="0" xfId="0" applyFont="1" applyFill="1" applyProtection="1">
      <protection locked="0"/>
    </xf>
    <xf numFmtId="0" fontId="25" fillId="5" borderId="3" xfId="11" quotePrefix="1" applyFont="1" applyFill="1" applyBorder="1" applyAlignment="1" applyProtection="1">
      <alignment horizontal="left" vertical="top" wrapText="1"/>
    </xf>
    <xf numFmtId="0" fontId="25" fillId="5" borderId="0" xfId="11" quotePrefix="1" applyFont="1" applyFill="1" applyBorder="1" applyAlignment="1" applyProtection="1">
      <alignment horizontal="left" vertical="top" wrapText="1"/>
    </xf>
    <xf numFmtId="0" fontId="51" fillId="5" borderId="10" xfId="11" applyFont="1" applyFill="1" applyBorder="1" applyAlignment="1" applyProtection="1">
      <alignment horizontal="left" vertical="center" wrapText="1"/>
    </xf>
    <xf numFmtId="0" fontId="32" fillId="5" borderId="0" xfId="0" applyFont="1" applyFill="1" applyBorder="1" applyAlignment="1" applyProtection="1">
      <alignment horizontal="left"/>
    </xf>
    <xf numFmtId="0" fontId="14" fillId="6" borderId="4" xfId="5" applyNumberFormat="1" applyFont="1" applyFill="1" applyBorder="1" applyAlignment="1" applyProtection="1">
      <alignment horizontal="center" vertical="center" wrapText="1"/>
      <protection locked="0"/>
    </xf>
    <xf numFmtId="0" fontId="14" fillId="6" borderId="6" xfId="5" applyNumberFormat="1" applyFont="1" applyFill="1" applyBorder="1" applyAlignment="1" applyProtection="1">
      <alignment horizontal="center" vertical="center" wrapText="1"/>
      <protection locked="0"/>
    </xf>
    <xf numFmtId="0" fontId="51" fillId="5" borderId="10" xfId="11" applyFont="1" applyFill="1" applyBorder="1" applyAlignment="1" applyProtection="1">
      <alignment horizontal="left" vertical="center"/>
    </xf>
    <xf numFmtId="0" fontId="77" fillId="5" borderId="1" xfId="5" applyNumberFormat="1" applyFont="1" applyFill="1" applyBorder="1" applyAlignment="1" applyProtection="1">
      <alignment horizontal="right" vertical="center"/>
    </xf>
    <xf numFmtId="0" fontId="25" fillId="5" borderId="3" xfId="11" applyFont="1" applyFill="1" applyBorder="1" applyAlignment="1" applyProtection="1">
      <alignment horizontal="left" vertical="top" wrapText="1"/>
    </xf>
    <xf numFmtId="0" fontId="25" fillId="5" borderId="0" xfId="11" applyFont="1" applyFill="1" applyBorder="1" applyAlignment="1" applyProtection="1">
      <alignment horizontal="left" vertical="top" wrapText="1"/>
    </xf>
    <xf numFmtId="0" fontId="45" fillId="5" borderId="0" xfId="0" applyFont="1" applyFill="1" applyBorder="1" applyAlignment="1" applyProtection="1">
      <alignment horizontal="center" vertical="center"/>
    </xf>
    <xf numFmtId="0" fontId="46" fillId="5" borderId="0" xfId="5" applyNumberFormat="1" applyFont="1" applyFill="1" applyBorder="1" applyAlignment="1" applyProtection="1">
      <alignment horizontal="center" vertical="center"/>
    </xf>
    <xf numFmtId="0" fontId="45" fillId="5" borderId="0" xfId="0" applyFont="1" applyFill="1" applyBorder="1" applyAlignment="1" applyProtection="1">
      <alignment horizontal="left" vertical="center"/>
    </xf>
    <xf numFmtId="0" fontId="20" fillId="4" borderId="9"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14" fillId="4" borderId="9" xfId="6" applyFont="1" applyFill="1" applyBorder="1" applyAlignment="1">
      <alignment horizontal="left" vertical="center" wrapText="1"/>
    </xf>
    <xf numFmtId="0" fontId="14" fillId="4" borderId="3" xfId="6" applyFont="1" applyFill="1" applyBorder="1" applyAlignment="1">
      <alignment horizontal="left" vertical="center" wrapText="1"/>
    </xf>
    <xf numFmtId="0" fontId="14" fillId="4" borderId="7" xfId="6" applyFont="1" applyFill="1" applyBorder="1" applyAlignment="1">
      <alignment horizontal="left" vertical="center" wrapText="1"/>
    </xf>
    <xf numFmtId="14" fontId="14" fillId="4" borderId="4" xfId="0" applyNumberFormat="1" applyFont="1" applyFill="1" applyBorder="1" applyAlignment="1">
      <alignment horizontal="left" vertical="center" wrapText="1"/>
    </xf>
    <xf numFmtId="14" fontId="14" fillId="4" borderId="5" xfId="0" applyNumberFormat="1" applyFont="1" applyFill="1" applyBorder="1" applyAlignment="1">
      <alignment horizontal="left" vertical="center" wrapText="1"/>
    </xf>
    <xf numFmtId="14" fontId="14" fillId="4" borderId="6" xfId="0" applyNumberFormat="1" applyFont="1" applyFill="1" applyBorder="1" applyAlignment="1">
      <alignment horizontal="left" vertical="center" wrapText="1"/>
    </xf>
    <xf numFmtId="0" fontId="20" fillId="4" borderId="9" xfId="0" applyFont="1" applyFill="1" applyBorder="1" applyAlignment="1">
      <alignment horizontal="center" vertical="center"/>
    </xf>
    <xf numFmtId="0" fontId="20" fillId="4" borderId="7" xfId="0" applyFont="1" applyFill="1" applyBorder="1" applyAlignment="1">
      <alignment horizontal="center" vertical="center"/>
    </xf>
    <xf numFmtId="0" fontId="14" fillId="4" borderId="4" xfId="0" applyFont="1" applyFill="1" applyBorder="1" applyAlignment="1">
      <alignment horizontal="left" vertical="center" wrapText="1"/>
    </xf>
    <xf numFmtId="0" fontId="14" fillId="4" borderId="5" xfId="0" applyFont="1" applyFill="1" applyBorder="1" applyAlignment="1">
      <alignment horizontal="left" vertical="center" wrapText="1"/>
    </xf>
    <xf numFmtId="0" fontId="14" fillId="4" borderId="6" xfId="0" applyFont="1" applyFill="1" applyBorder="1" applyAlignment="1">
      <alignment horizontal="left" vertical="center" wrapText="1"/>
    </xf>
    <xf numFmtId="0" fontId="10" fillId="0" borderId="9" xfId="0" applyFont="1" applyFill="1" applyBorder="1" applyAlignment="1">
      <alignment horizontal="left" vertical="center"/>
    </xf>
    <xf numFmtId="0" fontId="10" fillId="0" borderId="3" xfId="0" applyFont="1" applyFill="1" applyBorder="1" applyAlignment="1">
      <alignment horizontal="left" vertical="center"/>
    </xf>
    <xf numFmtId="0" fontId="10" fillId="0" borderId="7" xfId="0" applyFont="1" applyFill="1" applyBorder="1" applyAlignment="1">
      <alignment horizontal="left" vertical="center"/>
    </xf>
    <xf numFmtId="0" fontId="10" fillId="0" borderId="11" xfId="0" applyFont="1" applyFill="1" applyBorder="1" applyAlignment="1">
      <alignment horizontal="left" vertical="center"/>
    </xf>
    <xf numFmtId="0" fontId="10" fillId="0" borderId="0" xfId="0" applyFont="1" applyFill="1" applyBorder="1" applyAlignment="1">
      <alignment horizontal="left" vertical="center"/>
    </xf>
    <xf numFmtId="0" fontId="10" fillId="0" borderId="14" xfId="0" applyFont="1" applyFill="1" applyBorder="1" applyAlignment="1">
      <alignment horizontal="left" vertical="center"/>
    </xf>
    <xf numFmtId="0" fontId="10" fillId="0" borderId="8" xfId="0" applyFont="1" applyFill="1" applyBorder="1" applyAlignment="1">
      <alignment horizontal="left" vertical="center"/>
    </xf>
    <xf numFmtId="0" fontId="10" fillId="0" borderId="10" xfId="0" applyFont="1" applyFill="1" applyBorder="1" applyAlignment="1">
      <alignment horizontal="left" vertical="center"/>
    </xf>
    <xf numFmtId="0" fontId="10" fillId="0" borderId="13" xfId="0" applyFont="1" applyFill="1" applyBorder="1" applyAlignment="1">
      <alignment horizontal="left" vertical="center"/>
    </xf>
    <xf numFmtId="0" fontId="10" fillId="0" borderId="9"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10" fillId="0" borderId="8" xfId="0" applyFont="1" applyFill="1" applyBorder="1" applyAlignment="1">
      <alignment horizontal="left" vertical="center" wrapText="1"/>
    </xf>
    <xf numFmtId="0" fontId="10" fillId="0" borderId="10"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10" fillId="4" borderId="3" xfId="0" applyFont="1" applyFill="1" applyBorder="1" applyAlignment="1">
      <alignment horizontal="left" vertical="center" wrapText="1"/>
    </xf>
    <xf numFmtId="0" fontId="10" fillId="4" borderId="0" xfId="0" applyFont="1" applyFill="1" applyBorder="1" applyAlignment="1">
      <alignment horizontal="left" vertical="center" wrapText="1"/>
    </xf>
    <xf numFmtId="0" fontId="10" fillId="4" borderId="10" xfId="0" applyFont="1" applyFill="1" applyBorder="1" applyAlignment="1">
      <alignment horizontal="left" vertical="center" wrapText="1"/>
    </xf>
    <xf numFmtId="0" fontId="10" fillId="4" borderId="11" xfId="0" applyFont="1" applyFill="1" applyBorder="1" applyAlignment="1">
      <alignment horizontal="left" vertical="top" wrapText="1"/>
    </xf>
    <xf numFmtId="0" fontId="10" fillId="4" borderId="14" xfId="0" applyFont="1" applyFill="1" applyBorder="1" applyAlignment="1">
      <alignment horizontal="left" vertical="top" wrapText="1"/>
    </xf>
    <xf numFmtId="0" fontId="16" fillId="7" borderId="9" xfId="0" applyFont="1" applyFill="1" applyBorder="1" applyAlignment="1">
      <alignment horizontal="center" vertical="center"/>
    </xf>
    <xf numFmtId="0" fontId="16" fillId="7" borderId="3" xfId="0" applyFont="1" applyFill="1" applyBorder="1" applyAlignment="1">
      <alignment horizontal="center" vertical="center"/>
    </xf>
    <xf numFmtId="0" fontId="16" fillId="7" borderId="11" xfId="0" applyFont="1" applyFill="1" applyBorder="1" applyAlignment="1">
      <alignment horizontal="center" vertical="center"/>
    </xf>
    <xf numFmtId="0" fontId="16" fillId="7" borderId="0" xfId="0" applyFont="1" applyFill="1" applyBorder="1" applyAlignment="1">
      <alignment horizontal="center" vertical="center"/>
    </xf>
    <xf numFmtId="0" fontId="16" fillId="7" borderId="8" xfId="0" applyFont="1" applyFill="1" applyBorder="1" applyAlignment="1">
      <alignment horizontal="center" vertical="center"/>
    </xf>
    <xf numFmtId="0" fontId="16" fillId="7" borderId="10" xfId="0" applyFont="1" applyFill="1" applyBorder="1" applyAlignment="1">
      <alignment horizontal="center" vertical="center"/>
    </xf>
    <xf numFmtId="0" fontId="16" fillId="7" borderId="3" xfId="0" applyFont="1" applyFill="1" applyBorder="1" applyAlignment="1">
      <alignment horizontal="left" vertical="center"/>
    </xf>
    <xf numFmtId="0" fontId="16" fillId="7" borderId="7" xfId="0" applyFont="1" applyFill="1" applyBorder="1" applyAlignment="1">
      <alignment horizontal="left" vertical="center"/>
    </xf>
    <xf numFmtId="0" fontId="16" fillId="7" borderId="0" xfId="0" applyFont="1" applyFill="1" applyBorder="1" applyAlignment="1">
      <alignment horizontal="left" vertical="center"/>
    </xf>
    <xf numFmtId="0" fontId="16" fillId="7" borderId="14" xfId="0" applyFont="1" applyFill="1" applyBorder="1" applyAlignment="1">
      <alignment horizontal="left" vertical="center"/>
    </xf>
    <xf numFmtId="0" fontId="16" fillId="7" borderId="10" xfId="0" applyFont="1" applyFill="1" applyBorder="1" applyAlignment="1">
      <alignment horizontal="left" vertical="center"/>
    </xf>
    <xf numFmtId="0" fontId="16" fillId="7" borderId="13" xfId="0" applyFont="1" applyFill="1" applyBorder="1" applyAlignment="1">
      <alignment horizontal="left" vertical="center"/>
    </xf>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4" xfId="0" applyFill="1" applyBorder="1" applyAlignment="1">
      <alignment horizontal="center" vertical="center"/>
    </xf>
    <xf numFmtId="0" fontId="24" fillId="0" borderId="9" xfId="0" applyFont="1" applyBorder="1" applyAlignment="1">
      <alignment horizontal="left" vertical="center"/>
    </xf>
    <xf numFmtId="0" fontId="24" fillId="0" borderId="3" xfId="0" applyFont="1" applyBorder="1" applyAlignment="1">
      <alignment horizontal="left" vertical="center"/>
    </xf>
    <xf numFmtId="0" fontId="24" fillId="0" borderId="7" xfId="0" applyFont="1" applyBorder="1" applyAlignment="1">
      <alignment horizontal="left" vertical="center"/>
    </xf>
    <xf numFmtId="0" fontId="24" fillId="0" borderId="8" xfId="0" applyFont="1" applyBorder="1" applyAlignment="1">
      <alignment horizontal="left" vertical="center"/>
    </xf>
    <xf numFmtId="0" fontId="24" fillId="0" borderId="10" xfId="0" applyFont="1" applyBorder="1" applyAlignment="1">
      <alignment horizontal="left" vertical="center"/>
    </xf>
    <xf numFmtId="0" fontId="24" fillId="0" borderId="13" xfId="0" applyFont="1" applyBorder="1" applyAlignment="1">
      <alignment horizontal="left" vertical="center"/>
    </xf>
    <xf numFmtId="0" fontId="14" fillId="4" borderId="9" xfId="0" applyFont="1" applyFill="1" applyBorder="1" applyAlignment="1">
      <alignment horizontal="left" vertical="center" wrapText="1"/>
    </xf>
    <xf numFmtId="0" fontId="14" fillId="4" borderId="3" xfId="0" applyFont="1" applyFill="1" applyBorder="1" applyAlignment="1">
      <alignment horizontal="left" vertical="center" wrapText="1"/>
    </xf>
    <xf numFmtId="0" fontId="14" fillId="4" borderId="7" xfId="0" applyFont="1" applyFill="1" applyBorder="1" applyAlignment="1">
      <alignment horizontal="left" vertical="center" wrapText="1"/>
    </xf>
    <xf numFmtId="0" fontId="24" fillId="0" borderId="11" xfId="0" applyFont="1" applyBorder="1" applyAlignment="1">
      <alignment horizontal="left" vertical="center"/>
    </xf>
    <xf numFmtId="0" fontId="24" fillId="0" borderId="0" xfId="0" applyFont="1" applyBorder="1" applyAlignment="1">
      <alignment horizontal="left" vertical="center"/>
    </xf>
    <xf numFmtId="0" fontId="24" fillId="0" borderId="14" xfId="0" applyFont="1" applyBorder="1" applyAlignment="1">
      <alignment horizontal="left" vertical="center"/>
    </xf>
    <xf numFmtId="0" fontId="10" fillId="0" borderId="9" xfId="0" applyFont="1" applyFill="1" applyBorder="1" applyAlignment="1">
      <alignment horizontal="right" vertical="center"/>
    </xf>
    <xf numFmtId="0" fontId="10" fillId="0" borderId="3" xfId="0" applyFont="1" applyFill="1" applyBorder="1" applyAlignment="1">
      <alignment horizontal="right" vertical="center"/>
    </xf>
    <xf numFmtId="0" fontId="10" fillId="0" borderId="7" xfId="0" applyFont="1" applyFill="1" applyBorder="1" applyAlignment="1">
      <alignment horizontal="right" vertical="center"/>
    </xf>
    <xf numFmtId="0" fontId="10" fillId="0" borderId="8" xfId="0" applyFont="1" applyFill="1" applyBorder="1" applyAlignment="1">
      <alignment horizontal="right" vertical="center"/>
    </xf>
    <xf numFmtId="0" fontId="10" fillId="0" borderId="10" xfId="0" applyFont="1" applyFill="1" applyBorder="1" applyAlignment="1">
      <alignment horizontal="right" vertical="center"/>
    </xf>
    <xf numFmtId="0" fontId="10" fillId="0" borderId="13" xfId="0" applyFont="1" applyFill="1" applyBorder="1" applyAlignment="1">
      <alignment horizontal="right" vertical="center"/>
    </xf>
    <xf numFmtId="0" fontId="20" fillId="4" borderId="8" xfId="0" applyFont="1" applyFill="1" applyBorder="1" applyAlignment="1">
      <alignment horizontal="center" vertical="center"/>
    </xf>
    <xf numFmtId="0" fontId="20" fillId="4" borderId="13" xfId="0" applyFont="1" applyFill="1" applyBorder="1" applyAlignment="1">
      <alignment horizontal="center" vertical="center"/>
    </xf>
    <xf numFmtId="0" fontId="15" fillId="6" borderId="0" xfId="0" applyFont="1" applyFill="1" applyBorder="1" applyAlignment="1">
      <alignment horizontal="center" vertical="center"/>
    </xf>
    <xf numFmtId="0" fontId="80" fillId="6" borderId="0" xfId="0" applyFont="1" applyFill="1" applyBorder="1" applyAlignment="1">
      <alignment horizontal="center"/>
    </xf>
    <xf numFmtId="0" fontId="79" fillId="22" borderId="21" xfId="0" applyFont="1" applyFill="1" applyBorder="1" applyAlignment="1">
      <alignment horizontal="center" vertical="center" wrapText="1"/>
    </xf>
    <xf numFmtId="0" fontId="79" fillId="22" borderId="19" xfId="0" applyFont="1" applyFill="1" applyBorder="1" applyAlignment="1">
      <alignment horizontal="center" vertical="center" wrapText="1"/>
    </xf>
    <xf numFmtId="0" fontId="79" fillId="22" borderId="22" xfId="0" applyFont="1" applyFill="1" applyBorder="1" applyAlignment="1">
      <alignment horizontal="center" vertical="center" wrapText="1"/>
    </xf>
    <xf numFmtId="0" fontId="79" fillId="22" borderId="16" xfId="0" applyFont="1" applyFill="1" applyBorder="1" applyAlignment="1">
      <alignment horizontal="center" vertical="center" wrapText="1"/>
    </xf>
    <xf numFmtId="0" fontId="79" fillId="22" borderId="0" xfId="0" applyFont="1" applyFill="1" applyBorder="1" applyAlignment="1">
      <alignment horizontal="center" vertical="center" wrapText="1"/>
    </xf>
    <xf numFmtId="0" fontId="79" fillId="22" borderId="23" xfId="0" applyFont="1" applyFill="1" applyBorder="1" applyAlignment="1">
      <alignment horizontal="center" vertical="center" wrapText="1"/>
    </xf>
    <xf numFmtId="0" fontId="79" fillId="22" borderId="16" xfId="0" applyFont="1" applyFill="1" applyBorder="1" applyAlignment="1">
      <alignment horizontal="center" vertical="top" wrapText="1"/>
    </xf>
    <xf numFmtId="0" fontId="79" fillId="22" borderId="0" xfId="0" applyFont="1" applyFill="1" applyBorder="1" applyAlignment="1">
      <alignment horizontal="center" vertical="top" wrapText="1"/>
    </xf>
    <xf numFmtId="0" fontId="79" fillId="22" borderId="23" xfId="0" applyFont="1" applyFill="1" applyBorder="1" applyAlignment="1">
      <alignment horizontal="center" vertical="top" wrapText="1"/>
    </xf>
    <xf numFmtId="0" fontId="79" fillId="22" borderId="24" xfId="0" applyFont="1" applyFill="1" applyBorder="1" applyAlignment="1">
      <alignment horizontal="center" vertical="top" wrapText="1"/>
    </xf>
    <xf numFmtId="0" fontId="79" fillId="22" borderId="20" xfId="0" applyFont="1" applyFill="1" applyBorder="1" applyAlignment="1">
      <alignment horizontal="center" vertical="top" wrapText="1"/>
    </xf>
    <xf numFmtId="0" fontId="79" fillId="22" borderId="25" xfId="0" applyFont="1" applyFill="1" applyBorder="1" applyAlignment="1">
      <alignment horizontal="center" vertical="top" wrapText="1"/>
    </xf>
    <xf numFmtId="0" fontId="14" fillId="4" borderId="11" xfId="0" applyFont="1" applyFill="1" applyBorder="1" applyAlignment="1">
      <alignment horizontal="left" vertical="center" wrapText="1"/>
    </xf>
    <xf numFmtId="0" fontId="14" fillId="4" borderId="0" xfId="0" applyFont="1" applyFill="1" applyBorder="1" applyAlignment="1">
      <alignment horizontal="left" vertical="center" wrapText="1"/>
    </xf>
    <xf numFmtId="0" fontId="14" fillId="4" borderId="14"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4" fillId="4" borderId="10" xfId="0" applyFont="1" applyFill="1" applyBorder="1" applyAlignment="1">
      <alignment horizontal="left" vertical="center" wrapText="1"/>
    </xf>
    <xf numFmtId="0" fontId="14" fillId="4" borderId="13" xfId="0" applyFont="1" applyFill="1" applyBorder="1" applyAlignment="1">
      <alignment horizontal="left" vertical="center" wrapText="1"/>
    </xf>
    <xf numFmtId="0" fontId="14" fillId="4" borderId="9" xfId="0" applyNumberFormat="1" applyFont="1" applyFill="1" applyBorder="1" applyAlignment="1">
      <alignment horizontal="left" vertical="top" wrapText="1"/>
    </xf>
    <xf numFmtId="0" fontId="14" fillId="4" borderId="3" xfId="0" applyNumberFormat="1" applyFont="1" applyFill="1" applyBorder="1" applyAlignment="1">
      <alignment horizontal="left" vertical="top" wrapText="1"/>
    </xf>
    <xf numFmtId="0" fontId="14" fillId="4" borderId="7" xfId="0" applyNumberFormat="1" applyFont="1" applyFill="1" applyBorder="1" applyAlignment="1">
      <alignment horizontal="left" vertical="top" wrapText="1"/>
    </xf>
    <xf numFmtId="0" fontId="14" fillId="4" borderId="11" xfId="0" applyNumberFormat="1" applyFont="1" applyFill="1" applyBorder="1" applyAlignment="1">
      <alignment horizontal="left" vertical="top" wrapText="1"/>
    </xf>
    <xf numFmtId="0" fontId="14" fillId="4" borderId="0" xfId="0" applyNumberFormat="1" applyFont="1" applyFill="1" applyBorder="1" applyAlignment="1">
      <alignment horizontal="left" vertical="top" wrapText="1"/>
    </xf>
    <xf numFmtId="0" fontId="14" fillId="4" borderId="14" xfId="0" applyNumberFormat="1" applyFont="1" applyFill="1" applyBorder="1" applyAlignment="1">
      <alignment horizontal="left" vertical="top" wrapText="1"/>
    </xf>
    <xf numFmtId="0" fontId="14" fillId="4" borderId="8" xfId="0" applyNumberFormat="1" applyFont="1" applyFill="1" applyBorder="1" applyAlignment="1">
      <alignment horizontal="left" vertical="top" wrapText="1"/>
    </xf>
    <xf numFmtId="0" fontId="14" fillId="4" borderId="10" xfId="0" applyNumberFormat="1" applyFont="1" applyFill="1" applyBorder="1" applyAlignment="1">
      <alignment horizontal="left" vertical="top" wrapText="1"/>
    </xf>
    <xf numFmtId="0" fontId="14" fillId="4" borderId="13" xfId="0" applyNumberFormat="1" applyFont="1" applyFill="1" applyBorder="1" applyAlignment="1">
      <alignment horizontal="left" vertical="top" wrapText="1"/>
    </xf>
    <xf numFmtId="0" fontId="20" fillId="5" borderId="4" xfId="0" applyFont="1" applyFill="1" applyBorder="1" applyAlignment="1">
      <alignment horizontal="center" vertical="center"/>
    </xf>
    <xf numFmtId="0" fontId="20" fillId="5" borderId="6" xfId="0" applyFont="1" applyFill="1" applyBorder="1" applyAlignment="1">
      <alignment horizontal="center" vertical="center"/>
    </xf>
    <xf numFmtId="0" fontId="10" fillId="4" borderId="3" xfId="0" applyFont="1" applyFill="1" applyBorder="1" applyAlignment="1">
      <alignment horizontal="left" vertical="center"/>
    </xf>
    <xf numFmtId="0" fontId="10" fillId="4" borderId="0" xfId="0" applyFont="1" applyFill="1" applyBorder="1" applyAlignment="1">
      <alignment horizontal="left" vertical="center"/>
    </xf>
    <xf numFmtId="0" fontId="10" fillId="0" borderId="9" xfId="0" applyFont="1" applyBorder="1" applyAlignment="1">
      <alignment horizontal="left" vertical="top" wrapText="1"/>
    </xf>
    <xf numFmtId="0" fontId="10" fillId="0" borderId="3" xfId="0" applyFont="1" applyBorder="1" applyAlignment="1">
      <alignment horizontal="left" vertical="top" wrapText="1"/>
    </xf>
    <xf numFmtId="0" fontId="10" fillId="0" borderId="7" xfId="0" applyFont="1" applyBorder="1" applyAlignment="1">
      <alignment horizontal="left" vertical="top" wrapText="1"/>
    </xf>
    <xf numFmtId="0" fontId="10" fillId="0" borderId="11" xfId="0" applyFont="1" applyBorder="1" applyAlignment="1">
      <alignment horizontal="left" vertical="top" wrapText="1"/>
    </xf>
    <xf numFmtId="0" fontId="10" fillId="0" borderId="0" xfId="0" applyFont="1" applyBorder="1" applyAlignment="1">
      <alignment horizontal="left" vertical="top" wrapText="1"/>
    </xf>
    <xf numFmtId="0" fontId="10" fillId="0" borderId="14" xfId="0" applyFont="1" applyBorder="1" applyAlignment="1">
      <alignment horizontal="left" vertical="top" wrapText="1"/>
    </xf>
    <xf numFmtId="0" fontId="10" fillId="0" borderId="8" xfId="0" applyFont="1" applyBorder="1" applyAlignment="1">
      <alignment horizontal="left" vertical="top" wrapText="1"/>
    </xf>
    <xf numFmtId="0" fontId="10" fillId="0" borderId="10" xfId="0" applyFont="1" applyBorder="1" applyAlignment="1">
      <alignment horizontal="left" vertical="top" wrapText="1"/>
    </xf>
    <xf numFmtId="0" fontId="10" fillId="0" borderId="13" xfId="0" applyFont="1" applyBorder="1" applyAlignment="1">
      <alignment horizontal="left" vertical="top" wrapText="1"/>
    </xf>
    <xf numFmtId="0" fontId="14" fillId="4" borderId="133" xfId="0" applyNumberFormat="1" applyFont="1" applyFill="1" applyBorder="1" applyAlignment="1">
      <alignment horizontal="left" vertical="top" wrapText="1"/>
    </xf>
    <xf numFmtId="0" fontId="14" fillId="4" borderId="134" xfId="0" applyNumberFormat="1" applyFont="1" applyFill="1" applyBorder="1" applyAlignment="1">
      <alignment horizontal="left" vertical="top" wrapText="1"/>
    </xf>
    <xf numFmtId="0" fontId="14" fillId="4" borderId="135" xfId="0" applyNumberFormat="1" applyFont="1" applyFill="1" applyBorder="1" applyAlignment="1">
      <alignment horizontal="left" vertical="top" wrapText="1"/>
    </xf>
    <xf numFmtId="0" fontId="14" fillId="4" borderId="9" xfId="0" quotePrefix="1" applyNumberFormat="1" applyFont="1" applyFill="1" applyBorder="1" applyAlignment="1">
      <alignment horizontal="left" vertical="top" wrapText="1"/>
    </xf>
    <xf numFmtId="14" fontId="14" fillId="4" borderId="9" xfId="0" applyNumberFormat="1" applyFont="1" applyFill="1" applyBorder="1" applyAlignment="1">
      <alignment horizontal="left" vertical="top" wrapText="1"/>
    </xf>
    <xf numFmtId="14" fontId="14" fillId="4" borderId="3" xfId="0" applyNumberFormat="1" applyFont="1" applyFill="1" applyBorder="1" applyAlignment="1">
      <alignment horizontal="left" vertical="top" wrapText="1"/>
    </xf>
    <xf numFmtId="14" fontId="14" fillId="4" borderId="7" xfId="0" applyNumberFormat="1" applyFont="1" applyFill="1" applyBorder="1" applyAlignment="1">
      <alignment horizontal="left" vertical="top" wrapText="1"/>
    </xf>
    <xf numFmtId="14" fontId="14" fillId="4" borderId="11" xfId="0" applyNumberFormat="1" applyFont="1" applyFill="1" applyBorder="1" applyAlignment="1">
      <alignment horizontal="left" vertical="top" wrapText="1"/>
    </xf>
    <xf numFmtId="14" fontId="14" fillId="4" borderId="0" xfId="0" applyNumberFormat="1" applyFont="1" applyFill="1" applyBorder="1" applyAlignment="1">
      <alignment horizontal="left" vertical="top" wrapText="1"/>
    </xf>
    <xf numFmtId="14" fontId="14" fillId="4" borderId="14" xfId="0" applyNumberFormat="1" applyFont="1" applyFill="1" applyBorder="1" applyAlignment="1">
      <alignment horizontal="left" vertical="top" wrapText="1"/>
    </xf>
    <xf numFmtId="14" fontId="14" fillId="4" borderId="8" xfId="0" applyNumberFormat="1" applyFont="1" applyFill="1" applyBorder="1" applyAlignment="1">
      <alignment horizontal="left" vertical="top" wrapText="1"/>
    </xf>
    <xf numFmtId="14" fontId="14" fillId="4" borderId="10" xfId="0" applyNumberFormat="1" applyFont="1" applyFill="1" applyBorder="1" applyAlignment="1">
      <alignment horizontal="left" vertical="top" wrapText="1"/>
    </xf>
    <xf numFmtId="14" fontId="14" fillId="4" borderId="13" xfId="0" applyNumberFormat="1" applyFont="1" applyFill="1" applyBorder="1" applyAlignment="1">
      <alignment horizontal="left" vertical="top" wrapText="1"/>
    </xf>
    <xf numFmtId="0" fontId="17" fillId="0" borderId="10" xfId="0" applyFont="1" applyBorder="1" applyAlignment="1">
      <alignment horizontal="center" vertical="top"/>
    </xf>
    <xf numFmtId="0" fontId="33" fillId="0" borderId="0" xfId="0" applyFont="1" applyBorder="1" applyAlignment="1">
      <alignment horizontal="left" vertical="center"/>
    </xf>
    <xf numFmtId="0" fontId="10" fillId="4" borderId="4" xfId="6" applyFont="1" applyFill="1" applyBorder="1" applyAlignment="1">
      <alignment horizontal="left" vertical="center" wrapText="1"/>
    </xf>
    <xf numFmtId="0" fontId="10" fillId="4" borderId="5" xfId="6" applyFont="1" applyFill="1" applyBorder="1" applyAlignment="1">
      <alignment horizontal="left" vertical="center" wrapText="1"/>
    </xf>
    <xf numFmtId="0" fontId="10" fillId="4" borderId="6" xfId="6" applyFont="1" applyFill="1" applyBorder="1" applyAlignment="1">
      <alignment horizontal="left" vertical="center" wrapText="1"/>
    </xf>
    <xf numFmtId="0" fontId="10" fillId="0" borderId="9" xfId="6" applyFont="1" applyFill="1" applyBorder="1" applyAlignment="1">
      <alignment horizontal="left" vertical="center"/>
    </xf>
    <xf numFmtId="0" fontId="10" fillId="0" borderId="3" xfId="6" applyFont="1" applyFill="1" applyBorder="1" applyAlignment="1">
      <alignment horizontal="left" vertical="center"/>
    </xf>
    <xf numFmtId="0" fontId="10" fillId="0" borderId="7" xfId="6" applyFont="1" applyFill="1" applyBorder="1" applyAlignment="1">
      <alignment horizontal="left" vertical="center"/>
    </xf>
    <xf numFmtId="0" fontId="10" fillId="0" borderId="11" xfId="6" applyFont="1" applyFill="1" applyBorder="1" applyAlignment="1">
      <alignment horizontal="left" vertical="center"/>
    </xf>
    <xf numFmtId="0" fontId="10" fillId="0" borderId="0" xfId="6" applyFont="1" applyFill="1" applyBorder="1" applyAlignment="1">
      <alignment horizontal="left" vertical="center"/>
    </xf>
    <xf numFmtId="0" fontId="10" fillId="0" borderId="14" xfId="6" applyFont="1" applyFill="1" applyBorder="1" applyAlignment="1">
      <alignment horizontal="left" vertical="center"/>
    </xf>
    <xf numFmtId="0" fontId="10" fillId="0" borderId="8" xfId="6" applyFont="1" applyFill="1" applyBorder="1" applyAlignment="1">
      <alignment horizontal="left" vertical="center"/>
    </xf>
    <xf numFmtId="0" fontId="10" fillId="0" borderId="10" xfId="6" applyFont="1" applyFill="1" applyBorder="1" applyAlignment="1">
      <alignment horizontal="left" vertical="center"/>
    </xf>
    <xf numFmtId="0" fontId="10" fillId="0" borderId="13" xfId="6" applyFont="1" applyFill="1" applyBorder="1" applyAlignment="1">
      <alignment horizontal="left" vertical="center"/>
    </xf>
    <xf numFmtId="0" fontId="14" fillId="4" borderId="9" xfId="0" applyFont="1" applyFill="1" applyBorder="1" applyAlignment="1">
      <alignment horizontal="left" vertical="top" wrapText="1"/>
    </xf>
    <xf numFmtId="0" fontId="14" fillId="4" borderId="3" xfId="0" applyFont="1" applyFill="1" applyBorder="1" applyAlignment="1">
      <alignment horizontal="left" vertical="top" wrapText="1"/>
    </xf>
    <xf numFmtId="0" fontId="14" fillId="4" borderId="7" xfId="0" applyFont="1" applyFill="1" applyBorder="1" applyAlignment="1">
      <alignment horizontal="left" vertical="top" wrapText="1"/>
    </xf>
    <xf numFmtId="0" fontId="14" fillId="4" borderId="11" xfId="0" applyFont="1" applyFill="1" applyBorder="1" applyAlignment="1">
      <alignment horizontal="left" vertical="top" wrapText="1"/>
    </xf>
    <xf numFmtId="0" fontId="14" fillId="4" borderId="0" xfId="0" applyFont="1" applyFill="1" applyBorder="1" applyAlignment="1">
      <alignment horizontal="left" vertical="top" wrapText="1"/>
    </xf>
    <xf numFmtId="0" fontId="14" fillId="4" borderId="14" xfId="0" applyFont="1" applyFill="1" applyBorder="1" applyAlignment="1">
      <alignment horizontal="left" vertical="top" wrapText="1"/>
    </xf>
    <xf numFmtId="0" fontId="14" fillId="4" borderId="8" xfId="0" applyFont="1" applyFill="1" applyBorder="1" applyAlignment="1">
      <alignment horizontal="left" vertical="top" wrapText="1"/>
    </xf>
    <xf numFmtId="0" fontId="14" fillId="4" borderId="10" xfId="0" applyFont="1" applyFill="1" applyBorder="1" applyAlignment="1">
      <alignment horizontal="left" vertical="top" wrapText="1"/>
    </xf>
    <xf numFmtId="0" fontId="14" fillId="4" borderId="13" xfId="0" applyFont="1" applyFill="1" applyBorder="1" applyAlignment="1">
      <alignment horizontal="left" vertical="top" wrapText="1"/>
    </xf>
    <xf numFmtId="0" fontId="0" fillId="0" borderId="10" xfId="0" applyBorder="1" applyAlignment="1">
      <alignment horizontal="center"/>
    </xf>
    <xf numFmtId="0" fontId="0" fillId="0" borderId="3" xfId="0" applyBorder="1" applyAlignment="1">
      <alignment horizontal="center"/>
    </xf>
    <xf numFmtId="3" fontId="14" fillId="4" borderId="9" xfId="0" applyNumberFormat="1" applyFont="1" applyFill="1" applyBorder="1" applyAlignment="1">
      <alignment horizontal="left" vertical="top" wrapText="1"/>
    </xf>
    <xf numFmtId="3" fontId="14" fillId="4" borderId="3" xfId="0" applyNumberFormat="1" applyFont="1" applyFill="1" applyBorder="1" applyAlignment="1">
      <alignment horizontal="left" vertical="top" wrapText="1"/>
    </xf>
    <xf numFmtId="3" fontId="14" fillId="4" borderId="7" xfId="0" applyNumberFormat="1" applyFont="1" applyFill="1" applyBorder="1" applyAlignment="1">
      <alignment horizontal="left" vertical="top" wrapText="1"/>
    </xf>
    <xf numFmtId="3" fontId="14" fillId="4" borderId="8" xfId="0" applyNumberFormat="1" applyFont="1" applyFill="1" applyBorder="1" applyAlignment="1">
      <alignment horizontal="left" vertical="top" wrapText="1"/>
    </xf>
    <xf numFmtId="3" fontId="14" fillId="4" borderId="10" xfId="0" applyNumberFormat="1" applyFont="1" applyFill="1" applyBorder="1" applyAlignment="1">
      <alignment horizontal="left" vertical="top" wrapText="1"/>
    </xf>
    <xf numFmtId="3" fontId="14" fillId="4" borderId="13" xfId="0" applyNumberFormat="1" applyFont="1" applyFill="1" applyBorder="1" applyAlignment="1">
      <alignment horizontal="left" vertical="top" wrapText="1"/>
    </xf>
    <xf numFmtId="0" fontId="20" fillId="23" borderId="9" xfId="0" applyFont="1" applyFill="1" applyBorder="1" applyAlignment="1">
      <alignment horizontal="center" vertical="center"/>
    </xf>
    <xf numFmtId="0" fontId="20" fillId="23" borderId="7" xfId="0" applyFont="1" applyFill="1" applyBorder="1" applyAlignment="1">
      <alignment horizontal="center" vertical="center"/>
    </xf>
    <xf numFmtId="0" fontId="20" fillId="23" borderId="8" xfId="0" applyFont="1" applyFill="1" applyBorder="1" applyAlignment="1">
      <alignment horizontal="center" vertical="center"/>
    </xf>
    <xf numFmtId="0" fontId="20" fillId="23" borderId="13" xfId="0" applyFont="1" applyFill="1" applyBorder="1" applyAlignment="1">
      <alignment horizontal="center" vertical="center"/>
    </xf>
    <xf numFmtId="0" fontId="10" fillId="0" borderId="9" xfId="0" applyFont="1" applyFill="1" applyBorder="1" applyAlignment="1">
      <alignment horizontal="right" vertical="center" wrapText="1"/>
    </xf>
    <xf numFmtId="0" fontId="10" fillId="0" borderId="3" xfId="0" applyFont="1" applyFill="1" applyBorder="1" applyAlignment="1">
      <alignment horizontal="right" vertical="center" wrapText="1"/>
    </xf>
    <xf numFmtId="0" fontId="10" fillId="0" borderId="7" xfId="0" applyFont="1" applyFill="1" applyBorder="1" applyAlignment="1">
      <alignment horizontal="right" vertical="center" wrapText="1"/>
    </xf>
    <xf numFmtId="0" fontId="10" fillId="0" borderId="8" xfId="0" applyFont="1" applyFill="1" applyBorder="1" applyAlignment="1">
      <alignment horizontal="right" vertical="center" wrapText="1"/>
    </xf>
    <xf numFmtId="0" fontId="10" fillId="0" borderId="10" xfId="0" applyFont="1" applyFill="1" applyBorder="1" applyAlignment="1">
      <alignment horizontal="right" vertical="center" wrapText="1"/>
    </xf>
    <xf numFmtId="0" fontId="10" fillId="0" borderId="13" xfId="0" applyFont="1" applyFill="1" applyBorder="1" applyAlignment="1">
      <alignment horizontal="right" vertical="center" wrapText="1"/>
    </xf>
    <xf numFmtId="0" fontId="20" fillId="0" borderId="0" xfId="0" applyFont="1" applyFill="1" applyBorder="1" applyAlignment="1">
      <alignment horizontal="center" vertical="top" textRotation="90"/>
    </xf>
    <xf numFmtId="0" fontId="20" fillId="0" borderId="10" xfId="0" applyFont="1" applyFill="1" applyBorder="1" applyAlignment="1">
      <alignment horizontal="center" vertical="top" textRotation="90"/>
    </xf>
    <xf numFmtId="0" fontId="0" fillId="0" borderId="0" xfId="0" applyBorder="1" applyAlignment="1">
      <alignment horizontal="center" vertical="top" wrapText="1"/>
    </xf>
    <xf numFmtId="0" fontId="20" fillId="0" borderId="3" xfId="0" applyFont="1" applyFill="1" applyBorder="1" applyAlignment="1">
      <alignment horizontal="center" vertical="top" textRotation="90"/>
    </xf>
    <xf numFmtId="0" fontId="10" fillId="0" borderId="4" xfId="0" applyFont="1" applyFill="1" applyBorder="1" applyAlignment="1">
      <alignment horizontal="left" vertical="top" wrapText="1"/>
    </xf>
    <xf numFmtId="0" fontId="10" fillId="0" borderId="5" xfId="0" applyFont="1" applyFill="1" applyBorder="1" applyAlignment="1">
      <alignment horizontal="left" vertical="top" wrapText="1"/>
    </xf>
    <xf numFmtId="0" fontId="10" fillId="0" borderId="6" xfId="0" applyFont="1" applyFill="1" applyBorder="1" applyAlignment="1">
      <alignment horizontal="left" vertical="top" wrapText="1"/>
    </xf>
    <xf numFmtId="0" fontId="24" fillId="4" borderId="9" xfId="0" applyFont="1" applyFill="1" applyBorder="1" applyAlignment="1">
      <alignment horizontal="left" vertical="top" wrapText="1"/>
    </xf>
    <xf numFmtId="0" fontId="24" fillId="4" borderId="3" xfId="0" applyFont="1" applyFill="1" applyBorder="1" applyAlignment="1">
      <alignment horizontal="left" vertical="top" wrapText="1"/>
    </xf>
    <xf numFmtId="0" fontId="24" fillId="4" borderId="7" xfId="0" applyFont="1" applyFill="1" applyBorder="1" applyAlignment="1">
      <alignment horizontal="left" vertical="top" wrapText="1"/>
    </xf>
    <xf numFmtId="0" fontId="24" fillId="4" borderId="11" xfId="0" applyFont="1" applyFill="1" applyBorder="1" applyAlignment="1">
      <alignment horizontal="left" vertical="top" wrapText="1"/>
    </xf>
    <xf numFmtId="0" fontId="24" fillId="4" borderId="0" xfId="0" applyFont="1" applyFill="1" applyBorder="1" applyAlignment="1">
      <alignment horizontal="left" vertical="top" wrapText="1"/>
    </xf>
    <xf numFmtId="0" fontId="24" fillId="4" borderId="14" xfId="0" applyFont="1" applyFill="1" applyBorder="1" applyAlignment="1">
      <alignment horizontal="left" vertical="top" wrapText="1"/>
    </xf>
    <xf numFmtId="0" fontId="10" fillId="4" borderId="11" xfId="0" applyFont="1" applyFill="1" applyBorder="1" applyAlignment="1">
      <alignment horizontal="center" vertical="center" wrapText="1"/>
    </xf>
    <xf numFmtId="0" fontId="10" fillId="4" borderId="0"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10" fillId="4" borderId="9"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7" xfId="0" applyFont="1" applyFill="1" applyBorder="1" applyAlignment="1">
      <alignment horizontal="center" vertical="center" wrapText="1"/>
    </xf>
    <xf numFmtId="0" fontId="10" fillId="0" borderId="125" xfId="0" applyFont="1" applyFill="1" applyBorder="1" applyAlignment="1">
      <alignment horizontal="left" vertical="top" wrapText="1"/>
    </xf>
    <xf numFmtId="0" fontId="10" fillId="0" borderId="126" xfId="0" applyFont="1" applyFill="1" applyBorder="1" applyAlignment="1">
      <alignment horizontal="left" vertical="top" wrapText="1"/>
    </xf>
    <xf numFmtId="0" fontId="10" fillId="0" borderId="127" xfId="0" applyFont="1" applyFill="1" applyBorder="1" applyAlignment="1">
      <alignment horizontal="left" vertical="top" wrapText="1"/>
    </xf>
    <xf numFmtId="0" fontId="10" fillId="0" borderId="128" xfId="0" applyFont="1" applyFill="1" applyBorder="1" applyAlignment="1">
      <alignment horizontal="left" vertical="top" wrapText="1"/>
    </xf>
    <xf numFmtId="0" fontId="10" fillId="0" borderId="124" xfId="0" applyFont="1" applyFill="1" applyBorder="1" applyAlignment="1">
      <alignment horizontal="left" vertical="top" wrapText="1"/>
    </xf>
    <xf numFmtId="0" fontId="10" fillId="0" borderId="129" xfId="0" applyFont="1" applyFill="1" applyBorder="1" applyAlignment="1">
      <alignment horizontal="left" vertical="top" wrapText="1"/>
    </xf>
    <xf numFmtId="0" fontId="10" fillId="0" borderId="130" xfId="0" applyFont="1" applyFill="1" applyBorder="1" applyAlignment="1">
      <alignment horizontal="left" vertical="top" wrapText="1"/>
    </xf>
    <xf numFmtId="0" fontId="10" fillId="0" borderId="131" xfId="0" applyFont="1" applyFill="1" applyBorder="1" applyAlignment="1">
      <alignment horizontal="left" vertical="top" wrapText="1"/>
    </xf>
    <xf numFmtId="0" fontId="10" fillId="0" borderId="132" xfId="0" applyFont="1" applyFill="1" applyBorder="1" applyAlignment="1">
      <alignment horizontal="left" vertical="top" wrapText="1"/>
    </xf>
    <xf numFmtId="3" fontId="14" fillId="4" borderId="9" xfId="0" quotePrefix="1" applyNumberFormat="1" applyFont="1" applyFill="1" applyBorder="1" applyAlignment="1">
      <alignment horizontal="left" vertical="top" wrapText="1"/>
    </xf>
    <xf numFmtId="3" fontId="14" fillId="4" borderId="11" xfId="0" applyNumberFormat="1" applyFont="1" applyFill="1" applyBorder="1" applyAlignment="1">
      <alignment horizontal="left" vertical="top" wrapText="1"/>
    </xf>
    <xf numFmtId="3" fontId="14" fillId="4" borderId="0" xfId="0" applyNumberFormat="1" applyFont="1" applyFill="1" applyBorder="1" applyAlignment="1">
      <alignment horizontal="left" vertical="top" wrapText="1"/>
    </xf>
    <xf numFmtId="3" fontId="14" fillId="4" borderId="14" xfId="0" applyNumberFormat="1" applyFont="1" applyFill="1" applyBorder="1" applyAlignment="1">
      <alignment horizontal="left" vertical="top" wrapText="1"/>
    </xf>
    <xf numFmtId="0" fontId="12" fillId="4" borderId="9" xfId="6" applyFont="1" applyFill="1" applyBorder="1" applyAlignment="1">
      <alignment horizontal="left" vertical="center" wrapText="1"/>
    </xf>
    <xf numFmtId="0" fontId="12" fillId="4" borderId="3" xfId="6" applyFont="1" applyFill="1" applyBorder="1" applyAlignment="1">
      <alignment horizontal="left" vertical="center" wrapText="1"/>
    </xf>
    <xf numFmtId="0" fontId="12" fillId="4" borderId="7" xfId="6" applyFont="1" applyFill="1" applyBorder="1" applyAlignment="1">
      <alignment horizontal="left" vertical="center" wrapText="1"/>
    </xf>
    <xf numFmtId="0" fontId="0" fillId="4" borderId="9" xfId="0" applyFill="1" applyBorder="1" applyAlignment="1">
      <alignment horizontal="left" vertical="center" wrapText="1"/>
    </xf>
    <xf numFmtId="0" fontId="0" fillId="4" borderId="3" xfId="0" applyFill="1" applyBorder="1" applyAlignment="1">
      <alignment horizontal="left" vertical="center" wrapText="1"/>
    </xf>
    <xf numFmtId="0" fontId="0" fillId="4" borderId="7" xfId="0" applyFill="1" applyBorder="1" applyAlignment="1">
      <alignment horizontal="left" vertical="center" wrapText="1"/>
    </xf>
    <xf numFmtId="0" fontId="32" fillId="0" borderId="0" xfId="0" applyFont="1" applyBorder="1" applyAlignment="1">
      <alignment horizontal="left"/>
    </xf>
    <xf numFmtId="0" fontId="14" fillId="4" borderId="9" xfId="0" applyFont="1" applyFill="1" applyBorder="1" applyAlignment="1">
      <alignment horizontal="center" vertical="center" wrapText="1"/>
    </xf>
    <xf numFmtId="0" fontId="14" fillId="4" borderId="3"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4" borderId="10" xfId="0" applyFont="1" applyFill="1" applyBorder="1" applyAlignment="1">
      <alignment horizontal="center" vertical="center" wrapText="1"/>
    </xf>
    <xf numFmtId="0" fontId="14" fillId="4" borderId="13" xfId="0" applyFont="1" applyFill="1" applyBorder="1" applyAlignment="1">
      <alignment horizontal="center" vertical="center" wrapText="1"/>
    </xf>
    <xf numFmtId="0" fontId="10" fillId="5" borderId="9"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10" fillId="5" borderId="7" xfId="0" applyFont="1" applyFill="1" applyBorder="1" applyAlignment="1">
      <alignment horizontal="left" vertical="center" wrapText="1"/>
    </xf>
    <xf numFmtId="0" fontId="10" fillId="5" borderId="8" xfId="0" applyFont="1" applyFill="1" applyBorder="1" applyAlignment="1">
      <alignment horizontal="left" vertical="center" wrapText="1"/>
    </xf>
    <xf numFmtId="0" fontId="10" fillId="5" borderId="10" xfId="0" applyFont="1" applyFill="1" applyBorder="1" applyAlignment="1">
      <alignment horizontal="left" vertical="center" wrapText="1"/>
    </xf>
    <xf numFmtId="0" fontId="10" fillId="5" borderId="13" xfId="0" applyFont="1" applyFill="1" applyBorder="1" applyAlignment="1">
      <alignment horizontal="left" vertical="center" wrapText="1"/>
    </xf>
    <xf numFmtId="0" fontId="10" fillId="7" borderId="9" xfId="0" applyFont="1" applyFill="1" applyBorder="1" applyAlignment="1">
      <alignment horizontal="left" vertical="center" wrapText="1"/>
    </xf>
    <xf numFmtId="0" fontId="10" fillId="7" borderId="3" xfId="0" applyFont="1" applyFill="1" applyBorder="1" applyAlignment="1">
      <alignment horizontal="left" vertical="center" wrapText="1"/>
    </xf>
    <xf numFmtId="0" fontId="10" fillId="7" borderId="7" xfId="0" applyFont="1" applyFill="1" applyBorder="1" applyAlignment="1">
      <alignment horizontal="left" vertical="center" wrapText="1"/>
    </xf>
    <xf numFmtId="0" fontId="10" fillId="4" borderId="9" xfId="6" applyFont="1" applyFill="1" applyBorder="1" applyAlignment="1">
      <alignment horizontal="left" vertical="center" wrapText="1"/>
    </xf>
    <xf numFmtId="0" fontId="10" fillId="4" borderId="3" xfId="6" applyFont="1" applyFill="1" applyBorder="1" applyAlignment="1">
      <alignment horizontal="left" vertical="center" wrapText="1"/>
    </xf>
    <xf numFmtId="0" fontId="10" fillId="4" borderId="7" xfId="6" applyFont="1" applyFill="1" applyBorder="1" applyAlignment="1">
      <alignment horizontal="left" vertical="center" wrapText="1"/>
    </xf>
    <xf numFmtId="0" fontId="0" fillId="4" borderId="4" xfId="0" applyFill="1" applyBorder="1" applyAlignment="1">
      <alignment horizontal="left" vertical="center" wrapText="1"/>
    </xf>
    <xf numFmtId="0" fontId="0" fillId="4" borderId="5" xfId="0" applyFill="1" applyBorder="1" applyAlignment="1">
      <alignment horizontal="left" vertical="center" wrapText="1"/>
    </xf>
    <xf numFmtId="0" fontId="0" fillId="4" borderId="6" xfId="0" applyFill="1" applyBorder="1" applyAlignment="1">
      <alignment horizontal="left" vertical="center" wrapText="1"/>
    </xf>
    <xf numFmtId="0" fontId="20" fillId="4" borderId="4"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0" fillId="22" borderId="16" xfId="0" applyFill="1" applyBorder="1" applyAlignment="1">
      <alignment horizontal="center"/>
    </xf>
    <xf numFmtId="0" fontId="0" fillId="22" borderId="0" xfId="0" applyFill="1" applyBorder="1" applyAlignment="1">
      <alignment horizontal="center"/>
    </xf>
    <xf numFmtId="0" fontId="0" fillId="22" borderId="23" xfId="0" applyFill="1" applyBorder="1" applyAlignment="1">
      <alignment horizontal="center"/>
    </xf>
    <xf numFmtId="0" fontId="0" fillId="22" borderId="24" xfId="0" applyFill="1" applyBorder="1" applyAlignment="1">
      <alignment horizontal="center"/>
    </xf>
    <xf numFmtId="0" fontId="0" fillId="22" borderId="20" xfId="0" applyFill="1" applyBorder="1" applyAlignment="1">
      <alignment horizontal="center"/>
    </xf>
    <xf numFmtId="0" fontId="0" fillId="22" borderId="25" xfId="0" applyFill="1" applyBorder="1" applyAlignment="1">
      <alignment horizontal="center"/>
    </xf>
    <xf numFmtId="0" fontId="38" fillId="5" borderId="9" xfId="0" applyFont="1" applyFill="1" applyBorder="1" applyAlignment="1">
      <alignment horizontal="center" vertical="center" textRotation="90" wrapText="1"/>
    </xf>
    <xf numFmtId="0" fontId="38" fillId="5" borderId="3" xfId="0" applyFont="1" applyFill="1" applyBorder="1" applyAlignment="1">
      <alignment horizontal="center" vertical="center" textRotation="90" wrapText="1"/>
    </xf>
    <xf numFmtId="0" fontId="38" fillId="5" borderId="11" xfId="0" applyFont="1" applyFill="1" applyBorder="1" applyAlignment="1">
      <alignment horizontal="center" vertical="center" textRotation="90" wrapText="1"/>
    </xf>
    <xf numFmtId="0" fontId="38" fillId="5" borderId="0" xfId="0" applyFont="1" applyFill="1" applyBorder="1" applyAlignment="1">
      <alignment horizontal="center" vertical="center" textRotation="90" wrapText="1"/>
    </xf>
    <xf numFmtId="0" fontId="38" fillId="5" borderId="8" xfId="0" applyFont="1" applyFill="1" applyBorder="1" applyAlignment="1">
      <alignment horizontal="center" vertical="center" textRotation="90" wrapText="1"/>
    </xf>
    <xf numFmtId="0" fontId="38" fillId="5" borderId="10" xfId="0" applyFont="1" applyFill="1" applyBorder="1" applyAlignment="1">
      <alignment horizontal="center" vertical="center" textRotation="90" wrapText="1"/>
    </xf>
    <xf numFmtId="0" fontId="14" fillId="5" borderId="4" xfId="0" applyFont="1" applyFill="1" applyBorder="1" applyAlignment="1">
      <alignment horizontal="center" vertical="center" wrapText="1"/>
    </xf>
    <xf numFmtId="0" fontId="14" fillId="5" borderId="5" xfId="0" applyFont="1" applyFill="1" applyBorder="1" applyAlignment="1">
      <alignment horizontal="center" vertical="center" wrapText="1"/>
    </xf>
    <xf numFmtId="0" fontId="14" fillId="5" borderId="6" xfId="0" applyFont="1" applyFill="1" applyBorder="1" applyAlignment="1">
      <alignment horizontal="center" vertical="center" wrapText="1"/>
    </xf>
    <xf numFmtId="0" fontId="17" fillId="4" borderId="9" xfId="0" applyFont="1" applyFill="1" applyBorder="1" applyAlignment="1">
      <alignment horizontal="left" vertical="center" wrapText="1"/>
    </xf>
    <xf numFmtId="0" fontId="17" fillId="4" borderId="3" xfId="0" applyFont="1" applyFill="1" applyBorder="1" applyAlignment="1">
      <alignment horizontal="left" vertical="center" wrapText="1"/>
    </xf>
    <xf numFmtId="0" fontId="17" fillId="4" borderId="7" xfId="0" applyFont="1" applyFill="1" applyBorder="1" applyAlignment="1">
      <alignment horizontal="left" vertical="center" wrapText="1"/>
    </xf>
    <xf numFmtId="0" fontId="10" fillId="4" borderId="7" xfId="0" applyFont="1" applyFill="1" applyBorder="1" applyAlignment="1">
      <alignment horizontal="left" vertical="center" wrapText="1"/>
    </xf>
    <xf numFmtId="0" fontId="10" fillId="4" borderId="14" xfId="0" applyFont="1" applyFill="1" applyBorder="1" applyAlignment="1">
      <alignment horizontal="left" vertical="center" wrapText="1"/>
    </xf>
    <xf numFmtId="0" fontId="10" fillId="4" borderId="13" xfId="0" applyFont="1" applyFill="1" applyBorder="1" applyAlignment="1">
      <alignment horizontal="left" vertical="center" wrapText="1"/>
    </xf>
    <xf numFmtId="0" fontId="10" fillId="4" borderId="9" xfId="0" applyFont="1" applyFill="1" applyBorder="1" applyAlignment="1">
      <alignment horizontal="left" vertical="top" wrapText="1"/>
    </xf>
    <xf numFmtId="0" fontId="10" fillId="4" borderId="3" xfId="0" applyFont="1" applyFill="1" applyBorder="1" applyAlignment="1">
      <alignment horizontal="left" vertical="top" wrapText="1"/>
    </xf>
    <xf numFmtId="0" fontId="10" fillId="4" borderId="7" xfId="0" applyFont="1" applyFill="1" applyBorder="1" applyAlignment="1">
      <alignment horizontal="left" vertical="top" wrapText="1"/>
    </xf>
    <xf numFmtId="0" fontId="10" fillId="4" borderId="0" xfId="0" applyFont="1" applyFill="1" applyBorder="1" applyAlignment="1">
      <alignment horizontal="left" vertical="top" wrapText="1"/>
    </xf>
    <xf numFmtId="0" fontId="10" fillId="4" borderId="8" xfId="0" applyFont="1" applyFill="1" applyBorder="1" applyAlignment="1">
      <alignment horizontal="left" vertical="top" wrapText="1"/>
    </xf>
    <xf numFmtId="0" fontId="10" fillId="4" borderId="10" xfId="0" applyFont="1" applyFill="1" applyBorder="1" applyAlignment="1">
      <alignment horizontal="left" vertical="top" wrapText="1"/>
    </xf>
    <xf numFmtId="0" fontId="10" fillId="4" borderId="13" xfId="0" applyFont="1" applyFill="1" applyBorder="1" applyAlignment="1">
      <alignment horizontal="left" vertical="top" wrapText="1"/>
    </xf>
    <xf numFmtId="0" fontId="10" fillId="0" borderId="9" xfId="0" applyFont="1" applyFill="1" applyBorder="1" applyAlignment="1">
      <alignment horizontal="left" vertical="top" wrapText="1"/>
    </xf>
    <xf numFmtId="0" fontId="10" fillId="0" borderId="3" xfId="0" applyFont="1" applyFill="1" applyBorder="1" applyAlignment="1">
      <alignment horizontal="left" vertical="top" wrapText="1"/>
    </xf>
    <xf numFmtId="0" fontId="10" fillId="0" borderId="7" xfId="0" applyFont="1" applyFill="1" applyBorder="1" applyAlignment="1">
      <alignment horizontal="left" vertical="top" wrapText="1"/>
    </xf>
    <xf numFmtId="0" fontId="10" fillId="0" borderId="11" xfId="0" applyFont="1" applyFill="1" applyBorder="1" applyAlignment="1">
      <alignment horizontal="left" vertical="top" wrapText="1"/>
    </xf>
    <xf numFmtId="0" fontId="10" fillId="0" borderId="0" xfId="0" applyFont="1" applyFill="1" applyBorder="1" applyAlignment="1">
      <alignment horizontal="left" vertical="top" wrapText="1"/>
    </xf>
    <xf numFmtId="0" fontId="10" fillId="0" borderId="14" xfId="0" applyFont="1" applyFill="1" applyBorder="1" applyAlignment="1">
      <alignment horizontal="left" vertical="top" wrapText="1"/>
    </xf>
    <xf numFmtId="0" fontId="10" fillId="0" borderId="8" xfId="0" applyFont="1" applyFill="1" applyBorder="1" applyAlignment="1">
      <alignment horizontal="left" vertical="top" wrapText="1"/>
    </xf>
    <xf numFmtId="0" fontId="10" fillId="0" borderId="10" xfId="0" applyFont="1" applyFill="1" applyBorder="1" applyAlignment="1">
      <alignment horizontal="left" vertical="top" wrapText="1"/>
    </xf>
    <xf numFmtId="0" fontId="10" fillId="0" borderId="13" xfId="0" applyFont="1" applyFill="1" applyBorder="1" applyAlignment="1">
      <alignment horizontal="left" vertical="top" wrapText="1"/>
    </xf>
    <xf numFmtId="0" fontId="18" fillId="4" borderId="11" xfId="0" applyFont="1" applyFill="1" applyBorder="1" applyAlignment="1">
      <alignment horizontal="center" vertical="top" wrapText="1"/>
    </xf>
    <xf numFmtId="0" fontId="18" fillId="4" borderId="0" xfId="0" applyFont="1" applyFill="1" applyBorder="1" applyAlignment="1">
      <alignment horizontal="center" vertical="top" wrapText="1"/>
    </xf>
    <xf numFmtId="0" fontId="18" fillId="4" borderId="14" xfId="0" applyFont="1" applyFill="1" applyBorder="1" applyAlignment="1">
      <alignment horizontal="center" vertical="top" wrapText="1"/>
    </xf>
    <xf numFmtId="0" fontId="18" fillId="4" borderId="8" xfId="0" applyFont="1" applyFill="1" applyBorder="1" applyAlignment="1">
      <alignment horizontal="center" vertical="top" wrapText="1"/>
    </xf>
    <xf numFmtId="0" fontId="18" fillId="4" borderId="10" xfId="0" applyFont="1" applyFill="1" applyBorder="1" applyAlignment="1">
      <alignment horizontal="center" vertical="top" wrapText="1"/>
    </xf>
    <xf numFmtId="0" fontId="18" fillId="4" borderId="13" xfId="0" applyFont="1" applyFill="1" applyBorder="1" applyAlignment="1">
      <alignment horizontal="center" vertical="top" wrapText="1"/>
    </xf>
    <xf numFmtId="0" fontId="14" fillId="4" borderId="136" xfId="0" applyNumberFormat="1" applyFont="1" applyFill="1" applyBorder="1" applyAlignment="1">
      <alignment horizontal="left" vertical="top" wrapText="1"/>
    </xf>
    <xf numFmtId="0" fontId="14" fillId="4" borderId="137" xfId="0" applyNumberFormat="1" applyFont="1" applyFill="1" applyBorder="1" applyAlignment="1">
      <alignment horizontal="left" vertical="top" wrapText="1"/>
    </xf>
    <xf numFmtId="0" fontId="14" fillId="4" borderId="138" xfId="0" applyNumberFormat="1" applyFont="1" applyFill="1" applyBorder="1" applyAlignment="1">
      <alignment horizontal="left" vertical="top" wrapText="1"/>
    </xf>
    <xf numFmtId="0" fontId="10" fillId="0" borderId="3" xfId="0" applyFont="1" applyBorder="1" applyAlignment="1">
      <alignment horizontal="right" vertical="top" wrapText="1"/>
    </xf>
    <xf numFmtId="0" fontId="10" fillId="0" borderId="7" xfId="0" applyFont="1" applyBorder="1" applyAlignment="1">
      <alignment horizontal="right" vertical="top" wrapText="1"/>
    </xf>
    <xf numFmtId="0" fontId="10" fillId="0" borderId="0" xfId="0" applyFont="1" applyBorder="1" applyAlignment="1">
      <alignment horizontal="right" vertical="top" wrapText="1"/>
    </xf>
    <xf numFmtId="0" fontId="10" fillId="0" borderId="14" xfId="0" applyFont="1" applyBorder="1" applyAlignment="1">
      <alignment horizontal="right" vertical="top" wrapText="1"/>
    </xf>
    <xf numFmtId="0" fontId="10" fillId="0" borderId="10" xfId="0" applyFont="1" applyBorder="1" applyAlignment="1">
      <alignment horizontal="right" vertical="top" wrapText="1"/>
    </xf>
    <xf numFmtId="0" fontId="10" fillId="0" borderId="13" xfId="0" applyFont="1" applyBorder="1" applyAlignment="1">
      <alignment horizontal="right" vertical="top" wrapText="1"/>
    </xf>
    <xf numFmtId="0" fontId="33" fillId="4" borderId="9" xfId="0" applyFont="1" applyFill="1" applyBorder="1" applyAlignment="1">
      <alignment horizontal="center" vertical="center" wrapText="1"/>
    </xf>
    <xf numFmtId="0" fontId="33" fillId="4" borderId="3" xfId="0" applyFont="1" applyFill="1" applyBorder="1" applyAlignment="1">
      <alignment horizontal="center" vertical="center" wrapText="1"/>
    </xf>
    <xf numFmtId="0" fontId="33" fillId="4" borderId="7" xfId="0" applyFont="1" applyFill="1" applyBorder="1" applyAlignment="1">
      <alignment horizontal="center" vertical="center" wrapText="1"/>
    </xf>
    <xf numFmtId="0" fontId="33" fillId="4" borderId="11" xfId="0" applyFont="1" applyFill="1" applyBorder="1" applyAlignment="1">
      <alignment horizontal="center" vertical="center" wrapText="1"/>
    </xf>
    <xf numFmtId="0" fontId="33" fillId="4" borderId="0" xfId="0" applyFont="1" applyFill="1" applyBorder="1" applyAlignment="1">
      <alignment horizontal="center" vertical="center" wrapText="1"/>
    </xf>
    <xf numFmtId="0" fontId="33" fillId="4" borderId="14" xfId="0" applyFont="1" applyFill="1" applyBorder="1" applyAlignment="1">
      <alignment horizontal="center" vertical="center" wrapText="1"/>
    </xf>
    <xf numFmtId="0" fontId="33" fillId="4" borderId="8" xfId="0" applyFont="1" applyFill="1" applyBorder="1" applyAlignment="1">
      <alignment horizontal="center" vertical="center" wrapText="1"/>
    </xf>
    <xf numFmtId="0" fontId="33" fillId="4" borderId="10" xfId="0" applyFont="1" applyFill="1" applyBorder="1" applyAlignment="1">
      <alignment horizontal="center" vertical="center" wrapText="1"/>
    </xf>
    <xf numFmtId="0" fontId="33" fillId="4" borderId="13" xfId="0" applyFont="1" applyFill="1" applyBorder="1" applyAlignment="1">
      <alignment horizontal="center" vertical="center" wrapText="1"/>
    </xf>
    <xf numFmtId="0" fontId="14" fillId="5" borderId="9" xfId="0" applyFont="1" applyFill="1" applyBorder="1" applyAlignment="1">
      <alignment horizontal="left" vertical="center" wrapText="1"/>
    </xf>
    <xf numFmtId="0" fontId="14" fillId="5" borderId="3" xfId="0" applyFont="1" applyFill="1" applyBorder="1" applyAlignment="1">
      <alignment horizontal="left" vertical="center" wrapText="1"/>
    </xf>
    <xf numFmtId="0" fontId="14" fillId="5" borderId="7" xfId="0" applyFont="1" applyFill="1" applyBorder="1" applyAlignment="1">
      <alignment horizontal="left" vertical="center" wrapText="1"/>
    </xf>
    <xf numFmtId="0" fontId="14" fillId="5" borderId="11" xfId="0" applyFont="1" applyFill="1" applyBorder="1" applyAlignment="1">
      <alignment horizontal="left" vertical="center" wrapText="1"/>
    </xf>
    <xf numFmtId="0" fontId="14" fillId="5" borderId="0" xfId="0" applyFont="1" applyFill="1" applyBorder="1" applyAlignment="1">
      <alignment horizontal="left" vertical="center" wrapText="1"/>
    </xf>
    <xf numFmtId="0" fontId="14" fillId="5" borderId="14" xfId="0" applyFont="1" applyFill="1" applyBorder="1" applyAlignment="1">
      <alignment horizontal="left" vertical="center" wrapText="1"/>
    </xf>
    <xf numFmtId="0" fontId="14" fillId="5" borderId="8" xfId="0" applyFont="1" applyFill="1" applyBorder="1" applyAlignment="1">
      <alignment horizontal="left" vertical="center" wrapText="1"/>
    </xf>
    <xf numFmtId="0" fontId="14" fillId="5" borderId="10" xfId="0" applyFont="1" applyFill="1" applyBorder="1" applyAlignment="1">
      <alignment horizontal="left" vertical="center" wrapText="1"/>
    </xf>
    <xf numFmtId="0" fontId="14" fillId="5" borderId="13" xfId="0" applyFont="1" applyFill="1" applyBorder="1" applyAlignment="1">
      <alignment horizontal="left" vertical="center" wrapText="1"/>
    </xf>
    <xf numFmtId="0" fontId="24" fillId="5" borderId="9" xfId="0" applyFont="1" applyFill="1" applyBorder="1" applyAlignment="1">
      <alignment horizontal="left" vertical="center"/>
    </xf>
    <xf numFmtId="0" fontId="24" fillId="5" borderId="3" xfId="0" applyFont="1" applyFill="1" applyBorder="1" applyAlignment="1">
      <alignment horizontal="left" vertical="center"/>
    </xf>
    <xf numFmtId="0" fontId="24" fillId="5" borderId="7" xfId="0" applyFont="1" applyFill="1" applyBorder="1" applyAlignment="1">
      <alignment horizontal="left" vertical="center"/>
    </xf>
    <xf numFmtId="0" fontId="24" fillId="5" borderId="11" xfId="0" applyFont="1" applyFill="1" applyBorder="1" applyAlignment="1">
      <alignment horizontal="left" vertical="center"/>
    </xf>
    <xf numFmtId="0" fontId="24" fillId="5" borderId="0" xfId="0" applyFont="1" applyFill="1" applyBorder="1" applyAlignment="1">
      <alignment horizontal="left" vertical="center"/>
    </xf>
    <xf numFmtId="0" fontId="24" fillId="5" borderId="14" xfId="0" applyFont="1" applyFill="1" applyBorder="1" applyAlignment="1">
      <alignment horizontal="left" vertical="center"/>
    </xf>
    <xf numFmtId="0" fontId="41" fillId="0" borderId="9" xfId="0" applyFont="1" applyBorder="1" applyAlignment="1">
      <alignment horizontal="left" vertical="center"/>
    </xf>
    <xf numFmtId="0" fontId="41" fillId="0" borderId="3" xfId="0" applyFont="1" applyBorder="1" applyAlignment="1">
      <alignment horizontal="left" vertical="center"/>
    </xf>
    <xf numFmtId="0" fontId="41" fillId="0" borderId="7" xfId="0" applyFont="1" applyBorder="1" applyAlignment="1">
      <alignment horizontal="left" vertical="center"/>
    </xf>
    <xf numFmtId="0" fontId="41" fillId="0" borderId="8" xfId="0" applyFont="1" applyBorder="1" applyAlignment="1">
      <alignment horizontal="left" vertical="center"/>
    </xf>
    <xf numFmtId="0" fontId="41" fillId="0" borderId="10" xfId="0" applyFont="1" applyBorder="1" applyAlignment="1">
      <alignment horizontal="left" vertical="center"/>
    </xf>
    <xf numFmtId="0" fontId="41" fillId="0" borderId="13" xfId="0" applyFont="1" applyBorder="1" applyAlignment="1">
      <alignment horizontal="left" vertical="center"/>
    </xf>
    <xf numFmtId="0" fontId="14" fillId="7" borderId="9" xfId="0" applyFont="1" applyFill="1" applyBorder="1" applyAlignment="1">
      <alignment horizontal="center" vertical="center" wrapText="1"/>
    </xf>
    <xf numFmtId="0" fontId="14" fillId="7" borderId="3" xfId="0" applyFont="1" applyFill="1" applyBorder="1" applyAlignment="1">
      <alignment horizontal="center" vertical="center" wrapText="1"/>
    </xf>
    <xf numFmtId="0" fontId="14" fillId="7" borderId="7" xfId="0" applyFont="1" applyFill="1" applyBorder="1" applyAlignment="1">
      <alignment horizontal="center" vertical="center" wrapText="1"/>
    </xf>
    <xf numFmtId="164" fontId="12" fillId="2" borderId="2" xfId="5" applyNumberFormat="1" applyFill="1" applyBorder="1" applyAlignment="1">
      <alignment horizontal="center" vertical="top" wrapText="1"/>
    </xf>
    <xf numFmtId="0" fontId="10" fillId="2" borderId="2" xfId="5" applyFont="1" applyFill="1" applyBorder="1" applyAlignment="1">
      <alignment horizontal="center" vertical="top" wrapText="1"/>
    </xf>
    <xf numFmtId="164" fontId="10" fillId="2" borderId="2" xfId="5" applyNumberFormat="1" applyFont="1" applyFill="1" applyBorder="1" applyAlignment="1">
      <alignment horizontal="center" vertical="top" wrapText="1"/>
    </xf>
    <xf numFmtId="0" fontId="10" fillId="7" borderId="4" xfId="0" quotePrefix="1" applyFont="1" applyFill="1" applyBorder="1" applyAlignment="1">
      <alignment horizontal="left" vertical="center" wrapText="1"/>
    </xf>
    <xf numFmtId="0" fontId="10" fillId="7" borderId="6" xfId="0" applyFont="1" applyFill="1" applyBorder="1" applyAlignment="1">
      <alignment horizontal="left" vertical="center" wrapText="1"/>
    </xf>
    <xf numFmtId="0" fontId="10" fillId="7" borderId="4" xfId="0" applyFont="1" applyFill="1" applyBorder="1" applyAlignment="1">
      <alignment horizontal="left" vertical="center"/>
    </xf>
    <xf numFmtId="0" fontId="10" fillId="7" borderId="6" xfId="0" applyFont="1" applyFill="1" applyBorder="1" applyAlignment="1">
      <alignment horizontal="left" vertical="center"/>
    </xf>
    <xf numFmtId="0" fontId="0" fillId="0" borderId="17" xfId="0" applyBorder="1" applyAlignment="1">
      <alignment horizontal="center" vertical="center" wrapText="1"/>
    </xf>
    <xf numFmtId="0" fontId="31" fillId="0" borderId="0" xfId="0" applyFont="1" applyBorder="1" applyAlignment="1">
      <alignment horizontal="left" vertical="center"/>
    </xf>
    <xf numFmtId="0" fontId="31" fillId="0" borderId="0" xfId="0" applyFont="1" applyAlignment="1">
      <alignment horizontal="left" vertical="center"/>
    </xf>
    <xf numFmtId="0" fontId="10" fillId="0" borderId="17" xfId="0" applyFont="1" applyBorder="1" applyAlignment="1">
      <alignment horizontal="center" vertical="center" wrapText="1"/>
    </xf>
    <xf numFmtId="0" fontId="32" fillId="0" borderId="10" xfId="0" applyFont="1" applyBorder="1" applyAlignment="1">
      <alignment horizontal="left"/>
    </xf>
    <xf numFmtId="0" fontId="20" fillId="7" borderId="4" xfId="0" applyFont="1" applyFill="1" applyBorder="1" applyAlignment="1">
      <alignment horizontal="center"/>
    </xf>
    <xf numFmtId="0" fontId="20" fillId="7" borderId="5" xfId="0" applyFont="1" applyFill="1" applyBorder="1" applyAlignment="1">
      <alignment horizontal="center"/>
    </xf>
    <xf numFmtId="0" fontId="20" fillId="7" borderId="6" xfId="0" applyFont="1" applyFill="1" applyBorder="1" applyAlignment="1">
      <alignment horizontal="center"/>
    </xf>
    <xf numFmtId="0" fontId="20" fillId="7" borderId="2" xfId="0" applyFont="1" applyFill="1" applyBorder="1" applyAlignment="1">
      <alignment horizontal="center"/>
    </xf>
    <xf numFmtId="0" fontId="0" fillId="0" borderId="4" xfId="0" applyBorder="1" applyAlignment="1">
      <alignment horizontal="left" vertical="center"/>
    </xf>
    <xf numFmtId="0" fontId="0" fillId="0" borderId="6" xfId="0" applyBorder="1" applyAlignment="1">
      <alignment horizontal="left" vertical="center"/>
    </xf>
    <xf numFmtId="0" fontId="10" fillId="4" borderId="55" xfId="0" applyNumberFormat="1" applyFont="1" applyFill="1" applyBorder="1" applyAlignment="1" applyProtection="1">
      <alignment horizontal="left" vertical="top" wrapText="1"/>
      <protection locked="0"/>
    </xf>
    <xf numFmtId="0" fontId="16" fillId="7" borderId="21" xfId="8" applyFont="1" applyFill="1" applyBorder="1" applyAlignment="1">
      <alignment horizontal="center" vertical="center" textRotation="90" wrapText="1"/>
    </xf>
    <xf numFmtId="0" fontId="16" fillId="7" borderId="16" xfId="8" applyFont="1" applyFill="1" applyBorder="1" applyAlignment="1">
      <alignment horizontal="center" vertical="center" textRotation="90" wrapText="1"/>
    </xf>
    <xf numFmtId="0" fontId="16" fillId="7" borderId="24" xfId="8" applyFont="1" applyFill="1" applyBorder="1" applyAlignment="1">
      <alignment horizontal="center" vertical="center" textRotation="90" wrapText="1"/>
    </xf>
    <xf numFmtId="0" fontId="14" fillId="4" borderId="49" xfId="8" applyFont="1" applyFill="1" applyBorder="1" applyAlignment="1">
      <alignment horizontal="center" vertical="center"/>
    </xf>
    <xf numFmtId="0" fontId="14" fillId="4" borderId="27" xfId="8" applyFont="1" applyFill="1" applyBorder="1" applyAlignment="1">
      <alignment horizontal="center" vertical="center"/>
    </xf>
    <xf numFmtId="0" fontId="10" fillId="4" borderId="53" xfId="8" applyFont="1" applyFill="1" applyBorder="1" applyAlignment="1" applyProtection="1">
      <alignment horizontal="left" vertical="top" wrapText="1"/>
      <protection locked="0"/>
    </xf>
    <xf numFmtId="0" fontId="10" fillId="4" borderId="56" xfId="8" applyFont="1" applyFill="1" applyBorder="1" applyAlignment="1" applyProtection="1">
      <alignment horizontal="left" vertical="top" wrapText="1"/>
      <protection locked="0"/>
    </xf>
    <xf numFmtId="0" fontId="10" fillId="4" borderId="52" xfId="8" applyFont="1" applyFill="1" applyBorder="1" applyAlignment="1" applyProtection="1">
      <alignment horizontal="left" vertical="top" wrapText="1"/>
      <protection locked="0"/>
    </xf>
    <xf numFmtId="0" fontId="10" fillId="4" borderId="51" xfId="8" applyFont="1" applyFill="1" applyBorder="1" applyAlignment="1" applyProtection="1">
      <alignment horizontal="left" vertical="top" wrapText="1"/>
      <protection locked="0"/>
    </xf>
    <xf numFmtId="0" fontId="10" fillId="4" borderId="53" xfId="8" applyFont="1" applyFill="1" applyBorder="1" applyAlignment="1" applyProtection="1">
      <alignment horizontal="left" vertical="top" wrapText="1"/>
    </xf>
    <xf numFmtId="0" fontId="10" fillId="4" borderId="56" xfId="8" applyFont="1" applyFill="1" applyBorder="1" applyAlignment="1" applyProtection="1">
      <alignment horizontal="left" vertical="top" wrapText="1"/>
    </xf>
    <xf numFmtId="0" fontId="10" fillId="4" borderId="57" xfId="8" applyFont="1" applyFill="1" applyBorder="1" applyAlignment="1" applyProtection="1">
      <alignment horizontal="left" vertical="top" wrapText="1"/>
      <protection locked="0"/>
    </xf>
    <xf numFmtId="0" fontId="10" fillId="4" borderId="39" xfId="8" applyFont="1" applyFill="1" applyBorder="1" applyAlignment="1" applyProtection="1">
      <alignment horizontal="left" vertical="top" wrapText="1"/>
      <protection locked="0"/>
    </xf>
    <xf numFmtId="0" fontId="14" fillId="5" borderId="26" xfId="8" applyFont="1" applyFill="1" applyBorder="1" applyAlignment="1">
      <alignment horizontal="center" vertical="center"/>
    </xf>
    <xf numFmtId="0" fontId="14" fillId="5" borderId="42" xfId="8" applyFont="1" applyFill="1" applyBorder="1" applyAlignment="1">
      <alignment horizontal="center" vertical="center"/>
    </xf>
    <xf numFmtId="0" fontId="14" fillId="5" borderId="48" xfId="8" applyFont="1" applyFill="1" applyBorder="1" applyAlignment="1">
      <alignment horizontal="center" vertical="center"/>
    </xf>
    <xf numFmtId="0" fontId="14" fillId="5" borderId="49" xfId="8" applyFont="1" applyFill="1" applyBorder="1" applyAlignment="1">
      <alignment horizontal="center" vertical="center"/>
    </xf>
    <xf numFmtId="0" fontId="16" fillId="7" borderId="26" xfId="8" applyFont="1" applyFill="1" applyBorder="1" applyAlignment="1">
      <alignment horizontal="center" vertical="center" textRotation="90" wrapText="1"/>
    </xf>
    <xf numFmtId="0" fontId="16" fillId="7" borderId="42" xfId="8" applyFont="1" applyFill="1" applyBorder="1" applyAlignment="1">
      <alignment horizontal="center" vertical="center" textRotation="90" wrapText="1"/>
    </xf>
    <xf numFmtId="0" fontId="14" fillId="4" borderId="49" xfId="0" applyNumberFormat="1" applyFont="1" applyFill="1" applyBorder="1" applyAlignment="1" applyProtection="1">
      <alignment horizontal="center" vertical="center" wrapText="1"/>
    </xf>
    <xf numFmtId="0" fontId="14" fillId="4" borderId="42" xfId="0" applyNumberFormat="1" applyFont="1" applyFill="1" applyBorder="1" applyAlignment="1" applyProtection="1">
      <alignment horizontal="center" vertical="center" wrapText="1"/>
    </xf>
    <xf numFmtId="0" fontId="20" fillId="7" borderId="52" xfId="0" applyFont="1" applyFill="1" applyBorder="1" applyAlignment="1">
      <alignment horizontal="center"/>
    </xf>
    <xf numFmtId="0" fontId="20" fillId="7" borderId="51" xfId="0" applyFont="1" applyFill="1" applyBorder="1" applyAlignment="1">
      <alignment horizontal="center"/>
    </xf>
    <xf numFmtId="0" fontId="20" fillId="7" borderId="9" xfId="0" applyFont="1" applyFill="1" applyBorder="1" applyAlignment="1">
      <alignment horizontal="center"/>
    </xf>
    <xf numFmtId="0" fontId="20" fillId="7" borderId="35" xfId="0" applyFont="1" applyFill="1" applyBorder="1" applyAlignment="1">
      <alignment horizontal="center"/>
    </xf>
    <xf numFmtId="0" fontId="20" fillId="7" borderId="53" xfId="5" applyFont="1" applyFill="1" applyBorder="1" applyAlignment="1">
      <alignment horizontal="center" wrapText="1"/>
    </xf>
    <xf numFmtId="0" fontId="20" fillId="7" borderId="56" xfId="5" applyFont="1" applyFill="1" applyBorder="1" applyAlignment="1">
      <alignment horizontal="center" wrapText="1"/>
    </xf>
    <xf numFmtId="0" fontId="20" fillId="7" borderId="52" xfId="5" applyFont="1" applyFill="1" applyBorder="1" applyAlignment="1">
      <alignment horizontal="center" wrapText="1"/>
    </xf>
    <xf numFmtId="0" fontId="20" fillId="7" borderId="51" xfId="5" applyFont="1" applyFill="1" applyBorder="1" applyAlignment="1">
      <alignment horizontal="center" wrapText="1"/>
    </xf>
    <xf numFmtId="0" fontId="10" fillId="4" borderId="57" xfId="0" applyFont="1" applyFill="1" applyBorder="1" applyAlignment="1">
      <alignment horizontal="left" vertical="top" wrapText="1"/>
    </xf>
    <xf numFmtId="0" fontId="10" fillId="4" borderId="39" xfId="0" applyFont="1" applyFill="1" applyBorder="1" applyAlignment="1">
      <alignment horizontal="left" vertical="top" wrapText="1"/>
    </xf>
    <xf numFmtId="0" fontId="10" fillId="4" borderId="53" xfId="8" applyFont="1" applyFill="1" applyBorder="1" applyAlignment="1">
      <alignment horizontal="left" vertical="top" wrapText="1"/>
    </xf>
    <xf numFmtId="0" fontId="10" fillId="4" borderId="55" xfId="8" applyFont="1" applyFill="1" applyBorder="1" applyAlignment="1">
      <alignment horizontal="left" vertical="top" wrapText="1"/>
    </xf>
    <xf numFmtId="0" fontId="10" fillId="4" borderId="63" xfId="0" applyFont="1" applyFill="1" applyBorder="1" applyAlignment="1">
      <alignment horizontal="center" vertical="center"/>
    </xf>
    <xf numFmtId="0" fontId="10" fillId="4" borderId="58" xfId="0" applyFont="1" applyFill="1" applyBorder="1" applyAlignment="1">
      <alignment horizontal="center" vertical="center"/>
    </xf>
    <xf numFmtId="0" fontId="10" fillId="4" borderId="46" xfId="0" applyFont="1" applyFill="1" applyBorder="1" applyAlignment="1">
      <alignment horizontal="center" vertical="center"/>
    </xf>
    <xf numFmtId="0" fontId="20" fillId="5" borderId="61" xfId="5" applyFont="1" applyFill="1" applyBorder="1" applyAlignment="1">
      <alignment horizontal="center" vertical="center" wrapText="1"/>
    </xf>
    <xf numFmtId="0" fontId="20" fillId="5" borderId="46" xfId="5" applyFont="1" applyFill="1" applyBorder="1" applyAlignment="1">
      <alignment horizontal="center" vertical="center" wrapText="1"/>
    </xf>
    <xf numFmtId="0" fontId="10" fillId="4" borderId="50" xfId="8" applyFont="1" applyFill="1" applyBorder="1" applyAlignment="1">
      <alignment horizontal="left" vertical="top" wrapText="1"/>
    </xf>
    <xf numFmtId="0" fontId="10" fillId="4" borderId="62" xfId="8" applyFont="1" applyFill="1" applyBorder="1" applyAlignment="1">
      <alignment horizontal="left" vertical="top" wrapText="1"/>
    </xf>
    <xf numFmtId="0" fontId="10" fillId="4" borderId="57" xfId="8" applyFont="1" applyFill="1" applyBorder="1" applyAlignment="1">
      <alignment horizontal="left" vertical="top" wrapText="1"/>
    </xf>
    <xf numFmtId="0" fontId="10" fillId="4" borderId="39" xfId="8" applyFont="1" applyFill="1" applyBorder="1" applyAlignment="1">
      <alignment horizontal="left" vertical="top" wrapText="1"/>
    </xf>
    <xf numFmtId="0" fontId="10" fillId="4" borderId="55" xfId="8" applyFont="1" applyFill="1" applyBorder="1" applyAlignment="1" applyProtection="1">
      <alignment horizontal="left" vertical="top" wrapText="1"/>
      <protection locked="0"/>
    </xf>
    <xf numFmtId="0" fontId="10" fillId="4" borderId="56" xfId="8" applyFont="1" applyFill="1" applyBorder="1" applyAlignment="1">
      <alignment horizontal="left" vertical="top" wrapText="1"/>
    </xf>
    <xf numFmtId="0" fontId="10" fillId="4" borderId="52" xfId="8" applyFont="1" applyFill="1" applyBorder="1" applyAlignment="1">
      <alignment horizontal="left" vertical="top" wrapText="1"/>
    </xf>
    <xf numFmtId="0" fontId="10" fillId="4" borderId="51" xfId="8" applyFont="1" applyFill="1" applyBorder="1" applyAlignment="1">
      <alignment horizontal="left" vertical="top" wrapText="1"/>
    </xf>
    <xf numFmtId="0" fontId="10" fillId="4" borderId="57" xfId="8" applyFont="1" applyFill="1" applyBorder="1" applyAlignment="1" applyProtection="1">
      <alignment horizontal="left" vertical="top" wrapText="1"/>
    </xf>
    <xf numFmtId="0" fontId="10" fillId="4" borderId="39" xfId="8" applyFont="1" applyFill="1" applyBorder="1" applyAlignment="1" applyProtection="1">
      <alignment horizontal="left" vertical="top" wrapText="1"/>
    </xf>
    <xf numFmtId="0" fontId="10" fillId="4" borderId="55" xfId="8" applyFont="1" applyFill="1" applyBorder="1" applyAlignment="1" applyProtection="1">
      <alignment horizontal="left" vertical="top" wrapText="1"/>
    </xf>
    <xf numFmtId="0" fontId="14" fillId="5" borderId="26" xfId="0" applyFont="1" applyFill="1" applyBorder="1" applyAlignment="1">
      <alignment horizontal="center" vertical="center"/>
    </xf>
    <xf numFmtId="0" fontId="14" fillId="5" borderId="48" xfId="0" applyFont="1" applyFill="1" applyBorder="1" applyAlignment="1">
      <alignment horizontal="center" vertical="center"/>
    </xf>
    <xf numFmtId="0" fontId="10" fillId="4" borderId="53" xfId="0" applyNumberFormat="1" applyFont="1" applyFill="1" applyBorder="1" applyAlignment="1" applyProtection="1">
      <alignment horizontal="left" vertical="top" wrapText="1"/>
      <protection locked="0"/>
    </xf>
    <xf numFmtId="0" fontId="10" fillId="4" borderId="50" xfId="8" applyFont="1" applyFill="1" applyBorder="1" applyAlignment="1" applyProtection="1">
      <alignment horizontal="left" vertical="top" wrapText="1"/>
      <protection locked="0"/>
    </xf>
    <xf numFmtId="0" fontId="10" fillId="4" borderId="62" xfId="8" applyFont="1" applyFill="1" applyBorder="1" applyAlignment="1" applyProtection="1">
      <alignment horizontal="left" vertical="top" wrapText="1"/>
      <protection locked="0"/>
    </xf>
    <xf numFmtId="0" fontId="10" fillId="4" borderId="33" xfId="8" applyFont="1" applyFill="1" applyBorder="1" applyAlignment="1" applyProtection="1">
      <alignment horizontal="left" vertical="top" wrapText="1"/>
      <protection locked="0"/>
    </xf>
    <xf numFmtId="0" fontId="10" fillId="4" borderId="34" xfId="8" applyFont="1" applyFill="1" applyBorder="1" applyAlignment="1" applyProtection="1">
      <alignment horizontal="left" vertical="top" wrapText="1"/>
      <protection locked="0"/>
    </xf>
    <xf numFmtId="0" fontId="10" fillId="4" borderId="52" xfId="0" applyNumberFormat="1" applyFont="1" applyFill="1" applyBorder="1" applyAlignment="1" applyProtection="1">
      <alignment horizontal="left" vertical="top" wrapText="1"/>
      <protection locked="0"/>
    </xf>
    <xf numFmtId="0" fontId="10" fillId="4" borderId="54" xfId="0" applyNumberFormat="1" applyFont="1" applyFill="1" applyBorder="1" applyAlignment="1" applyProtection="1">
      <alignment horizontal="left" vertical="top" wrapText="1"/>
      <protection locked="0"/>
    </xf>
    <xf numFmtId="0" fontId="25" fillId="7" borderId="26" xfId="0" applyFont="1" applyFill="1" applyBorder="1" applyAlignment="1">
      <alignment horizontal="center" vertical="center"/>
    </xf>
    <xf numFmtId="0" fontId="25" fillId="7" borderId="42" xfId="0" applyFont="1" applyFill="1" applyBorder="1" applyAlignment="1">
      <alignment horizontal="center" vertical="center"/>
    </xf>
    <xf numFmtId="0" fontId="25" fillId="7" borderId="27" xfId="0" applyFont="1" applyFill="1" applyBorder="1" applyAlignment="1">
      <alignment horizontal="center" vertical="center"/>
    </xf>
    <xf numFmtId="0" fontId="10" fillId="4" borderId="54" xfId="8" applyFont="1" applyFill="1" applyBorder="1" applyAlignment="1" applyProtection="1">
      <alignment horizontal="left" vertical="top" wrapText="1"/>
      <protection locked="0"/>
    </xf>
    <xf numFmtId="0" fontId="10" fillId="4" borderId="23" xfId="8" applyFont="1" applyFill="1" applyBorder="1" applyAlignment="1" applyProtection="1">
      <alignment horizontal="left" vertical="top" wrapText="1"/>
      <protection locked="0"/>
    </xf>
    <xf numFmtId="0" fontId="16" fillId="7" borderId="26" xfId="0" applyFont="1" applyFill="1" applyBorder="1" applyAlignment="1">
      <alignment horizontal="center" vertical="center" textRotation="90"/>
    </xf>
    <xf numFmtId="0" fontId="16" fillId="7" borderId="42" xfId="0" applyFont="1" applyFill="1" applyBorder="1" applyAlignment="1">
      <alignment horizontal="center" vertical="center" textRotation="90"/>
    </xf>
    <xf numFmtId="0" fontId="16" fillId="7" borderId="27" xfId="0" applyFont="1" applyFill="1" applyBorder="1" applyAlignment="1">
      <alignment horizontal="center" vertical="center" textRotation="90"/>
    </xf>
    <xf numFmtId="0" fontId="41" fillId="4" borderId="49" xfId="8" applyFont="1" applyFill="1" applyBorder="1" applyAlignment="1">
      <alignment horizontal="center" vertical="center"/>
    </xf>
    <xf numFmtId="0" fontId="41" fillId="4" borderId="27" xfId="8" applyFont="1" applyFill="1" applyBorder="1" applyAlignment="1">
      <alignment horizontal="center" vertical="center"/>
    </xf>
    <xf numFmtId="0" fontId="16" fillId="7" borderId="27" xfId="8" applyFont="1" applyFill="1" applyBorder="1" applyAlignment="1">
      <alignment horizontal="center" vertical="center" textRotation="90" wrapText="1"/>
    </xf>
    <xf numFmtId="0" fontId="14" fillId="5" borderId="49" xfId="8" applyFont="1" applyFill="1" applyBorder="1" applyAlignment="1">
      <alignment horizontal="center" vertical="center" wrapText="1"/>
    </xf>
    <xf numFmtId="0" fontId="10" fillId="4" borderId="22" xfId="8" applyFont="1" applyFill="1" applyBorder="1" applyAlignment="1" applyProtection="1">
      <alignment horizontal="left" vertical="top" wrapText="1"/>
      <protection locked="0"/>
    </xf>
    <xf numFmtId="0" fontId="14" fillId="5" borderId="49" xfId="0" applyNumberFormat="1" applyFont="1" applyFill="1" applyBorder="1" applyAlignment="1" applyProtection="1">
      <alignment horizontal="center" vertical="center" wrapText="1"/>
    </xf>
    <xf numFmtId="0" fontId="14" fillId="5" borderId="42" xfId="0" applyNumberFormat="1" applyFont="1" applyFill="1" applyBorder="1" applyAlignment="1" applyProtection="1">
      <alignment horizontal="center" vertical="center" wrapText="1"/>
    </xf>
    <xf numFmtId="0" fontId="10" fillId="4" borderId="23" xfId="0" applyNumberFormat="1" applyFont="1" applyFill="1" applyBorder="1" applyAlignment="1" applyProtection="1">
      <alignment horizontal="left" vertical="top" wrapText="1"/>
      <protection locked="0"/>
    </xf>
    <xf numFmtId="0" fontId="10" fillId="4" borderId="33" xfId="8" applyFont="1" applyFill="1" applyBorder="1" applyAlignment="1" applyProtection="1">
      <alignment horizontal="left" vertical="top" wrapText="1"/>
    </xf>
    <xf numFmtId="0" fontId="10" fillId="4" borderId="34" xfId="8" applyFont="1" applyFill="1" applyBorder="1" applyAlignment="1" applyProtection="1">
      <alignment horizontal="left" vertical="top" wrapText="1"/>
    </xf>
    <xf numFmtId="0" fontId="20" fillId="0" borderId="21" xfId="0" applyFont="1" applyFill="1" applyBorder="1" applyAlignment="1">
      <alignment horizontal="center" vertical="center"/>
    </xf>
    <xf numFmtId="0" fontId="20" fillId="0" borderId="22" xfId="0" applyFont="1" applyFill="1" applyBorder="1" applyAlignment="1">
      <alignment horizontal="center" vertical="center"/>
    </xf>
    <xf numFmtId="0" fontId="20" fillId="0" borderId="16" xfId="0" applyFont="1" applyFill="1" applyBorder="1" applyAlignment="1">
      <alignment horizontal="center" vertical="center"/>
    </xf>
    <xf numFmtId="0" fontId="20" fillId="0" borderId="23" xfId="0" applyFont="1" applyFill="1" applyBorder="1" applyAlignment="1">
      <alignment horizontal="center" vertical="center"/>
    </xf>
    <xf numFmtId="0" fontId="20" fillId="0" borderId="24" xfId="0" applyFont="1" applyFill="1" applyBorder="1" applyAlignment="1">
      <alignment horizontal="center" vertical="center"/>
    </xf>
    <xf numFmtId="0" fontId="20" fillId="0" borderId="25" xfId="0" applyFont="1" applyFill="1" applyBorder="1" applyAlignment="1">
      <alignment horizontal="center" vertical="center"/>
    </xf>
    <xf numFmtId="0" fontId="10" fillId="4" borderId="21" xfId="0" applyNumberFormat="1" applyFont="1" applyFill="1" applyBorder="1" applyAlignment="1" applyProtection="1">
      <alignment horizontal="center" vertical="top" wrapText="1"/>
      <protection locked="0"/>
    </xf>
    <xf numFmtId="0" fontId="10" fillId="4" borderId="19" xfId="0" applyNumberFormat="1" applyFont="1" applyFill="1" applyBorder="1" applyAlignment="1" applyProtection="1">
      <alignment horizontal="center" vertical="top" wrapText="1"/>
      <protection locked="0"/>
    </xf>
    <xf numFmtId="0" fontId="10" fillId="4" borderId="22" xfId="0" applyNumberFormat="1" applyFont="1" applyFill="1" applyBorder="1" applyAlignment="1" applyProtection="1">
      <alignment horizontal="center" vertical="top" wrapText="1"/>
      <protection locked="0"/>
    </xf>
    <xf numFmtId="0" fontId="10" fillId="4" borderId="16" xfId="0" applyNumberFormat="1" applyFont="1" applyFill="1" applyBorder="1" applyAlignment="1" applyProtection="1">
      <alignment horizontal="center" vertical="top" wrapText="1"/>
      <protection locked="0"/>
    </xf>
    <xf numFmtId="0" fontId="10" fillId="4" borderId="0" xfId="0" applyNumberFormat="1" applyFont="1" applyFill="1" applyBorder="1" applyAlignment="1" applyProtection="1">
      <alignment horizontal="center" vertical="top" wrapText="1"/>
      <protection locked="0"/>
    </xf>
    <xf numFmtId="0" fontId="10" fillId="4" borderId="23" xfId="0" applyNumberFormat="1" applyFont="1" applyFill="1" applyBorder="1" applyAlignment="1" applyProtection="1">
      <alignment horizontal="center" vertical="top" wrapText="1"/>
      <protection locked="0"/>
    </xf>
    <xf numFmtId="0" fontId="10" fillId="4" borderId="24" xfId="0" applyNumberFormat="1" applyFont="1" applyFill="1" applyBorder="1" applyAlignment="1" applyProtection="1">
      <alignment horizontal="center" vertical="top" wrapText="1"/>
      <protection locked="0"/>
    </xf>
    <xf numFmtId="0" fontId="10" fillId="4" borderId="20" xfId="0" applyNumberFormat="1" applyFont="1" applyFill="1" applyBorder="1" applyAlignment="1" applyProtection="1">
      <alignment horizontal="center" vertical="top" wrapText="1"/>
      <protection locked="0"/>
    </xf>
    <xf numFmtId="0" fontId="10" fillId="4" borderId="25" xfId="0" applyNumberFormat="1" applyFont="1" applyFill="1" applyBorder="1" applyAlignment="1" applyProtection="1">
      <alignment horizontal="center" vertical="top" wrapText="1"/>
      <protection locked="0"/>
    </xf>
    <xf numFmtId="0" fontId="15" fillId="0" borderId="19" xfId="0" applyFont="1" applyFill="1" applyBorder="1" applyAlignment="1">
      <alignment horizontal="center" vertical="center"/>
    </xf>
    <xf numFmtId="0" fontId="10" fillId="5" borderId="0" xfId="0" applyFont="1" applyFill="1" applyBorder="1" applyAlignment="1">
      <alignment horizontal="center"/>
    </xf>
    <xf numFmtId="0" fontId="32" fillId="0" borderId="0" xfId="0" applyFont="1" applyAlignment="1">
      <alignment horizontal="left"/>
    </xf>
    <xf numFmtId="0" fontId="20" fillId="7" borderId="43" xfId="0" applyFont="1" applyFill="1" applyBorder="1" applyAlignment="1">
      <alignment horizontal="center" vertical="center"/>
    </xf>
    <xf numFmtId="0" fontId="20" fillId="7" borderId="45" xfId="0" applyFont="1" applyFill="1" applyBorder="1" applyAlignment="1">
      <alignment horizontal="center" vertical="center"/>
    </xf>
    <xf numFmtId="0" fontId="41" fillId="7" borderId="43" xfId="0" applyNumberFormat="1" applyFont="1" applyFill="1" applyBorder="1" applyAlignment="1" applyProtection="1">
      <alignment horizontal="center" vertical="center" wrapText="1"/>
      <protection locked="0"/>
    </xf>
    <xf numFmtId="0" fontId="41" fillId="7" borderId="44" xfId="0" applyNumberFormat="1" applyFont="1" applyFill="1" applyBorder="1" applyAlignment="1" applyProtection="1">
      <alignment horizontal="center" vertical="center" wrapText="1"/>
      <protection locked="0"/>
    </xf>
    <xf numFmtId="0" fontId="41" fillId="7" borderId="45" xfId="0" applyNumberFormat="1" applyFont="1" applyFill="1" applyBorder="1" applyAlignment="1" applyProtection="1">
      <alignment horizontal="center" vertical="center" wrapText="1"/>
      <protection locked="0"/>
    </xf>
    <xf numFmtId="0" fontId="15" fillId="5" borderId="44" xfId="0" applyFont="1" applyFill="1" applyBorder="1" applyAlignment="1">
      <alignment horizontal="center" vertical="center"/>
    </xf>
    <xf numFmtId="0" fontId="10" fillId="4" borderId="39" xfId="0" applyNumberFormat="1" applyFont="1" applyFill="1" applyBorder="1" applyAlignment="1" applyProtection="1">
      <alignment horizontal="left" vertical="top" wrapText="1"/>
      <protection locked="0"/>
    </xf>
    <xf numFmtId="0" fontId="10" fillId="4" borderId="50" xfId="0" applyFont="1" applyFill="1" applyBorder="1" applyAlignment="1">
      <alignment horizontal="left" vertical="top" wrapText="1"/>
    </xf>
    <xf numFmtId="0" fontId="10" fillId="4" borderId="62" xfId="0" applyFont="1" applyFill="1" applyBorder="1" applyAlignment="1">
      <alignment horizontal="left" vertical="top" wrapText="1"/>
    </xf>
    <xf numFmtId="0" fontId="10" fillId="4" borderId="54" xfId="8" applyFont="1" applyFill="1" applyBorder="1" applyAlignment="1">
      <alignment horizontal="left" vertical="top" wrapText="1"/>
    </xf>
    <xf numFmtId="0" fontId="20" fillId="7" borderId="21" xfId="0" applyFont="1" applyFill="1" applyBorder="1" applyAlignment="1">
      <alignment horizontal="center" vertical="center"/>
    </xf>
    <xf numFmtId="0" fontId="20" fillId="7" borderId="19" xfId="0" applyFont="1" applyFill="1" applyBorder="1" applyAlignment="1">
      <alignment horizontal="center" vertical="center"/>
    </xf>
    <xf numFmtId="0" fontId="20" fillId="7" borderId="22" xfId="0" applyFont="1" applyFill="1" applyBorder="1" applyAlignment="1">
      <alignment horizontal="center" vertical="center"/>
    </xf>
    <xf numFmtId="0" fontId="20" fillId="7" borderId="30" xfId="0" applyFont="1" applyFill="1" applyBorder="1" applyAlignment="1">
      <alignment horizontal="center" vertical="center"/>
    </xf>
    <xf numFmtId="0" fontId="20" fillId="7" borderId="10" xfId="0" applyFont="1" applyFill="1" applyBorder="1" applyAlignment="1">
      <alignment horizontal="center" vertical="center"/>
    </xf>
    <xf numFmtId="0" fontId="20" fillId="7" borderId="34" xfId="0" applyFont="1" applyFill="1" applyBorder="1" applyAlignment="1">
      <alignment horizontal="center" vertical="center"/>
    </xf>
    <xf numFmtId="0" fontId="14" fillId="4" borderId="16" xfId="0" applyFont="1" applyFill="1" applyBorder="1" applyAlignment="1">
      <alignment horizontal="center" vertical="center" wrapText="1"/>
    </xf>
    <xf numFmtId="0" fontId="14" fillId="4" borderId="0" xfId="0" applyFont="1" applyFill="1" applyBorder="1" applyAlignment="1">
      <alignment horizontal="center" vertical="center" wrapText="1"/>
    </xf>
    <xf numFmtId="0" fontId="14" fillId="4" borderId="23" xfId="0" applyFont="1" applyFill="1" applyBorder="1" applyAlignment="1">
      <alignment horizontal="center" vertical="center" wrapText="1"/>
    </xf>
    <xf numFmtId="0" fontId="14" fillId="4" borderId="24" xfId="0" applyFont="1" applyFill="1" applyBorder="1" applyAlignment="1">
      <alignment horizontal="center" vertical="center" wrapText="1"/>
    </xf>
    <xf numFmtId="0" fontId="14" fillId="4" borderId="20" xfId="0" applyFont="1" applyFill="1" applyBorder="1" applyAlignment="1">
      <alignment horizontal="center" vertical="center" wrapText="1"/>
    </xf>
    <xf numFmtId="0" fontId="14" fillId="4" borderId="25" xfId="0" applyFont="1" applyFill="1" applyBorder="1" applyAlignment="1">
      <alignment horizontal="center" vertical="center" wrapText="1"/>
    </xf>
    <xf numFmtId="0" fontId="31" fillId="0" borderId="0" xfId="3" applyFont="1" applyFill="1" applyBorder="1" applyAlignment="1">
      <alignment horizontal="center"/>
    </xf>
    <xf numFmtId="0" fontId="31" fillId="0" borderId="0" xfId="0" applyFont="1" applyAlignment="1">
      <alignment horizontal="center"/>
    </xf>
    <xf numFmtId="0" fontId="32" fillId="5" borderId="10" xfId="0" applyFont="1" applyFill="1" applyBorder="1" applyAlignment="1">
      <alignment horizontal="left"/>
    </xf>
    <xf numFmtId="0" fontId="0" fillId="6" borderId="0" xfId="0" applyFill="1" applyBorder="1" applyAlignment="1">
      <alignment horizontal="center"/>
    </xf>
    <xf numFmtId="0" fontId="0" fillId="6" borderId="20" xfId="0" applyFill="1" applyBorder="1" applyAlignment="1">
      <alignment horizontal="center"/>
    </xf>
    <xf numFmtId="0" fontId="41" fillId="5" borderId="0" xfId="0" applyFont="1" applyFill="1" applyBorder="1" applyAlignment="1">
      <alignment horizontal="left" vertical="center" wrapText="1"/>
    </xf>
    <xf numFmtId="0" fontId="41" fillId="5" borderId="0" xfId="0" applyFont="1" applyFill="1" applyBorder="1" applyAlignment="1">
      <alignment horizontal="left" vertical="center"/>
    </xf>
    <xf numFmtId="0" fontId="31" fillId="6" borderId="0" xfId="0" applyFont="1" applyFill="1" applyBorder="1" applyAlignment="1">
      <alignment horizontal="center"/>
    </xf>
    <xf numFmtId="0" fontId="20" fillId="7" borderId="21" xfId="0" applyFont="1" applyFill="1" applyBorder="1" applyAlignment="1">
      <alignment horizontal="center" vertical="center" wrapText="1"/>
    </xf>
    <xf numFmtId="0" fontId="20" fillId="7" borderId="19" xfId="0" applyFont="1" applyFill="1" applyBorder="1" applyAlignment="1">
      <alignment horizontal="center" vertical="center" wrapText="1"/>
    </xf>
    <xf numFmtId="0" fontId="20" fillId="7" borderId="16" xfId="0" applyFont="1" applyFill="1" applyBorder="1" applyAlignment="1">
      <alignment horizontal="center" vertical="center" wrapText="1"/>
    </xf>
    <xf numFmtId="0" fontId="20" fillId="7" borderId="0"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4" borderId="111" xfId="0" applyFont="1" applyFill="1" applyBorder="1" applyAlignment="1">
      <alignment horizontal="center" vertical="center" wrapText="1"/>
    </xf>
    <xf numFmtId="0" fontId="8" fillId="4" borderId="112" xfId="0" applyFont="1" applyFill="1" applyBorder="1" applyAlignment="1">
      <alignment horizontal="center" vertical="center" wrapText="1"/>
    </xf>
    <xf numFmtId="0" fontId="8" fillId="4" borderId="104" xfId="0" applyFont="1" applyFill="1" applyBorder="1" applyAlignment="1">
      <alignment horizontal="center" vertical="center" wrapText="1"/>
    </xf>
    <xf numFmtId="0" fontId="8" fillId="4" borderId="105" xfId="0" applyFont="1" applyFill="1" applyBorder="1" applyAlignment="1">
      <alignment horizontal="center" vertical="center" wrapText="1"/>
    </xf>
    <xf numFmtId="0" fontId="20" fillId="7" borderId="47" xfId="0" applyFont="1" applyFill="1" applyBorder="1" applyAlignment="1">
      <alignment horizontal="center" vertical="center"/>
    </xf>
    <xf numFmtId="0" fontId="20" fillId="7" borderId="14" xfId="0" applyFont="1" applyFill="1" applyBorder="1" applyAlignment="1">
      <alignment horizontal="center" vertical="center"/>
    </xf>
    <xf numFmtId="0" fontId="20" fillId="7" borderId="7" xfId="0" applyFont="1" applyFill="1" applyBorder="1" applyAlignment="1">
      <alignment horizontal="center" vertical="center"/>
    </xf>
    <xf numFmtId="0" fontId="20" fillId="4" borderId="101" xfId="0" applyFont="1" applyFill="1" applyBorder="1" applyAlignment="1">
      <alignment horizontal="center" vertical="center"/>
    </xf>
    <xf numFmtId="0" fontId="20" fillId="4" borderId="38" xfId="0" applyFont="1" applyFill="1" applyBorder="1" applyAlignment="1">
      <alignment horizontal="center" vertical="center"/>
    </xf>
    <xf numFmtId="0" fontId="35" fillId="4" borderId="105" xfId="0" applyFont="1" applyFill="1" applyBorder="1" applyAlignment="1">
      <alignment horizontal="center" vertical="center"/>
    </xf>
    <xf numFmtId="0" fontId="35" fillId="4" borderId="107" xfId="0" applyFont="1" applyFill="1" applyBorder="1" applyAlignment="1">
      <alignment horizontal="center" vertical="center"/>
    </xf>
    <xf numFmtId="0" fontId="35" fillId="4" borderId="104" xfId="0" applyFont="1" applyFill="1" applyBorder="1" applyAlignment="1">
      <alignment horizontal="center" vertical="center"/>
    </xf>
    <xf numFmtId="0" fontId="35" fillId="4" borderId="108" xfId="0" applyFont="1" applyFill="1" applyBorder="1" applyAlignment="1">
      <alignment horizontal="center" vertical="center"/>
    </xf>
    <xf numFmtId="0" fontId="35" fillId="4" borderId="106" xfId="0" applyFont="1" applyFill="1" applyBorder="1" applyAlignment="1">
      <alignment horizontal="center" vertical="center"/>
    </xf>
    <xf numFmtId="0" fontId="20" fillId="7" borderId="41" xfId="0" applyFont="1" applyFill="1" applyBorder="1" applyAlignment="1">
      <alignment horizontal="center" vertical="center"/>
    </xf>
    <xf numFmtId="0" fontId="20" fillId="7" borderId="55" xfId="0" applyFont="1" applyFill="1" applyBorder="1" applyAlignment="1">
      <alignment horizontal="center" vertical="center"/>
    </xf>
    <xf numFmtId="0" fontId="20" fillId="7" borderId="53" xfId="0" applyFont="1" applyFill="1" applyBorder="1" applyAlignment="1">
      <alignment horizontal="center" vertical="center"/>
    </xf>
    <xf numFmtId="0" fontId="20" fillId="4" borderId="37" xfId="0" applyFont="1" applyFill="1" applyBorder="1" applyAlignment="1">
      <alignment horizontal="center" vertical="center"/>
    </xf>
    <xf numFmtId="0" fontId="20" fillId="4" borderId="102"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113" xfId="0" applyFont="1" applyFill="1" applyBorder="1" applyAlignment="1">
      <alignment horizontal="center" vertical="center"/>
    </xf>
    <xf numFmtId="0" fontId="20" fillId="4" borderId="114" xfId="0" applyFont="1" applyFill="1" applyBorder="1" applyAlignment="1">
      <alignment horizontal="center" vertical="center"/>
    </xf>
    <xf numFmtId="0" fontId="10" fillId="7" borderId="53" xfId="0" applyFont="1" applyFill="1" applyBorder="1" applyAlignment="1">
      <alignment horizontal="center" vertical="center" wrapText="1"/>
    </xf>
    <xf numFmtId="0" fontId="10" fillId="7" borderId="39" xfId="0" applyFont="1" applyFill="1" applyBorder="1" applyAlignment="1">
      <alignment horizontal="center" vertical="center" wrapText="1"/>
    </xf>
    <xf numFmtId="0" fontId="10" fillId="7" borderId="52" xfId="0" applyFont="1" applyFill="1" applyBorder="1" applyAlignment="1">
      <alignment horizontal="center" vertical="center" wrapText="1"/>
    </xf>
    <xf numFmtId="0" fontId="10" fillId="7" borderId="62" xfId="0" applyFont="1" applyFill="1" applyBorder="1" applyAlignment="1">
      <alignment horizontal="center" vertical="center" wrapText="1"/>
    </xf>
    <xf numFmtId="0" fontId="10" fillId="7" borderId="96" xfId="0" applyFont="1" applyFill="1" applyBorder="1" applyAlignment="1">
      <alignment horizontal="center" vertical="center" wrapText="1"/>
    </xf>
    <xf numFmtId="0" fontId="10" fillId="7" borderId="98" xfId="0" applyFont="1" applyFill="1" applyBorder="1" applyAlignment="1">
      <alignment horizontal="center" vertical="center" wrapText="1"/>
    </xf>
    <xf numFmtId="0" fontId="20" fillId="4" borderId="111" xfId="0" applyFont="1" applyFill="1" applyBorder="1" applyAlignment="1">
      <alignment horizontal="center" vertical="center"/>
    </xf>
    <xf numFmtId="0" fontId="20" fillId="4" borderId="115" xfId="0" applyFont="1" applyFill="1" applyBorder="1" applyAlignment="1">
      <alignment horizontal="center" vertical="center"/>
    </xf>
    <xf numFmtId="0" fontId="20" fillId="4" borderId="112" xfId="0" applyFont="1" applyFill="1" applyBorder="1" applyAlignment="1">
      <alignment horizontal="center" vertical="center"/>
    </xf>
    <xf numFmtId="0" fontId="48" fillId="7" borderId="9" xfId="0" applyFont="1" applyFill="1" applyBorder="1" applyAlignment="1">
      <alignment horizontal="center" textRotation="90" wrapText="1"/>
    </xf>
    <xf numFmtId="0" fontId="48" fillId="7" borderId="11" xfId="0" applyFont="1" applyFill="1" applyBorder="1" applyAlignment="1">
      <alignment horizontal="center" textRotation="90" wrapText="1"/>
    </xf>
    <xf numFmtId="0" fontId="48" fillId="7" borderId="73" xfId="0" applyFont="1" applyFill="1" applyBorder="1" applyAlignment="1">
      <alignment horizontal="center" textRotation="90" wrapText="1"/>
    </xf>
    <xf numFmtId="0" fontId="48" fillId="7" borderId="99" xfId="0" applyFont="1" applyFill="1" applyBorder="1" applyAlignment="1">
      <alignment horizontal="center" textRotation="90" wrapText="1"/>
    </xf>
    <xf numFmtId="0" fontId="48" fillId="7" borderId="91" xfId="0" applyFont="1" applyFill="1" applyBorder="1" applyAlignment="1">
      <alignment horizontal="center" textRotation="90" wrapText="1"/>
    </xf>
    <xf numFmtId="0" fontId="48" fillId="7" borderId="119" xfId="0" applyFont="1" applyFill="1" applyBorder="1" applyAlignment="1">
      <alignment horizontal="center" textRotation="90" wrapText="1"/>
    </xf>
    <xf numFmtId="0" fontId="10" fillId="7" borderId="91" xfId="0" applyFont="1" applyFill="1" applyBorder="1" applyAlignment="1">
      <alignment horizontal="center" vertical="center" wrapText="1"/>
    </xf>
    <xf numFmtId="0" fontId="10" fillId="7" borderId="23" xfId="0" applyFont="1" applyFill="1" applyBorder="1" applyAlignment="1">
      <alignment horizontal="center" vertical="center" wrapText="1"/>
    </xf>
    <xf numFmtId="0" fontId="10" fillId="7" borderId="93" xfId="0" applyFont="1" applyFill="1" applyBorder="1" applyAlignment="1">
      <alignment horizontal="center" vertical="center" wrapText="1"/>
    </xf>
    <xf numFmtId="0" fontId="10" fillId="7" borderId="34" xfId="0" applyFont="1" applyFill="1" applyBorder="1" applyAlignment="1">
      <alignment horizontal="center" vertical="center" wrapText="1"/>
    </xf>
    <xf numFmtId="0" fontId="10" fillId="7" borderId="16" xfId="0" applyFont="1" applyFill="1" applyBorder="1" applyAlignment="1">
      <alignment horizontal="center" vertical="center" wrapText="1"/>
    </xf>
    <xf numFmtId="0" fontId="10" fillId="7" borderId="30" xfId="0" applyFont="1" applyFill="1" applyBorder="1" applyAlignment="1">
      <alignment horizontal="center" vertical="center" wrapText="1"/>
    </xf>
    <xf numFmtId="0" fontId="10" fillId="7" borderId="92" xfId="0" applyFont="1" applyFill="1" applyBorder="1" applyAlignment="1">
      <alignment horizontal="center" vertical="center" wrapText="1"/>
    </xf>
    <xf numFmtId="0" fontId="10" fillId="7" borderId="94" xfId="0" applyFont="1" applyFill="1" applyBorder="1" applyAlignment="1">
      <alignment horizontal="center" vertical="center" wrapText="1"/>
    </xf>
    <xf numFmtId="0" fontId="10" fillId="6" borderId="0" xfId="0" applyFont="1" applyFill="1" applyBorder="1" applyAlignment="1">
      <alignment horizontal="center" vertical="center" wrapText="1"/>
    </xf>
    <xf numFmtId="0" fontId="10" fillId="6" borderId="23" xfId="0" applyFont="1" applyFill="1" applyBorder="1" applyAlignment="1">
      <alignment horizontal="center" vertical="center" wrapText="1"/>
    </xf>
    <xf numFmtId="0" fontId="10" fillId="6" borderId="10" xfId="0" applyFont="1" applyFill="1" applyBorder="1" applyAlignment="1">
      <alignment horizontal="center" vertical="center" wrapText="1"/>
    </xf>
    <xf numFmtId="0" fontId="10" fillId="6" borderId="34" xfId="0" applyFont="1" applyFill="1" applyBorder="1" applyAlignment="1">
      <alignment horizontal="center" vertical="center" wrapText="1"/>
    </xf>
    <xf numFmtId="0" fontId="48" fillId="7" borderId="52" xfId="0" applyFont="1" applyFill="1" applyBorder="1" applyAlignment="1">
      <alignment horizontal="center" textRotation="90" wrapText="1"/>
    </xf>
    <xf numFmtId="0" fontId="48" fillId="7" borderId="54" xfId="0" applyFont="1" applyFill="1" applyBorder="1" applyAlignment="1">
      <alignment horizontal="center" textRotation="90" wrapText="1"/>
    </xf>
    <xf numFmtId="0" fontId="48" fillId="7" borderId="118" xfId="0" applyFont="1" applyFill="1" applyBorder="1" applyAlignment="1">
      <alignment horizontal="center" textRotation="90" wrapText="1"/>
    </xf>
    <xf numFmtId="0" fontId="48" fillId="7" borderId="53" xfId="0" applyFont="1" applyFill="1" applyBorder="1" applyAlignment="1">
      <alignment horizontal="center" textRotation="90" wrapText="1"/>
    </xf>
    <xf numFmtId="0" fontId="48" fillId="7" borderId="55" xfId="0" applyFont="1" applyFill="1" applyBorder="1" applyAlignment="1">
      <alignment horizontal="center" textRotation="90" wrapText="1"/>
    </xf>
    <xf numFmtId="0" fontId="48" fillId="7" borderId="110" xfId="0" applyFont="1" applyFill="1" applyBorder="1" applyAlignment="1">
      <alignment horizontal="center" textRotation="90" wrapText="1"/>
    </xf>
    <xf numFmtId="0" fontId="48" fillId="7" borderId="96" xfId="0" applyFont="1" applyFill="1" applyBorder="1" applyAlignment="1">
      <alignment horizontal="center" textRotation="90" wrapText="1"/>
    </xf>
    <xf numFmtId="0" fontId="48" fillId="7" borderId="100" xfId="0" applyFont="1" applyFill="1" applyBorder="1" applyAlignment="1">
      <alignment horizontal="center" textRotation="90" wrapText="1"/>
    </xf>
    <xf numFmtId="0" fontId="48" fillId="7" borderId="120" xfId="0" applyFont="1" applyFill="1" applyBorder="1" applyAlignment="1">
      <alignment horizontal="center" textRotation="90" wrapText="1"/>
    </xf>
    <xf numFmtId="0" fontId="48" fillId="6" borderId="7" xfId="0" applyFont="1" applyFill="1" applyBorder="1" applyAlignment="1">
      <alignment horizontal="center" textRotation="90" wrapText="1"/>
    </xf>
    <xf numFmtId="0" fontId="48" fillId="6" borderId="14" xfId="0" applyFont="1" applyFill="1" applyBorder="1" applyAlignment="1">
      <alignment horizontal="center" textRotation="90" wrapText="1"/>
    </xf>
    <xf numFmtId="0" fontId="48" fillId="6" borderId="72" xfId="0" applyFont="1" applyFill="1" applyBorder="1" applyAlignment="1">
      <alignment horizontal="center" textRotation="90" wrapText="1"/>
    </xf>
    <xf numFmtId="0" fontId="48" fillId="6" borderId="53" xfId="0" applyFont="1" applyFill="1" applyBorder="1" applyAlignment="1">
      <alignment horizontal="center" textRotation="90" wrapText="1"/>
    </xf>
    <xf numFmtId="0" fontId="48" fillId="6" borderId="55" xfId="0" applyFont="1" applyFill="1" applyBorder="1" applyAlignment="1">
      <alignment horizontal="center" textRotation="90" wrapText="1"/>
    </xf>
    <xf numFmtId="0" fontId="48" fillId="6" borderId="110" xfId="0" applyFont="1" applyFill="1" applyBorder="1" applyAlignment="1">
      <alignment horizontal="center" textRotation="90" wrapText="1"/>
    </xf>
    <xf numFmtId="0" fontId="48" fillId="6" borderId="52" xfId="0" applyFont="1" applyFill="1" applyBorder="1" applyAlignment="1">
      <alignment horizontal="center" textRotation="90" wrapText="1"/>
    </xf>
    <xf numFmtId="0" fontId="48" fillId="6" borderId="54" xfId="0" applyFont="1" applyFill="1" applyBorder="1" applyAlignment="1">
      <alignment horizontal="center" textRotation="90" wrapText="1"/>
    </xf>
    <xf numFmtId="0" fontId="48" fillId="6" borderId="118" xfId="0" applyFont="1" applyFill="1" applyBorder="1" applyAlignment="1">
      <alignment horizontal="center" textRotation="90" wrapText="1"/>
    </xf>
    <xf numFmtId="0" fontId="48" fillId="6" borderId="9" xfId="0" applyFont="1" applyFill="1" applyBorder="1" applyAlignment="1">
      <alignment horizontal="center" textRotation="90" wrapText="1"/>
    </xf>
    <xf numFmtId="0" fontId="48" fillId="6" borderId="11" xfId="0" applyFont="1" applyFill="1" applyBorder="1" applyAlignment="1">
      <alignment horizontal="center" textRotation="90" wrapText="1"/>
    </xf>
    <xf numFmtId="0" fontId="48" fillId="6" borderId="73" xfId="0" applyFont="1" applyFill="1" applyBorder="1" applyAlignment="1">
      <alignment horizontal="center" textRotation="90" wrapText="1"/>
    </xf>
    <xf numFmtId="0" fontId="48" fillId="7" borderId="95" xfId="0" applyFont="1" applyFill="1" applyBorder="1" applyAlignment="1">
      <alignment horizontal="center" textRotation="90" wrapText="1"/>
    </xf>
    <xf numFmtId="0" fontId="48" fillId="7" borderId="117" xfId="0" applyFont="1" applyFill="1" applyBorder="1" applyAlignment="1">
      <alignment horizontal="center" textRotation="90" wrapText="1"/>
    </xf>
    <xf numFmtId="0" fontId="48" fillId="7" borderId="121" xfId="0" applyFont="1" applyFill="1" applyBorder="1" applyAlignment="1">
      <alignment horizontal="center" textRotation="90" wrapText="1"/>
    </xf>
    <xf numFmtId="0" fontId="10" fillId="7" borderId="95" xfId="0" applyFont="1" applyFill="1" applyBorder="1" applyAlignment="1">
      <alignment horizontal="center" vertical="center" wrapText="1"/>
    </xf>
    <xf numFmtId="0" fontId="10" fillId="7" borderId="97"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53" xfId="0" applyFont="1" applyFill="1" applyBorder="1" applyAlignment="1">
      <alignment horizontal="center" vertical="center" wrapText="1"/>
    </xf>
    <xf numFmtId="0" fontId="10" fillId="6" borderId="39" xfId="0" applyFont="1" applyFill="1" applyBorder="1" applyAlignment="1">
      <alignment horizontal="center" vertical="center" wrapText="1"/>
    </xf>
    <xf numFmtId="0" fontId="10" fillId="6" borderId="52" xfId="0" applyFont="1" applyFill="1" applyBorder="1" applyAlignment="1">
      <alignment horizontal="center" vertical="center" wrapText="1"/>
    </xf>
    <xf numFmtId="0" fontId="10" fillId="6" borderId="62"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6" xfId="0" applyFont="1" applyFill="1" applyBorder="1" applyAlignment="1">
      <alignment horizontal="center" vertical="center" wrapText="1"/>
    </xf>
    <xf numFmtId="0" fontId="10" fillId="6" borderId="30" xfId="0" applyFont="1" applyFill="1" applyBorder="1" applyAlignment="1">
      <alignment horizontal="center" vertical="center" wrapText="1"/>
    </xf>
    <xf numFmtId="0" fontId="76" fillId="18" borderId="103" xfId="0" applyFont="1" applyFill="1" applyBorder="1" applyAlignment="1">
      <alignment horizontal="center" vertical="center" textRotation="90"/>
    </xf>
    <xf numFmtId="0" fontId="76" fillId="18" borderId="55" xfId="0" applyFont="1" applyFill="1" applyBorder="1" applyAlignment="1">
      <alignment horizontal="center" vertical="center" textRotation="90"/>
    </xf>
    <xf numFmtId="0" fontId="76" fillId="18" borderId="110" xfId="0" applyFont="1" applyFill="1" applyBorder="1" applyAlignment="1">
      <alignment horizontal="center" vertical="center" textRotation="90"/>
    </xf>
    <xf numFmtId="0" fontId="76" fillId="19" borderId="103" xfId="0" applyFont="1" applyFill="1" applyBorder="1" applyAlignment="1">
      <alignment horizontal="center" vertical="center" textRotation="90"/>
    </xf>
    <xf numFmtId="0" fontId="76" fillId="19" borderId="55" xfId="0" applyFont="1" applyFill="1" applyBorder="1" applyAlignment="1">
      <alignment horizontal="center" vertical="center" textRotation="90"/>
    </xf>
    <xf numFmtId="0" fontId="76" fillId="19" borderId="110" xfId="0" applyFont="1" applyFill="1" applyBorder="1" applyAlignment="1">
      <alignment horizontal="center" vertical="center" textRotation="90"/>
    </xf>
    <xf numFmtId="0" fontId="48" fillId="6" borderId="95" xfId="0" applyFont="1" applyFill="1" applyBorder="1" applyAlignment="1">
      <alignment horizontal="center" textRotation="90" wrapText="1"/>
    </xf>
    <xf numFmtId="0" fontId="48" fillId="6" borderId="117" xfId="0" applyFont="1" applyFill="1" applyBorder="1" applyAlignment="1">
      <alignment horizontal="center" textRotation="90" wrapText="1"/>
    </xf>
    <xf numFmtId="0" fontId="48" fillId="6" borderId="121" xfId="0" applyFont="1" applyFill="1" applyBorder="1" applyAlignment="1">
      <alignment horizontal="center" textRotation="90" wrapText="1"/>
    </xf>
    <xf numFmtId="0" fontId="14" fillId="4" borderId="2" xfId="0" applyFont="1" applyFill="1" applyBorder="1" applyAlignment="1">
      <alignment horizontal="left" vertical="center" wrapText="1"/>
    </xf>
    <xf numFmtId="0" fontId="0" fillId="4" borderId="9" xfId="0" applyFill="1" applyBorder="1" applyAlignment="1">
      <alignment horizontal="center" vertical="center"/>
    </xf>
    <xf numFmtId="0" fontId="0" fillId="4" borderId="3" xfId="0" applyFill="1" applyBorder="1" applyAlignment="1">
      <alignment horizontal="center" vertical="center"/>
    </xf>
    <xf numFmtId="0" fontId="0" fillId="4" borderId="7" xfId="0" applyFill="1" applyBorder="1" applyAlignment="1">
      <alignment horizontal="center" vertical="center"/>
    </xf>
    <xf numFmtId="0" fontId="0" fillId="4" borderId="11" xfId="0" applyFill="1" applyBorder="1" applyAlignment="1">
      <alignment horizontal="center" vertical="center"/>
    </xf>
    <xf numFmtId="0" fontId="0" fillId="4" borderId="0" xfId="0" applyFill="1" applyBorder="1" applyAlignment="1">
      <alignment horizontal="center" vertical="center"/>
    </xf>
    <xf numFmtId="0" fontId="0" fillId="4" borderId="14" xfId="0" applyFill="1" applyBorder="1" applyAlignment="1">
      <alignment horizontal="center" vertical="center"/>
    </xf>
    <xf numFmtId="0" fontId="0" fillId="4" borderId="8" xfId="0" applyFill="1" applyBorder="1" applyAlignment="1">
      <alignment horizontal="center" vertical="center"/>
    </xf>
    <xf numFmtId="0" fontId="0" fillId="4" borderId="10" xfId="0" applyFill="1" applyBorder="1" applyAlignment="1">
      <alignment horizontal="center" vertical="center"/>
    </xf>
    <xf numFmtId="0" fontId="0" fillId="4" borderId="13" xfId="0" applyFill="1" applyBorder="1" applyAlignment="1">
      <alignment horizontal="center" vertical="center"/>
    </xf>
    <xf numFmtId="0" fontId="0" fillId="0" borderId="9"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4" xfId="0" applyBorder="1" applyAlignment="1">
      <alignment horizontal="center"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0" fillId="0" borderId="18" xfId="0" applyBorder="1" applyAlignment="1">
      <alignment horizontal="center" vertical="center" wrapText="1"/>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13" xfId="0" applyBorder="1" applyAlignment="1">
      <alignment horizontal="center" vertical="center" wrapText="1"/>
    </xf>
    <xf numFmtId="0" fontId="75" fillId="0" borderId="9" xfId="0" applyFont="1" applyBorder="1" applyAlignment="1">
      <alignment horizontal="center" vertical="center" textRotation="90" wrapText="1"/>
    </xf>
    <xf numFmtId="0" fontId="75" fillId="0" borderId="3" xfId="0" applyFont="1" applyBorder="1" applyAlignment="1">
      <alignment horizontal="center" vertical="center" textRotation="90" wrapText="1"/>
    </xf>
    <xf numFmtId="0" fontId="75" fillId="0" borderId="7" xfId="0" applyFont="1" applyBorder="1" applyAlignment="1">
      <alignment horizontal="center" vertical="center" textRotation="90" wrapText="1"/>
    </xf>
    <xf numFmtId="0" fontId="75" fillId="0" borderId="11" xfId="0" applyFont="1" applyBorder="1" applyAlignment="1">
      <alignment horizontal="center" vertical="center" textRotation="90" wrapText="1"/>
    </xf>
    <xf numFmtId="0" fontId="75" fillId="0" borderId="0" xfId="0" applyFont="1" applyBorder="1" applyAlignment="1">
      <alignment horizontal="center" vertical="center" textRotation="90" wrapText="1"/>
    </xf>
    <xf numFmtId="0" fontId="75" fillId="0" borderId="14" xfId="0" applyFont="1" applyBorder="1" applyAlignment="1">
      <alignment horizontal="center" vertical="center" textRotation="90" wrapText="1"/>
    </xf>
    <xf numFmtId="0" fontId="75" fillId="0" borderId="8" xfId="0" applyFont="1" applyBorder="1" applyAlignment="1">
      <alignment horizontal="center" vertical="center" textRotation="90" wrapText="1"/>
    </xf>
    <xf numFmtId="0" fontId="75" fillId="0" borderId="10" xfId="0" applyFont="1" applyBorder="1" applyAlignment="1">
      <alignment horizontal="center" vertical="center" textRotation="90" wrapText="1"/>
    </xf>
    <xf numFmtId="0" fontId="75" fillId="0" borderId="13" xfId="0" applyFont="1" applyBorder="1" applyAlignment="1">
      <alignment horizontal="center" vertical="center" textRotation="90" wrapText="1"/>
    </xf>
    <xf numFmtId="0" fontId="75" fillId="5" borderId="9" xfId="0" applyFont="1" applyFill="1" applyBorder="1" applyAlignment="1">
      <alignment horizontal="center" vertical="center" textRotation="90" wrapText="1"/>
    </xf>
    <xf numFmtId="0" fontId="75" fillId="5" borderId="3" xfId="0" applyFont="1" applyFill="1" applyBorder="1" applyAlignment="1">
      <alignment horizontal="center" vertical="center" textRotation="90" wrapText="1"/>
    </xf>
    <xf numFmtId="0" fontId="75" fillId="5" borderId="7" xfId="0" applyFont="1" applyFill="1" applyBorder="1" applyAlignment="1">
      <alignment horizontal="center" vertical="center" textRotation="90" wrapText="1"/>
    </xf>
    <xf numFmtId="0" fontId="75" fillId="5" borderId="11" xfId="0" applyFont="1" applyFill="1" applyBorder="1" applyAlignment="1">
      <alignment horizontal="center" vertical="center" textRotation="90" wrapText="1"/>
    </xf>
    <xf numFmtId="0" fontId="75" fillId="5" borderId="0" xfId="0" applyFont="1" applyFill="1" applyBorder="1" applyAlignment="1">
      <alignment horizontal="center" vertical="center" textRotation="90" wrapText="1"/>
    </xf>
    <xf numFmtId="0" fontId="75" fillId="5" borderId="14" xfId="0" applyFont="1" applyFill="1" applyBorder="1" applyAlignment="1">
      <alignment horizontal="center" vertical="center" textRotation="90" wrapText="1"/>
    </xf>
    <xf numFmtId="0" fontId="75" fillId="5" borderId="8" xfId="0" applyFont="1" applyFill="1" applyBorder="1" applyAlignment="1">
      <alignment horizontal="center" vertical="center" textRotation="90" wrapText="1"/>
    </xf>
    <xf numFmtId="0" fontId="75" fillId="5" borderId="10" xfId="0" applyFont="1" applyFill="1" applyBorder="1" applyAlignment="1">
      <alignment horizontal="center" vertical="center" textRotation="90" wrapText="1"/>
    </xf>
    <xf numFmtId="0" fontId="75" fillId="5" borderId="13" xfId="0" applyFont="1" applyFill="1" applyBorder="1" applyAlignment="1">
      <alignment horizontal="center" vertical="center" textRotation="90" wrapText="1"/>
    </xf>
    <xf numFmtId="0" fontId="15" fillId="0" borderId="0" xfId="0" applyFont="1" applyAlignment="1">
      <alignment horizontal="left"/>
    </xf>
    <xf numFmtId="0" fontId="14" fillId="0" borderId="21" xfId="0" applyFont="1" applyBorder="1" applyAlignment="1">
      <alignment horizontal="left" vertical="center" wrapText="1"/>
    </xf>
    <xf numFmtId="0" fontId="14" fillId="0" borderId="19" xfId="0" applyFont="1" applyBorder="1" applyAlignment="1">
      <alignment horizontal="left" vertical="center" wrapText="1"/>
    </xf>
    <xf numFmtId="0" fontId="14" fillId="0" borderId="16" xfId="0" applyFont="1" applyBorder="1" applyAlignment="1">
      <alignment horizontal="left" vertical="center" wrapText="1"/>
    </xf>
    <xf numFmtId="0" fontId="14" fillId="0" borderId="0" xfId="0" applyFont="1" applyBorder="1" applyAlignment="1">
      <alignment horizontal="left" vertical="center" wrapText="1"/>
    </xf>
    <xf numFmtId="0" fontId="14" fillId="0" borderId="24" xfId="0" applyFont="1" applyBorder="1" applyAlignment="1">
      <alignment horizontal="left" vertical="center" wrapText="1"/>
    </xf>
    <xf numFmtId="0" fontId="14" fillId="0" borderId="20" xfId="0" applyFont="1" applyBorder="1" applyAlignment="1">
      <alignment horizontal="left" vertical="center" wrapText="1"/>
    </xf>
    <xf numFmtId="0" fontId="67" fillId="0" borderId="0" xfId="1" applyFont="1" applyBorder="1" applyAlignment="1" applyProtection="1">
      <alignment horizontal="center" vertical="center" wrapText="1"/>
    </xf>
    <xf numFmtId="0" fontId="0" fillId="0" borderId="3" xfId="0" applyFill="1" applyBorder="1" applyAlignment="1">
      <alignment horizontal="center" vertical="center" wrapText="1"/>
    </xf>
    <xf numFmtId="0" fontId="0" fillId="0" borderId="7"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4" xfId="0" applyFill="1" applyBorder="1" applyAlignment="1">
      <alignment horizontal="center" vertical="center" wrapText="1"/>
    </xf>
    <xf numFmtId="0" fontId="10" fillId="4" borderId="9" xfId="0" applyFont="1" applyFill="1" applyBorder="1" applyAlignment="1">
      <alignment horizontal="center" vertical="center"/>
    </xf>
    <xf numFmtId="0" fontId="10" fillId="4" borderId="3" xfId="0" applyFont="1" applyFill="1" applyBorder="1" applyAlignment="1">
      <alignment horizontal="center" vertical="center"/>
    </xf>
    <xf numFmtId="0" fontId="10" fillId="4" borderId="7"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0" xfId="0" applyFont="1" applyFill="1" applyBorder="1" applyAlignment="1">
      <alignment horizontal="center" vertical="center"/>
    </xf>
    <xf numFmtId="0" fontId="10" fillId="4" borderId="14"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0" xfId="0" applyFont="1" applyFill="1" applyBorder="1" applyAlignment="1">
      <alignment horizontal="center" vertical="center"/>
    </xf>
    <xf numFmtId="0" fontId="10" fillId="4" borderId="13" xfId="0" applyFont="1" applyFill="1" applyBorder="1" applyAlignment="1">
      <alignment horizontal="center" vertical="center"/>
    </xf>
    <xf numFmtId="0" fontId="12" fillId="5" borderId="0" xfId="5" applyFill="1" applyBorder="1" applyAlignment="1">
      <alignment horizontal="left" vertical="center" wrapText="1"/>
    </xf>
    <xf numFmtId="0" fontId="12" fillId="5" borderId="0" xfId="5" applyFill="1" applyBorder="1" applyAlignment="1">
      <alignment horizontal="center" vertical="top" wrapText="1"/>
    </xf>
    <xf numFmtId="0" fontId="0" fillId="5" borderId="0" xfId="0" applyFill="1" applyBorder="1" applyAlignment="1">
      <alignment horizontal="left" vertical="center" wrapText="1"/>
    </xf>
    <xf numFmtId="0" fontId="0" fillId="5" borderId="0" xfId="0" applyFill="1" applyBorder="1" applyAlignment="1">
      <alignment horizontal="left" vertical="center"/>
    </xf>
    <xf numFmtId="0" fontId="12" fillId="5" borderId="0" xfId="5" applyFont="1" applyFill="1" applyBorder="1" applyAlignment="1">
      <alignment horizontal="left" vertical="center" wrapText="1"/>
    </xf>
    <xf numFmtId="0" fontId="12" fillId="5" borderId="0" xfId="5" applyFont="1" applyFill="1" applyBorder="1" applyAlignment="1">
      <alignment horizontal="left" vertical="top" wrapText="1" indent="1"/>
    </xf>
    <xf numFmtId="0" fontId="0" fillId="5" borderId="0" xfId="0" applyFill="1" applyBorder="1" applyAlignment="1">
      <alignment horizontal="left" vertical="center" wrapText="1" indent="1"/>
    </xf>
    <xf numFmtId="0" fontId="0" fillId="5" borderId="0" xfId="0" applyFill="1" applyBorder="1"/>
    <xf numFmtId="0" fontId="0" fillId="5" borderId="2" xfId="0" applyFill="1" applyBorder="1" applyAlignment="1">
      <alignment horizontal="center" vertical="center" wrapText="1"/>
    </xf>
    <xf numFmtId="0" fontId="75" fillId="0" borderId="9" xfId="0" applyFont="1" applyBorder="1" applyAlignment="1">
      <alignment horizontal="center" textRotation="90" wrapText="1"/>
    </xf>
    <xf numFmtId="0" fontId="75" fillId="0" borderId="3" xfId="0" applyFont="1" applyBorder="1" applyAlignment="1">
      <alignment horizontal="center" textRotation="90" wrapText="1"/>
    </xf>
    <xf numFmtId="0" fontId="75" fillId="0" borderId="7" xfId="0" applyFont="1" applyBorder="1" applyAlignment="1">
      <alignment horizontal="center" textRotation="90" wrapText="1"/>
    </xf>
    <xf numFmtId="0" fontId="75" fillId="0" borderId="11" xfId="0" applyFont="1" applyBorder="1" applyAlignment="1">
      <alignment horizontal="center" textRotation="90" wrapText="1"/>
    </xf>
    <xf numFmtId="0" fontId="75" fillId="0" borderId="0" xfId="0" applyFont="1" applyBorder="1" applyAlignment="1">
      <alignment horizontal="center" textRotation="90" wrapText="1"/>
    </xf>
    <xf numFmtId="0" fontId="75" fillId="0" borderId="14" xfId="0" applyFont="1" applyBorder="1" applyAlignment="1">
      <alignment horizontal="center" textRotation="90" wrapText="1"/>
    </xf>
    <xf numFmtId="0" fontId="75" fillId="0" borderId="8" xfId="0" applyFont="1" applyBorder="1" applyAlignment="1">
      <alignment horizontal="center" textRotation="90" wrapText="1"/>
    </xf>
    <xf numFmtId="0" fontId="75" fillId="0" borderId="10" xfId="0" applyFont="1" applyBorder="1" applyAlignment="1">
      <alignment horizontal="center" textRotation="90" wrapText="1"/>
    </xf>
    <xf numFmtId="0" fontId="75" fillId="0" borderId="13" xfId="0" applyFont="1" applyBorder="1" applyAlignment="1">
      <alignment horizontal="center" textRotation="90" wrapText="1"/>
    </xf>
    <xf numFmtId="0" fontId="15" fillId="0" borderId="0" xfId="0" applyFont="1" applyBorder="1" applyAlignment="1">
      <alignment horizontal="left" vertical="top"/>
    </xf>
    <xf numFmtId="0" fontId="15" fillId="0" borderId="10" xfId="0" applyFont="1" applyBorder="1" applyAlignment="1">
      <alignment horizontal="left" vertical="top"/>
    </xf>
    <xf numFmtId="0" fontId="15" fillId="0" borderId="20" xfId="0" applyFont="1" applyBorder="1" applyAlignment="1">
      <alignment horizontal="left" vertical="top"/>
    </xf>
    <xf numFmtId="0" fontId="58" fillId="0" borderId="0" xfId="0" applyFont="1" applyAlignment="1">
      <alignment horizontal="left" wrapText="1"/>
    </xf>
    <xf numFmtId="0" fontId="25" fillId="4" borderId="21" xfId="0" applyFont="1" applyFill="1" applyBorder="1" applyAlignment="1">
      <alignment horizontal="left" vertical="center" wrapText="1"/>
    </xf>
    <xf numFmtId="0" fontId="25" fillId="4" borderId="19" xfId="0" applyFont="1" applyFill="1" applyBorder="1" applyAlignment="1">
      <alignment horizontal="left" vertical="center" wrapText="1"/>
    </xf>
    <xf numFmtId="0" fontId="25" fillId="4" borderId="22" xfId="0" applyFont="1" applyFill="1" applyBorder="1" applyAlignment="1">
      <alignment horizontal="left" vertical="center" wrapText="1"/>
    </xf>
    <xf numFmtId="0" fontId="25" fillId="4" borderId="16" xfId="0" applyFont="1" applyFill="1" applyBorder="1" applyAlignment="1">
      <alignment horizontal="left" vertical="center" wrapText="1"/>
    </xf>
    <xf numFmtId="0" fontId="25" fillId="4" borderId="0" xfId="0" applyFont="1" applyFill="1" applyBorder="1" applyAlignment="1">
      <alignment horizontal="left" vertical="center" wrapText="1"/>
    </xf>
    <xf numFmtId="0" fontId="25" fillId="4" borderId="23" xfId="0" applyFont="1" applyFill="1" applyBorder="1" applyAlignment="1">
      <alignment horizontal="left" vertical="center" wrapText="1"/>
    </xf>
    <xf numFmtId="0" fontId="25" fillId="4" borderId="24" xfId="0" applyFont="1" applyFill="1" applyBorder="1" applyAlignment="1">
      <alignment horizontal="left" vertical="center" wrapText="1"/>
    </xf>
    <xf numFmtId="0" fontId="25" fillId="4" borderId="20" xfId="0" applyFont="1" applyFill="1" applyBorder="1" applyAlignment="1">
      <alignment horizontal="left" vertical="center" wrapText="1"/>
    </xf>
    <xf numFmtId="0" fontId="25" fillId="4" borderId="25" xfId="0" applyFont="1" applyFill="1" applyBorder="1" applyAlignment="1">
      <alignment horizontal="left" vertical="center" wrapText="1"/>
    </xf>
    <xf numFmtId="0" fontId="25" fillId="4" borderId="4" xfId="0" applyFont="1" applyFill="1" applyBorder="1" applyAlignment="1">
      <alignment horizontal="center" vertical="center" wrapText="1"/>
    </xf>
    <xf numFmtId="0" fontId="25" fillId="4" borderId="5" xfId="0" applyFont="1" applyFill="1" applyBorder="1" applyAlignment="1">
      <alignment horizontal="center" vertical="center" wrapText="1"/>
    </xf>
    <xf numFmtId="0" fontId="25" fillId="4" borderId="6" xfId="0" applyFont="1" applyFill="1" applyBorder="1" applyAlignment="1">
      <alignment horizontal="center" vertical="center" wrapText="1"/>
    </xf>
    <xf numFmtId="0" fontId="25" fillId="4" borderId="38" xfId="0" applyFont="1" applyFill="1" applyBorder="1" applyAlignment="1">
      <alignment horizontal="center" vertical="center" wrapText="1"/>
    </xf>
    <xf numFmtId="0" fontId="16" fillId="18" borderId="21" xfId="0" applyFont="1" applyFill="1" applyBorder="1" applyAlignment="1">
      <alignment horizontal="center" vertical="center" textRotation="90" wrapText="1"/>
    </xf>
    <xf numFmtId="0" fontId="16" fillId="18" borderId="19" xfId="0" applyFont="1" applyFill="1" applyBorder="1" applyAlignment="1">
      <alignment horizontal="center" vertical="center" textRotation="90" wrapText="1"/>
    </xf>
    <xf numFmtId="0" fontId="16" fillId="18" borderId="22" xfId="0" applyFont="1" applyFill="1" applyBorder="1" applyAlignment="1">
      <alignment horizontal="center" vertical="center" textRotation="90" wrapText="1"/>
    </xf>
    <xf numFmtId="0" fontId="16" fillId="18" borderId="16" xfId="0" applyFont="1" applyFill="1" applyBorder="1" applyAlignment="1">
      <alignment horizontal="center" vertical="center" textRotation="90" wrapText="1"/>
    </xf>
    <xf numFmtId="0" fontId="16" fillId="18" borderId="0" xfId="0" applyFont="1" applyFill="1" applyBorder="1" applyAlignment="1">
      <alignment horizontal="center" vertical="center" textRotation="90" wrapText="1"/>
    </xf>
    <xf numFmtId="0" fontId="16" fillId="18" borderId="23" xfId="0" applyFont="1" applyFill="1" applyBorder="1" applyAlignment="1">
      <alignment horizontal="center" vertical="center" textRotation="90" wrapText="1"/>
    </xf>
    <xf numFmtId="0" fontId="16" fillId="18" borderId="24" xfId="0" applyFont="1" applyFill="1" applyBorder="1" applyAlignment="1">
      <alignment horizontal="center" vertical="center" textRotation="90" wrapText="1"/>
    </xf>
    <xf numFmtId="0" fontId="16" fillId="18" borderId="20" xfId="0" applyFont="1" applyFill="1" applyBorder="1" applyAlignment="1">
      <alignment horizontal="center" vertical="center" textRotation="90" wrapText="1"/>
    </xf>
    <xf numFmtId="0" fontId="16" fillId="18" borderId="25" xfId="0" applyFont="1" applyFill="1" applyBorder="1" applyAlignment="1">
      <alignment horizontal="center" vertical="center" textRotation="90" wrapText="1"/>
    </xf>
    <xf numFmtId="0" fontId="25" fillId="4" borderId="66" xfId="0" applyFont="1" applyFill="1" applyBorder="1" applyAlignment="1">
      <alignment horizontal="center" vertical="center" wrapText="1"/>
    </xf>
    <xf numFmtId="0" fontId="25" fillId="4" borderId="64" xfId="0" applyFont="1" applyFill="1" applyBorder="1" applyAlignment="1">
      <alignment horizontal="center" vertical="center" wrapText="1"/>
    </xf>
    <xf numFmtId="0" fontId="25" fillId="4" borderId="65" xfId="0" applyFont="1" applyFill="1" applyBorder="1" applyAlignment="1">
      <alignment horizontal="center" vertical="center" wrapText="1"/>
    </xf>
    <xf numFmtId="0" fontId="66" fillId="0" borderId="19" xfId="0" applyFont="1" applyBorder="1" applyAlignment="1">
      <alignment horizontal="left" wrapText="1"/>
    </xf>
    <xf numFmtId="0" fontId="66" fillId="0" borderId="22" xfId="0" applyFont="1" applyBorder="1" applyAlignment="1">
      <alignment horizontal="left" wrapText="1"/>
    </xf>
    <xf numFmtId="0" fontId="66" fillId="0" borderId="0" xfId="0" applyFont="1" applyBorder="1" applyAlignment="1">
      <alignment horizontal="left" wrapText="1"/>
    </xf>
    <xf numFmtId="0" fontId="66" fillId="0" borderId="23" xfId="0" applyFont="1" applyBorder="1" applyAlignment="1">
      <alignment horizontal="left" wrapText="1"/>
    </xf>
    <xf numFmtId="0" fontId="25" fillId="4" borderId="70" xfId="0" applyFont="1" applyFill="1" applyBorder="1" applyAlignment="1">
      <alignment horizontal="center" vertical="center" wrapText="1"/>
    </xf>
    <xf numFmtId="0" fontId="12" fillId="0" borderId="16" xfId="0" applyFont="1" applyBorder="1" applyAlignment="1">
      <alignment horizontal="center" wrapText="1"/>
    </xf>
    <xf numFmtId="0" fontId="12" fillId="0" borderId="0" xfId="0" applyFont="1" applyBorder="1" applyAlignment="1">
      <alignment horizontal="center" wrapText="1"/>
    </xf>
    <xf numFmtId="0" fontId="25" fillId="4" borderId="9" xfId="0" applyFont="1" applyFill="1" applyBorder="1" applyAlignment="1">
      <alignment horizontal="center" vertical="center" wrapText="1"/>
    </xf>
    <xf numFmtId="0" fontId="25" fillId="4" borderId="3" xfId="0" applyFont="1" applyFill="1" applyBorder="1" applyAlignment="1">
      <alignment horizontal="center" vertical="center" wrapText="1"/>
    </xf>
    <xf numFmtId="0" fontId="25" fillId="4" borderId="33" xfId="0" applyFont="1" applyFill="1" applyBorder="1" applyAlignment="1">
      <alignment horizontal="center" vertical="center" wrapText="1"/>
    </xf>
    <xf numFmtId="0" fontId="25" fillId="4" borderId="11" xfId="0" applyFont="1" applyFill="1" applyBorder="1" applyAlignment="1">
      <alignment horizontal="center" vertical="center" wrapText="1"/>
    </xf>
    <xf numFmtId="0" fontId="25" fillId="4" borderId="0" xfId="0" applyFont="1" applyFill="1" applyBorder="1" applyAlignment="1">
      <alignment horizontal="center" vertical="center" wrapText="1"/>
    </xf>
    <xf numFmtId="0" fontId="25" fillId="4" borderId="23" xfId="0" applyFont="1" applyFill="1" applyBorder="1" applyAlignment="1">
      <alignment horizontal="center" vertical="center" wrapText="1"/>
    </xf>
    <xf numFmtId="0" fontId="25" fillId="4" borderId="8" xfId="0" applyFont="1" applyFill="1" applyBorder="1" applyAlignment="1">
      <alignment horizontal="center" vertical="center" wrapText="1"/>
    </xf>
    <xf numFmtId="0" fontId="25" fillId="4" borderId="10" xfId="0" applyFont="1" applyFill="1" applyBorder="1" applyAlignment="1">
      <alignment horizontal="center" vertical="center" wrapText="1"/>
    </xf>
    <xf numFmtId="0" fontId="25" fillId="4" borderId="34" xfId="0" applyFont="1" applyFill="1" applyBorder="1" applyAlignment="1">
      <alignment horizontal="center" vertical="center" wrapText="1"/>
    </xf>
    <xf numFmtId="0" fontId="25" fillId="4" borderId="7" xfId="0" applyFont="1" applyFill="1" applyBorder="1" applyAlignment="1">
      <alignment horizontal="center" vertical="center" wrapText="1"/>
    </xf>
    <xf numFmtId="0" fontId="25" fillId="4" borderId="14" xfId="0" applyFont="1" applyFill="1" applyBorder="1" applyAlignment="1">
      <alignment horizontal="center" vertical="center" wrapText="1"/>
    </xf>
    <xf numFmtId="0" fontId="25" fillId="4" borderId="13" xfId="0" applyFont="1" applyFill="1" applyBorder="1" applyAlignment="1">
      <alignment horizontal="center" vertical="center" wrapText="1"/>
    </xf>
    <xf numFmtId="0" fontId="12" fillId="0" borderId="11" xfId="0" applyFont="1" applyBorder="1" applyAlignment="1">
      <alignment horizontal="center" wrapText="1"/>
    </xf>
    <xf numFmtId="0" fontId="12" fillId="0" borderId="14" xfId="0" applyFont="1" applyBorder="1" applyAlignment="1">
      <alignment horizontal="center" wrapText="1"/>
    </xf>
    <xf numFmtId="0" fontId="25" fillId="4" borderId="35" xfId="0" applyFont="1" applyFill="1" applyBorder="1" applyAlignment="1">
      <alignment horizontal="center" vertical="center" wrapText="1"/>
    </xf>
    <xf numFmtId="0" fontId="25" fillId="4" borderId="20" xfId="0" applyFont="1" applyFill="1" applyBorder="1" applyAlignment="1">
      <alignment horizontal="center" vertical="center" wrapText="1"/>
    </xf>
    <xf numFmtId="0" fontId="25" fillId="4" borderId="29" xfId="0" applyFont="1" applyFill="1" applyBorder="1" applyAlignment="1">
      <alignment horizontal="center" vertical="center" wrapText="1"/>
    </xf>
    <xf numFmtId="0" fontId="25" fillId="4" borderId="25" xfId="0" applyFont="1" applyFill="1" applyBorder="1" applyAlignment="1">
      <alignment horizontal="center" vertical="center" wrapText="1"/>
    </xf>
    <xf numFmtId="0" fontId="32" fillId="5" borderId="0" xfId="0" applyFont="1" applyFill="1" applyBorder="1" applyAlignment="1">
      <alignment horizontal="left" wrapText="1"/>
    </xf>
    <xf numFmtId="0" fontId="16" fillId="20" borderId="21" xfId="0" applyFont="1" applyFill="1" applyBorder="1" applyAlignment="1">
      <alignment horizontal="center" vertical="center" textRotation="90" wrapText="1"/>
    </xf>
    <xf numFmtId="0" fontId="16" fillId="20" borderId="19" xfId="0" applyFont="1" applyFill="1" applyBorder="1" applyAlignment="1">
      <alignment horizontal="center" vertical="center" textRotation="90" wrapText="1"/>
    </xf>
    <xf numFmtId="0" fontId="16" fillId="20" borderId="22" xfId="0" applyFont="1" applyFill="1" applyBorder="1" applyAlignment="1">
      <alignment horizontal="center" vertical="center" textRotation="90" wrapText="1"/>
    </xf>
    <xf numFmtId="0" fontId="16" fillId="20" borderId="16" xfId="0" applyFont="1" applyFill="1" applyBorder="1" applyAlignment="1">
      <alignment horizontal="center" vertical="center" textRotation="90" wrapText="1"/>
    </xf>
    <xf numFmtId="0" fontId="16" fillId="20" borderId="0" xfId="0" applyFont="1" applyFill="1" applyBorder="1" applyAlignment="1">
      <alignment horizontal="center" vertical="center" textRotation="90" wrapText="1"/>
    </xf>
    <xf numFmtId="0" fontId="16" fillId="20" borderId="23" xfId="0" applyFont="1" applyFill="1" applyBorder="1" applyAlignment="1">
      <alignment horizontal="center" vertical="center" textRotation="90" wrapText="1"/>
    </xf>
    <xf numFmtId="0" fontId="16" fillId="20" borderId="24" xfId="0" applyFont="1" applyFill="1" applyBorder="1" applyAlignment="1">
      <alignment horizontal="center" vertical="center" textRotation="90" wrapText="1"/>
    </xf>
    <xf numFmtId="0" fontId="16" fillId="20" borderId="20" xfId="0" applyFont="1" applyFill="1" applyBorder="1" applyAlignment="1">
      <alignment horizontal="center" vertical="center" textRotation="90" wrapText="1"/>
    </xf>
    <xf numFmtId="0" fontId="16" fillId="20" borderId="25" xfId="0" applyFont="1" applyFill="1" applyBorder="1" applyAlignment="1">
      <alignment horizontal="center" vertical="center" textRotation="90" wrapText="1"/>
    </xf>
    <xf numFmtId="0" fontId="16" fillId="19" borderId="21" xfId="0" applyFont="1" applyFill="1" applyBorder="1" applyAlignment="1">
      <alignment horizontal="center" vertical="center" textRotation="90" wrapText="1"/>
    </xf>
    <xf numFmtId="0" fontId="16" fillId="19" borderId="19" xfId="0" applyFont="1" applyFill="1" applyBorder="1" applyAlignment="1">
      <alignment horizontal="center" vertical="center" textRotation="90" wrapText="1"/>
    </xf>
    <xf numFmtId="0" fontId="16" fillId="19" borderId="22" xfId="0" applyFont="1" applyFill="1" applyBorder="1" applyAlignment="1">
      <alignment horizontal="center" vertical="center" textRotation="90" wrapText="1"/>
    </xf>
    <xf numFmtId="0" fontId="16" fillId="19" borderId="16" xfId="0" applyFont="1" applyFill="1" applyBorder="1" applyAlignment="1">
      <alignment horizontal="center" vertical="center" textRotation="90" wrapText="1"/>
    </xf>
    <xf numFmtId="0" fontId="16" fillId="19" borderId="0" xfId="0" applyFont="1" applyFill="1" applyBorder="1" applyAlignment="1">
      <alignment horizontal="center" vertical="center" textRotation="90" wrapText="1"/>
    </xf>
    <xf numFmtId="0" fontId="16" fillId="19" borderId="23" xfId="0" applyFont="1" applyFill="1" applyBorder="1" applyAlignment="1">
      <alignment horizontal="center" vertical="center" textRotation="90" wrapText="1"/>
    </xf>
    <xf numFmtId="0" fontId="16" fillId="19" borderId="24" xfId="0" applyFont="1" applyFill="1" applyBorder="1" applyAlignment="1">
      <alignment horizontal="center" vertical="center" textRotation="90" wrapText="1"/>
    </xf>
    <xf numFmtId="0" fontId="16" fillId="19" borderId="20" xfId="0" applyFont="1" applyFill="1" applyBorder="1" applyAlignment="1">
      <alignment horizontal="center" vertical="center" textRotation="90" wrapText="1"/>
    </xf>
    <xf numFmtId="0" fontId="16" fillId="19" borderId="25" xfId="0" applyFont="1" applyFill="1" applyBorder="1" applyAlignment="1">
      <alignment horizontal="center" vertical="center" textRotation="90" wrapText="1"/>
    </xf>
    <xf numFmtId="0" fontId="10" fillId="7" borderId="8" xfId="0" applyFont="1" applyFill="1" applyBorder="1" applyAlignment="1">
      <alignment horizontal="left" vertical="center" wrapText="1"/>
    </xf>
    <xf numFmtId="0" fontId="10" fillId="7" borderId="10" xfId="0" applyFont="1" applyFill="1" applyBorder="1" applyAlignment="1">
      <alignment horizontal="left" vertical="center" wrapText="1"/>
    </xf>
    <xf numFmtId="0" fontId="10" fillId="7" borderId="13" xfId="0" applyFont="1" applyFill="1" applyBorder="1" applyAlignment="1">
      <alignment horizontal="left" vertical="center" wrapText="1"/>
    </xf>
    <xf numFmtId="0" fontId="18" fillId="7" borderId="19" xfId="0" applyFont="1" applyFill="1" applyBorder="1" applyAlignment="1">
      <alignment horizontal="center" vertical="center"/>
    </xf>
    <xf numFmtId="0" fontId="18" fillId="7" borderId="22" xfId="0" applyFont="1" applyFill="1" applyBorder="1" applyAlignment="1">
      <alignment horizontal="center" vertical="center"/>
    </xf>
    <xf numFmtId="0" fontId="18" fillId="7" borderId="10" xfId="0" applyFont="1" applyFill="1" applyBorder="1" applyAlignment="1">
      <alignment horizontal="center" vertical="center"/>
    </xf>
    <xf numFmtId="0" fontId="18" fillId="7" borderId="34" xfId="0" applyFont="1" applyFill="1" applyBorder="1" applyAlignment="1">
      <alignment horizontal="center" vertical="center"/>
    </xf>
    <xf numFmtId="0" fontId="18" fillId="7" borderId="81" xfId="0" applyFont="1" applyFill="1" applyBorder="1" applyAlignment="1">
      <alignment horizontal="center" vertical="center"/>
    </xf>
    <xf numFmtId="0" fontId="18" fillId="7" borderId="74" xfId="0" applyFont="1" applyFill="1" applyBorder="1" applyAlignment="1">
      <alignment horizontal="center" vertical="center"/>
    </xf>
    <xf numFmtId="0" fontId="18" fillId="7" borderId="21" xfId="0" applyFont="1" applyFill="1" applyBorder="1" applyAlignment="1">
      <alignment horizontal="center" vertical="center"/>
    </xf>
    <xf numFmtId="0" fontId="18" fillId="7" borderId="30" xfId="0" applyFont="1" applyFill="1" applyBorder="1" applyAlignment="1">
      <alignment horizontal="center" vertical="center"/>
    </xf>
    <xf numFmtId="0" fontId="18" fillId="7" borderId="3" xfId="0" applyFont="1" applyFill="1" applyBorder="1" applyAlignment="1">
      <alignment horizontal="center" vertical="center"/>
    </xf>
    <xf numFmtId="0" fontId="18" fillId="7" borderId="33" xfId="0" applyFont="1" applyFill="1" applyBorder="1" applyAlignment="1">
      <alignment horizontal="center" vertical="center"/>
    </xf>
    <xf numFmtId="0" fontId="18" fillId="7" borderId="82" xfId="0" applyFont="1" applyFill="1" applyBorder="1" applyAlignment="1">
      <alignment horizontal="center" vertical="center"/>
    </xf>
    <xf numFmtId="0" fontId="18" fillId="7" borderId="28" xfId="0" applyFont="1" applyFill="1" applyBorder="1" applyAlignment="1">
      <alignment horizontal="center" vertical="center"/>
    </xf>
    <xf numFmtId="0" fontId="18" fillId="7" borderId="79"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8" fillId="7" borderId="80" xfId="0" applyFont="1" applyFill="1" applyBorder="1" applyAlignment="1">
      <alignment horizontal="center" vertical="center" wrapText="1"/>
    </xf>
    <xf numFmtId="0" fontId="18" fillId="7" borderId="77"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8" xfId="0" applyFont="1" applyFill="1" applyBorder="1" applyAlignment="1">
      <alignment horizontal="center" vertical="center" wrapText="1"/>
    </xf>
    <xf numFmtId="0" fontId="18" fillId="7" borderId="28" xfId="0" applyFont="1" applyFill="1" applyBorder="1" applyAlignment="1">
      <alignment horizontal="center" vertical="center" wrapText="1"/>
    </xf>
    <xf numFmtId="0" fontId="18" fillId="7" borderId="30" xfId="0" applyFont="1" applyFill="1" applyBorder="1" applyAlignment="1">
      <alignment horizontal="center" vertical="center" wrapText="1"/>
    </xf>
    <xf numFmtId="0" fontId="18" fillId="7" borderId="33" xfId="0" applyFont="1" applyFill="1" applyBorder="1" applyAlignment="1">
      <alignment horizontal="center" vertical="center" wrapText="1"/>
    </xf>
    <xf numFmtId="0" fontId="18" fillId="7" borderId="34" xfId="0" applyFont="1" applyFill="1" applyBorder="1" applyAlignment="1">
      <alignment horizontal="center" vertical="center" wrapText="1"/>
    </xf>
    <xf numFmtId="0" fontId="18" fillId="5" borderId="18" xfId="0" applyFont="1" applyFill="1" applyBorder="1" applyAlignment="1">
      <alignment horizontal="center" vertical="center"/>
    </xf>
    <xf numFmtId="0" fontId="18" fillId="5" borderId="53" xfId="0" applyFont="1" applyFill="1" applyBorder="1" applyAlignment="1">
      <alignment horizontal="center" vertical="center"/>
    </xf>
    <xf numFmtId="0" fontId="18" fillId="5" borderId="12" xfId="0" applyFont="1" applyFill="1" applyBorder="1" applyAlignment="1">
      <alignment horizontal="center" vertical="center"/>
    </xf>
    <xf numFmtId="0" fontId="18" fillId="5" borderId="55" xfId="0" applyFont="1" applyFill="1" applyBorder="1" applyAlignment="1">
      <alignment horizontal="center" vertical="center"/>
    </xf>
    <xf numFmtId="0" fontId="18" fillId="5" borderId="52" xfId="0" applyFont="1" applyFill="1" applyBorder="1" applyAlignment="1">
      <alignment horizontal="center" vertical="center"/>
    </xf>
    <xf numFmtId="0" fontId="18" fillId="5" borderId="54" xfId="0" applyFont="1" applyFill="1" applyBorder="1" applyAlignment="1">
      <alignment horizontal="center" vertical="center"/>
    </xf>
    <xf numFmtId="0" fontId="18" fillId="5" borderId="59" xfId="0" applyFont="1" applyFill="1" applyBorder="1" applyAlignment="1">
      <alignment horizontal="center" vertical="center"/>
    </xf>
    <xf numFmtId="0" fontId="18" fillId="5" borderId="56" xfId="0" applyFont="1" applyFill="1" applyBorder="1" applyAlignment="1">
      <alignment horizontal="center" vertical="center"/>
    </xf>
    <xf numFmtId="0" fontId="18" fillId="5" borderId="51" xfId="0" applyFont="1" applyFill="1" applyBorder="1" applyAlignment="1">
      <alignment horizontal="center" vertical="center"/>
    </xf>
    <xf numFmtId="0" fontId="18" fillId="5" borderId="17" xfId="0" applyFont="1" applyFill="1" applyBorder="1" applyAlignment="1">
      <alignment horizontal="center" vertical="center"/>
    </xf>
    <xf numFmtId="0" fontId="18" fillId="5" borderId="62" xfId="0" applyFont="1" applyFill="1" applyBorder="1" applyAlignment="1">
      <alignment horizontal="center" vertical="center"/>
    </xf>
    <xf numFmtId="0" fontId="18" fillId="7" borderId="79" xfId="0" applyFont="1" applyFill="1" applyBorder="1" applyAlignment="1">
      <alignment horizontal="center" vertical="center"/>
    </xf>
    <xf numFmtId="0" fontId="18" fillId="7" borderId="80" xfId="0" applyFont="1" applyFill="1" applyBorder="1" applyAlignment="1">
      <alignment horizontal="center" vertical="center"/>
    </xf>
    <xf numFmtId="0" fontId="18" fillId="7" borderId="77" xfId="0" applyFont="1" applyFill="1" applyBorder="1" applyAlignment="1">
      <alignment horizontal="center" vertical="center"/>
    </xf>
    <xf numFmtId="0" fontId="18" fillId="7" borderId="78" xfId="0" applyFont="1" applyFill="1" applyBorder="1" applyAlignment="1">
      <alignment horizontal="center" vertical="center"/>
    </xf>
    <xf numFmtId="0" fontId="18" fillId="5" borderId="39" xfId="0" applyFont="1" applyFill="1" applyBorder="1" applyAlignment="1">
      <alignment horizontal="center" vertical="center"/>
    </xf>
    <xf numFmtId="0" fontId="10" fillId="5" borderId="21" xfId="0" applyNumberFormat="1" applyFont="1" applyFill="1" applyBorder="1" applyAlignment="1">
      <alignment horizontal="center" vertical="center" wrapText="1"/>
    </xf>
    <xf numFmtId="0" fontId="10" fillId="5" borderId="19" xfId="0" applyNumberFormat="1" applyFont="1" applyFill="1" applyBorder="1" applyAlignment="1">
      <alignment horizontal="center" vertical="center" wrapText="1"/>
    </xf>
    <xf numFmtId="0" fontId="10" fillId="5" borderId="22" xfId="0" applyNumberFormat="1" applyFont="1" applyFill="1" applyBorder="1" applyAlignment="1">
      <alignment horizontal="center" vertical="center" wrapText="1"/>
    </xf>
    <xf numFmtId="0" fontId="10" fillId="5" borderId="30" xfId="0" applyNumberFormat="1" applyFont="1" applyFill="1" applyBorder="1" applyAlignment="1">
      <alignment horizontal="center" vertical="center" wrapText="1"/>
    </xf>
    <xf numFmtId="0" fontId="10" fillId="5" borderId="10" xfId="0" applyNumberFormat="1" applyFont="1" applyFill="1" applyBorder="1" applyAlignment="1">
      <alignment horizontal="center" vertical="center" wrapText="1"/>
    </xf>
    <xf numFmtId="0" fontId="10" fillId="5" borderId="34" xfId="0" applyNumberFormat="1" applyFont="1" applyFill="1" applyBorder="1" applyAlignment="1">
      <alignment horizontal="center" vertical="center" wrapText="1"/>
    </xf>
    <xf numFmtId="0" fontId="10" fillId="5" borderId="9" xfId="0" applyFont="1" applyFill="1" applyBorder="1" applyAlignment="1">
      <alignment horizontal="center" textRotation="90"/>
    </xf>
    <xf numFmtId="0" fontId="10" fillId="5" borderId="33" xfId="0" applyFont="1" applyFill="1" applyBorder="1" applyAlignment="1">
      <alignment horizontal="center" textRotation="90"/>
    </xf>
    <xf numFmtId="0" fontId="10" fillId="5" borderId="11" xfId="0" applyFont="1" applyFill="1" applyBorder="1" applyAlignment="1">
      <alignment horizontal="center" textRotation="90"/>
    </xf>
    <xf numFmtId="0" fontId="10" fillId="5" borderId="23" xfId="0" applyFont="1" applyFill="1" applyBorder="1" applyAlignment="1">
      <alignment horizontal="center" textRotation="90"/>
    </xf>
    <xf numFmtId="0" fontId="10" fillId="5" borderId="28" xfId="0" applyFont="1" applyFill="1" applyBorder="1" applyAlignment="1">
      <alignment horizontal="center" textRotation="90"/>
    </xf>
    <xf numFmtId="0" fontId="10" fillId="5" borderId="7" xfId="0" applyFont="1" applyFill="1" applyBorder="1" applyAlignment="1">
      <alignment horizontal="center" textRotation="90"/>
    </xf>
    <xf numFmtId="0" fontId="10" fillId="5" borderId="16" xfId="0" applyFont="1" applyFill="1" applyBorder="1" applyAlignment="1">
      <alignment horizontal="center" textRotation="90"/>
    </xf>
    <xf numFmtId="0" fontId="10" fillId="5" borderId="14" xfId="0" applyFont="1" applyFill="1" applyBorder="1" applyAlignment="1">
      <alignment horizontal="center" textRotation="90"/>
    </xf>
    <xf numFmtId="0" fontId="10" fillId="4" borderId="2"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14" fillId="5" borderId="32" xfId="0" applyFont="1" applyFill="1" applyBorder="1" applyAlignment="1">
      <alignment horizontal="center" vertical="center" wrapText="1"/>
    </xf>
    <xf numFmtId="0" fontId="14" fillId="5" borderId="31"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5" borderId="14" xfId="0" applyFont="1" applyFill="1" applyBorder="1" applyAlignment="1">
      <alignment horizontal="center" vertical="center" wrapText="1"/>
    </xf>
    <xf numFmtId="0" fontId="14" fillId="5" borderId="35" xfId="0" applyFont="1" applyFill="1" applyBorder="1" applyAlignment="1">
      <alignment horizontal="center" vertical="center" wrapText="1"/>
    </xf>
    <xf numFmtId="0" fontId="14" fillId="5" borderId="29"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25" xfId="0" applyFont="1" applyFill="1" applyBorder="1" applyAlignment="1">
      <alignment horizontal="center" vertical="center" wrapText="1"/>
    </xf>
    <xf numFmtId="0" fontId="14" fillId="5" borderId="21" xfId="0" applyFont="1" applyFill="1" applyBorder="1" applyAlignment="1">
      <alignment horizontal="center" vertical="center" wrapText="1"/>
    </xf>
    <xf numFmtId="0" fontId="14" fillId="5" borderId="16" xfId="0" applyFont="1" applyFill="1" applyBorder="1" applyAlignment="1">
      <alignment horizontal="center" vertical="center" wrapText="1"/>
    </xf>
    <xf numFmtId="0" fontId="14" fillId="5" borderId="24" xfId="0" applyFont="1" applyFill="1" applyBorder="1" applyAlignment="1">
      <alignment horizontal="center" vertical="center" wrapText="1"/>
    </xf>
    <xf numFmtId="0" fontId="10" fillId="5" borderId="28" xfId="0" applyFont="1" applyFill="1" applyBorder="1" applyAlignment="1">
      <alignment horizontal="center" textRotation="90" wrapText="1"/>
    </xf>
    <xf numFmtId="0" fontId="10" fillId="4" borderId="40" xfId="0" applyFont="1" applyFill="1" applyBorder="1" applyAlignment="1">
      <alignment horizontal="left" vertical="center" wrapText="1"/>
    </xf>
    <xf numFmtId="0" fontId="10" fillId="4" borderId="66" xfId="0" applyFont="1" applyFill="1" applyBorder="1" applyAlignment="1">
      <alignment horizontal="left" vertical="center" wrapText="1"/>
    </xf>
    <xf numFmtId="0" fontId="41" fillId="6" borderId="21" xfId="0" applyFont="1" applyFill="1" applyBorder="1" applyAlignment="1">
      <alignment horizontal="right" vertical="center"/>
    </xf>
    <xf numFmtId="0" fontId="41" fillId="6" borderId="19" xfId="0" applyFont="1" applyFill="1" applyBorder="1" applyAlignment="1">
      <alignment horizontal="right" vertical="center"/>
    </xf>
    <xf numFmtId="0" fontId="41" fillId="6" borderId="22" xfId="0" applyFont="1" applyFill="1" applyBorder="1" applyAlignment="1">
      <alignment horizontal="right" vertical="center"/>
    </xf>
    <xf numFmtId="0" fontId="41" fillId="6" borderId="16" xfId="0" applyFont="1" applyFill="1" applyBorder="1" applyAlignment="1">
      <alignment horizontal="right" vertical="center"/>
    </xf>
    <xf numFmtId="0" fontId="41" fillId="6" borderId="0" xfId="0" applyFont="1" applyFill="1" applyBorder="1" applyAlignment="1">
      <alignment horizontal="right" vertical="center"/>
    </xf>
    <xf numFmtId="0" fontId="41" fillId="6" borderId="23" xfId="0" applyFont="1" applyFill="1" applyBorder="1" applyAlignment="1">
      <alignment horizontal="right" vertical="center"/>
    </xf>
    <xf numFmtId="0" fontId="41" fillId="6" borderId="30" xfId="0" applyFont="1" applyFill="1" applyBorder="1" applyAlignment="1">
      <alignment horizontal="right" vertical="center"/>
    </xf>
    <xf numFmtId="0" fontId="41" fillId="6" borderId="10" xfId="0" applyFont="1" applyFill="1" applyBorder="1" applyAlignment="1">
      <alignment horizontal="right" vertical="center"/>
    </xf>
    <xf numFmtId="0" fontId="20" fillId="5" borderId="16" xfId="0" applyFont="1" applyFill="1" applyBorder="1" applyAlignment="1">
      <alignment horizontal="center" vertical="center" textRotation="90" wrapText="1"/>
    </xf>
    <xf numFmtId="0" fontId="20" fillId="5" borderId="0" xfId="0" applyFont="1" applyFill="1" applyBorder="1" applyAlignment="1">
      <alignment horizontal="center" vertical="center" textRotation="90" wrapText="1"/>
    </xf>
    <xf numFmtId="0" fontId="20" fillId="5" borderId="14" xfId="0" applyFont="1" applyFill="1" applyBorder="1" applyAlignment="1">
      <alignment horizontal="center" vertical="center" textRotation="90" wrapText="1"/>
    </xf>
    <xf numFmtId="0" fontId="20" fillId="5" borderId="30" xfId="0" applyFont="1" applyFill="1" applyBorder="1" applyAlignment="1">
      <alignment horizontal="center" vertical="center" textRotation="90" wrapText="1"/>
    </xf>
    <xf numFmtId="0" fontId="20" fillId="5" borderId="10" xfId="0" applyFont="1" applyFill="1" applyBorder="1" applyAlignment="1">
      <alignment horizontal="center" vertical="center" textRotation="90" wrapText="1"/>
    </xf>
    <xf numFmtId="0" fontId="20" fillId="5" borderId="13" xfId="0" applyFont="1" applyFill="1" applyBorder="1" applyAlignment="1">
      <alignment horizontal="center" vertical="center" textRotation="90" wrapText="1"/>
    </xf>
    <xf numFmtId="0" fontId="20" fillId="5" borderId="28" xfId="0" applyFont="1" applyFill="1" applyBorder="1" applyAlignment="1">
      <alignment horizontal="center" vertical="center" textRotation="90" wrapText="1"/>
    </xf>
    <xf numFmtId="0" fontId="20" fillId="5" borderId="3" xfId="0" applyFont="1" applyFill="1" applyBorder="1" applyAlignment="1">
      <alignment horizontal="center" vertical="center" textRotation="90" wrapText="1"/>
    </xf>
    <xf numFmtId="0" fontId="20" fillId="5" borderId="7" xfId="0" applyFont="1" applyFill="1" applyBorder="1" applyAlignment="1">
      <alignment horizontal="center" vertical="center" textRotation="90" wrapText="1"/>
    </xf>
    <xf numFmtId="0" fontId="20" fillId="5" borderId="24" xfId="0" applyFont="1" applyFill="1" applyBorder="1" applyAlignment="1">
      <alignment horizontal="center" vertical="center" textRotation="90" wrapText="1"/>
    </xf>
    <xf numFmtId="0" fontId="20" fillId="5" borderId="20" xfId="0" applyFont="1" applyFill="1" applyBorder="1" applyAlignment="1">
      <alignment horizontal="center" vertical="center" textRotation="90" wrapText="1"/>
    </xf>
    <xf numFmtId="0" fontId="20" fillId="5" borderId="29" xfId="0" applyFont="1" applyFill="1" applyBorder="1" applyAlignment="1">
      <alignment horizontal="center" vertical="center" textRotation="90" wrapText="1"/>
    </xf>
    <xf numFmtId="0" fontId="75" fillId="5" borderId="9" xfId="0" applyFont="1" applyFill="1" applyBorder="1" applyAlignment="1">
      <alignment horizontal="left" vertical="center"/>
    </xf>
    <xf numFmtId="0" fontId="75" fillId="5" borderId="3" xfId="0" applyFont="1" applyFill="1" applyBorder="1" applyAlignment="1">
      <alignment horizontal="left" vertical="center"/>
    </xf>
    <xf numFmtId="0" fontId="75" fillId="5" borderId="7" xfId="0" applyFont="1" applyFill="1" applyBorder="1" applyAlignment="1">
      <alignment horizontal="left" vertical="center"/>
    </xf>
    <xf numFmtId="0" fontId="75" fillId="5" borderId="4" xfId="0" applyFont="1" applyFill="1" applyBorder="1" applyAlignment="1">
      <alignment horizontal="left" vertical="center"/>
    </xf>
    <xf numFmtId="0" fontId="75" fillId="5" borderId="5" xfId="0" applyFont="1" applyFill="1" applyBorder="1" applyAlignment="1">
      <alignment horizontal="left" vertical="center"/>
    </xf>
    <xf numFmtId="0" fontId="75" fillId="5" borderId="6" xfId="0" applyFont="1" applyFill="1" applyBorder="1" applyAlignment="1">
      <alignment horizontal="left" vertical="center"/>
    </xf>
    <xf numFmtId="0" fontId="14" fillId="5" borderId="0" xfId="0" applyFont="1" applyFill="1" applyBorder="1" applyAlignment="1">
      <alignment horizontal="left" vertical="top"/>
    </xf>
    <xf numFmtId="0" fontId="14" fillId="5" borderId="10" xfId="0" applyFont="1" applyFill="1" applyBorder="1" applyAlignment="1">
      <alignment horizontal="left" vertical="top"/>
    </xf>
    <xf numFmtId="0" fontId="10" fillId="5" borderId="2" xfId="0" applyFont="1" applyFill="1" applyBorder="1" applyAlignment="1">
      <alignment horizontal="center" vertical="center"/>
    </xf>
    <xf numFmtId="0" fontId="64" fillId="16" borderId="2" xfId="0" applyFont="1" applyFill="1" applyBorder="1" applyAlignment="1">
      <alignment horizontal="center" vertical="center"/>
    </xf>
    <xf numFmtId="0" fontId="70" fillId="15" borderId="2" xfId="0" applyFont="1" applyFill="1" applyBorder="1" applyAlignment="1">
      <alignment horizontal="center" vertical="center"/>
    </xf>
    <xf numFmtId="0" fontId="71" fillId="17" borderId="2" xfId="0" applyFont="1" applyFill="1" applyBorder="1" applyAlignment="1">
      <alignment horizontal="center" vertical="center"/>
    </xf>
    <xf numFmtId="0" fontId="32" fillId="5" borderId="0" xfId="0" applyFont="1" applyFill="1" applyAlignment="1">
      <alignment horizontal="left"/>
    </xf>
    <xf numFmtId="0" fontId="7" fillId="5" borderId="0" xfId="9" applyFill="1" applyAlignment="1" applyProtection="1">
      <alignment horizontal="left"/>
    </xf>
    <xf numFmtId="0" fontId="7" fillId="5" borderId="14" xfId="9" applyFill="1" applyBorder="1" applyAlignment="1" applyProtection="1">
      <alignment horizontal="left"/>
    </xf>
    <xf numFmtId="0" fontId="7" fillId="5" borderId="0" xfId="9" applyFill="1" applyBorder="1" applyAlignment="1" applyProtection="1">
      <alignment horizontal="center" vertical="center"/>
    </xf>
    <xf numFmtId="0" fontId="36" fillId="5" borderId="0" xfId="9" applyFont="1" applyFill="1" applyBorder="1" applyAlignment="1" applyProtection="1">
      <alignment horizontal="center"/>
    </xf>
    <xf numFmtId="0" fontId="36" fillId="5" borderId="11" xfId="9" applyFont="1" applyFill="1" applyBorder="1" applyAlignment="1" applyProtection="1">
      <alignment horizontal="center"/>
    </xf>
    <xf numFmtId="0" fontId="36" fillId="5" borderId="0" xfId="9" applyFont="1" applyFill="1" applyAlignment="1" applyProtection="1">
      <alignment horizontal="center"/>
    </xf>
    <xf numFmtId="0" fontId="59" fillId="5" borderId="0" xfId="9" applyFont="1" applyFill="1" applyAlignment="1" applyProtection="1">
      <alignment horizontal="left"/>
    </xf>
    <xf numFmtId="0" fontId="0" fillId="0" borderId="21" xfId="0" applyBorder="1" applyAlignment="1">
      <alignment horizontal="center"/>
    </xf>
    <xf numFmtId="0" fontId="0" fillId="0" borderId="19" xfId="0" applyBorder="1" applyAlignment="1">
      <alignment horizontal="center"/>
    </xf>
    <xf numFmtId="0" fontId="0" fillId="0" borderId="22" xfId="0" applyBorder="1" applyAlignment="1">
      <alignment horizontal="center"/>
    </xf>
    <xf numFmtId="0" fontId="15" fillId="6" borderId="24" xfId="0" applyFont="1" applyFill="1" applyBorder="1" applyAlignment="1">
      <alignment horizontal="center" vertical="center"/>
    </xf>
    <xf numFmtId="0" fontId="15" fillId="6" borderId="20" xfId="0" applyFont="1" applyFill="1" applyBorder="1" applyAlignment="1">
      <alignment horizontal="center" vertical="center"/>
    </xf>
    <xf numFmtId="0" fontId="15" fillId="6" borderId="25" xfId="0" applyFont="1" applyFill="1" applyBorder="1" applyAlignment="1">
      <alignment horizontal="center" vertical="center"/>
    </xf>
    <xf numFmtId="0" fontId="51" fillId="9" borderId="43" xfId="0" applyFont="1" applyFill="1" applyBorder="1" applyAlignment="1">
      <alignment horizontal="center" vertical="top" wrapText="1"/>
    </xf>
    <xf numFmtId="0" fontId="51" fillId="9" borderId="44" xfId="0" applyFont="1" applyFill="1" applyBorder="1" applyAlignment="1">
      <alignment horizontal="center" vertical="top" wrapText="1"/>
    </xf>
    <xf numFmtId="0" fontId="51" fillId="9" borderId="43" xfId="0" applyFont="1" applyFill="1" applyBorder="1" applyAlignment="1">
      <alignment horizontal="center" vertical="top"/>
    </xf>
    <xf numFmtId="0" fontId="51" fillId="9" borderId="44" xfId="0" applyFont="1" applyFill="1" applyBorder="1" applyAlignment="1">
      <alignment horizontal="center" vertical="top"/>
    </xf>
    <xf numFmtId="0" fontId="0" fillId="5" borderId="0" xfId="0" applyFill="1" applyAlignment="1">
      <alignment horizontal="center" vertical="top" wrapText="1"/>
    </xf>
    <xf numFmtId="0" fontId="0" fillId="5" borderId="0" xfId="0" applyFill="1" applyAlignment="1">
      <alignment horizontal="center" vertical="top"/>
    </xf>
    <xf numFmtId="0" fontId="14" fillId="5" borderId="21" xfId="0" applyFont="1" applyFill="1" applyBorder="1" applyAlignment="1">
      <alignment horizontal="left" vertical="top" wrapText="1"/>
    </xf>
    <xf numFmtId="0" fontId="14" fillId="5" borderId="19" xfId="0" applyFont="1" applyFill="1" applyBorder="1" applyAlignment="1">
      <alignment horizontal="left" vertical="top" wrapText="1"/>
    </xf>
    <xf numFmtId="0" fontId="14" fillId="5" borderId="16" xfId="0" applyFont="1" applyFill="1" applyBorder="1" applyAlignment="1">
      <alignment horizontal="left" vertical="top" wrapText="1"/>
    </xf>
    <xf numFmtId="0" fontId="14" fillId="5" borderId="0" xfId="0" applyFont="1" applyFill="1" applyBorder="1" applyAlignment="1">
      <alignment horizontal="left" vertical="top" wrapText="1"/>
    </xf>
    <xf numFmtId="0" fontId="14" fillId="5" borderId="30" xfId="0" applyFont="1" applyFill="1" applyBorder="1" applyAlignment="1">
      <alignment horizontal="left" vertical="top" wrapText="1"/>
    </xf>
    <xf numFmtId="0" fontId="14" fillId="5" borderId="10" xfId="0" applyFont="1" applyFill="1" applyBorder="1" applyAlignment="1">
      <alignment horizontal="left" vertical="top" wrapText="1"/>
    </xf>
    <xf numFmtId="0" fontId="14" fillId="4" borderId="5" xfId="0" applyNumberFormat="1" applyFont="1" applyFill="1" applyBorder="1" applyAlignment="1" applyProtection="1">
      <alignment horizontal="center" vertical="center" wrapText="1"/>
      <protection locked="0"/>
    </xf>
    <xf numFmtId="0" fontId="14" fillId="4" borderId="6" xfId="0" applyNumberFormat="1" applyFont="1" applyFill="1" applyBorder="1" applyAlignment="1" applyProtection="1">
      <alignment horizontal="center" vertical="center" wrapText="1"/>
      <protection locked="0"/>
    </xf>
    <xf numFmtId="0" fontId="14" fillId="4" borderId="64" xfId="0" applyNumberFormat="1" applyFont="1" applyFill="1" applyBorder="1" applyAlignment="1" applyProtection="1">
      <alignment horizontal="center" vertical="center" wrapText="1"/>
      <protection locked="0"/>
    </xf>
    <xf numFmtId="0" fontId="14" fillId="4" borderId="70" xfId="0" applyNumberFormat="1" applyFont="1" applyFill="1" applyBorder="1" applyAlignment="1" applyProtection="1">
      <alignment horizontal="center" vertical="center" wrapText="1"/>
      <protection locked="0"/>
    </xf>
    <xf numFmtId="0" fontId="14" fillId="4" borderId="58" xfId="0" applyNumberFormat="1" applyFont="1" applyFill="1" applyBorder="1" applyAlignment="1" applyProtection="1">
      <alignment horizontal="center" vertical="center" wrapText="1"/>
      <protection locked="0"/>
    </xf>
    <xf numFmtId="0" fontId="14" fillId="4" borderId="47" xfId="0" applyNumberFormat="1" applyFont="1" applyFill="1" applyBorder="1" applyAlignment="1" applyProtection="1">
      <alignment horizontal="center" vertical="center" wrapText="1"/>
      <protection locked="0"/>
    </xf>
    <xf numFmtId="0" fontId="14" fillId="4" borderId="3" xfId="0" applyFont="1" applyFill="1" applyBorder="1" applyAlignment="1" applyProtection="1">
      <alignment horizontal="center" vertical="top" wrapText="1"/>
      <protection locked="0"/>
    </xf>
    <xf numFmtId="0" fontId="14" fillId="4" borderId="33" xfId="0" applyFont="1" applyFill="1" applyBorder="1" applyAlignment="1" applyProtection="1">
      <alignment horizontal="center" vertical="top" wrapText="1"/>
      <protection locked="0"/>
    </xf>
    <xf numFmtId="0" fontId="14" fillId="4" borderId="0" xfId="0" applyFont="1" applyFill="1" applyBorder="1" applyAlignment="1" applyProtection="1">
      <alignment horizontal="center" vertical="top" wrapText="1"/>
      <protection locked="0"/>
    </xf>
    <xf numFmtId="0" fontId="14" fillId="4" borderId="23" xfId="0" applyFont="1" applyFill="1" applyBorder="1" applyAlignment="1" applyProtection="1">
      <alignment horizontal="center" vertical="top" wrapText="1"/>
      <protection locked="0"/>
    </xf>
    <xf numFmtId="0" fontId="14" fillId="4" borderId="20" xfId="0" applyFont="1" applyFill="1" applyBorder="1" applyAlignment="1" applyProtection="1">
      <alignment horizontal="center" vertical="top" wrapText="1"/>
      <protection locked="0"/>
    </xf>
    <xf numFmtId="0" fontId="14" fillId="4" borderId="25" xfId="0" applyFont="1" applyFill="1" applyBorder="1" applyAlignment="1" applyProtection="1">
      <alignment horizontal="center" vertical="top" wrapText="1"/>
      <protection locked="0"/>
    </xf>
    <xf numFmtId="0" fontId="14" fillId="4" borderId="10" xfId="0" applyFont="1" applyFill="1" applyBorder="1" applyAlignment="1" applyProtection="1">
      <alignment horizontal="center" vertical="top" wrapText="1"/>
      <protection locked="0"/>
    </xf>
    <xf numFmtId="0" fontId="14" fillId="4" borderId="34" xfId="0" applyFont="1" applyFill="1" applyBorder="1" applyAlignment="1" applyProtection="1">
      <alignment horizontal="center" vertical="top" wrapText="1"/>
      <protection locked="0"/>
    </xf>
    <xf numFmtId="0" fontId="14" fillId="4" borderId="19" xfId="0" applyFont="1" applyFill="1" applyBorder="1" applyAlignment="1" applyProtection="1">
      <alignment horizontal="center" vertical="top" wrapText="1"/>
      <protection locked="0"/>
    </xf>
    <xf numFmtId="0" fontId="14" fillId="4" borderId="22" xfId="0" applyFont="1" applyFill="1" applyBorder="1" applyAlignment="1" applyProtection="1">
      <alignment horizontal="center" vertical="top" wrapText="1"/>
      <protection locked="0"/>
    </xf>
    <xf numFmtId="0" fontId="54" fillId="25" borderId="9" xfId="0" applyFont="1" applyFill="1" applyBorder="1" applyAlignment="1">
      <alignment horizontal="center" vertical="center" wrapText="1"/>
    </xf>
    <xf numFmtId="0" fontId="54" fillId="25" borderId="3" xfId="0" applyFont="1" applyFill="1" applyBorder="1" applyAlignment="1">
      <alignment horizontal="center" vertical="center"/>
    </xf>
    <xf numFmtId="0" fontId="54" fillId="25" borderId="33" xfId="0" applyFont="1" applyFill="1" applyBorder="1" applyAlignment="1">
      <alignment horizontal="center" vertical="center"/>
    </xf>
    <xf numFmtId="0" fontId="54" fillId="25" borderId="11" xfId="0" applyFont="1" applyFill="1" applyBorder="1" applyAlignment="1">
      <alignment horizontal="center" vertical="center" wrapText="1"/>
    </xf>
    <xf numFmtId="0" fontId="54" fillId="25" borderId="0" xfId="0" applyFont="1" applyFill="1" applyBorder="1" applyAlignment="1">
      <alignment horizontal="center" vertical="center"/>
    </xf>
    <xf numFmtId="0" fontId="54" fillId="25" borderId="23" xfId="0" applyFont="1" applyFill="1" applyBorder="1" applyAlignment="1">
      <alignment horizontal="center" vertical="center"/>
    </xf>
    <xf numFmtId="0" fontId="54" fillId="25" borderId="11" xfId="0" applyFont="1" applyFill="1" applyBorder="1" applyAlignment="1">
      <alignment horizontal="center" vertical="center"/>
    </xf>
    <xf numFmtId="0" fontId="54" fillId="25" borderId="8" xfId="0" applyFont="1" applyFill="1" applyBorder="1" applyAlignment="1">
      <alignment horizontal="center" vertical="center"/>
    </xf>
    <xf numFmtId="0" fontId="54" fillId="25" borderId="10" xfId="0" applyFont="1" applyFill="1" applyBorder="1" applyAlignment="1">
      <alignment horizontal="center" vertical="center"/>
    </xf>
    <xf numFmtId="0" fontId="54" fillId="25" borderId="34" xfId="0" applyFont="1" applyFill="1" applyBorder="1" applyAlignment="1">
      <alignment horizontal="center" vertical="center"/>
    </xf>
    <xf numFmtId="0" fontId="82" fillId="26" borderId="9" xfId="0" applyFont="1" applyFill="1" applyBorder="1" applyAlignment="1">
      <alignment horizontal="center" vertical="center" wrapText="1"/>
    </xf>
    <xf numFmtId="0" fontId="82" fillId="26" borderId="3" xfId="0" applyFont="1" applyFill="1" applyBorder="1" applyAlignment="1">
      <alignment horizontal="center" vertical="center"/>
    </xf>
    <xf numFmtId="0" fontId="82" fillId="26" borderId="33" xfId="0" applyFont="1" applyFill="1" applyBorder="1" applyAlignment="1">
      <alignment horizontal="center" vertical="center"/>
    </xf>
    <xf numFmtId="0" fontId="82" fillId="26" borderId="11" xfId="0" applyFont="1" applyFill="1" applyBorder="1" applyAlignment="1">
      <alignment horizontal="center" vertical="center" wrapText="1"/>
    </xf>
    <xf numFmtId="0" fontId="82" fillId="26" borderId="0" xfId="0" applyFont="1" applyFill="1" applyBorder="1" applyAlignment="1">
      <alignment horizontal="center" vertical="center"/>
    </xf>
    <xf numFmtId="0" fontId="82" fillId="26" borderId="23" xfId="0" applyFont="1" applyFill="1" applyBorder="1" applyAlignment="1">
      <alignment horizontal="center" vertical="center"/>
    </xf>
    <xf numFmtId="0" fontId="82" fillId="26" borderId="11" xfId="0" applyFont="1" applyFill="1" applyBorder="1" applyAlignment="1">
      <alignment horizontal="center" vertical="center"/>
    </xf>
    <xf numFmtId="0" fontId="82" fillId="26" borderId="8" xfId="0" applyFont="1" applyFill="1" applyBorder="1" applyAlignment="1">
      <alignment horizontal="center" vertical="center"/>
    </xf>
    <xf numFmtId="0" fontId="82" fillId="26" borderId="10" xfId="0" applyFont="1" applyFill="1" applyBorder="1" applyAlignment="1">
      <alignment horizontal="center" vertical="center"/>
    </xf>
    <xf numFmtId="0" fontId="82" fillId="26" borderId="34" xfId="0" applyFont="1" applyFill="1" applyBorder="1" applyAlignment="1">
      <alignment horizontal="center" vertical="center"/>
    </xf>
    <xf numFmtId="0" fontId="83" fillId="27" borderId="9" xfId="0" applyFont="1" applyFill="1" applyBorder="1" applyAlignment="1">
      <alignment horizontal="center" vertical="center"/>
    </xf>
    <xf numFmtId="0" fontId="83" fillId="27" borderId="3" xfId="0" applyFont="1" applyFill="1" applyBorder="1" applyAlignment="1">
      <alignment horizontal="center" vertical="center"/>
    </xf>
    <xf numFmtId="0" fontId="83" fillId="27" borderId="33" xfId="0" applyFont="1" applyFill="1" applyBorder="1" applyAlignment="1">
      <alignment horizontal="center" vertical="center"/>
    </xf>
    <xf numFmtId="0" fontId="83" fillId="27" borderId="11" xfId="0" applyFont="1" applyFill="1" applyBorder="1" applyAlignment="1">
      <alignment horizontal="center" vertical="center"/>
    </xf>
    <xf numFmtId="0" fontId="83" fillId="27" borderId="0" xfId="0" applyFont="1" applyFill="1" applyBorder="1" applyAlignment="1">
      <alignment horizontal="center" vertical="center"/>
    </xf>
    <xf numFmtId="0" fontId="83" fillId="27" borderId="23" xfId="0" applyFont="1" applyFill="1" applyBorder="1" applyAlignment="1">
      <alignment horizontal="center" vertical="center"/>
    </xf>
    <xf numFmtId="0" fontId="83" fillId="27" borderId="35" xfId="0" applyFont="1" applyFill="1" applyBorder="1" applyAlignment="1">
      <alignment horizontal="center" vertical="center"/>
    </xf>
    <xf numFmtId="0" fontId="83" fillId="27" borderId="20" xfId="0" applyFont="1" applyFill="1" applyBorder="1" applyAlignment="1">
      <alignment horizontal="center" vertical="center"/>
    </xf>
    <xf numFmtId="0" fontId="83" fillId="27" borderId="25" xfId="0" applyFont="1" applyFill="1" applyBorder="1" applyAlignment="1">
      <alignment horizontal="center" vertical="center"/>
    </xf>
    <xf numFmtId="0" fontId="0" fillId="5" borderId="0" xfId="0" applyFill="1" applyBorder="1" applyAlignment="1">
      <alignment horizontal="center"/>
    </xf>
    <xf numFmtId="0" fontId="0" fillId="5" borderId="23" xfId="0" applyFill="1" applyBorder="1" applyAlignment="1">
      <alignment horizontal="left" vertical="center" wrapText="1"/>
    </xf>
    <xf numFmtId="0" fontId="0" fillId="5" borderId="20" xfId="0" applyFill="1" applyBorder="1" applyAlignment="1">
      <alignment horizontal="left" vertical="center" wrapText="1"/>
    </xf>
    <xf numFmtId="0" fontId="0" fillId="5" borderId="25" xfId="0" applyFill="1" applyBorder="1" applyAlignment="1">
      <alignment horizontal="left" vertical="center" wrapText="1"/>
    </xf>
    <xf numFmtId="0" fontId="10" fillId="6" borderId="21" xfId="0" applyFont="1" applyFill="1" applyBorder="1" applyAlignment="1">
      <alignment horizontal="center" vertical="center"/>
    </xf>
    <xf numFmtId="0" fontId="10" fillId="6" borderId="19" xfId="0" applyFont="1" applyFill="1" applyBorder="1" applyAlignment="1">
      <alignment horizontal="center" vertical="center"/>
    </xf>
    <xf numFmtId="0" fontId="10" fillId="6" borderId="22" xfId="0" applyFont="1" applyFill="1" applyBorder="1" applyAlignment="1">
      <alignment horizontal="center" vertical="center"/>
    </xf>
    <xf numFmtId="0" fontId="10" fillId="6" borderId="16" xfId="0" applyFont="1" applyFill="1" applyBorder="1" applyAlignment="1">
      <alignment horizontal="center" vertical="center"/>
    </xf>
    <xf numFmtId="0" fontId="10" fillId="6" borderId="0" xfId="0" applyFont="1" applyFill="1" applyBorder="1" applyAlignment="1">
      <alignment horizontal="center" vertical="center"/>
    </xf>
    <xf numFmtId="0" fontId="10" fillId="6" borderId="23" xfId="0" applyFont="1" applyFill="1" applyBorder="1" applyAlignment="1">
      <alignment horizontal="center" vertical="center"/>
    </xf>
    <xf numFmtId="0" fontId="10" fillId="6" borderId="24" xfId="0" applyFont="1" applyFill="1" applyBorder="1" applyAlignment="1">
      <alignment horizontal="center" vertical="center"/>
    </xf>
    <xf numFmtId="0" fontId="10" fillId="6" borderId="20" xfId="0" applyFont="1" applyFill="1" applyBorder="1" applyAlignment="1">
      <alignment horizontal="center" vertical="center"/>
    </xf>
    <xf numFmtId="0" fontId="10" fillId="6" borderId="25" xfId="0" applyFont="1" applyFill="1" applyBorder="1" applyAlignment="1">
      <alignment horizontal="center" vertical="center"/>
    </xf>
    <xf numFmtId="0" fontId="14" fillId="7" borderId="37" xfId="0" applyFont="1" applyFill="1" applyBorder="1" applyAlignment="1">
      <alignment horizontal="left" vertical="center" wrapText="1"/>
    </xf>
    <xf numFmtId="0" fontId="14" fillId="7" borderId="5" xfId="0" applyFont="1" applyFill="1" applyBorder="1" applyAlignment="1">
      <alignment horizontal="left" vertical="center" wrapText="1"/>
    </xf>
    <xf numFmtId="0" fontId="14" fillId="7" borderId="6" xfId="0" applyFont="1" applyFill="1" applyBorder="1" applyAlignment="1">
      <alignment horizontal="left" vertical="center" wrapText="1"/>
    </xf>
    <xf numFmtId="0" fontId="14" fillId="7" borderId="139" xfId="0" applyFont="1" applyFill="1" applyBorder="1" applyAlignment="1">
      <alignment horizontal="left" vertical="center" wrapText="1"/>
    </xf>
    <xf numFmtId="0" fontId="14" fillId="7" borderId="64" xfId="0" applyFont="1" applyFill="1" applyBorder="1" applyAlignment="1">
      <alignment horizontal="left" vertical="center" wrapText="1"/>
    </xf>
    <xf numFmtId="0" fontId="14" fillId="7" borderId="70" xfId="0" applyFont="1" applyFill="1" applyBorder="1" applyAlignment="1">
      <alignment horizontal="left" vertical="center" wrapText="1"/>
    </xf>
    <xf numFmtId="0" fontId="0" fillId="5" borderId="0" xfId="0" applyFill="1" applyAlignment="1">
      <alignment horizontal="center"/>
    </xf>
    <xf numFmtId="0" fontId="14" fillId="5" borderId="28" xfId="0" applyFont="1" applyFill="1" applyBorder="1" applyAlignment="1">
      <alignment horizontal="left" vertical="top"/>
    </xf>
    <xf numFmtId="0" fontId="14" fillId="5" borderId="3" xfId="0" applyFont="1" applyFill="1" applyBorder="1" applyAlignment="1">
      <alignment horizontal="left" vertical="top"/>
    </xf>
    <xf numFmtId="0" fontId="14" fillId="5" borderId="16" xfId="0" applyFont="1" applyFill="1" applyBorder="1" applyAlignment="1">
      <alignment horizontal="left" vertical="top"/>
    </xf>
    <xf numFmtId="0" fontId="14" fillId="5" borderId="24" xfId="0" applyFont="1" applyFill="1" applyBorder="1" applyAlignment="1">
      <alignment horizontal="left" vertical="top"/>
    </xf>
    <xf numFmtId="0" fontId="14" fillId="5" borderId="20" xfId="0" applyFont="1" applyFill="1" applyBorder="1" applyAlignment="1">
      <alignment horizontal="left" vertical="top"/>
    </xf>
    <xf numFmtId="0" fontId="20" fillId="6" borderId="142" xfId="11" applyFont="1" applyFill="1" applyBorder="1" applyAlignment="1">
      <alignment horizontal="left" vertical="center" textRotation="90" wrapText="1"/>
    </xf>
    <xf numFmtId="0" fontId="20" fillId="6" borderId="71" xfId="11" applyFont="1" applyFill="1" applyBorder="1" applyAlignment="1">
      <alignment horizontal="left" vertical="center" textRotation="90" wrapText="1"/>
    </xf>
    <xf numFmtId="0" fontId="20" fillId="6" borderId="141" xfId="11" applyFont="1" applyFill="1" applyBorder="1" applyAlignment="1">
      <alignment horizontal="left" vertical="center" textRotation="90" wrapText="1"/>
    </xf>
    <xf numFmtId="0" fontId="39" fillId="4" borderId="151" xfId="0" applyFont="1" applyFill="1" applyBorder="1" applyAlignment="1" applyProtection="1">
      <alignment horizontal="center" vertical="center"/>
      <protection locked="0"/>
    </xf>
    <xf numFmtId="0" fontId="39" fillId="4" borderId="152" xfId="0" applyFont="1" applyFill="1" applyBorder="1" applyAlignment="1" applyProtection="1">
      <alignment horizontal="center" vertical="center"/>
      <protection locked="0"/>
    </xf>
    <xf numFmtId="0" fontId="39" fillId="4" borderId="154" xfId="0" applyFont="1" applyFill="1" applyBorder="1" applyAlignment="1" applyProtection="1">
      <alignment horizontal="center" vertical="center"/>
      <protection locked="0"/>
    </xf>
    <xf numFmtId="0" fontId="14" fillId="7" borderId="37" xfId="0" applyFont="1" applyFill="1" applyBorder="1" applyAlignment="1">
      <alignment horizontal="left" vertical="center"/>
    </xf>
    <xf numFmtId="0" fontId="14" fillId="7" borderId="5" xfId="0" applyFont="1" applyFill="1" applyBorder="1" applyAlignment="1">
      <alignment horizontal="left" vertical="center"/>
    </xf>
    <xf numFmtId="0" fontId="14" fillId="7" borderId="6" xfId="0" applyFont="1" applyFill="1" applyBorder="1" applyAlignment="1">
      <alignment horizontal="left" vertical="center"/>
    </xf>
    <xf numFmtId="0" fontId="10" fillId="6" borderId="32" xfId="0" applyFont="1" applyFill="1" applyBorder="1" applyAlignment="1">
      <alignment horizontal="center" vertical="center"/>
    </xf>
    <xf numFmtId="0" fontId="10" fillId="6" borderId="11" xfId="0" applyFont="1" applyFill="1" applyBorder="1" applyAlignment="1">
      <alignment horizontal="center" vertical="center"/>
    </xf>
    <xf numFmtId="0" fontId="10" fillId="6" borderId="35" xfId="0" applyFont="1" applyFill="1" applyBorder="1" applyAlignment="1">
      <alignment horizontal="center" vertical="center"/>
    </xf>
    <xf numFmtId="0" fontId="39" fillId="4" borderId="155" xfId="0" applyFont="1" applyFill="1" applyBorder="1" applyAlignment="1" applyProtection="1">
      <alignment horizontal="center" vertical="center"/>
      <protection locked="0"/>
    </xf>
    <xf numFmtId="0" fontId="39" fillId="4" borderId="156" xfId="0" applyFont="1" applyFill="1" applyBorder="1" applyAlignment="1" applyProtection="1">
      <alignment horizontal="center" vertical="center"/>
      <protection locked="0"/>
    </xf>
    <xf numFmtId="0" fontId="39" fillId="4" borderId="157" xfId="0" applyFont="1" applyFill="1" applyBorder="1" applyAlignment="1" applyProtection="1">
      <alignment horizontal="center" vertical="center"/>
      <protection locked="0"/>
    </xf>
    <xf numFmtId="0" fontId="0" fillId="7" borderId="151" xfId="0" applyFill="1" applyBorder="1" applyAlignment="1">
      <alignment horizontal="center" vertical="center"/>
    </xf>
    <xf numFmtId="0" fontId="0" fillId="7" borderId="152" xfId="0" applyFill="1" applyBorder="1" applyAlignment="1">
      <alignment horizontal="center" vertical="center"/>
    </xf>
    <xf numFmtId="0" fontId="0" fillId="7" borderId="153" xfId="0" applyFill="1" applyBorder="1" applyAlignment="1">
      <alignment horizontal="center" vertical="center"/>
    </xf>
    <xf numFmtId="0" fontId="41" fillId="4" borderId="151" xfId="0" applyFont="1" applyFill="1" applyBorder="1" applyAlignment="1" applyProtection="1">
      <alignment horizontal="center" vertical="center"/>
      <protection locked="0"/>
    </xf>
    <xf numFmtId="0" fontId="41" fillId="4" borderId="152" xfId="0" applyFont="1" applyFill="1" applyBorder="1" applyAlignment="1" applyProtection="1">
      <alignment horizontal="center" vertical="center"/>
      <protection locked="0"/>
    </xf>
    <xf numFmtId="0" fontId="41" fillId="4" borderId="153" xfId="0" applyFont="1" applyFill="1" applyBorder="1" applyAlignment="1" applyProtection="1">
      <alignment horizontal="center" vertical="center"/>
      <protection locked="0"/>
    </xf>
    <xf numFmtId="0" fontId="20" fillId="6" borderId="21" xfId="11" applyFont="1" applyFill="1" applyBorder="1" applyAlignment="1">
      <alignment horizontal="left" vertical="center" textRotation="90" wrapText="1"/>
    </xf>
    <xf numFmtId="0" fontId="20" fillId="6" borderId="19" xfId="11" applyFont="1" applyFill="1" applyBorder="1" applyAlignment="1">
      <alignment horizontal="left" vertical="center" textRotation="90" wrapText="1"/>
    </xf>
    <xf numFmtId="0" fontId="20" fillId="6" borderId="31" xfId="11" applyFont="1" applyFill="1" applyBorder="1" applyAlignment="1">
      <alignment horizontal="left" vertical="center" textRotation="90" wrapText="1"/>
    </xf>
    <xf numFmtId="0" fontId="0" fillId="7" borderId="140" xfId="0" applyFill="1" applyBorder="1" applyAlignment="1">
      <alignment horizontal="center" vertical="center"/>
    </xf>
    <xf numFmtId="0" fontId="0" fillId="7" borderId="71" xfId="0" applyFill="1" applyBorder="1" applyAlignment="1">
      <alignment horizontal="center" vertical="center"/>
    </xf>
    <xf numFmtId="0" fontId="0" fillId="7" borderId="141" xfId="0" applyFill="1" applyBorder="1" applyAlignment="1">
      <alignment horizontal="center" vertical="center"/>
    </xf>
    <xf numFmtId="0" fontId="41" fillId="4" borderId="140" xfId="0" applyFont="1" applyFill="1" applyBorder="1" applyAlignment="1" applyProtection="1">
      <alignment horizontal="center" vertical="center"/>
      <protection locked="0"/>
    </xf>
    <xf numFmtId="0" fontId="41" fillId="4" borderId="71" xfId="0" applyFont="1" applyFill="1" applyBorder="1" applyAlignment="1" applyProtection="1">
      <alignment horizontal="center" vertical="center"/>
      <protection locked="0"/>
    </xf>
    <xf numFmtId="0" fontId="41" fillId="4" borderId="141" xfId="0" applyFont="1" applyFill="1" applyBorder="1" applyAlignment="1" applyProtection="1">
      <alignment horizontal="center" vertical="center"/>
      <protection locked="0"/>
    </xf>
    <xf numFmtId="0" fontId="10" fillId="28" borderId="140" xfId="0" applyFont="1" applyFill="1" applyBorder="1" applyAlignment="1">
      <alignment horizontal="left" vertical="top" wrapText="1"/>
    </xf>
    <xf numFmtId="0" fontId="10" fillId="28" borderId="71" xfId="0" applyFont="1" applyFill="1" applyBorder="1" applyAlignment="1">
      <alignment horizontal="left" vertical="top" wrapText="1"/>
    </xf>
    <xf numFmtId="0" fontId="10" fillId="28" borderId="141" xfId="0" applyFont="1" applyFill="1" applyBorder="1" applyAlignment="1">
      <alignment horizontal="left" vertical="top" wrapText="1"/>
    </xf>
    <xf numFmtId="0" fontId="10" fillId="26" borderId="71" xfId="0" applyFont="1" applyFill="1" applyBorder="1" applyAlignment="1">
      <alignment horizontal="left" vertical="top" wrapText="1"/>
    </xf>
    <xf numFmtId="0" fontId="10" fillId="26" borderId="140" xfId="0" applyFont="1" applyFill="1" applyBorder="1" applyAlignment="1">
      <alignment horizontal="left" vertical="top" wrapText="1"/>
    </xf>
    <xf numFmtId="0" fontId="10" fillId="7" borderId="151" xfId="0" applyFont="1" applyFill="1" applyBorder="1" applyAlignment="1">
      <alignment horizontal="center" vertical="center"/>
    </xf>
    <xf numFmtId="0" fontId="10" fillId="7" borderId="152" xfId="0" applyFont="1" applyFill="1" applyBorder="1" applyAlignment="1">
      <alignment horizontal="center" vertical="center"/>
    </xf>
    <xf numFmtId="0" fontId="10" fillId="7" borderId="153" xfId="0" applyFont="1" applyFill="1" applyBorder="1" applyAlignment="1">
      <alignment horizontal="center" vertical="center"/>
    </xf>
    <xf numFmtId="9" fontId="20" fillId="5" borderId="21" xfId="0" applyNumberFormat="1" applyFont="1" applyFill="1" applyBorder="1" applyAlignment="1">
      <alignment horizontal="center" vertical="center"/>
    </xf>
    <xf numFmtId="9" fontId="20" fillId="5" borderId="19" xfId="0" applyNumberFormat="1" applyFont="1" applyFill="1" applyBorder="1" applyAlignment="1">
      <alignment horizontal="center" vertical="center"/>
    </xf>
    <xf numFmtId="9" fontId="20" fillId="5" borderId="22" xfId="0" applyNumberFormat="1" applyFont="1" applyFill="1" applyBorder="1" applyAlignment="1">
      <alignment horizontal="center" vertical="center"/>
    </xf>
    <xf numFmtId="9" fontId="20" fillId="5" borderId="16" xfId="0" applyNumberFormat="1" applyFont="1" applyFill="1" applyBorder="1" applyAlignment="1">
      <alignment horizontal="center" vertical="center"/>
    </xf>
    <xf numFmtId="9" fontId="20" fillId="5" borderId="0" xfId="0" applyNumberFormat="1" applyFont="1" applyFill="1" applyBorder="1" applyAlignment="1">
      <alignment horizontal="center" vertical="center"/>
    </xf>
    <xf numFmtId="9" fontId="20" fillId="5" borderId="23" xfId="0" applyNumberFormat="1" applyFont="1" applyFill="1" applyBorder="1" applyAlignment="1">
      <alignment horizontal="center" vertical="center"/>
    </xf>
    <xf numFmtId="9" fontId="20" fillId="5" borderId="24" xfId="0" applyNumberFormat="1" applyFont="1" applyFill="1" applyBorder="1" applyAlignment="1">
      <alignment horizontal="center" vertical="center"/>
    </xf>
    <xf numFmtId="9" fontId="20" fillId="5" borderId="20" xfId="0" applyNumberFormat="1" applyFont="1" applyFill="1" applyBorder="1" applyAlignment="1">
      <alignment horizontal="center" vertical="center"/>
    </xf>
    <xf numFmtId="9" fontId="20" fillId="5" borderId="25" xfId="0" applyNumberFormat="1" applyFont="1" applyFill="1" applyBorder="1" applyAlignment="1">
      <alignment horizontal="center" vertical="center"/>
    </xf>
    <xf numFmtId="0" fontId="84" fillId="5" borderId="0" xfId="0" applyFont="1" applyFill="1" applyBorder="1" applyAlignment="1">
      <alignment horizontal="center" vertical="center" wrapText="1"/>
    </xf>
    <xf numFmtId="0" fontId="14" fillId="5" borderId="32" xfId="0" applyFont="1" applyFill="1" applyBorder="1" applyAlignment="1">
      <alignment horizontal="left" vertical="top"/>
    </xf>
    <xf numFmtId="0" fontId="14" fillId="5" borderId="19" xfId="0" applyFont="1" applyFill="1" applyBorder="1" applyAlignment="1">
      <alignment horizontal="left" vertical="top"/>
    </xf>
    <xf numFmtId="0" fontId="14" fillId="5" borderId="11" xfId="0" applyFont="1" applyFill="1" applyBorder="1" applyAlignment="1">
      <alignment horizontal="left" vertical="top"/>
    </xf>
    <xf numFmtId="0" fontId="14" fillId="5" borderId="8" xfId="0" applyFont="1" applyFill="1" applyBorder="1" applyAlignment="1">
      <alignment horizontal="left" vertical="top"/>
    </xf>
    <xf numFmtId="0" fontId="14" fillId="5" borderId="9" xfId="0" applyFont="1" applyFill="1" applyBorder="1" applyAlignment="1">
      <alignment horizontal="left" vertical="top"/>
    </xf>
    <xf numFmtId="0" fontId="14" fillId="5" borderId="9" xfId="0" applyFont="1" applyFill="1" applyBorder="1" applyAlignment="1">
      <alignment horizontal="left" vertical="top" wrapText="1"/>
    </xf>
    <xf numFmtId="0" fontId="14" fillId="5" borderId="3" xfId="0" applyFont="1" applyFill="1" applyBorder="1" applyAlignment="1">
      <alignment horizontal="left" vertical="top" wrapText="1"/>
    </xf>
    <xf numFmtId="0" fontId="14" fillId="5" borderId="11" xfId="0" applyFont="1" applyFill="1" applyBorder="1" applyAlignment="1">
      <alignment horizontal="left" vertical="top" wrapText="1"/>
    </xf>
    <xf numFmtId="0" fontId="14" fillId="5" borderId="35" xfId="0" applyFont="1" applyFill="1" applyBorder="1" applyAlignment="1">
      <alignment horizontal="left" vertical="top" wrapText="1"/>
    </xf>
    <xf numFmtId="0" fontId="14" fillId="5" borderId="20" xfId="0" applyFont="1" applyFill="1" applyBorder="1" applyAlignment="1">
      <alignment horizontal="left" vertical="top" wrapText="1"/>
    </xf>
    <xf numFmtId="0" fontId="10" fillId="7" borderId="32" xfId="0" applyFont="1" applyFill="1" applyBorder="1" applyAlignment="1">
      <alignment horizontal="center" vertical="center"/>
    </xf>
    <xf numFmtId="0" fontId="10" fillId="7" borderId="19" xfId="0" applyFont="1" applyFill="1" applyBorder="1" applyAlignment="1">
      <alignment horizontal="center" vertical="center"/>
    </xf>
    <xf numFmtId="0" fontId="10" fillId="7" borderId="31" xfId="0" applyFont="1" applyFill="1" applyBorder="1" applyAlignment="1">
      <alignment horizontal="center" vertical="center"/>
    </xf>
    <xf numFmtId="0" fontId="41" fillId="4" borderId="19" xfId="0" applyFont="1" applyFill="1" applyBorder="1" applyAlignment="1" applyProtection="1">
      <alignment horizontal="center" vertical="center"/>
      <protection locked="0"/>
    </xf>
    <xf numFmtId="0" fontId="41" fillId="4" borderId="31" xfId="0" applyFont="1" applyFill="1" applyBorder="1" applyAlignment="1" applyProtection="1">
      <alignment horizontal="center" vertical="center"/>
      <protection locked="0"/>
    </xf>
    <xf numFmtId="0" fontId="10" fillId="28" borderId="19" xfId="0" applyFont="1" applyFill="1" applyBorder="1" applyAlignment="1">
      <alignment horizontal="left" vertical="top" wrapText="1"/>
    </xf>
    <xf numFmtId="0" fontId="10" fillId="5" borderId="0" xfId="0" applyFont="1" applyFill="1" applyBorder="1" applyAlignment="1">
      <alignment horizontal="center" vertical="center"/>
    </xf>
    <xf numFmtId="0" fontId="10" fillId="5" borderId="20" xfId="0" applyFont="1" applyFill="1" applyBorder="1" applyAlignment="1">
      <alignment horizontal="center" vertical="center"/>
    </xf>
    <xf numFmtId="0" fontId="10" fillId="6" borderId="21" xfId="0" applyFont="1" applyFill="1" applyBorder="1" applyAlignment="1">
      <alignment horizontal="center" vertical="center" wrapText="1"/>
    </xf>
    <xf numFmtId="0" fontId="10" fillId="6" borderId="31" xfId="0" applyFont="1" applyFill="1" applyBorder="1" applyAlignment="1">
      <alignment horizontal="center" vertical="center"/>
    </xf>
    <xf numFmtId="0" fontId="10" fillId="6" borderId="14" xfId="0" applyFont="1" applyFill="1" applyBorder="1" applyAlignment="1">
      <alignment horizontal="center" vertical="center"/>
    </xf>
    <xf numFmtId="0" fontId="10" fillId="6" borderId="29" xfId="0" applyFont="1" applyFill="1" applyBorder="1" applyAlignment="1">
      <alignment horizontal="center" vertical="center"/>
    </xf>
    <xf numFmtId="0" fontId="25" fillId="6" borderId="21" xfId="0" applyFont="1" applyFill="1" applyBorder="1" applyAlignment="1">
      <alignment horizontal="center" vertical="center" wrapText="1"/>
    </xf>
    <xf numFmtId="0" fontId="25" fillId="6" borderId="19" xfId="0" applyFont="1" applyFill="1" applyBorder="1" applyAlignment="1">
      <alignment horizontal="center" vertical="center" wrapText="1"/>
    </xf>
    <xf numFmtId="0" fontId="25" fillId="6" borderId="22" xfId="0" applyFont="1" applyFill="1" applyBorder="1" applyAlignment="1">
      <alignment horizontal="center" vertical="center" wrapText="1"/>
    </xf>
    <xf numFmtId="0" fontId="25" fillId="6" borderId="16" xfId="0" applyFont="1" applyFill="1" applyBorder="1" applyAlignment="1">
      <alignment horizontal="center" vertical="center" wrapText="1"/>
    </xf>
    <xf numFmtId="0" fontId="25" fillId="6" borderId="0" xfId="0" applyFont="1" applyFill="1" applyBorder="1" applyAlignment="1">
      <alignment horizontal="center" vertical="center" wrapText="1"/>
    </xf>
    <xf numFmtId="0" fontId="25" fillId="6" borderId="23" xfId="0" applyFont="1" applyFill="1" applyBorder="1" applyAlignment="1">
      <alignment horizontal="center" vertical="center" wrapText="1"/>
    </xf>
    <xf numFmtId="0" fontId="25" fillId="6" borderId="30" xfId="0" applyFont="1" applyFill="1" applyBorder="1" applyAlignment="1">
      <alignment horizontal="center" vertical="center" wrapText="1"/>
    </xf>
    <xf numFmtId="0" fontId="25" fillId="6" borderId="10" xfId="0" applyFont="1" applyFill="1" applyBorder="1" applyAlignment="1">
      <alignment horizontal="center" vertical="center" wrapText="1"/>
    </xf>
    <xf numFmtId="0" fontId="25" fillId="6" borderId="34" xfId="0" applyFont="1" applyFill="1" applyBorder="1" applyAlignment="1">
      <alignment horizontal="center" vertical="center" wrapText="1"/>
    </xf>
    <xf numFmtId="0" fontId="20" fillId="7" borderId="21" xfId="0" applyFont="1" applyFill="1" applyBorder="1" applyAlignment="1">
      <alignment horizontal="left" vertical="top"/>
    </xf>
    <xf numFmtId="0" fontId="20" fillId="7" borderId="19" xfId="0" applyFont="1" applyFill="1" applyBorder="1" applyAlignment="1">
      <alignment horizontal="left" vertical="top"/>
    </xf>
    <xf numFmtId="0" fontId="20" fillId="7" borderId="22" xfId="0" applyFont="1" applyFill="1" applyBorder="1" applyAlignment="1">
      <alignment horizontal="left" vertical="top"/>
    </xf>
    <xf numFmtId="0" fontId="20" fillId="7" borderId="30" xfId="0" applyFont="1" applyFill="1" applyBorder="1" applyAlignment="1">
      <alignment horizontal="left" vertical="top"/>
    </xf>
    <xf numFmtId="0" fontId="20" fillId="7" borderId="10" xfId="0" applyFont="1" applyFill="1" applyBorder="1" applyAlignment="1">
      <alignment horizontal="left" vertical="top"/>
    </xf>
    <xf numFmtId="0" fontId="20" fillId="7" borderId="34" xfId="0" applyFont="1" applyFill="1" applyBorder="1" applyAlignment="1">
      <alignment horizontal="left" vertical="top"/>
    </xf>
    <xf numFmtId="0" fontId="20" fillId="6" borderId="144" xfId="11" applyFont="1" applyFill="1" applyBorder="1" applyAlignment="1">
      <alignment horizontal="left" vertical="center" textRotation="90" wrapText="1"/>
    </xf>
    <xf numFmtId="0" fontId="20" fillId="6" borderId="145" xfId="11" applyFont="1" applyFill="1" applyBorder="1" applyAlignment="1">
      <alignment horizontal="left" vertical="center" textRotation="90" wrapText="1"/>
    </xf>
    <xf numFmtId="0" fontId="20" fillId="6" borderId="146" xfId="11" applyFont="1" applyFill="1" applyBorder="1" applyAlignment="1">
      <alignment horizontal="left" vertical="center" textRotation="90" wrapText="1"/>
    </xf>
    <xf numFmtId="0" fontId="39" fillId="4" borderId="148" xfId="0" applyFont="1" applyFill="1" applyBorder="1" applyAlignment="1" applyProtection="1">
      <alignment horizontal="center" vertical="center"/>
      <protection locked="0"/>
    </xf>
    <xf numFmtId="0" fontId="39" fillId="4" borderId="145" xfId="0" applyFont="1" applyFill="1" applyBorder="1" applyAlignment="1" applyProtection="1">
      <alignment horizontal="center" vertical="center"/>
      <protection locked="0"/>
    </xf>
    <xf numFmtId="0" fontId="39" fillId="4" borderId="149" xfId="0" applyFont="1" applyFill="1" applyBorder="1" applyAlignment="1" applyProtection="1">
      <alignment horizontal="center" vertical="center"/>
      <protection locked="0"/>
    </xf>
    <xf numFmtId="0" fontId="85" fillId="5" borderId="21" xfId="0" applyFont="1" applyFill="1" applyBorder="1" applyAlignment="1">
      <alignment horizontal="center" vertical="center" textRotation="90"/>
    </xf>
    <xf numFmtId="0" fontId="85" fillId="5" borderId="19" xfId="0" applyFont="1" applyFill="1" applyBorder="1" applyAlignment="1">
      <alignment horizontal="center" vertical="center" textRotation="90"/>
    </xf>
    <xf numFmtId="0" fontId="85" fillId="5" borderId="22" xfId="0" applyFont="1" applyFill="1" applyBorder="1" applyAlignment="1">
      <alignment horizontal="center" vertical="center" textRotation="90"/>
    </xf>
    <xf numFmtId="0" fontId="85" fillId="5" borderId="16" xfId="0" applyFont="1" applyFill="1" applyBorder="1" applyAlignment="1">
      <alignment horizontal="center" vertical="center" textRotation="90"/>
    </xf>
    <xf numFmtId="0" fontId="85" fillId="5" borderId="0" xfId="0" applyFont="1" applyFill="1" applyBorder="1" applyAlignment="1">
      <alignment horizontal="center" vertical="center" textRotation="90"/>
    </xf>
    <xf numFmtId="0" fontId="85" fillId="5" borderId="23" xfId="0" applyFont="1" applyFill="1" applyBorder="1" applyAlignment="1">
      <alignment horizontal="center" vertical="center" textRotation="90"/>
    </xf>
    <xf numFmtId="0" fontId="85" fillId="5" borderId="24" xfId="0" applyFont="1" applyFill="1" applyBorder="1" applyAlignment="1">
      <alignment horizontal="center" vertical="center" textRotation="90"/>
    </xf>
    <xf numFmtId="0" fontId="85" fillId="5" borderId="20" xfId="0" applyFont="1" applyFill="1" applyBorder="1" applyAlignment="1">
      <alignment horizontal="center" vertical="center" textRotation="90"/>
    </xf>
    <xf numFmtId="0" fontId="85" fillId="5" borderId="25" xfId="0" applyFont="1" applyFill="1" applyBorder="1" applyAlignment="1">
      <alignment horizontal="center" vertical="center" textRotation="90"/>
    </xf>
    <xf numFmtId="0" fontId="10" fillId="7" borderId="148" xfId="0" applyFont="1" applyFill="1" applyBorder="1" applyAlignment="1">
      <alignment horizontal="center" vertical="center"/>
    </xf>
    <xf numFmtId="0" fontId="10" fillId="7" borderId="145" xfId="0" applyFont="1" applyFill="1" applyBorder="1" applyAlignment="1">
      <alignment horizontal="center" vertical="center"/>
    </xf>
    <xf numFmtId="0" fontId="10" fillId="7" borderId="146" xfId="0" applyFont="1" applyFill="1" applyBorder="1" applyAlignment="1">
      <alignment horizontal="center" vertical="center"/>
    </xf>
    <xf numFmtId="0" fontId="41" fillId="4" borderId="145" xfId="0" applyFont="1" applyFill="1" applyBorder="1" applyAlignment="1" applyProtection="1">
      <alignment horizontal="center" vertical="center"/>
      <protection locked="0"/>
    </xf>
    <xf numFmtId="0" fontId="41" fillId="4" borderId="146" xfId="0" applyFont="1" applyFill="1" applyBorder="1" applyAlignment="1" applyProtection="1">
      <alignment horizontal="center" vertical="center"/>
      <protection locked="0"/>
    </xf>
    <xf numFmtId="0" fontId="10" fillId="28" borderId="145" xfId="0" applyFont="1" applyFill="1" applyBorder="1" applyAlignment="1">
      <alignment horizontal="left" vertical="top" wrapText="1"/>
    </xf>
    <xf numFmtId="0" fontId="10" fillId="26" borderId="145" xfId="0" applyFont="1" applyFill="1" applyBorder="1" applyAlignment="1">
      <alignment horizontal="left" vertical="top" wrapText="1"/>
    </xf>
    <xf numFmtId="0" fontId="0" fillId="6" borderId="0" xfId="0" applyFill="1" applyBorder="1" applyAlignment="1">
      <alignment horizontal="center" vertical="center" wrapText="1"/>
    </xf>
    <xf numFmtId="0" fontId="0" fillId="6" borderId="23" xfId="0" applyFill="1" applyBorder="1" applyAlignment="1">
      <alignment horizontal="center" vertical="center" wrapText="1"/>
    </xf>
    <xf numFmtId="0" fontId="0" fillId="6" borderId="16" xfId="0" applyFill="1" applyBorder="1" applyAlignment="1">
      <alignment horizontal="center" vertical="center" wrapText="1"/>
    </xf>
    <xf numFmtId="0" fontId="0" fillId="6" borderId="24"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5" xfId="0" applyFill="1" applyBorder="1" applyAlignment="1">
      <alignment horizontal="center" vertical="center" wrapText="1"/>
    </xf>
    <xf numFmtId="0" fontId="46" fillId="24" borderId="43" xfId="0" applyFont="1" applyFill="1" applyBorder="1" applyAlignment="1">
      <alignment horizontal="left" vertical="center" wrapText="1"/>
    </xf>
    <xf numFmtId="0" fontId="46" fillId="24" borderId="44" xfId="0" applyFont="1" applyFill="1" applyBorder="1" applyAlignment="1">
      <alignment horizontal="left" vertical="center" wrapText="1"/>
    </xf>
    <xf numFmtId="0" fontId="46" fillId="24" borderId="45" xfId="0" applyFont="1" applyFill="1" applyBorder="1" applyAlignment="1">
      <alignment horizontal="left" vertical="center" wrapText="1"/>
    </xf>
    <xf numFmtId="0" fontId="65" fillId="7" borderId="43" xfId="0" applyFont="1" applyFill="1" applyBorder="1" applyAlignment="1">
      <alignment horizontal="left" vertical="center" wrapText="1"/>
    </xf>
    <xf numFmtId="0" fontId="65" fillId="7" borderId="44" xfId="0" applyFont="1" applyFill="1" applyBorder="1" applyAlignment="1">
      <alignment horizontal="left" vertical="center" wrapText="1"/>
    </xf>
    <xf numFmtId="0" fontId="65" fillId="7" borderId="45" xfId="0" applyFont="1" applyFill="1" applyBorder="1" applyAlignment="1">
      <alignment horizontal="left" vertical="center" wrapText="1"/>
    </xf>
    <xf numFmtId="0" fontId="5" fillId="5" borderId="4" xfId="0" applyFont="1" applyFill="1" applyBorder="1" applyAlignment="1">
      <alignment horizontal="left" vertical="center" wrapText="1"/>
    </xf>
    <xf numFmtId="0" fontId="6" fillId="5" borderId="5" xfId="0" applyFont="1" applyFill="1" applyBorder="1" applyAlignment="1">
      <alignment horizontal="left" vertical="center" wrapText="1"/>
    </xf>
    <xf numFmtId="0" fontId="6" fillId="5" borderId="6"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4" borderId="6" xfId="0" applyFont="1" applyFill="1" applyBorder="1" applyAlignment="1">
      <alignment horizontal="left" vertical="center" wrapText="1"/>
    </xf>
    <xf numFmtId="0" fontId="10" fillId="5" borderId="4" xfId="0" applyFont="1" applyFill="1" applyBorder="1" applyAlignment="1">
      <alignment horizontal="left" vertical="center" wrapText="1"/>
    </xf>
    <xf numFmtId="0" fontId="10" fillId="5" borderId="5" xfId="0" applyFont="1" applyFill="1" applyBorder="1" applyAlignment="1">
      <alignment horizontal="left" vertical="center" wrapText="1"/>
    </xf>
    <xf numFmtId="0" fontId="10" fillId="5" borderId="6" xfId="0" applyFont="1" applyFill="1" applyBorder="1" applyAlignment="1">
      <alignment horizontal="left" vertical="center" wrapText="1"/>
    </xf>
    <xf numFmtId="0" fontId="4" fillId="5" borderId="4"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51" fillId="6" borderId="43" xfId="0" applyFont="1" applyFill="1" applyBorder="1" applyAlignment="1">
      <alignment horizontal="left" vertical="center"/>
    </xf>
    <xf numFmtId="0" fontId="51" fillId="6" borderId="44" xfId="0" applyFont="1" applyFill="1" applyBorder="1" applyAlignment="1">
      <alignment horizontal="left" vertical="center"/>
    </xf>
    <xf numFmtId="0" fontId="51" fillId="6" borderId="45" xfId="0" applyFont="1" applyFill="1" applyBorder="1" applyAlignment="1">
      <alignment horizontal="left" vertical="center"/>
    </xf>
    <xf numFmtId="0" fontId="6" fillId="5" borderId="2" xfId="0" applyFont="1" applyFill="1" applyBorder="1" applyAlignment="1">
      <alignment horizontal="left" vertical="center" wrapText="1"/>
    </xf>
    <xf numFmtId="0" fontId="78" fillId="5" borderId="20" xfId="1" applyFont="1" applyFill="1" applyBorder="1" applyAlignment="1" applyProtection="1">
      <alignment horizontal="left" vertical="center" wrapText="1"/>
    </xf>
    <xf numFmtId="0" fontId="32" fillId="5" borderId="0" xfId="0" applyFont="1" applyFill="1" applyAlignment="1" applyProtection="1">
      <alignment horizontal="left"/>
    </xf>
  </cellXfs>
  <cellStyles count="16">
    <cellStyle name="Link" xfId="1" builtinId="8"/>
    <cellStyle name="Standard" xfId="0" builtinId="0"/>
    <cellStyle name="Standard 2" xfId="10" xr:uid="{00000000-0005-0000-0000-000002000000}"/>
    <cellStyle name="Standard 3" xfId="9" xr:uid="{00000000-0005-0000-0000-000003000000}"/>
    <cellStyle name="Standard 3 2" xfId="13" xr:uid="{00000000-0005-0000-0000-000004000000}"/>
    <cellStyle name="Standard 4" xfId="11" xr:uid="{00000000-0005-0000-0000-000005000000}"/>
    <cellStyle name="Standard 5" xfId="12" xr:uid="{00000000-0005-0000-0000-000006000000}"/>
    <cellStyle name="Standard 6" xfId="14" xr:uid="{00000000-0005-0000-0000-000007000000}"/>
    <cellStyle name="Standard 7" xfId="8" xr:uid="{00000000-0005-0000-0000-000008000000}"/>
    <cellStyle name="Standard 8" xfId="15" xr:uid="{7070120B-08CB-4E68-AE42-935366B807C6}"/>
    <cellStyle name="Standard_Eskalationsmatrix_alt" xfId="2" xr:uid="{00000000-0005-0000-0000-000009000000}"/>
    <cellStyle name="Standard_PLS_18.01.2006" xfId="3" xr:uid="{00000000-0005-0000-0000-00000A000000}"/>
    <cellStyle name="Standard_ProblemManagementProcess-Ueberarbeitet_20092010" xfId="4" xr:uid="{00000000-0005-0000-0000-00000B000000}"/>
    <cellStyle name="Standard_Tabelle1" xfId="5" xr:uid="{00000000-0005-0000-0000-00000C000000}"/>
    <cellStyle name="Standard_Tabelle3" xfId="6" xr:uid="{00000000-0005-0000-0000-00000D000000}"/>
    <cellStyle name="Währung" xfId="7" builtinId="4"/>
  </cellStyles>
  <dxfs count="82">
    <dxf>
      <alignment horizontal="left" vertical="top" textRotation="0" wrapText="0"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font>
        <b/>
        <strike val="0"/>
        <outline val="0"/>
        <shadow val="0"/>
        <u val="none"/>
        <vertAlign val="baseline"/>
        <sz val="10"/>
        <color theme="0"/>
        <name val="Univers"/>
        <scheme val="none"/>
      </font>
      <alignment horizontal="left" vertical="top" textRotation="0" wrapText="0" indent="0" justifyLastLine="0" shrinkToFit="0" readingOrder="0"/>
    </dxf>
    <dxf>
      <fill>
        <patternFill>
          <bgColor rgb="FF62E13F"/>
        </patternFill>
      </fill>
    </dxf>
    <dxf>
      <fill>
        <patternFill>
          <bgColor theme="0"/>
        </patternFill>
      </fill>
    </dxf>
    <dxf>
      <fill>
        <patternFill>
          <bgColor rgb="FFFFFF00"/>
        </patternFill>
      </fill>
    </dxf>
    <dxf>
      <fill>
        <patternFill>
          <bgColor rgb="FFFF0000"/>
        </patternFill>
      </fill>
    </dxf>
    <dxf>
      <fill>
        <patternFill>
          <bgColor rgb="FF62E13F"/>
        </patternFill>
      </fill>
    </dxf>
    <dxf>
      <fill>
        <patternFill>
          <bgColor theme="0"/>
        </patternFill>
      </fill>
    </dxf>
    <dxf>
      <fill>
        <patternFill>
          <bgColor rgb="FFFFFF00"/>
        </patternFill>
      </fill>
    </dxf>
    <dxf>
      <fill>
        <patternFill>
          <bgColor rgb="FFFF0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ill>
        <patternFill>
          <bgColor rgb="FF62E13F"/>
        </patternFill>
      </fill>
    </dxf>
    <dxf>
      <fill>
        <patternFill>
          <bgColor theme="0"/>
        </patternFill>
      </fill>
    </dxf>
    <dxf>
      <fill>
        <patternFill>
          <bgColor rgb="FFFFFF00"/>
        </patternFill>
      </fill>
    </dxf>
    <dxf>
      <fill>
        <patternFill>
          <bgColor rgb="FFFF0000"/>
        </patternFill>
      </fill>
    </dxf>
    <dxf>
      <font>
        <color theme="3" tint="0.39994506668294322"/>
      </font>
      <fill>
        <patternFill>
          <bgColor theme="3" tint="0.39994506668294322"/>
        </patternFill>
      </fill>
    </dxf>
    <dxf>
      <font>
        <color rgb="FFFF5050"/>
      </font>
      <fill>
        <patternFill>
          <bgColor rgb="FFFF5050"/>
        </patternFill>
      </fill>
    </dxf>
    <dxf>
      <font>
        <color rgb="FF92D050"/>
      </font>
      <fill>
        <patternFill>
          <bgColor rgb="FF92D050"/>
        </patternFill>
      </fill>
    </dxf>
    <dxf>
      <font>
        <b/>
        <i val="0"/>
        <color auto="1"/>
      </font>
      <fill>
        <patternFill>
          <bgColor rgb="FFFF5050"/>
        </patternFill>
      </fill>
    </dxf>
    <dxf>
      <font>
        <b/>
        <i val="0"/>
        <color auto="1"/>
      </font>
      <fill>
        <patternFill>
          <bgColor rgb="FF92D050"/>
        </patternFill>
      </fill>
    </dxf>
    <dxf>
      <font>
        <b/>
        <i val="0"/>
        <color auto="1"/>
      </font>
      <fill>
        <patternFill>
          <bgColor rgb="FFFF5050"/>
        </patternFill>
      </fill>
    </dxf>
    <dxf>
      <font>
        <b/>
        <i val="0"/>
        <color auto="1"/>
      </font>
      <fill>
        <patternFill>
          <bgColor rgb="FF92D050"/>
        </patternFill>
      </fill>
    </dxf>
    <dxf>
      <font>
        <b/>
        <i val="0"/>
        <color auto="1"/>
      </font>
      <fill>
        <patternFill>
          <bgColor rgb="FFFFFF00"/>
        </patternFill>
      </fill>
    </dxf>
    <dxf>
      <font>
        <b/>
        <i val="0"/>
        <color auto="1"/>
      </font>
      <fill>
        <patternFill>
          <bgColor rgb="FF92D050"/>
        </patternFill>
      </fill>
    </dxf>
    <dxf>
      <font>
        <b/>
        <i val="0"/>
        <color auto="1"/>
      </font>
      <fill>
        <patternFill>
          <bgColor rgb="FFFF5050"/>
        </patternFill>
      </fill>
    </dxf>
    <dxf>
      <font>
        <b/>
        <i val="0"/>
        <color auto="1"/>
      </font>
      <fill>
        <patternFill>
          <bgColor rgb="FFFFFF00"/>
        </patternFill>
      </fill>
    </dxf>
    <dxf>
      <font>
        <b/>
        <i val="0"/>
        <color auto="1"/>
      </font>
      <fill>
        <patternFill>
          <bgColor rgb="FFFF5050"/>
        </patternFill>
      </fill>
    </dxf>
    <dxf>
      <font>
        <b/>
        <i val="0"/>
        <color auto="1"/>
      </font>
      <fill>
        <patternFill>
          <bgColor rgb="FF92D050"/>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ill>
        <patternFill>
          <bgColor indexed="39"/>
        </patternFill>
      </fill>
    </dxf>
    <dxf>
      <fill>
        <patternFill>
          <bgColor indexed="4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ont>
        <color rgb="FFFF0000"/>
      </font>
    </dxf>
    <dxf>
      <fill>
        <patternFill>
          <bgColor theme="1" tint="0.499984740745262"/>
        </patternFill>
      </fill>
    </dxf>
    <dxf>
      <fill>
        <patternFill>
          <bgColor theme="1" tint="0.499984740745262"/>
        </patternFill>
      </fill>
    </dxf>
    <dxf>
      <font>
        <color rgb="FF9C0006"/>
      </font>
      <fill>
        <patternFill>
          <bgColor rgb="FFFFC7CE"/>
        </patternFill>
      </fill>
    </dxf>
    <dxf>
      <font>
        <color rgb="FF9C4E00"/>
      </font>
      <fill>
        <patternFill>
          <bgColor rgb="FFFFAD4C"/>
        </patternFill>
      </fill>
    </dxf>
    <dxf>
      <font>
        <color rgb="FF9C6500"/>
      </font>
      <fill>
        <patternFill>
          <bgColor rgb="FFFFEB9C"/>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F92A8"/>
      <rgbColor rgb="009BB2C4"/>
      <rgbColor rgb="00FFFFCC"/>
      <rgbColor rgb="00D5E3EC"/>
      <rgbColor rgb="00080808"/>
      <rgbColor rgb="00808080"/>
      <rgbColor rgb="00C0C0C0"/>
      <rgbColor rgb="00F8F8F8"/>
      <rgbColor rgb="006F92A8"/>
      <rgbColor rgb="009BB2C4"/>
      <rgbColor rgb="00BECCD9"/>
      <rgbColor rgb="00D5E3EC"/>
      <rgbColor rgb="00080808"/>
      <rgbColor rgb="00808080"/>
      <rgbColor rgb="00C0C0C0"/>
      <rgbColor rgb="00FF505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C7CE"/>
      <color rgb="FFFFC76A"/>
      <color rgb="FFFFEFF1"/>
      <color rgb="FFF1F5DB"/>
      <color rgb="FFE4F1DF"/>
      <color rgb="FFE7F1DF"/>
      <color rgb="FFF7FFE5"/>
      <color rgb="FFE5FFE5"/>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2"/>
    </mc:Choice>
    <mc:Fallback>
      <c:style val="12"/>
    </mc:Fallback>
  </mc:AlternateContent>
  <c:chart>
    <c:title>
      <c:tx>
        <c:strRef>
          <c:f>Statistic!$C$55</c:f>
          <c:strCache>
            <c:ptCount val="1"/>
            <c:pt idx="0">
              <c:v>Sorting results</c:v>
            </c:pt>
          </c:strCache>
        </c:strRef>
      </c:tx>
      <c:layout>
        <c:manualLayout>
          <c:xMode val="edge"/>
          <c:yMode val="edge"/>
          <c:x val="0.42964412276748237"/>
          <c:y val="2.9902115176779372E-2"/>
        </c:manualLayout>
      </c:layout>
      <c:overlay val="0"/>
      <c:txPr>
        <a:bodyPr/>
        <a:lstStyle/>
        <a:p>
          <a:pPr algn="l">
            <a:defRPr/>
          </a:pPr>
          <a:endParaRPr lang="de-DE"/>
        </a:p>
      </c:txPr>
    </c:title>
    <c:autoTitleDeleted val="0"/>
    <c:plotArea>
      <c:layout>
        <c:manualLayout>
          <c:layoutTarget val="inner"/>
          <c:xMode val="edge"/>
          <c:yMode val="edge"/>
          <c:x val="2.973242486103379E-2"/>
          <c:y val="0.12102485718696927"/>
          <c:w val="0.86211101390104017"/>
          <c:h val="0.62935488317387944"/>
        </c:manualLayout>
      </c:layout>
      <c:barChart>
        <c:barDir val="col"/>
        <c:grouping val="clustered"/>
        <c:varyColors val="0"/>
        <c:ser>
          <c:idx val="0"/>
          <c:order val="0"/>
          <c:tx>
            <c:strRef>
              <c:f>Statistic!$E$56</c:f>
              <c:strCache>
                <c:ptCount val="1"/>
                <c:pt idx="0">
                  <c:v>Sorted parts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Statistic!$C$57:$D$70</c:f>
              <c:strCache>
                <c:ptCount val="14"/>
                <c:pt idx="0">
                  <c:v>Endcustomer - claiming plant</c:v>
                </c:pt>
                <c:pt idx="1">
                  <c:v>Endcustomer - other plant(s)</c:v>
                </c:pt>
                <c:pt idx="2">
                  <c:v>Endcustomer - others</c:v>
                </c:pt>
                <c:pt idx="3">
                  <c:v>Brose - claiming plant</c:v>
                </c:pt>
                <c:pt idx="4">
                  <c:v>Brose - other plant(s)</c:v>
                </c:pt>
                <c:pt idx="5">
                  <c:v>Brose - others</c:v>
                </c:pt>
                <c:pt idx="6">
                  <c:v>Supplier - production</c:v>
                </c:pt>
                <c:pt idx="7">
                  <c:v>Supplier - storage</c:v>
                </c:pt>
                <c:pt idx="8">
                  <c:v>Supplier - spare parts</c:v>
                </c:pt>
                <c:pt idx="9">
                  <c:v>Logistics - parts on seafreight</c:v>
                </c:pt>
                <c:pt idx="10">
                  <c:v>Logistics - parts on airfreight</c:v>
                </c:pt>
                <c:pt idx="11">
                  <c:v>Logistics - external service provider</c:v>
                </c:pt>
                <c:pt idx="12">
                  <c:v>Logistics - others</c:v>
                </c:pt>
                <c:pt idx="13">
                  <c:v>…</c:v>
                </c:pt>
              </c:strCache>
            </c:strRef>
          </c:cat>
          <c:val>
            <c:numRef>
              <c:f>Statistic!$E$57:$E$70</c:f>
              <c:numCache>
                <c:formatCode>0</c:formatCode>
                <c:ptCount val="14"/>
              </c:numCache>
            </c:numRef>
          </c:val>
          <c:extLst>
            <c:ext xmlns:c16="http://schemas.microsoft.com/office/drawing/2014/chart" uri="{C3380CC4-5D6E-409C-BE32-E72D297353CC}">
              <c16:uniqueId val="{00000000-1AE8-453F-BD51-4A1FFA34FC34}"/>
            </c:ext>
          </c:extLst>
        </c:ser>
        <c:ser>
          <c:idx val="1"/>
          <c:order val="1"/>
          <c:tx>
            <c:strRef>
              <c:f>Statistic!$F$56</c:f>
              <c:strCache>
                <c:ptCount val="1"/>
                <c:pt idx="0">
                  <c:v>N.o.k.-parts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Statistic!$C$57:$D$70</c:f>
              <c:strCache>
                <c:ptCount val="14"/>
                <c:pt idx="0">
                  <c:v>Endcustomer - claiming plant</c:v>
                </c:pt>
                <c:pt idx="1">
                  <c:v>Endcustomer - other plant(s)</c:v>
                </c:pt>
                <c:pt idx="2">
                  <c:v>Endcustomer - others</c:v>
                </c:pt>
                <c:pt idx="3">
                  <c:v>Brose - claiming plant</c:v>
                </c:pt>
                <c:pt idx="4">
                  <c:v>Brose - other plant(s)</c:v>
                </c:pt>
                <c:pt idx="5">
                  <c:v>Brose - others</c:v>
                </c:pt>
                <c:pt idx="6">
                  <c:v>Supplier - production</c:v>
                </c:pt>
                <c:pt idx="7">
                  <c:v>Supplier - storage</c:v>
                </c:pt>
                <c:pt idx="8">
                  <c:v>Supplier - spare parts</c:v>
                </c:pt>
                <c:pt idx="9">
                  <c:v>Logistics - parts on seafreight</c:v>
                </c:pt>
                <c:pt idx="10">
                  <c:v>Logistics - parts on airfreight</c:v>
                </c:pt>
                <c:pt idx="11">
                  <c:v>Logistics - external service provider</c:v>
                </c:pt>
                <c:pt idx="12">
                  <c:v>Logistics - others</c:v>
                </c:pt>
                <c:pt idx="13">
                  <c:v>…</c:v>
                </c:pt>
              </c:strCache>
            </c:strRef>
          </c:cat>
          <c:val>
            <c:numRef>
              <c:f>Statistic!$F$57:$F$70</c:f>
              <c:numCache>
                <c:formatCode>0</c:formatCode>
                <c:ptCount val="14"/>
              </c:numCache>
            </c:numRef>
          </c:val>
          <c:extLst>
            <c:ext xmlns:c16="http://schemas.microsoft.com/office/drawing/2014/chart" uri="{C3380CC4-5D6E-409C-BE32-E72D297353CC}">
              <c16:uniqueId val="{00000001-1AE8-453F-BD51-4A1FFA34FC34}"/>
            </c:ext>
          </c:extLst>
        </c:ser>
        <c:dLbls>
          <c:showLegendKey val="0"/>
          <c:showVal val="0"/>
          <c:showCatName val="0"/>
          <c:showSerName val="0"/>
          <c:showPercent val="0"/>
          <c:showBubbleSize val="0"/>
        </c:dLbls>
        <c:gapWidth val="150"/>
        <c:axId val="63240448"/>
        <c:axId val="118796288"/>
      </c:barChart>
      <c:catAx>
        <c:axId val="63240448"/>
        <c:scaling>
          <c:orientation val="minMax"/>
        </c:scaling>
        <c:delete val="0"/>
        <c:axPos val="b"/>
        <c:numFmt formatCode="General" sourceLinked="1"/>
        <c:majorTickMark val="out"/>
        <c:minorTickMark val="none"/>
        <c:tickLblPos val="nextTo"/>
        <c:spPr>
          <a:ln>
            <a:solidFill>
              <a:sysClr val="windowText" lastClr="000000"/>
            </a:solidFill>
          </a:ln>
        </c:spPr>
        <c:txPr>
          <a:bodyPr rot="-5400000" vert="horz"/>
          <a:lstStyle/>
          <a:p>
            <a:pPr>
              <a:defRPr/>
            </a:pPr>
            <a:endParaRPr lang="de-DE"/>
          </a:p>
        </c:txPr>
        <c:crossAx val="118796288"/>
        <c:crosses val="autoZero"/>
        <c:auto val="0"/>
        <c:lblAlgn val="ctr"/>
        <c:lblOffset val="100"/>
        <c:tickLblSkip val="1"/>
        <c:tickMarkSkip val="1"/>
        <c:noMultiLvlLbl val="0"/>
      </c:catAx>
      <c:valAx>
        <c:axId val="118796288"/>
        <c:scaling>
          <c:orientation val="minMax"/>
        </c:scaling>
        <c:delete val="0"/>
        <c:axPos val="l"/>
        <c:majorGridlines/>
        <c:numFmt formatCode="0" sourceLinked="1"/>
        <c:majorTickMark val="out"/>
        <c:minorTickMark val="none"/>
        <c:tickLblPos val="nextTo"/>
        <c:spPr>
          <a:ln>
            <a:solidFill>
              <a:sysClr val="windowText" lastClr="000000"/>
            </a:solidFill>
          </a:ln>
        </c:spPr>
        <c:txPr>
          <a:bodyPr rot="0" vert="horz"/>
          <a:lstStyle/>
          <a:p>
            <a:pPr>
              <a:defRPr/>
            </a:pPr>
            <a:endParaRPr lang="de-DE"/>
          </a:p>
        </c:txPr>
        <c:crossAx val="63240448"/>
        <c:crosses val="autoZero"/>
        <c:crossBetween val="between"/>
        <c:minorUnit val="1"/>
      </c:valAx>
      <c:spPr>
        <a:solidFill>
          <a:schemeClr val="bg1">
            <a:lumMod val="95000"/>
          </a:schemeClr>
        </a:solidFill>
        <a:ln>
          <a:solidFill>
            <a:sysClr val="windowText" lastClr="000000"/>
          </a:solidFill>
        </a:ln>
      </c:spPr>
    </c:plotArea>
    <c:legend>
      <c:legendPos val="r"/>
      <c:layout>
        <c:manualLayout>
          <c:xMode val="edge"/>
          <c:yMode val="edge"/>
          <c:x val="0.90220850676493725"/>
          <c:y val="0.38049075944801047"/>
          <c:w val="8.7309843845276916E-2"/>
          <c:h val="0.20143068253986721"/>
        </c:manualLayout>
      </c:layout>
      <c:overlay val="0"/>
      <c:spPr>
        <a:solidFill>
          <a:schemeClr val="bg1"/>
        </a:solidFill>
        <a:ln>
          <a:solidFill>
            <a:sysClr val="windowText" lastClr="000000"/>
          </a:solidFill>
        </a:ln>
      </c:spPr>
    </c:legend>
    <c:plotVisOnly val="1"/>
    <c:dispBlanksAs val="gap"/>
    <c:showDLblsOverMax val="0"/>
  </c:chart>
  <c:spPr>
    <a:ln>
      <a:solidFill>
        <a:schemeClr val="bg1">
          <a:lumMod val="75000"/>
        </a:schemeClr>
      </a:solidFill>
    </a:ln>
  </c:spPr>
  <c:txPr>
    <a:bodyPr/>
    <a:lstStyle/>
    <a:p>
      <a:pPr>
        <a:defRPr>
          <a:latin typeface="Univers" panose="020B0603020202030204" pitchFamily="34" charset="0"/>
        </a:defRPr>
      </a:pPr>
      <a:endParaRPr lang="de-DE"/>
    </a:p>
  </c:txPr>
  <c:printSettings>
    <c:headerFooter alignWithMargins="0"/>
    <c:pageMargins b="0.984251969" l="0.78740157499999996" r="0.78740157499999996" t="0.984251969" header="0.4921259845" footer="0.492125984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0"/>
    </mc:Choice>
    <mc:Fallback>
      <c:style val="10"/>
    </mc:Fallback>
  </mc:AlternateContent>
  <c:chart>
    <c:title>
      <c:tx>
        <c:strRef>
          <c:f>Statistic!$C$5</c:f>
          <c:strCache>
            <c:ptCount val="1"/>
            <c:pt idx="0">
              <c:v>N.o.k.-parts</c:v>
            </c:pt>
          </c:strCache>
        </c:strRef>
      </c:tx>
      <c:layout>
        <c:manualLayout>
          <c:xMode val="edge"/>
          <c:yMode val="edge"/>
          <c:x val="0.43928923988154001"/>
          <c:y val="3.1468531468531472E-2"/>
        </c:manualLayout>
      </c:layout>
      <c:overlay val="0"/>
      <c:spPr>
        <a:ln>
          <a:noFill/>
        </a:ln>
      </c:spPr>
      <c:txPr>
        <a:bodyPr/>
        <a:lstStyle/>
        <a:p>
          <a:pPr>
            <a:defRPr/>
          </a:pPr>
          <a:endParaRPr lang="de-DE"/>
        </a:p>
      </c:txPr>
    </c:title>
    <c:autoTitleDeleted val="0"/>
    <c:plotArea>
      <c:layout>
        <c:manualLayout>
          <c:layoutTarget val="inner"/>
          <c:xMode val="edge"/>
          <c:yMode val="edge"/>
          <c:x val="3.0736832182525077E-2"/>
          <c:y val="0.14335688810657524"/>
          <c:w val="0.85981105897116394"/>
          <c:h val="0.67622510421491433"/>
        </c:manualLayout>
      </c:layout>
      <c:barChart>
        <c:barDir val="col"/>
        <c:grouping val="clustered"/>
        <c:varyColors val="0"/>
        <c:ser>
          <c:idx val="2"/>
          <c:order val="0"/>
          <c:tx>
            <c:strRef>
              <c:f>Statistic!$C$9</c:f>
              <c:strCache>
                <c:ptCount val="1"/>
                <c:pt idx="0">
                  <c:v>…</c:v>
                </c:pt>
              </c:strCache>
            </c:strRef>
          </c:tx>
          <c:invertIfNegative val="0"/>
          <c:cat>
            <c:numRef>
              <c:f>(Statistic!$D$6:$S$6,Statistic!$D$11:$S$11,Statistic!$D$16:$S$16,Statistic!$D$21:$S$21,Statistic!$D$26:$S$26)</c:f>
              <c:numCache>
                <c:formatCode>m/d/yyyy</c:formatCode>
                <c:ptCount val="80"/>
              </c:numCache>
            </c:numRef>
          </c:cat>
          <c:val>
            <c:numRef>
              <c:f>(Statistic!$D$9:$S$9,Statistic!$D$14:$S$14,Statistic!$D$19:$S$19,Statistic!$D$24:$S$24,Statistic!$D$29:$S$29)</c:f>
              <c:numCache>
                <c:formatCode>0</c:formatCode>
                <c:ptCount val="80"/>
              </c:numCache>
            </c:numRef>
          </c:val>
          <c:extLst>
            <c:ext xmlns:c16="http://schemas.microsoft.com/office/drawing/2014/chart" uri="{C3380CC4-5D6E-409C-BE32-E72D297353CC}">
              <c16:uniqueId val="{00000000-9BC3-4AB8-992C-A67758A6880C}"/>
            </c:ext>
          </c:extLst>
        </c:ser>
        <c:ser>
          <c:idx val="1"/>
          <c:order val="1"/>
          <c:tx>
            <c:strRef>
              <c:f>Statistic!$C$8</c:f>
              <c:strCache>
                <c:ptCount val="1"/>
                <c:pt idx="0">
                  <c:v>Internal</c:v>
                </c:pt>
              </c:strCache>
            </c:strRef>
          </c:tx>
          <c:invertIfNegative val="0"/>
          <c:cat>
            <c:numRef>
              <c:f>(Statistic!$D$6:$S$6,Statistic!$D$11:$S$11,Statistic!$D$16:$S$16,Statistic!$D$21:$S$21,Statistic!$D$26:$S$26)</c:f>
              <c:numCache>
                <c:formatCode>m/d/yyyy</c:formatCode>
                <c:ptCount val="80"/>
              </c:numCache>
            </c:numRef>
          </c:cat>
          <c:val>
            <c:numRef>
              <c:f>(Statistic!$D$8:$S$8,Statistic!$D$13:$S$13,Statistic!$D$18:$S$18,Statistic!$D$23:$S$23,Statistic!$D$28:$S$28)</c:f>
              <c:numCache>
                <c:formatCode>0</c:formatCode>
                <c:ptCount val="80"/>
              </c:numCache>
            </c:numRef>
          </c:val>
          <c:extLst>
            <c:ext xmlns:c16="http://schemas.microsoft.com/office/drawing/2014/chart" uri="{C3380CC4-5D6E-409C-BE32-E72D297353CC}">
              <c16:uniqueId val="{00000001-9BC3-4AB8-992C-A67758A6880C}"/>
            </c:ext>
          </c:extLst>
        </c:ser>
        <c:ser>
          <c:idx val="0"/>
          <c:order val="2"/>
          <c:tx>
            <c:strRef>
              <c:f>Statistic!$C$7</c:f>
              <c:strCache>
                <c:ptCount val="1"/>
                <c:pt idx="0">
                  <c:v>Customer</c:v>
                </c:pt>
              </c:strCache>
            </c:strRef>
          </c:tx>
          <c:invertIfNegative val="0"/>
          <c:cat>
            <c:numRef>
              <c:f>(Statistic!$D$6:$S$6,Statistic!$D$11:$S$11,Statistic!$D$16:$S$16,Statistic!$D$21:$S$21,Statistic!$D$26:$S$26)</c:f>
              <c:numCache>
                <c:formatCode>m/d/yyyy</c:formatCode>
                <c:ptCount val="80"/>
              </c:numCache>
            </c:numRef>
          </c:cat>
          <c:val>
            <c:numRef>
              <c:f>(Statistic!$D$7:$S$7,Statistic!$D$12:$S$12,Statistic!$D$17:$S$17,Statistic!$D$22:$S$22,Statistic!$D$27:$S$27)</c:f>
              <c:numCache>
                <c:formatCode>0</c:formatCode>
                <c:ptCount val="80"/>
              </c:numCache>
            </c:numRef>
          </c:val>
          <c:extLst>
            <c:ext xmlns:c16="http://schemas.microsoft.com/office/drawing/2014/chart" uri="{C3380CC4-5D6E-409C-BE32-E72D297353CC}">
              <c16:uniqueId val="{00000002-9BC3-4AB8-992C-A67758A6880C}"/>
            </c:ext>
          </c:extLst>
        </c:ser>
        <c:dLbls>
          <c:showLegendKey val="0"/>
          <c:showVal val="0"/>
          <c:showCatName val="0"/>
          <c:showSerName val="0"/>
          <c:showPercent val="0"/>
          <c:showBubbleSize val="0"/>
        </c:dLbls>
        <c:gapWidth val="150"/>
        <c:axId val="63407616"/>
        <c:axId val="63409152"/>
      </c:barChart>
      <c:catAx>
        <c:axId val="63407616"/>
        <c:scaling>
          <c:orientation val="minMax"/>
        </c:scaling>
        <c:delete val="0"/>
        <c:axPos val="b"/>
        <c:numFmt formatCode="m/d/yyyy" sourceLinked="1"/>
        <c:majorTickMark val="out"/>
        <c:minorTickMark val="none"/>
        <c:tickLblPos val="nextTo"/>
        <c:spPr>
          <a:ln>
            <a:solidFill>
              <a:sysClr val="windowText" lastClr="000000"/>
            </a:solidFill>
          </a:ln>
        </c:spPr>
        <c:txPr>
          <a:bodyPr rot="-4500000" vert="horz"/>
          <a:lstStyle/>
          <a:p>
            <a:pPr>
              <a:defRPr/>
            </a:pPr>
            <a:endParaRPr lang="de-DE"/>
          </a:p>
        </c:txPr>
        <c:crossAx val="63409152"/>
        <c:crossesAt val="0"/>
        <c:auto val="1"/>
        <c:lblAlgn val="ctr"/>
        <c:lblOffset val="100"/>
        <c:noMultiLvlLbl val="1"/>
      </c:catAx>
      <c:valAx>
        <c:axId val="63409152"/>
        <c:scaling>
          <c:orientation val="minMax"/>
        </c:scaling>
        <c:delete val="0"/>
        <c:axPos val="l"/>
        <c:majorGridlines/>
        <c:numFmt formatCode="0" sourceLinked="1"/>
        <c:majorTickMark val="out"/>
        <c:minorTickMark val="none"/>
        <c:tickLblPos val="nextTo"/>
        <c:spPr>
          <a:ln>
            <a:solidFill>
              <a:sysClr val="windowText" lastClr="000000"/>
            </a:solidFill>
          </a:ln>
        </c:spPr>
        <c:txPr>
          <a:bodyPr rot="0" vert="horz"/>
          <a:lstStyle/>
          <a:p>
            <a:pPr>
              <a:defRPr sz="1000"/>
            </a:pPr>
            <a:endParaRPr lang="de-DE"/>
          </a:p>
        </c:txPr>
        <c:crossAx val="63407616"/>
        <c:crosses val="autoZero"/>
        <c:crossBetween val="between"/>
        <c:minorUnit val="1"/>
      </c:valAx>
      <c:spPr>
        <a:solidFill>
          <a:schemeClr val="bg1">
            <a:lumMod val="95000"/>
          </a:schemeClr>
        </a:solidFill>
        <a:ln>
          <a:solidFill>
            <a:sysClr val="windowText" lastClr="000000"/>
          </a:solidFill>
        </a:ln>
      </c:spPr>
    </c:plotArea>
    <c:legend>
      <c:legendPos val="r"/>
      <c:layout>
        <c:manualLayout>
          <c:xMode val="edge"/>
          <c:yMode val="edge"/>
          <c:x val="0.89967171275307756"/>
          <c:y val="0.34968784876973952"/>
          <c:w val="5.5285024856790134E-2"/>
          <c:h val="0.21227420101899028"/>
        </c:manualLayout>
      </c:layout>
      <c:overlay val="0"/>
      <c:spPr>
        <a:ln>
          <a:solidFill>
            <a:sysClr val="windowText" lastClr="000000"/>
          </a:solidFill>
        </a:ln>
      </c:spPr>
    </c:legend>
    <c:plotVisOnly val="1"/>
    <c:dispBlanksAs val="gap"/>
    <c:showDLblsOverMax val="0"/>
  </c:chart>
  <c:spPr>
    <a:ln>
      <a:solidFill>
        <a:schemeClr val="bg1">
          <a:lumMod val="75000"/>
        </a:schemeClr>
      </a:solidFill>
    </a:ln>
  </c:spPr>
  <c:txPr>
    <a:bodyPr/>
    <a:lstStyle/>
    <a:p>
      <a:pPr>
        <a:defRPr>
          <a:latin typeface="Univers" panose="020B0603020202030204" pitchFamily="34" charset="0"/>
        </a:defRPr>
      </a:pPr>
      <a:endParaRPr lang="de-DE"/>
    </a:p>
  </c:txPr>
  <c:printSettings>
    <c:headerFooter alignWithMargins="0"/>
    <c:pageMargins b="0.984251969" l="0.78740157499999996" r="0.78740157499999996" t="0.984251969" header="0.4921259845" footer="0.492125984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8.8339794121778101E-2"/>
          <c:y val="4.4071552611508011E-2"/>
          <c:w val="0.83265694416038016"/>
          <c:h val="0.88502683148813366"/>
        </c:manualLayout>
      </c:layout>
      <c:barChart>
        <c:barDir val="col"/>
        <c:grouping val="clustered"/>
        <c:varyColors val="0"/>
        <c:ser>
          <c:idx val="0"/>
          <c:order val="0"/>
          <c:tx>
            <c:strRef>
              <c:f>'Action plan'!$D$9</c:f>
              <c:strCache>
                <c:ptCount val="1"/>
                <c:pt idx="0">
                  <c:v>completed</c:v>
                </c:pt>
              </c:strCache>
            </c:strRef>
          </c:tx>
          <c:spPr>
            <a:solidFill>
              <a:srgbClr val="00FF00"/>
            </a:solidFill>
            <a:ln>
              <a:solidFill>
                <a:schemeClr val="tx1"/>
              </a:solidFill>
            </a:ln>
          </c:spPr>
          <c:invertIfNegative val="0"/>
          <c:dPt>
            <c:idx val="0"/>
            <c:invertIfNegative val="0"/>
            <c:bubble3D val="0"/>
            <c:extLst>
              <c:ext xmlns:c16="http://schemas.microsoft.com/office/drawing/2014/chart" uri="{C3380CC4-5D6E-409C-BE32-E72D297353CC}">
                <c16:uniqueId val="{00000000-6044-4CA6-8358-1AA38DAC8B94}"/>
              </c:ext>
            </c:extLst>
          </c:dPt>
          <c:dPt>
            <c:idx val="1"/>
            <c:invertIfNegative val="0"/>
            <c:bubble3D val="0"/>
            <c:extLst>
              <c:ext xmlns:c16="http://schemas.microsoft.com/office/drawing/2014/chart" uri="{C3380CC4-5D6E-409C-BE32-E72D297353CC}">
                <c16:uniqueId val="{00000001-6044-4CA6-8358-1AA38DAC8B94}"/>
              </c:ext>
            </c:extLst>
          </c:dPt>
          <c:dPt>
            <c:idx val="2"/>
            <c:invertIfNegative val="0"/>
            <c:bubble3D val="0"/>
            <c:extLst>
              <c:ext xmlns:c16="http://schemas.microsoft.com/office/drawing/2014/chart" uri="{C3380CC4-5D6E-409C-BE32-E72D297353CC}">
                <c16:uniqueId val="{00000002-6044-4CA6-8358-1AA38DAC8B94}"/>
              </c:ext>
            </c:extLst>
          </c:dPt>
          <c:dPt>
            <c:idx val="3"/>
            <c:invertIfNegative val="0"/>
            <c:bubble3D val="0"/>
            <c:extLst>
              <c:ext xmlns:c16="http://schemas.microsoft.com/office/drawing/2014/chart" uri="{C3380CC4-5D6E-409C-BE32-E72D297353CC}">
                <c16:uniqueId val="{00000003-6044-4CA6-8358-1AA38DAC8B94}"/>
              </c:ext>
            </c:extLst>
          </c:dPt>
          <c:dLbls>
            <c:delete val="1"/>
          </c:dLbls>
          <c:val>
            <c:numRef>
              <c:f>'Action plan'!$E$9</c:f>
              <c:numCache>
                <c:formatCode>General</c:formatCode>
                <c:ptCount val="1"/>
                <c:pt idx="0">
                  <c:v>0</c:v>
                </c:pt>
              </c:numCache>
            </c:numRef>
          </c:val>
          <c:extLst>
            <c:ext xmlns:c16="http://schemas.microsoft.com/office/drawing/2014/chart" uri="{C3380CC4-5D6E-409C-BE32-E72D297353CC}">
              <c16:uniqueId val="{00000004-6044-4CA6-8358-1AA38DAC8B94}"/>
            </c:ext>
          </c:extLst>
        </c:ser>
        <c:ser>
          <c:idx val="1"/>
          <c:order val="1"/>
          <c:tx>
            <c:strRef>
              <c:f>'Action plan'!$D$10</c:f>
              <c:strCache>
                <c:ptCount val="1"/>
                <c:pt idx="0">
                  <c:v>in progress</c:v>
                </c:pt>
              </c:strCache>
            </c:strRef>
          </c:tx>
          <c:spPr>
            <a:solidFill>
              <a:schemeClr val="bg1"/>
            </a:solidFill>
            <a:ln>
              <a:solidFill>
                <a:schemeClr val="tx1"/>
              </a:solidFill>
            </a:ln>
          </c:spPr>
          <c:invertIfNegative val="0"/>
          <c:dLbls>
            <c:delete val="1"/>
          </c:dLbls>
          <c:val>
            <c:numRef>
              <c:f>'Action plan'!$E$10</c:f>
              <c:numCache>
                <c:formatCode>General</c:formatCode>
                <c:ptCount val="1"/>
                <c:pt idx="0">
                  <c:v>0</c:v>
                </c:pt>
              </c:numCache>
            </c:numRef>
          </c:val>
          <c:extLst>
            <c:ext xmlns:c16="http://schemas.microsoft.com/office/drawing/2014/chart" uri="{C3380CC4-5D6E-409C-BE32-E72D297353CC}">
              <c16:uniqueId val="{00000005-6044-4CA6-8358-1AA38DAC8B94}"/>
            </c:ext>
          </c:extLst>
        </c:ser>
        <c:ser>
          <c:idx val="2"/>
          <c:order val="2"/>
          <c:tx>
            <c:strRef>
              <c:f>'Action plan'!$D$11</c:f>
              <c:strCache>
                <c:ptCount val="1"/>
                <c:pt idx="0">
                  <c:v>behind schedule</c:v>
                </c:pt>
              </c:strCache>
            </c:strRef>
          </c:tx>
          <c:spPr>
            <a:solidFill>
              <a:srgbClr val="FFFF00"/>
            </a:solidFill>
            <a:ln>
              <a:solidFill>
                <a:schemeClr val="tx1"/>
              </a:solidFill>
            </a:ln>
          </c:spPr>
          <c:invertIfNegative val="0"/>
          <c:dLbls>
            <c:delete val="1"/>
          </c:dLbls>
          <c:val>
            <c:numRef>
              <c:f>'Action plan'!$E$11</c:f>
              <c:numCache>
                <c:formatCode>General</c:formatCode>
                <c:ptCount val="1"/>
                <c:pt idx="0">
                  <c:v>0</c:v>
                </c:pt>
              </c:numCache>
            </c:numRef>
          </c:val>
          <c:extLst>
            <c:ext xmlns:c16="http://schemas.microsoft.com/office/drawing/2014/chart" uri="{C3380CC4-5D6E-409C-BE32-E72D297353CC}">
              <c16:uniqueId val="{00000006-6044-4CA6-8358-1AA38DAC8B94}"/>
            </c:ext>
          </c:extLst>
        </c:ser>
        <c:ser>
          <c:idx val="3"/>
          <c:order val="3"/>
          <c:tx>
            <c:strRef>
              <c:f>'Action plan'!$D$12</c:f>
              <c:strCache>
                <c:ptCount val="1"/>
                <c:pt idx="0">
                  <c:v>critical</c:v>
                </c:pt>
              </c:strCache>
            </c:strRef>
          </c:tx>
          <c:spPr>
            <a:ln>
              <a:solidFill>
                <a:schemeClr val="tx1"/>
              </a:solidFill>
            </a:ln>
          </c:spPr>
          <c:invertIfNegative val="0"/>
          <c:dPt>
            <c:idx val="0"/>
            <c:invertIfNegative val="0"/>
            <c:bubble3D val="0"/>
            <c:spPr>
              <a:solidFill>
                <a:srgbClr val="FF0000"/>
              </a:solidFill>
              <a:ln>
                <a:solidFill>
                  <a:schemeClr val="tx1"/>
                </a:solidFill>
              </a:ln>
            </c:spPr>
            <c:extLst>
              <c:ext xmlns:c16="http://schemas.microsoft.com/office/drawing/2014/chart" uri="{C3380CC4-5D6E-409C-BE32-E72D297353CC}">
                <c16:uniqueId val="{00000008-6044-4CA6-8358-1AA38DAC8B94}"/>
              </c:ext>
            </c:extLst>
          </c:dPt>
          <c:dLbls>
            <c:delete val="1"/>
          </c:dLbls>
          <c:val>
            <c:numRef>
              <c:f>'Action plan'!$E$12</c:f>
              <c:numCache>
                <c:formatCode>General</c:formatCode>
                <c:ptCount val="1"/>
                <c:pt idx="0">
                  <c:v>0</c:v>
                </c:pt>
              </c:numCache>
            </c:numRef>
          </c:val>
          <c:extLst>
            <c:ext xmlns:c16="http://schemas.microsoft.com/office/drawing/2014/chart" uri="{C3380CC4-5D6E-409C-BE32-E72D297353CC}">
              <c16:uniqueId val="{00000009-6044-4CA6-8358-1AA38DAC8B94}"/>
            </c:ext>
          </c:extLst>
        </c:ser>
        <c:dLbls>
          <c:showLegendKey val="0"/>
          <c:showVal val="1"/>
          <c:showCatName val="0"/>
          <c:showSerName val="0"/>
          <c:showPercent val="0"/>
          <c:showBubbleSize val="0"/>
        </c:dLbls>
        <c:gapWidth val="100"/>
        <c:overlap val="-50"/>
        <c:axId val="219908736"/>
        <c:axId val="219907200"/>
      </c:barChart>
      <c:valAx>
        <c:axId val="219907200"/>
        <c:scaling>
          <c:orientation val="minMax"/>
        </c:scaling>
        <c:delete val="0"/>
        <c:axPos val="l"/>
        <c:majorGridlines/>
        <c:numFmt formatCode="General" sourceLinked="1"/>
        <c:majorTickMark val="out"/>
        <c:minorTickMark val="none"/>
        <c:tickLblPos val="nextTo"/>
        <c:crossAx val="219908736"/>
        <c:crosses val="autoZero"/>
        <c:crossBetween val="between"/>
      </c:valAx>
      <c:catAx>
        <c:axId val="219908736"/>
        <c:scaling>
          <c:orientation val="minMax"/>
        </c:scaling>
        <c:delete val="1"/>
        <c:axPos val="b"/>
        <c:majorTickMark val="out"/>
        <c:minorTickMark val="none"/>
        <c:tickLblPos val="nextTo"/>
        <c:crossAx val="219907200"/>
        <c:crosses val="autoZero"/>
        <c:auto val="1"/>
        <c:lblAlgn val="ctr"/>
        <c:lblOffset val="100"/>
        <c:noMultiLvlLbl val="0"/>
      </c:catAx>
      <c:spPr>
        <a:ln>
          <a:solidFill>
            <a:schemeClr val="tx1">
              <a:lumMod val="50000"/>
              <a:lumOff val="50000"/>
            </a:schemeClr>
          </a:solidFill>
        </a:ln>
      </c:spPr>
    </c:plotArea>
    <c:plotVisOnly val="1"/>
    <c:dispBlanksAs val="gap"/>
    <c:showDLblsOverMax val="0"/>
  </c:chart>
  <c:spPr>
    <a:ln w="6350">
      <a:noFill/>
    </a:ln>
  </c:spPr>
  <c:txPr>
    <a:bodyPr/>
    <a:lstStyle/>
    <a:p>
      <a:pPr>
        <a:defRPr sz="1000"/>
      </a:pPr>
      <a:endParaRPr lang="de-DE"/>
    </a:p>
  </c:txPr>
  <c:printSettings>
    <c:headerFooter/>
    <c:pageMargins b="0.78740157499999996" l="0.7" r="0.7" t="0.7874015749999999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hyperlink" Target="#'8D-Report'!A1"/></Relationships>
</file>

<file path=xl/drawings/_rels/drawing2.xml.rels><?xml version="1.0" encoding="UTF-8" standalone="yes"?>
<Relationships xmlns="http://schemas.openxmlformats.org/package/2006/relationships"><Relationship Id="rId8" Type="http://schemas.openxmlformats.org/officeDocument/2006/relationships/hyperlink" Target="#Statistic!C31:C50"/><Relationship Id="rId3" Type="http://schemas.openxmlformats.org/officeDocument/2006/relationships/hyperlink" Target="#'C&amp;E'!A1"/><Relationship Id="rId7" Type="http://schemas.openxmlformats.org/officeDocument/2006/relationships/hyperlink" Target="#Statistic!C53:C66"/><Relationship Id="rId12" Type="http://schemas.openxmlformats.org/officeDocument/2006/relationships/hyperlink" Target="#'Read-Across'!A1"/><Relationship Id="rId2" Type="http://schemas.openxmlformats.org/officeDocument/2006/relationships/hyperlink" Target="#'Failure Visualisation'!A1"/><Relationship Id="rId1" Type="http://schemas.openxmlformats.org/officeDocument/2006/relationships/hyperlink" Target="#Verify!A1"/><Relationship Id="rId6" Type="http://schemas.openxmlformats.org/officeDocument/2006/relationships/hyperlink" Target="#Ishikawa!A1"/><Relationship Id="rId11" Type="http://schemas.openxmlformats.org/officeDocument/2006/relationships/hyperlink" Target="#Help!B24"/><Relationship Id="rId5" Type="http://schemas.openxmlformats.org/officeDocument/2006/relationships/hyperlink" Target="#'5Why'!A1"/><Relationship Id="rId10" Type="http://schemas.openxmlformats.org/officeDocument/2006/relationships/hyperlink" Target="#'Is IsNot'!A1"/><Relationship Id="rId4" Type="http://schemas.openxmlformats.org/officeDocument/2006/relationships/hyperlink" Target="#'Action plan'!A1"/><Relationship Id="rId9" Type="http://schemas.openxmlformats.org/officeDocument/2006/relationships/hyperlink" Target="#Evaluation!A1"/></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5Why'!A1"/><Relationship Id="rId1" Type="http://schemas.openxmlformats.org/officeDocument/2006/relationships/hyperlink" Target="#Help!A36:A44"/></Relationships>
</file>

<file path=xl/drawings/_rels/drawing7.xml.rels><?xml version="1.0" encoding="UTF-8" standalone="yes"?>
<Relationships xmlns="http://schemas.openxmlformats.org/package/2006/relationships"><Relationship Id="rId1" Type="http://schemas.openxmlformats.org/officeDocument/2006/relationships/hyperlink" Target="#'8D-Report'!A1"/></Relationships>
</file>

<file path=xl/drawings/_rels/drawing8.xml.rels><?xml version="1.0" encoding="UTF-8" standalone="yes"?>
<Relationships xmlns="http://schemas.openxmlformats.org/package/2006/relationships"><Relationship Id="rId1" Type="http://schemas.openxmlformats.org/officeDocument/2006/relationships/chart" Target="../charts/chart3.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3</xdr:col>
      <xdr:colOff>615203</xdr:colOff>
      <xdr:row>5</xdr:row>
      <xdr:rowOff>0</xdr:rowOff>
    </xdr:from>
    <xdr:to>
      <xdr:col>7</xdr:col>
      <xdr:colOff>0</xdr:colOff>
      <xdr:row>9</xdr:row>
      <xdr:rowOff>0</xdr:rowOff>
    </xdr:to>
    <xdr:sp macro="" textlink="Buttons!B2">
      <xdr:nvSpPr>
        <xdr:cNvPr id="72" name="Rechteck 71">
          <a:hlinkClick xmlns:r="http://schemas.openxmlformats.org/officeDocument/2006/relationships" r:id="rId1"/>
          <a:extLst>
            <a:ext uri="{FF2B5EF4-FFF2-40B4-BE49-F238E27FC236}">
              <a16:creationId xmlns:a16="http://schemas.microsoft.com/office/drawing/2014/main" id="{00000000-0008-0000-0000-000048000000}"/>
            </a:ext>
          </a:extLst>
        </xdr:cNvPr>
        <xdr:cNvSpPr>
          <a:spLocks/>
        </xdr:cNvSpPr>
      </xdr:nvSpPr>
      <xdr:spPr>
        <a:xfrm>
          <a:off x="1662953" y="1571625"/>
          <a:ext cx="1480297" cy="914400"/>
        </a:xfrm>
        <a:prstGeom prst="rect">
          <a:avLst/>
        </a:prstGeom>
        <a:solidFill>
          <a:schemeClr val="bg1">
            <a:lumMod val="65000"/>
          </a:schemeClr>
        </a:solidFill>
        <a:ln>
          <a:solidFill>
            <a:schemeClr val="bg1">
              <a:lumMod val="65000"/>
            </a:schemeClr>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862F3F25-E775-4070-8F78-A4C7A6BACD6B}" type="TxLink">
            <a:rPr lang="en-US" sz="1600" b="1" i="0" u="none" strike="noStrike">
              <a:solidFill>
                <a:srgbClr val="000000"/>
              </a:solidFill>
              <a:latin typeface="Univers"/>
            </a:rPr>
            <a:pPr algn="ctr"/>
            <a:t>To 8D - Report</a:t>
          </a:fld>
          <a:endParaRPr lang="de-DE" sz="1600" b="1" u="none">
            <a:solidFill>
              <a:sysClr val="windowText" lastClr="000000"/>
            </a:solidFill>
            <a:latin typeface="Univers" panose="020B0603020202030204" pitchFamily="34" charset="0"/>
          </a:endParaRP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82</xdr:col>
      <xdr:colOff>0</xdr:colOff>
      <xdr:row>167</xdr:row>
      <xdr:rowOff>0</xdr:rowOff>
    </xdr:from>
    <xdr:to>
      <xdr:col>97</xdr:col>
      <xdr:colOff>0</xdr:colOff>
      <xdr:row>168</xdr:row>
      <xdr:rowOff>1</xdr:rowOff>
    </xdr:to>
    <xdr:sp macro="" textlink="Buttons!B27">
      <xdr:nvSpPr>
        <xdr:cNvPr id="10" name="Rechteck 9">
          <a:hlinkClick xmlns:r="http://schemas.openxmlformats.org/officeDocument/2006/relationships" r:id="rId1"/>
          <a:extLst>
            <a:ext uri="{FF2B5EF4-FFF2-40B4-BE49-F238E27FC236}">
              <a16:creationId xmlns:a16="http://schemas.microsoft.com/office/drawing/2014/main" id="{00000000-0008-0000-0100-00000A000000}"/>
            </a:ext>
          </a:extLst>
        </xdr:cNvPr>
        <xdr:cNvSpPr/>
      </xdr:nvSpPr>
      <xdr:spPr>
        <a:xfrm>
          <a:off x="11572875" y="30394275"/>
          <a:ext cx="1428750" cy="419101"/>
        </a:xfrm>
        <a:prstGeom prst="rect">
          <a:avLst/>
        </a:prstGeom>
        <a:solidFill>
          <a:schemeClr val="bg1">
            <a:lumMod val="65000"/>
          </a:schemeClr>
        </a:solidFill>
        <a:ln w="12700">
          <a:solidFill>
            <a:sysClr val="windowText" lastClr="000000"/>
          </a:solidFill>
        </a:ln>
        <a:scene3d>
          <a:camera prst="orthographicFront"/>
          <a:lightRig rig="threePt" dir="t"/>
        </a:scene3d>
        <a:sp3d>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fld id="{D5FE92FF-FAF2-4EAB-9D7E-4AF10108F3A6}" type="TxLink">
            <a:rPr lang="en-US" altLang="ko-KR" sz="1400" b="1" i="0" u="none" strike="noStrike">
              <a:solidFill>
                <a:srgbClr val="000000"/>
              </a:solidFill>
              <a:latin typeface="Univers"/>
            </a:rPr>
            <a:pPr algn="ctr"/>
            <a:t>Verify influences</a:t>
          </a:fld>
          <a:endParaRPr lang="de-DE" sz="1100" b="1">
            <a:solidFill>
              <a:sysClr val="windowText" lastClr="000000"/>
            </a:solidFill>
            <a:latin typeface="Univers" panose="020B0603020202030204" pitchFamily="34" charset="0"/>
          </a:endParaRPr>
        </a:p>
      </xdr:txBody>
    </xdr:sp>
    <xdr:clientData fPrintsWithSheet="0"/>
  </xdr:twoCellAnchor>
  <xdr:twoCellAnchor editAs="oneCell">
    <xdr:from>
      <xdr:col>82</xdr:col>
      <xdr:colOff>0</xdr:colOff>
      <xdr:row>238</xdr:row>
      <xdr:rowOff>0</xdr:rowOff>
    </xdr:from>
    <xdr:to>
      <xdr:col>97</xdr:col>
      <xdr:colOff>0</xdr:colOff>
      <xdr:row>241</xdr:row>
      <xdr:rowOff>0</xdr:rowOff>
    </xdr:to>
    <xdr:sp macro="" textlink="Buttons!B31">
      <xdr:nvSpPr>
        <xdr:cNvPr id="11" name="Rechteck 10">
          <a:hlinkClick xmlns:r="http://schemas.openxmlformats.org/officeDocument/2006/relationships" r:id="rId2"/>
          <a:extLst>
            <a:ext uri="{FF2B5EF4-FFF2-40B4-BE49-F238E27FC236}">
              <a16:creationId xmlns:a16="http://schemas.microsoft.com/office/drawing/2014/main" id="{00000000-0008-0000-0100-00000B000000}"/>
            </a:ext>
          </a:extLst>
        </xdr:cNvPr>
        <xdr:cNvSpPr/>
      </xdr:nvSpPr>
      <xdr:spPr>
        <a:xfrm>
          <a:off x="11572875" y="47167800"/>
          <a:ext cx="2143125" cy="428625"/>
        </a:xfrm>
        <a:prstGeom prst="rect">
          <a:avLst/>
        </a:prstGeom>
        <a:solidFill>
          <a:schemeClr val="bg1">
            <a:lumMod val="65000"/>
          </a:schemeClr>
        </a:solidFill>
        <a:ln w="12700">
          <a:solidFill>
            <a:sysClr val="windowText" lastClr="000000"/>
          </a:solidFill>
        </a:ln>
        <a:scene3d>
          <a:camera prst="orthographicFront"/>
          <a:lightRig rig="threePt" dir="t"/>
        </a:scene3d>
        <a:sp3d>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fld id="{32754F53-07D6-48E4-B20D-EB5D9927C2BA}" type="TxLink">
            <a:rPr lang="en-US" altLang="ko-KR" sz="1400" b="1" i="0" u="none" strike="noStrike">
              <a:solidFill>
                <a:srgbClr val="000000"/>
              </a:solidFill>
              <a:latin typeface="Univers"/>
            </a:rPr>
            <a:pPr algn="ctr"/>
            <a:t>Failure Visualisation</a:t>
          </a:fld>
          <a:endParaRPr lang="de-DE" sz="1100" b="1">
            <a:solidFill>
              <a:sysClr val="windowText" lastClr="000000"/>
            </a:solidFill>
            <a:latin typeface="Univers" panose="020B0603020202030204" pitchFamily="34" charset="0"/>
          </a:endParaRPr>
        </a:p>
      </xdr:txBody>
    </xdr:sp>
    <xdr:clientData fPrintsWithSheet="0"/>
  </xdr:twoCellAnchor>
  <xdr:twoCellAnchor>
    <xdr:from>
      <xdr:col>82</xdr:col>
      <xdr:colOff>0</xdr:colOff>
      <xdr:row>164</xdr:row>
      <xdr:rowOff>0</xdr:rowOff>
    </xdr:from>
    <xdr:to>
      <xdr:col>97</xdr:col>
      <xdr:colOff>0</xdr:colOff>
      <xdr:row>167</xdr:row>
      <xdr:rowOff>0</xdr:rowOff>
    </xdr:to>
    <xdr:sp macro="" textlink="Buttons!B26">
      <xdr:nvSpPr>
        <xdr:cNvPr id="12" name="Rechteck 11">
          <a:hlinkClick xmlns:r="http://schemas.openxmlformats.org/officeDocument/2006/relationships" r:id="rId3"/>
          <a:extLst>
            <a:ext uri="{FF2B5EF4-FFF2-40B4-BE49-F238E27FC236}">
              <a16:creationId xmlns:a16="http://schemas.microsoft.com/office/drawing/2014/main" id="{00000000-0008-0000-0100-00000C000000}"/>
            </a:ext>
          </a:extLst>
        </xdr:cNvPr>
        <xdr:cNvSpPr/>
      </xdr:nvSpPr>
      <xdr:spPr>
        <a:xfrm>
          <a:off x="11572875" y="29937075"/>
          <a:ext cx="1428750" cy="457200"/>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indent="0" algn="ctr"/>
          <a:fld id="{CAA72616-BE36-4173-9BFA-372137E49F03}" type="TxLink">
            <a:rPr lang="en-US" altLang="ko-KR" sz="1400" b="1" i="0" u="none" strike="noStrike">
              <a:solidFill>
                <a:srgbClr val="000000"/>
              </a:solidFill>
              <a:latin typeface="Univers"/>
              <a:ea typeface="+mn-ea"/>
              <a:cs typeface="+mn-cs"/>
            </a:rPr>
            <a:pPr marL="0" indent="0" algn="ctr"/>
            <a:t>Cause &amp; Effect Matrix</a:t>
          </a:fld>
          <a:endParaRPr lang="de-DE" sz="1100" b="1" i="0" u="none" strike="noStrike">
            <a:solidFill>
              <a:srgbClr val="000000"/>
            </a:solidFill>
            <a:latin typeface="Univers"/>
            <a:ea typeface="+mn-ea"/>
            <a:cs typeface="+mn-cs"/>
          </a:endParaRPr>
        </a:p>
      </xdr:txBody>
    </xdr:sp>
    <xdr:clientData fPrintsWithSheet="0"/>
  </xdr:twoCellAnchor>
  <xdr:twoCellAnchor editAs="oneCell">
    <xdr:from>
      <xdr:col>82</xdr:col>
      <xdr:colOff>0</xdr:colOff>
      <xdr:row>241</xdr:row>
      <xdr:rowOff>0</xdr:rowOff>
    </xdr:from>
    <xdr:to>
      <xdr:col>97</xdr:col>
      <xdr:colOff>0</xdr:colOff>
      <xdr:row>244</xdr:row>
      <xdr:rowOff>0</xdr:rowOff>
    </xdr:to>
    <xdr:sp macro="" textlink="Buttons!B32">
      <xdr:nvSpPr>
        <xdr:cNvPr id="17" name="Rechteck 16">
          <a:hlinkClick xmlns:r="http://schemas.openxmlformats.org/officeDocument/2006/relationships" r:id="rId4"/>
          <a:extLst>
            <a:ext uri="{FF2B5EF4-FFF2-40B4-BE49-F238E27FC236}">
              <a16:creationId xmlns:a16="http://schemas.microsoft.com/office/drawing/2014/main" id="{00000000-0008-0000-0100-000011000000}"/>
            </a:ext>
          </a:extLst>
        </xdr:cNvPr>
        <xdr:cNvSpPr/>
      </xdr:nvSpPr>
      <xdr:spPr>
        <a:xfrm>
          <a:off x="11572875" y="47596425"/>
          <a:ext cx="2143125" cy="428625"/>
        </a:xfrm>
        <a:prstGeom prst="rect">
          <a:avLst/>
        </a:prstGeom>
        <a:solidFill>
          <a:schemeClr val="bg1">
            <a:lumMod val="65000"/>
          </a:schemeClr>
        </a:solidFill>
        <a:ln w="12700">
          <a:solidFill>
            <a:sysClr val="windowText" lastClr="000000"/>
          </a:solidFill>
        </a:ln>
        <a:scene3d>
          <a:camera prst="orthographicFront"/>
          <a:lightRig rig="threePt" dir="t"/>
        </a:scene3d>
        <a:sp3d>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fld id="{45AB997A-6600-49C6-AFCF-F60F94B3B01A}" type="TxLink">
            <a:rPr lang="en-US" altLang="ko-KR" sz="1200" b="1" i="0" u="none" strike="noStrike">
              <a:solidFill>
                <a:srgbClr val="000000"/>
              </a:solidFill>
              <a:latin typeface="Univers"/>
            </a:rPr>
            <a:pPr algn="ctr"/>
            <a:t>Internal action plan status list</a:t>
          </a:fld>
          <a:endParaRPr lang="de-DE" sz="1800" b="1">
            <a:solidFill>
              <a:sysClr val="windowText" lastClr="000000"/>
            </a:solidFill>
            <a:latin typeface="Univers" panose="020B0603020202030204" pitchFamily="34" charset="0"/>
          </a:endParaRPr>
        </a:p>
      </xdr:txBody>
    </xdr:sp>
    <xdr:clientData fPrintsWithSheet="0"/>
  </xdr:twoCellAnchor>
  <xdr:twoCellAnchor>
    <xdr:from>
      <xdr:col>82</xdr:col>
      <xdr:colOff>0</xdr:colOff>
      <xdr:row>168</xdr:row>
      <xdr:rowOff>1</xdr:rowOff>
    </xdr:from>
    <xdr:to>
      <xdr:col>97</xdr:col>
      <xdr:colOff>0</xdr:colOff>
      <xdr:row>169</xdr:row>
      <xdr:rowOff>1</xdr:rowOff>
    </xdr:to>
    <xdr:sp macro="" textlink="Buttons!B28">
      <xdr:nvSpPr>
        <xdr:cNvPr id="18" name="Rechteck 17">
          <a:hlinkClick xmlns:r="http://schemas.openxmlformats.org/officeDocument/2006/relationships" r:id="rId5"/>
          <a:extLst>
            <a:ext uri="{FF2B5EF4-FFF2-40B4-BE49-F238E27FC236}">
              <a16:creationId xmlns:a16="http://schemas.microsoft.com/office/drawing/2014/main" id="{00000000-0008-0000-0100-000012000000}"/>
            </a:ext>
          </a:extLst>
        </xdr:cNvPr>
        <xdr:cNvSpPr/>
      </xdr:nvSpPr>
      <xdr:spPr>
        <a:xfrm>
          <a:off x="11572875" y="30813376"/>
          <a:ext cx="1428750" cy="419100"/>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5BB66B9B-46D1-4427-A04D-9EA43B5B4FAB}" type="TxLink">
            <a:rPr lang="en-US" sz="1400" b="1" i="0" u="none" strike="noStrike">
              <a:solidFill>
                <a:srgbClr val="000000"/>
              </a:solidFill>
              <a:latin typeface="Univers"/>
              <a:ea typeface="+mn-ea"/>
              <a:cs typeface="+mn-cs"/>
            </a:rPr>
            <a:pPr marL="0" indent="0" algn="ctr"/>
            <a:t>5x Why</a:t>
          </a:fld>
          <a:endParaRPr lang="de-DE" sz="1100" b="1" i="0" u="none" strike="noStrike">
            <a:solidFill>
              <a:srgbClr val="000000"/>
            </a:solidFill>
            <a:latin typeface="Univers"/>
            <a:ea typeface="+mn-ea"/>
            <a:cs typeface="+mn-cs"/>
          </a:endParaRPr>
        </a:p>
      </xdr:txBody>
    </xdr:sp>
    <xdr:clientData fPrintsWithSheet="0"/>
  </xdr:twoCellAnchor>
  <xdr:twoCellAnchor>
    <xdr:from>
      <xdr:col>82</xdr:col>
      <xdr:colOff>0</xdr:colOff>
      <xdr:row>161</xdr:row>
      <xdr:rowOff>0</xdr:rowOff>
    </xdr:from>
    <xdr:to>
      <xdr:col>97</xdr:col>
      <xdr:colOff>0</xdr:colOff>
      <xdr:row>164</xdr:row>
      <xdr:rowOff>0</xdr:rowOff>
    </xdr:to>
    <xdr:sp macro="" textlink="Buttons!B25">
      <xdr:nvSpPr>
        <xdr:cNvPr id="19" name="Rechteck 18">
          <a:hlinkClick xmlns:r="http://schemas.openxmlformats.org/officeDocument/2006/relationships" r:id="rId6"/>
          <a:extLst>
            <a:ext uri="{FF2B5EF4-FFF2-40B4-BE49-F238E27FC236}">
              <a16:creationId xmlns:a16="http://schemas.microsoft.com/office/drawing/2014/main" id="{00000000-0008-0000-0100-000013000000}"/>
            </a:ext>
          </a:extLst>
        </xdr:cNvPr>
        <xdr:cNvSpPr/>
      </xdr:nvSpPr>
      <xdr:spPr>
        <a:xfrm>
          <a:off x="11572875" y="29479875"/>
          <a:ext cx="1428750" cy="457200"/>
        </a:xfrm>
        <a:prstGeom prst="rect">
          <a:avLst/>
        </a:prstGeom>
        <a:solidFill>
          <a:schemeClr val="bg1">
            <a:lumMod val="65000"/>
          </a:schemeClr>
        </a:solidFill>
        <a:ln w="12700">
          <a:solidFill>
            <a:sysClr val="windowText" lastClr="000000"/>
          </a:solidFill>
        </a:ln>
        <a:scene3d>
          <a:camera prst="orthographicFront"/>
          <a:lightRig rig="threePt" dir="t"/>
        </a:scene3d>
        <a:sp3d>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fld id="{91D707E7-DDE4-444A-9E39-3897608819AE}" type="TxLink">
            <a:rPr lang="en-US" altLang="ko-KR" sz="1400" b="1" i="0" u="none" strike="noStrike">
              <a:solidFill>
                <a:srgbClr val="000000"/>
              </a:solidFill>
              <a:latin typeface="Univers"/>
            </a:rPr>
            <a:pPr algn="ctr"/>
            <a:t>Ishikawa-Diagram</a:t>
          </a:fld>
          <a:endParaRPr lang="de-DE" sz="1100" b="1">
            <a:solidFill>
              <a:sysClr val="windowText" lastClr="000000"/>
            </a:solidFill>
            <a:latin typeface="Univers" panose="020B0603020202030204" pitchFamily="34" charset="0"/>
          </a:endParaRPr>
        </a:p>
      </xdr:txBody>
    </xdr:sp>
    <xdr:clientData fPrintsWithSheet="0"/>
  </xdr:twoCellAnchor>
  <xdr:twoCellAnchor>
    <xdr:from>
      <xdr:col>82</xdr:col>
      <xdr:colOff>0</xdr:colOff>
      <xdr:row>126</xdr:row>
      <xdr:rowOff>1</xdr:rowOff>
    </xdr:from>
    <xdr:to>
      <xdr:col>96</xdr:col>
      <xdr:colOff>141513</xdr:colOff>
      <xdr:row>128</xdr:row>
      <xdr:rowOff>141514</xdr:rowOff>
    </xdr:to>
    <xdr:sp macro="" textlink="Buttons!B23">
      <xdr:nvSpPr>
        <xdr:cNvPr id="20" name="Rechteck 19">
          <a:hlinkClick xmlns:r="http://schemas.openxmlformats.org/officeDocument/2006/relationships" r:id="rId7"/>
          <a:extLst>
            <a:ext uri="{FF2B5EF4-FFF2-40B4-BE49-F238E27FC236}">
              <a16:creationId xmlns:a16="http://schemas.microsoft.com/office/drawing/2014/main" id="{00000000-0008-0000-0100-000014000000}"/>
            </a:ext>
          </a:extLst>
        </xdr:cNvPr>
        <xdr:cNvSpPr/>
      </xdr:nvSpPr>
      <xdr:spPr>
        <a:xfrm>
          <a:off x="11462657" y="22266730"/>
          <a:ext cx="1415142" cy="424541"/>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indent="0" algn="ctr"/>
          <a:fld id="{2991C650-5A60-43EA-8E4C-AA969E616CD5}" type="TxLink">
            <a:rPr lang="en-US" altLang="ko-KR" sz="1400" b="1" i="0" u="none" strike="noStrike">
              <a:solidFill>
                <a:srgbClr val="000000"/>
              </a:solidFill>
              <a:latin typeface="Univers"/>
              <a:ea typeface="+mn-ea"/>
              <a:cs typeface="+mn-cs"/>
            </a:rPr>
            <a:pPr marL="0" indent="0" algn="ctr"/>
            <a:t>Sorting results</a:t>
          </a:fld>
          <a:endParaRPr lang="de-DE" sz="1000" b="1" i="0" u="none" strike="noStrike">
            <a:solidFill>
              <a:srgbClr val="000000"/>
            </a:solidFill>
            <a:latin typeface="Univers"/>
            <a:ea typeface="+mn-ea"/>
            <a:cs typeface="+mn-cs"/>
          </a:endParaRPr>
        </a:p>
      </xdr:txBody>
    </xdr:sp>
    <xdr:clientData fPrintsWithSheet="0"/>
  </xdr:twoCellAnchor>
  <xdr:twoCellAnchor>
    <xdr:from>
      <xdr:col>82</xdr:col>
      <xdr:colOff>0</xdr:colOff>
      <xdr:row>188</xdr:row>
      <xdr:rowOff>0</xdr:rowOff>
    </xdr:from>
    <xdr:to>
      <xdr:col>97</xdr:col>
      <xdr:colOff>0</xdr:colOff>
      <xdr:row>191</xdr:row>
      <xdr:rowOff>0</xdr:rowOff>
    </xdr:to>
    <xdr:sp macro="" textlink="Buttons!B29">
      <xdr:nvSpPr>
        <xdr:cNvPr id="21" name="Rechteck 20">
          <a:hlinkClick xmlns:r="http://schemas.openxmlformats.org/officeDocument/2006/relationships" r:id="rId8"/>
          <a:extLst>
            <a:ext uri="{FF2B5EF4-FFF2-40B4-BE49-F238E27FC236}">
              <a16:creationId xmlns:a16="http://schemas.microsoft.com/office/drawing/2014/main" id="{00000000-0008-0000-0100-000015000000}"/>
            </a:ext>
          </a:extLst>
        </xdr:cNvPr>
        <xdr:cNvSpPr/>
      </xdr:nvSpPr>
      <xdr:spPr>
        <a:xfrm>
          <a:off x="11572875" y="36414075"/>
          <a:ext cx="2143125" cy="428625"/>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36384688-FD6E-4A31-956C-98E31EC14D29}" type="TxLink">
            <a:rPr lang="en-US" altLang="ko-KR" sz="1400" b="1" i="0" u="none" strike="noStrike">
              <a:solidFill>
                <a:srgbClr val="000000"/>
              </a:solidFill>
              <a:latin typeface="Univers"/>
              <a:ea typeface="+mn-ea"/>
              <a:cs typeface="+mn-cs"/>
            </a:rPr>
            <a:pPr marL="0" indent="0" algn="ctr"/>
            <a:t>Validation</a:t>
          </a:fld>
          <a:endParaRPr lang="de-DE" sz="1100" b="1" i="0" u="none" strike="noStrike">
            <a:solidFill>
              <a:srgbClr val="000000"/>
            </a:solidFill>
            <a:latin typeface="Univers"/>
            <a:ea typeface="+mn-ea"/>
            <a:cs typeface="+mn-cs"/>
          </a:endParaRPr>
        </a:p>
      </xdr:txBody>
    </xdr:sp>
    <xdr:clientData fPrintsWithSheet="0"/>
  </xdr:twoCellAnchor>
  <xdr:twoCellAnchor>
    <xdr:from>
      <xdr:col>81</xdr:col>
      <xdr:colOff>142874</xdr:colOff>
      <xdr:row>235</xdr:row>
      <xdr:rowOff>0</xdr:rowOff>
    </xdr:from>
    <xdr:to>
      <xdr:col>97</xdr:col>
      <xdr:colOff>0</xdr:colOff>
      <xdr:row>238</xdr:row>
      <xdr:rowOff>0</xdr:rowOff>
    </xdr:to>
    <xdr:sp macro="" textlink="Buttons!B30">
      <xdr:nvSpPr>
        <xdr:cNvPr id="22" name="Rechteck 21">
          <a:hlinkClick xmlns:r="http://schemas.openxmlformats.org/officeDocument/2006/relationships" r:id="rId9"/>
          <a:extLst>
            <a:ext uri="{FF2B5EF4-FFF2-40B4-BE49-F238E27FC236}">
              <a16:creationId xmlns:a16="http://schemas.microsoft.com/office/drawing/2014/main" id="{00000000-0008-0000-0100-000016000000}"/>
            </a:ext>
          </a:extLst>
        </xdr:cNvPr>
        <xdr:cNvSpPr/>
      </xdr:nvSpPr>
      <xdr:spPr>
        <a:xfrm>
          <a:off x="11572874" y="46739175"/>
          <a:ext cx="2143126" cy="428625"/>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F0124F04-D74E-4889-B068-47188347BD1B}" type="TxLink">
            <a:rPr lang="en-US" altLang="ko-KR" sz="1400" b="1" i="0" u="none" strike="noStrike">
              <a:solidFill>
                <a:srgbClr val="000000"/>
              </a:solidFill>
              <a:latin typeface="Univers"/>
              <a:ea typeface="+mn-ea"/>
              <a:cs typeface="+mn-cs"/>
            </a:rPr>
            <a:pPr marL="0" indent="0" algn="ctr"/>
            <a:t>Evaluation</a:t>
          </a:fld>
          <a:endParaRPr lang="de-DE" sz="500" b="1" i="0" u="none" strike="noStrike">
            <a:solidFill>
              <a:srgbClr val="000000"/>
            </a:solidFill>
            <a:latin typeface="Univers"/>
            <a:ea typeface="+mn-ea"/>
            <a:cs typeface="+mn-cs"/>
          </a:endParaRPr>
        </a:p>
      </xdr:txBody>
    </xdr:sp>
    <xdr:clientData fPrintsWithSheet="0"/>
  </xdr:twoCellAnchor>
  <xdr:twoCellAnchor>
    <xdr:from>
      <xdr:col>82</xdr:col>
      <xdr:colOff>0</xdr:colOff>
      <xdr:row>80</xdr:row>
      <xdr:rowOff>138734</xdr:rowOff>
    </xdr:from>
    <xdr:to>
      <xdr:col>97</xdr:col>
      <xdr:colOff>0</xdr:colOff>
      <xdr:row>84</xdr:row>
      <xdr:rowOff>0</xdr:rowOff>
    </xdr:to>
    <xdr:sp macro="" textlink="Buttons!B21">
      <xdr:nvSpPr>
        <xdr:cNvPr id="23" name="Rechteck 22">
          <a:hlinkClick xmlns:r="http://schemas.openxmlformats.org/officeDocument/2006/relationships" r:id="rId10"/>
          <a:extLst>
            <a:ext uri="{FF2B5EF4-FFF2-40B4-BE49-F238E27FC236}">
              <a16:creationId xmlns:a16="http://schemas.microsoft.com/office/drawing/2014/main" id="{00000000-0008-0000-0100-000017000000}"/>
            </a:ext>
          </a:extLst>
        </xdr:cNvPr>
        <xdr:cNvSpPr/>
      </xdr:nvSpPr>
      <xdr:spPr>
        <a:xfrm>
          <a:off x="11799794" y="15793352"/>
          <a:ext cx="2185147" cy="443972"/>
        </a:xfrm>
        <a:prstGeom prst="rect">
          <a:avLst/>
        </a:prstGeom>
        <a:solidFill>
          <a:schemeClr val="bg1">
            <a:lumMod val="65000"/>
          </a:schemeClr>
        </a:solidFill>
        <a:ln w="12700">
          <a:solidFill>
            <a:sysClr val="windowText" lastClr="000000"/>
          </a:solidFill>
        </a:ln>
        <a:scene3d>
          <a:camera prst="orthographicFront"/>
          <a:lightRig rig="threePt" dir="t"/>
        </a:scene3d>
        <a:sp3d>
          <a:bevelT w="50800" h="50800"/>
          <a:bevelB w="50800" h="508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F7E8C768-38AA-4D48-91A6-E588BE3ECE87}" type="TxLink">
            <a:rPr lang="en-US" altLang="ko-KR" sz="1400" b="1" i="0" u="none" strike="noStrike">
              <a:solidFill>
                <a:srgbClr val="000000"/>
              </a:solidFill>
              <a:latin typeface="Univers"/>
              <a:ea typeface="+mn-ea"/>
              <a:cs typeface="+mn-cs"/>
            </a:rPr>
            <a:pPr marL="0" indent="0" algn="ctr"/>
            <a:t>Is/Is Not</a:t>
          </a:fld>
          <a:endParaRPr lang="de-DE" sz="1100" b="1" i="0" u="none" strike="noStrike">
            <a:solidFill>
              <a:srgbClr val="000000"/>
            </a:solidFill>
            <a:latin typeface="Univers"/>
            <a:ea typeface="+mn-ea"/>
            <a:cs typeface="+mn-cs"/>
          </a:endParaRPr>
        </a:p>
      </xdr:txBody>
    </xdr:sp>
    <xdr:clientData fPrintsWithSheet="0"/>
  </xdr:twoCellAnchor>
  <xdr:twoCellAnchor>
    <xdr:from>
      <xdr:col>109</xdr:col>
      <xdr:colOff>1855617</xdr:colOff>
      <xdr:row>250</xdr:row>
      <xdr:rowOff>28575</xdr:rowOff>
    </xdr:from>
    <xdr:to>
      <xdr:col>110</xdr:col>
      <xdr:colOff>0</xdr:colOff>
      <xdr:row>250</xdr:row>
      <xdr:rowOff>245766</xdr:rowOff>
    </xdr:to>
    <xdr:sp macro="" textlink="">
      <xdr:nvSpPr>
        <xdr:cNvPr id="27" name="Ellipse 26">
          <a:hlinkClick xmlns:r="http://schemas.openxmlformats.org/officeDocument/2006/relationships" r:id="rId11"/>
          <a:extLst>
            <a:ext uri="{FF2B5EF4-FFF2-40B4-BE49-F238E27FC236}">
              <a16:creationId xmlns:a16="http://schemas.microsoft.com/office/drawing/2014/main" id="{00000000-0008-0000-0100-00001B000000}"/>
            </a:ext>
          </a:extLst>
        </xdr:cNvPr>
        <xdr:cNvSpPr>
          <a:spLocks noChangeAspect="1"/>
        </xdr:cNvSpPr>
      </xdr:nvSpPr>
      <xdr:spPr>
        <a:xfrm>
          <a:off x="11094867" y="31422975"/>
          <a:ext cx="1758" cy="217191"/>
        </a:xfrm>
        <a:prstGeom prst="ellipse">
          <a:avLst/>
        </a:prstGeom>
        <a:gradFill flip="none" rotWithShape="1">
          <a:gsLst>
            <a:gs pos="0">
              <a:srgbClr val="BB2B27">
                <a:shade val="30000"/>
                <a:satMod val="115000"/>
              </a:srgbClr>
            </a:gs>
            <a:gs pos="50000">
              <a:srgbClr val="BB2B27">
                <a:shade val="67500"/>
                <a:satMod val="115000"/>
              </a:srgbClr>
            </a:gs>
            <a:gs pos="100000">
              <a:srgbClr val="BB2B27">
                <a:shade val="100000"/>
                <a:satMod val="115000"/>
              </a:srgbClr>
            </a:gs>
          </a:gsLst>
          <a:lin ang="16200000" scaled="1"/>
          <a:tileRect/>
        </a:gradFill>
        <a:ln>
          <a:noFill/>
        </a:ln>
        <a:scene3d>
          <a:camera prst="orthographicFront">
            <a:rot lat="0" lon="0" rev="0"/>
          </a:camera>
          <a:lightRig rig="threePt" dir="t"/>
        </a:scene3d>
        <a:sp3d z="6350">
          <a:bevelT w="25400" h="254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indent="0" algn="ctr"/>
          <a:r>
            <a:rPr lang="de-DE" sz="1600" b="1" i="0" u="none" strike="noStrike">
              <a:solidFill>
                <a:schemeClr val="bg1"/>
              </a:solidFill>
              <a:latin typeface="Univers"/>
              <a:ea typeface="+mn-ea"/>
              <a:cs typeface="+mn-cs"/>
            </a:rPr>
            <a:t>?</a:t>
          </a:r>
        </a:p>
      </xdr:txBody>
    </xdr:sp>
    <xdr:clientData fPrintsWithSheet="0"/>
  </xdr:twoCellAnchor>
  <xdr:twoCellAnchor>
    <xdr:from>
      <xdr:col>82</xdr:col>
      <xdr:colOff>0</xdr:colOff>
      <xdr:row>214</xdr:row>
      <xdr:rowOff>0</xdr:rowOff>
    </xdr:from>
    <xdr:to>
      <xdr:col>97</xdr:col>
      <xdr:colOff>0</xdr:colOff>
      <xdr:row>217</xdr:row>
      <xdr:rowOff>0</xdr:rowOff>
    </xdr:to>
    <xdr:sp macro="" textlink="Buttons!B24">
      <xdr:nvSpPr>
        <xdr:cNvPr id="44" name="Rechteck 43">
          <a:hlinkClick xmlns:r="http://schemas.openxmlformats.org/officeDocument/2006/relationships" r:id="rId12"/>
          <a:extLst>
            <a:ext uri="{FF2B5EF4-FFF2-40B4-BE49-F238E27FC236}">
              <a16:creationId xmlns:a16="http://schemas.microsoft.com/office/drawing/2014/main" id="{00000000-0008-0000-0100-00002C000000}"/>
            </a:ext>
          </a:extLst>
        </xdr:cNvPr>
        <xdr:cNvSpPr/>
      </xdr:nvSpPr>
      <xdr:spPr>
        <a:xfrm>
          <a:off x="11222182" y="42117818"/>
          <a:ext cx="2078182" cy="415637"/>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5ADF7869-72DD-4924-A870-29C0F62DC6F8}" type="TxLink">
            <a:rPr lang="en-US" altLang="ko-KR" sz="1400" b="1" i="0" u="none" strike="noStrike">
              <a:solidFill>
                <a:srgbClr val="000000"/>
              </a:solidFill>
              <a:latin typeface="Univers"/>
              <a:ea typeface="+mn-ea"/>
              <a:cs typeface="+mn-cs"/>
            </a:rPr>
            <a:pPr marL="0" indent="0" algn="ctr"/>
            <a:t>Read-Across</a:t>
          </a:fld>
          <a:endParaRPr lang="de-DE" sz="500" b="1" i="0" u="none" strike="noStrike">
            <a:solidFill>
              <a:srgbClr val="000000"/>
            </a:solidFill>
            <a:latin typeface="Univers"/>
            <a:ea typeface="+mn-ea"/>
            <a:cs typeface="+mn-cs"/>
          </a:endParaRPr>
        </a:p>
      </xdr:txBody>
    </xdr:sp>
    <xdr:clientData fPrintsWithSheet="0"/>
  </xdr:twoCellAnchor>
  <xdr:twoCellAnchor>
    <xdr:from>
      <xdr:col>82</xdr:col>
      <xdr:colOff>1</xdr:colOff>
      <xdr:row>128</xdr:row>
      <xdr:rowOff>141514</xdr:rowOff>
    </xdr:from>
    <xdr:to>
      <xdr:col>97</xdr:col>
      <xdr:colOff>0</xdr:colOff>
      <xdr:row>132</xdr:row>
      <xdr:rowOff>0</xdr:rowOff>
    </xdr:to>
    <xdr:sp macro="" textlink="Buttons!B24">
      <xdr:nvSpPr>
        <xdr:cNvPr id="25" name="Rechteck 24">
          <a:hlinkClick xmlns:r="http://schemas.openxmlformats.org/officeDocument/2006/relationships" r:id="rId12"/>
          <a:extLst>
            <a:ext uri="{FF2B5EF4-FFF2-40B4-BE49-F238E27FC236}">
              <a16:creationId xmlns:a16="http://schemas.microsoft.com/office/drawing/2014/main" id="{00000000-0008-0000-0100-000019000000}"/>
            </a:ext>
          </a:extLst>
        </xdr:cNvPr>
        <xdr:cNvSpPr/>
      </xdr:nvSpPr>
      <xdr:spPr>
        <a:xfrm>
          <a:off x="11462658" y="22691271"/>
          <a:ext cx="1415142" cy="424543"/>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B16330D4-39F6-4CF2-9F93-B2F9BBD9801A}" type="TxLink">
            <a:rPr lang="en-US" altLang="ko-KR" sz="1400" b="1" i="0" u="none" strike="noStrike">
              <a:solidFill>
                <a:srgbClr val="000000"/>
              </a:solidFill>
              <a:latin typeface="Univers"/>
              <a:ea typeface="+mn-ea"/>
              <a:cs typeface="+mn-cs"/>
            </a:rPr>
            <a:pPr marL="0" indent="0" algn="ctr"/>
            <a:t>Read-Across</a:t>
          </a:fld>
          <a:endParaRPr lang="de-DE" sz="500" b="1" i="0" u="none" strike="noStrike">
            <a:solidFill>
              <a:srgbClr val="000000"/>
            </a:solidFill>
            <a:latin typeface="Univers"/>
            <a:ea typeface="+mn-ea"/>
            <a:cs typeface="+mn-cs"/>
          </a:endParaRPr>
        </a:p>
      </xdr:txBody>
    </xdr:sp>
    <xdr:clientData fPrintsWithSheet="0"/>
  </xdr:twoCellAnchor>
  <xdr:twoCellAnchor>
    <xdr:from>
      <xdr:col>81</xdr:col>
      <xdr:colOff>144968</xdr:colOff>
      <xdr:row>84</xdr:row>
      <xdr:rowOff>0</xdr:rowOff>
    </xdr:from>
    <xdr:to>
      <xdr:col>97</xdr:col>
      <xdr:colOff>0</xdr:colOff>
      <xdr:row>87</xdr:row>
      <xdr:rowOff>5582</xdr:rowOff>
    </xdr:to>
    <xdr:sp macro="" textlink="Buttons!B22">
      <xdr:nvSpPr>
        <xdr:cNvPr id="30" name="Rechteck 29">
          <a:hlinkClick xmlns:r="http://schemas.openxmlformats.org/officeDocument/2006/relationships" r:id="rId8"/>
          <a:extLst>
            <a:ext uri="{FF2B5EF4-FFF2-40B4-BE49-F238E27FC236}">
              <a16:creationId xmlns:a16="http://schemas.microsoft.com/office/drawing/2014/main" id="{00000000-0008-0000-0100-00001E000000}"/>
            </a:ext>
          </a:extLst>
        </xdr:cNvPr>
        <xdr:cNvSpPr/>
      </xdr:nvSpPr>
      <xdr:spPr>
        <a:xfrm>
          <a:off x="11799086" y="16237324"/>
          <a:ext cx="2185855" cy="442611"/>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indent="0" algn="ctr"/>
          <a:fld id="{03196537-C399-4084-86CC-873636CD4D57}" type="TxLink">
            <a:rPr lang="en-US" altLang="ko-KR" sz="1400" b="1" i="0" u="none" strike="noStrike">
              <a:solidFill>
                <a:srgbClr val="000000"/>
              </a:solidFill>
              <a:latin typeface="Univers"/>
              <a:ea typeface="+mn-ea"/>
              <a:cs typeface="+mn-cs"/>
            </a:rPr>
            <a:pPr marL="0" indent="0" algn="ctr"/>
            <a:t>Failure development</a:t>
          </a:fld>
          <a:endParaRPr lang="de-DE" sz="1100" b="1" i="0" u="none" strike="noStrike">
            <a:solidFill>
              <a:srgbClr val="000000"/>
            </a:solidFill>
            <a:latin typeface="Univers"/>
            <a:ea typeface="+mn-ea"/>
            <a:cs typeface="+mn-cs"/>
          </a:endParaRPr>
        </a:p>
      </xdr:txBody>
    </xdr:sp>
    <xdr:clientData fPrintsWithSheet="0"/>
  </xdr:twoCellAnchor>
  <xdr:twoCellAnchor>
    <xdr:from>
      <xdr:col>82</xdr:col>
      <xdr:colOff>1</xdr:colOff>
      <xdr:row>190</xdr:row>
      <xdr:rowOff>141514</xdr:rowOff>
    </xdr:from>
    <xdr:to>
      <xdr:col>97</xdr:col>
      <xdr:colOff>0</xdr:colOff>
      <xdr:row>194</xdr:row>
      <xdr:rowOff>0</xdr:rowOff>
    </xdr:to>
    <xdr:sp macro="" textlink="Buttons!B24">
      <xdr:nvSpPr>
        <xdr:cNvPr id="24" name="Rechteck 23">
          <a:hlinkClick xmlns:r="http://schemas.openxmlformats.org/officeDocument/2006/relationships" r:id="rId12"/>
          <a:extLst>
            <a:ext uri="{FF2B5EF4-FFF2-40B4-BE49-F238E27FC236}">
              <a16:creationId xmlns:a16="http://schemas.microsoft.com/office/drawing/2014/main" id="{00000000-0008-0000-0100-000018000000}"/>
            </a:ext>
          </a:extLst>
        </xdr:cNvPr>
        <xdr:cNvSpPr/>
      </xdr:nvSpPr>
      <xdr:spPr>
        <a:xfrm>
          <a:off x="11572876" y="36841339"/>
          <a:ext cx="2143124" cy="429986"/>
        </a:xfrm>
        <a:prstGeom prst="rect">
          <a:avLst/>
        </a:prstGeom>
        <a:solidFill>
          <a:schemeClr val="bg1">
            <a:lumMod val="65000"/>
          </a:schemeClr>
        </a:solidFill>
        <a:ln w="12700">
          <a:solidFill>
            <a:sysClr val="windowText" lastClr="000000"/>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9DC48B32-7A24-41BA-B732-0B5A11C10C79}" type="TxLink">
            <a:rPr lang="en-US" altLang="ko-KR" sz="1400" b="1" i="0" u="none" strike="noStrike">
              <a:solidFill>
                <a:srgbClr val="000000"/>
              </a:solidFill>
              <a:latin typeface="Univers"/>
              <a:ea typeface="+mn-ea"/>
              <a:cs typeface="+mn-cs"/>
            </a:rPr>
            <a:pPr marL="0" indent="0" algn="ctr"/>
            <a:t>Read-Across</a:t>
          </a:fld>
          <a:endParaRPr lang="de-DE" sz="500" b="1" i="0" u="none" strike="noStrike">
            <a:solidFill>
              <a:srgbClr val="000000"/>
            </a:solidFill>
            <a:latin typeface="Univers"/>
            <a:ea typeface="+mn-ea"/>
            <a:cs typeface="+mn-cs"/>
          </a:endParaRP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71</xdr:row>
      <xdr:rowOff>0</xdr:rowOff>
    </xdr:from>
    <xdr:to>
      <xdr:col>19</xdr:col>
      <xdr:colOff>0</xdr:colOff>
      <xdr:row>95</xdr:row>
      <xdr:rowOff>0</xdr:rowOff>
    </xdr:to>
    <xdr:graphicFrame macro="">
      <xdr:nvGraphicFramePr>
        <xdr:cNvPr id="5257" name="Diagramm 4">
          <a:extLst>
            <a:ext uri="{FF2B5EF4-FFF2-40B4-BE49-F238E27FC236}">
              <a16:creationId xmlns:a16="http://schemas.microsoft.com/office/drawing/2014/main" id="{00000000-0008-0000-0200-000089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xdr:colOff>
      <xdr:row>30</xdr:row>
      <xdr:rowOff>0</xdr:rowOff>
    </xdr:from>
    <xdr:to>
      <xdr:col>19</xdr:col>
      <xdr:colOff>0</xdr:colOff>
      <xdr:row>50</xdr:row>
      <xdr:rowOff>0</xdr:rowOff>
    </xdr:to>
    <xdr:graphicFrame macro="">
      <xdr:nvGraphicFramePr>
        <xdr:cNvPr id="5258" name="Diagramm 5">
          <a:extLst>
            <a:ext uri="{FF2B5EF4-FFF2-40B4-BE49-F238E27FC236}">
              <a16:creationId xmlns:a16="http://schemas.microsoft.com/office/drawing/2014/main" id="{00000000-0008-0000-0200-00008A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247682</xdr:colOff>
      <xdr:row>32</xdr:row>
      <xdr:rowOff>0</xdr:rowOff>
    </xdr:from>
    <xdr:to>
      <xdr:col>20</xdr:col>
      <xdr:colOff>0</xdr:colOff>
      <xdr:row>46</xdr:row>
      <xdr:rowOff>50822</xdr:rowOff>
    </xdr:to>
    <xdr:grpSp>
      <xdr:nvGrpSpPr>
        <xdr:cNvPr id="12" name="Gruppieren 11">
          <a:extLst>
            <a:ext uri="{FF2B5EF4-FFF2-40B4-BE49-F238E27FC236}">
              <a16:creationId xmlns:a16="http://schemas.microsoft.com/office/drawing/2014/main" id="{00000000-0008-0000-0200-00000C000000}"/>
            </a:ext>
          </a:extLst>
        </xdr:cNvPr>
        <xdr:cNvGrpSpPr/>
      </xdr:nvGrpSpPr>
      <xdr:grpSpPr>
        <a:xfrm>
          <a:off x="14678057" y="5591175"/>
          <a:ext cx="590518" cy="2317772"/>
          <a:chOff x="15459418" y="6815715"/>
          <a:chExt cx="588431" cy="2317688"/>
        </a:xfrm>
      </xdr:grpSpPr>
      <xdr:sp macro="" textlink="Buttons!B35">
        <xdr:nvSpPr>
          <xdr:cNvPr id="3" name="Textfeld 2">
            <a:extLst>
              <a:ext uri="{FF2B5EF4-FFF2-40B4-BE49-F238E27FC236}">
                <a16:creationId xmlns:a16="http://schemas.microsoft.com/office/drawing/2014/main" id="{00000000-0008-0000-0200-000003000000}"/>
              </a:ext>
            </a:extLst>
          </xdr:cNvPr>
          <xdr:cNvSpPr txBox="1"/>
        </xdr:nvSpPr>
        <xdr:spPr>
          <a:xfrm rot="16200000">
            <a:off x="15185750" y="7089383"/>
            <a:ext cx="1135767" cy="588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square" rtlCol="0" anchor="ctr" anchorCtr="0">
            <a:noAutofit/>
          </a:bodyPr>
          <a:lstStyle/>
          <a:p>
            <a:pPr algn="r"/>
            <a:fld id="{EAF93578-DD8B-41E8-9A5F-3709AA3018B4}" type="TxLink">
              <a:rPr lang="en-US" sz="1050" b="0" i="0" u="none" strike="noStrike">
                <a:solidFill>
                  <a:srgbClr val="000000"/>
                </a:solidFill>
                <a:latin typeface="Univers"/>
              </a:rPr>
              <a:pPr algn="r"/>
              <a:t>'Clean point'</a:t>
            </a:fld>
            <a:endParaRPr lang="de-DE" sz="700" b="0"/>
          </a:p>
        </xdr:txBody>
      </xdr:sp>
      <xdr:cxnSp macro="">
        <xdr:nvCxnSpPr>
          <xdr:cNvPr id="7" name="Gerade Verbindung 6">
            <a:extLst>
              <a:ext uri="{FF2B5EF4-FFF2-40B4-BE49-F238E27FC236}">
                <a16:creationId xmlns:a16="http://schemas.microsoft.com/office/drawing/2014/main" id="{00000000-0008-0000-0200-000007000000}"/>
              </a:ext>
            </a:extLst>
          </xdr:cNvPr>
          <xdr:cNvCxnSpPr/>
        </xdr:nvCxnSpPr>
        <xdr:spPr>
          <a:xfrm>
            <a:off x="15640050" y="6905625"/>
            <a:ext cx="1" cy="2227778"/>
          </a:xfrm>
          <a:prstGeom prst="line">
            <a:avLst/>
          </a:prstGeom>
          <a:ln w="38100">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616321</xdr:colOff>
      <xdr:row>32</xdr:row>
      <xdr:rowOff>13023</xdr:rowOff>
    </xdr:from>
    <xdr:to>
      <xdr:col>21</xdr:col>
      <xdr:colOff>368641</xdr:colOff>
      <xdr:row>46</xdr:row>
      <xdr:rowOff>145676</xdr:rowOff>
    </xdr:to>
    <xdr:grpSp>
      <xdr:nvGrpSpPr>
        <xdr:cNvPr id="13" name="Gruppieren 12">
          <a:extLst>
            <a:ext uri="{FF2B5EF4-FFF2-40B4-BE49-F238E27FC236}">
              <a16:creationId xmlns:a16="http://schemas.microsoft.com/office/drawing/2014/main" id="{00000000-0008-0000-0200-00000D000000}"/>
            </a:ext>
          </a:extLst>
        </xdr:cNvPr>
        <xdr:cNvGrpSpPr/>
      </xdr:nvGrpSpPr>
      <xdr:grpSpPr>
        <a:xfrm>
          <a:off x="15884896" y="5604198"/>
          <a:ext cx="590520" cy="2399603"/>
          <a:chOff x="15430844" y="6817207"/>
          <a:chExt cx="588431" cy="2421643"/>
        </a:xfrm>
      </xdr:grpSpPr>
      <xdr:sp macro="" textlink="Buttons!B37">
        <xdr:nvSpPr>
          <xdr:cNvPr id="14" name="Textfeld 13">
            <a:extLst>
              <a:ext uri="{FF2B5EF4-FFF2-40B4-BE49-F238E27FC236}">
                <a16:creationId xmlns:a16="http://schemas.microsoft.com/office/drawing/2014/main" id="{00000000-0008-0000-0200-00000E000000}"/>
              </a:ext>
            </a:extLst>
          </xdr:cNvPr>
          <xdr:cNvSpPr txBox="1"/>
        </xdr:nvSpPr>
        <xdr:spPr>
          <a:xfrm rot="16200000">
            <a:off x="14514238" y="7733813"/>
            <a:ext cx="2421643" cy="588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square" rtlCol="0" anchor="ctr" anchorCtr="0">
            <a:noAutofit/>
          </a:bodyPr>
          <a:lstStyle/>
          <a:p>
            <a:pPr algn="r"/>
            <a:fld id="{106EB99E-84FB-4EDE-919D-AFF5353B8750}" type="TxLink">
              <a:rPr lang="en-US" sz="1050" b="0" i="0" u="none" strike="noStrike">
                <a:solidFill>
                  <a:srgbClr val="000000"/>
                </a:solidFill>
                <a:latin typeface="Univers"/>
              </a:rPr>
              <a:pPr algn="r"/>
              <a:t>Corrective actions implemented</a:t>
            </a:fld>
            <a:endParaRPr lang="de-DE" sz="500" b="0"/>
          </a:p>
        </xdr:txBody>
      </xdr:sp>
      <xdr:cxnSp macro="">
        <xdr:nvCxnSpPr>
          <xdr:cNvPr id="15" name="Gerade Verbindung 14">
            <a:extLst>
              <a:ext uri="{FF2B5EF4-FFF2-40B4-BE49-F238E27FC236}">
                <a16:creationId xmlns:a16="http://schemas.microsoft.com/office/drawing/2014/main" id="{00000000-0008-0000-0200-00000F000000}"/>
              </a:ext>
            </a:extLst>
          </xdr:cNvPr>
          <xdr:cNvCxnSpPr/>
        </xdr:nvCxnSpPr>
        <xdr:spPr>
          <a:xfrm>
            <a:off x="15640050" y="6905625"/>
            <a:ext cx="1" cy="2245915"/>
          </a:xfrm>
          <a:prstGeom prst="line">
            <a:avLst/>
          </a:prstGeom>
          <a:ln w="38100">
            <a:solidFill>
              <a:schemeClr val="accent1"/>
            </a:solidFill>
            <a:prstDash val="dash"/>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0</xdr:colOff>
      <xdr:row>32</xdr:row>
      <xdr:rowOff>22412</xdr:rowOff>
    </xdr:from>
    <xdr:to>
      <xdr:col>20</xdr:col>
      <xdr:colOff>597601</xdr:colOff>
      <xdr:row>47</xdr:row>
      <xdr:rowOff>4771</xdr:rowOff>
    </xdr:to>
    <xdr:grpSp>
      <xdr:nvGrpSpPr>
        <xdr:cNvPr id="16" name="Gruppieren 15">
          <a:extLst>
            <a:ext uri="{FF2B5EF4-FFF2-40B4-BE49-F238E27FC236}">
              <a16:creationId xmlns:a16="http://schemas.microsoft.com/office/drawing/2014/main" id="{00000000-0008-0000-0200-000010000000}"/>
            </a:ext>
          </a:extLst>
        </xdr:cNvPr>
        <xdr:cNvGrpSpPr/>
      </xdr:nvGrpSpPr>
      <xdr:grpSpPr>
        <a:xfrm>
          <a:off x="15268575" y="5613587"/>
          <a:ext cx="597601" cy="2411234"/>
          <a:chOff x="15449892" y="6832726"/>
          <a:chExt cx="588431" cy="2409824"/>
        </a:xfrm>
      </xdr:grpSpPr>
      <xdr:sp macro="" textlink="Buttons!B36">
        <xdr:nvSpPr>
          <xdr:cNvPr id="17" name="Textfeld 16">
            <a:extLst>
              <a:ext uri="{FF2B5EF4-FFF2-40B4-BE49-F238E27FC236}">
                <a16:creationId xmlns:a16="http://schemas.microsoft.com/office/drawing/2014/main" id="{00000000-0008-0000-0200-000011000000}"/>
              </a:ext>
            </a:extLst>
          </xdr:cNvPr>
          <xdr:cNvSpPr txBox="1"/>
        </xdr:nvSpPr>
        <xdr:spPr>
          <a:xfrm rot="16200000">
            <a:off x="14539196" y="7743422"/>
            <a:ext cx="2409824" cy="588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square" rtlCol="0" anchor="ctr" anchorCtr="0">
            <a:noAutofit/>
          </a:bodyPr>
          <a:lstStyle/>
          <a:p>
            <a:pPr algn="r"/>
            <a:fld id="{ABBA51FF-1486-49DE-8DB7-E2536FFE481B}" type="TxLink">
              <a:rPr lang="en-US" sz="1050" b="0" i="0" u="none" strike="noStrike">
                <a:solidFill>
                  <a:srgbClr val="000000"/>
                </a:solidFill>
                <a:latin typeface="Univers"/>
              </a:rPr>
              <a:pPr algn="r"/>
              <a:t>Containments implemented</a:t>
            </a:fld>
            <a:endParaRPr lang="de-DE" sz="300" b="0"/>
          </a:p>
        </xdr:txBody>
      </xdr:sp>
      <xdr:cxnSp macro="">
        <xdr:nvCxnSpPr>
          <xdr:cNvPr id="18" name="Gerade Verbindung 17">
            <a:extLst>
              <a:ext uri="{FF2B5EF4-FFF2-40B4-BE49-F238E27FC236}">
                <a16:creationId xmlns:a16="http://schemas.microsoft.com/office/drawing/2014/main" id="{00000000-0008-0000-0200-000012000000}"/>
              </a:ext>
            </a:extLst>
          </xdr:cNvPr>
          <xdr:cNvCxnSpPr/>
        </xdr:nvCxnSpPr>
        <xdr:spPr>
          <a:xfrm>
            <a:off x="15640050" y="6905624"/>
            <a:ext cx="1" cy="2228649"/>
          </a:xfrm>
          <a:prstGeom prst="line">
            <a:avLst/>
          </a:prstGeom>
          <a:ln w="38100">
            <a:solidFill>
              <a:srgbClr val="00B050"/>
            </a:solidFill>
            <a:prstDash val="dash"/>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59</xdr:col>
      <xdr:colOff>0</xdr:colOff>
      <xdr:row>29</xdr:row>
      <xdr:rowOff>0</xdr:rowOff>
    </xdr:from>
    <xdr:to>
      <xdr:col>60</xdr:col>
      <xdr:colOff>569072</xdr:colOff>
      <xdr:row>31</xdr:row>
      <xdr:rowOff>360000</xdr:rowOff>
    </xdr:to>
    <xdr:pic>
      <xdr:nvPicPr>
        <xdr:cNvPr id="6" name="Grafik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473350" y="12563475"/>
          <a:ext cx="1407272" cy="36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85725</xdr:colOff>
      <xdr:row>4</xdr:row>
      <xdr:rowOff>114861</xdr:rowOff>
    </xdr:from>
    <xdr:to>
      <xdr:col>31</xdr:col>
      <xdr:colOff>43275</xdr:colOff>
      <xdr:row>49</xdr:row>
      <xdr:rowOff>36709</xdr:rowOff>
    </xdr:to>
    <xdr:grpSp>
      <xdr:nvGrpSpPr>
        <xdr:cNvPr id="10" name="Gruppieren 9">
          <a:extLst>
            <a:ext uri="{FF2B5EF4-FFF2-40B4-BE49-F238E27FC236}">
              <a16:creationId xmlns:a16="http://schemas.microsoft.com/office/drawing/2014/main" id="{00000000-0008-0000-0400-00000A000000}"/>
            </a:ext>
          </a:extLst>
        </xdr:cNvPr>
        <xdr:cNvGrpSpPr/>
      </xdr:nvGrpSpPr>
      <xdr:grpSpPr>
        <a:xfrm>
          <a:off x="419100" y="1210236"/>
          <a:ext cx="5482050" cy="6836998"/>
          <a:chOff x="304800" y="2448486"/>
          <a:chExt cx="5758275" cy="6836998"/>
        </a:xfrm>
      </xdr:grpSpPr>
      <xdr:cxnSp macro="">
        <xdr:nvCxnSpPr>
          <xdr:cNvPr id="12" name="Gerade Verbindung mit Pfeil 11">
            <a:extLst>
              <a:ext uri="{FF2B5EF4-FFF2-40B4-BE49-F238E27FC236}">
                <a16:creationId xmlns:a16="http://schemas.microsoft.com/office/drawing/2014/main" id="{00000000-0008-0000-0400-00000C000000}"/>
              </a:ext>
            </a:extLst>
          </xdr:cNvPr>
          <xdr:cNvCxnSpPr/>
        </xdr:nvCxnSpPr>
        <xdr:spPr>
          <a:xfrm>
            <a:off x="1743075" y="5819775"/>
            <a:ext cx="4320000" cy="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27014" name="Line 12">
            <a:extLst>
              <a:ext uri="{FF2B5EF4-FFF2-40B4-BE49-F238E27FC236}">
                <a16:creationId xmlns:a16="http://schemas.microsoft.com/office/drawing/2014/main" id="{00000000-0008-0000-0400-000026F00100}"/>
              </a:ext>
            </a:extLst>
          </xdr:cNvPr>
          <xdr:cNvSpPr>
            <a:spLocks noChangeShapeType="1"/>
          </xdr:cNvSpPr>
        </xdr:nvSpPr>
        <xdr:spPr bwMode="auto">
          <a:xfrm>
            <a:off x="4657725" y="2800350"/>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15" name="Line 12">
            <a:extLst>
              <a:ext uri="{FF2B5EF4-FFF2-40B4-BE49-F238E27FC236}">
                <a16:creationId xmlns:a16="http://schemas.microsoft.com/office/drawing/2014/main" id="{00000000-0008-0000-0400-000027F00100}"/>
              </a:ext>
            </a:extLst>
          </xdr:cNvPr>
          <xdr:cNvSpPr>
            <a:spLocks noChangeShapeType="1"/>
          </xdr:cNvSpPr>
        </xdr:nvSpPr>
        <xdr:spPr bwMode="auto">
          <a:xfrm>
            <a:off x="2047875" y="2800350"/>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16" name="Line 12">
            <a:extLst>
              <a:ext uri="{FF2B5EF4-FFF2-40B4-BE49-F238E27FC236}">
                <a16:creationId xmlns:a16="http://schemas.microsoft.com/office/drawing/2014/main" id="{00000000-0008-0000-0400-000028F00100}"/>
              </a:ext>
            </a:extLst>
          </xdr:cNvPr>
          <xdr:cNvSpPr>
            <a:spLocks noChangeShapeType="1"/>
          </xdr:cNvSpPr>
        </xdr:nvSpPr>
        <xdr:spPr bwMode="auto">
          <a:xfrm rot="-8700000">
            <a:off x="4638675" y="5867400"/>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17" name="Line 12">
            <a:extLst>
              <a:ext uri="{FF2B5EF4-FFF2-40B4-BE49-F238E27FC236}">
                <a16:creationId xmlns:a16="http://schemas.microsoft.com/office/drawing/2014/main" id="{00000000-0008-0000-0400-000029F00100}"/>
              </a:ext>
            </a:extLst>
          </xdr:cNvPr>
          <xdr:cNvSpPr>
            <a:spLocks noChangeShapeType="1"/>
          </xdr:cNvSpPr>
        </xdr:nvSpPr>
        <xdr:spPr bwMode="auto">
          <a:xfrm rot="-8700000">
            <a:off x="2771775" y="5876925"/>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18" name="Line 12">
            <a:extLst>
              <a:ext uri="{FF2B5EF4-FFF2-40B4-BE49-F238E27FC236}">
                <a16:creationId xmlns:a16="http://schemas.microsoft.com/office/drawing/2014/main" id="{00000000-0008-0000-0400-00002AF00100}"/>
              </a:ext>
            </a:extLst>
          </xdr:cNvPr>
          <xdr:cNvSpPr>
            <a:spLocks noChangeShapeType="1"/>
          </xdr:cNvSpPr>
        </xdr:nvSpPr>
        <xdr:spPr bwMode="auto">
          <a:xfrm rot="-8700000">
            <a:off x="962025" y="5876925"/>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5" name="Rectangle 7">
            <a:extLst>
              <a:ext uri="{FF2B5EF4-FFF2-40B4-BE49-F238E27FC236}">
                <a16:creationId xmlns:a16="http://schemas.microsoft.com/office/drawing/2014/main" id="{00000000-0008-0000-0400-000019000000}"/>
              </a:ext>
            </a:extLst>
          </xdr:cNvPr>
          <xdr:cNvSpPr>
            <a:spLocks noChangeArrowheads="1"/>
          </xdr:cNvSpPr>
        </xdr:nvSpPr>
        <xdr:spPr bwMode="auto">
          <a:xfrm>
            <a:off x="304800" y="5638800"/>
            <a:ext cx="1440000" cy="360000"/>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de-DE" sz="1100" b="1" i="0" u="none" strike="noStrike" baseline="0">
                <a:solidFill>
                  <a:srgbClr val="000000"/>
                </a:solidFill>
                <a:latin typeface="Univers"/>
              </a:rPr>
              <a:t>…</a:t>
            </a:r>
          </a:p>
          <a:p>
            <a:pPr algn="ctr" rtl="0">
              <a:lnSpc>
                <a:spcPts val="1100"/>
              </a:lnSpc>
              <a:defRPr sz="1000"/>
            </a:pPr>
            <a:endParaRPr lang="de-DE" sz="1100" b="1" i="0" u="none" strike="noStrike" baseline="0">
              <a:solidFill>
                <a:srgbClr val="000000"/>
              </a:solidFill>
              <a:latin typeface="Univers"/>
            </a:endParaRPr>
          </a:p>
        </xdr:txBody>
      </xdr:sp>
      <xdr:sp macro="" textlink="Buttons!B40">
        <xdr:nvSpPr>
          <xdr:cNvPr id="18" name="Rectangle 3">
            <a:extLst>
              <a:ext uri="{FF2B5EF4-FFF2-40B4-BE49-F238E27FC236}">
                <a16:creationId xmlns:a16="http://schemas.microsoft.com/office/drawing/2014/main" id="{00000000-0008-0000-0400-000012000000}"/>
              </a:ext>
            </a:extLst>
          </xdr:cNvPr>
          <xdr:cNvSpPr>
            <a:spLocks noChangeArrowheads="1"/>
          </xdr:cNvSpPr>
        </xdr:nvSpPr>
        <xdr:spPr bwMode="auto">
          <a:xfrm>
            <a:off x="1331820" y="2448486"/>
            <a:ext cx="1440560" cy="358879"/>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4BCEFFDC-5C99-4359-8465-53E80D4A6A5E}" type="TxLink">
              <a:rPr lang="en-US" altLang="ko-KR" sz="1100" b="1" i="0" u="none" strike="noStrike" baseline="0">
                <a:solidFill>
                  <a:srgbClr val="000000"/>
                </a:solidFill>
                <a:latin typeface="Univers"/>
              </a:rPr>
              <a:pPr algn="ctr" rtl="0">
                <a:defRPr sz="1000"/>
              </a:pPr>
              <a:t>Man</a:t>
            </a:fld>
            <a:endParaRPr lang="de-DE" sz="1000" b="1" i="0" u="none" strike="noStrike" baseline="0">
              <a:solidFill>
                <a:srgbClr val="000000"/>
              </a:solidFill>
              <a:latin typeface="Univers"/>
            </a:endParaRPr>
          </a:p>
        </xdr:txBody>
      </xdr:sp>
      <xdr:sp macro="" textlink="Buttons!B41">
        <xdr:nvSpPr>
          <xdr:cNvPr id="21" name="Rectangle 3">
            <a:extLst>
              <a:ext uri="{FF2B5EF4-FFF2-40B4-BE49-F238E27FC236}">
                <a16:creationId xmlns:a16="http://schemas.microsoft.com/office/drawing/2014/main" id="{00000000-0008-0000-0400-000015000000}"/>
              </a:ext>
            </a:extLst>
          </xdr:cNvPr>
          <xdr:cNvSpPr>
            <a:spLocks noChangeArrowheads="1"/>
          </xdr:cNvSpPr>
        </xdr:nvSpPr>
        <xdr:spPr bwMode="auto">
          <a:xfrm>
            <a:off x="3950671" y="2457449"/>
            <a:ext cx="1436638" cy="358879"/>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F128166E-A2AE-481F-B616-5E03C387456E}" type="TxLink">
              <a:rPr lang="en-US" altLang="ko-KR" sz="1100" b="1" i="0" u="none" strike="noStrike" baseline="0">
                <a:solidFill>
                  <a:srgbClr val="000000"/>
                </a:solidFill>
                <a:latin typeface="Univers"/>
              </a:rPr>
              <a:pPr algn="ctr" rtl="0">
                <a:defRPr sz="1000"/>
              </a:pPr>
              <a:t>Machine</a:t>
            </a:fld>
            <a:endParaRPr lang="de-DE" sz="1000" b="1" i="0" u="none" strike="noStrike" baseline="0">
              <a:solidFill>
                <a:srgbClr val="000000"/>
              </a:solidFill>
              <a:latin typeface="Univers"/>
            </a:endParaRPr>
          </a:p>
        </xdr:txBody>
      </xdr:sp>
      <xdr:sp macro="" textlink="Buttons!B44">
        <xdr:nvSpPr>
          <xdr:cNvPr id="22" name="Rectangle 3">
            <a:extLst>
              <a:ext uri="{FF2B5EF4-FFF2-40B4-BE49-F238E27FC236}">
                <a16:creationId xmlns:a16="http://schemas.microsoft.com/office/drawing/2014/main" id="{00000000-0008-0000-0400-000016000000}"/>
              </a:ext>
            </a:extLst>
          </xdr:cNvPr>
          <xdr:cNvSpPr>
            <a:spLocks noChangeArrowheads="1"/>
          </xdr:cNvSpPr>
        </xdr:nvSpPr>
        <xdr:spPr bwMode="auto">
          <a:xfrm>
            <a:off x="4125446" y="8903632"/>
            <a:ext cx="1436638"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DF9C0B01-C0E3-4C83-98F6-1E6A6CEA771F}" type="TxLink">
              <a:rPr lang="en-US" altLang="ko-KR" sz="1100" b="1" i="0" u="none" strike="noStrike" baseline="0">
                <a:solidFill>
                  <a:srgbClr val="000000"/>
                </a:solidFill>
                <a:latin typeface="Univers"/>
              </a:rPr>
              <a:pPr algn="ctr" rtl="0">
                <a:defRPr sz="1000"/>
              </a:pPr>
              <a:t>Material</a:t>
            </a:fld>
            <a:endParaRPr lang="de-DE" sz="1050" b="1" i="0" u="none" strike="noStrike" baseline="0">
              <a:solidFill>
                <a:srgbClr val="000000"/>
              </a:solidFill>
              <a:latin typeface="Univers"/>
            </a:endParaRPr>
          </a:p>
        </xdr:txBody>
      </xdr:sp>
      <xdr:sp macro="" textlink="Buttons!B43">
        <xdr:nvSpPr>
          <xdr:cNvPr id="26" name="Rectangle 3">
            <a:extLst>
              <a:ext uri="{FF2B5EF4-FFF2-40B4-BE49-F238E27FC236}">
                <a16:creationId xmlns:a16="http://schemas.microsoft.com/office/drawing/2014/main" id="{00000000-0008-0000-0400-00001A000000}"/>
              </a:ext>
            </a:extLst>
          </xdr:cNvPr>
          <xdr:cNvSpPr>
            <a:spLocks noChangeArrowheads="1"/>
          </xdr:cNvSpPr>
        </xdr:nvSpPr>
        <xdr:spPr bwMode="auto">
          <a:xfrm>
            <a:off x="2273662" y="8910356"/>
            <a:ext cx="1438320"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CEDCC3FF-8548-4D7C-B051-FF0E07EB61DC}" type="TxLink">
              <a:rPr lang="en-US" altLang="ko-KR" sz="1100" b="1" i="0" u="none" strike="noStrike" baseline="0">
                <a:solidFill>
                  <a:srgbClr val="000000"/>
                </a:solidFill>
                <a:latin typeface="Univers"/>
              </a:rPr>
              <a:pPr algn="ctr" rtl="0">
                <a:defRPr sz="1000"/>
              </a:pPr>
              <a:t>Method</a:t>
            </a:fld>
            <a:endParaRPr lang="de-DE" sz="1050" b="1" i="0" u="none" strike="noStrike" baseline="0">
              <a:solidFill>
                <a:srgbClr val="000000"/>
              </a:solidFill>
              <a:latin typeface="Univers"/>
            </a:endParaRPr>
          </a:p>
        </xdr:txBody>
      </xdr:sp>
      <xdr:sp macro="" textlink="Buttons!B42">
        <xdr:nvSpPr>
          <xdr:cNvPr id="28" name="Rectangle 3">
            <a:extLst>
              <a:ext uri="{FF2B5EF4-FFF2-40B4-BE49-F238E27FC236}">
                <a16:creationId xmlns:a16="http://schemas.microsoft.com/office/drawing/2014/main" id="{00000000-0008-0000-0400-00001C000000}"/>
              </a:ext>
            </a:extLst>
          </xdr:cNvPr>
          <xdr:cNvSpPr>
            <a:spLocks noChangeArrowheads="1"/>
          </xdr:cNvSpPr>
        </xdr:nvSpPr>
        <xdr:spPr bwMode="auto">
          <a:xfrm>
            <a:off x="442056" y="8905874"/>
            <a:ext cx="1440000"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B4DA259A-8735-487C-8B35-83C7F8C2FF1B}" type="TxLink">
              <a:rPr lang="en-US" altLang="ko-KR" sz="1100" b="1" i="0" u="none" strike="noStrike" baseline="0">
                <a:solidFill>
                  <a:srgbClr val="000000"/>
                </a:solidFill>
                <a:latin typeface="Univers"/>
              </a:rPr>
              <a:pPr algn="ctr" rtl="0">
                <a:defRPr sz="1000"/>
              </a:pPr>
              <a:t>Mother Nature</a:t>
            </a:fld>
            <a:endParaRPr lang="de-DE" sz="1050" b="1" i="0" u="none" strike="noStrike" baseline="0">
              <a:solidFill>
                <a:srgbClr val="000000"/>
              </a:solidFill>
              <a:latin typeface="Univers"/>
            </a:endParaRPr>
          </a:p>
        </xdr:txBody>
      </xdr:sp>
    </xdr:grpSp>
    <xdr:clientData/>
  </xdr:twoCellAnchor>
  <xdr:twoCellAnchor>
    <xdr:from>
      <xdr:col>45</xdr:col>
      <xdr:colOff>38100</xdr:colOff>
      <xdr:row>4</xdr:row>
      <xdr:rowOff>81804</xdr:rowOff>
    </xdr:from>
    <xdr:to>
      <xdr:col>75</xdr:col>
      <xdr:colOff>20210</xdr:colOff>
      <xdr:row>48</xdr:row>
      <xdr:rowOff>161095</xdr:rowOff>
    </xdr:to>
    <xdr:grpSp>
      <xdr:nvGrpSpPr>
        <xdr:cNvPr id="11" name="Gruppieren 10">
          <a:extLst>
            <a:ext uri="{FF2B5EF4-FFF2-40B4-BE49-F238E27FC236}">
              <a16:creationId xmlns:a16="http://schemas.microsoft.com/office/drawing/2014/main" id="{00000000-0008-0000-0400-00000B000000}"/>
            </a:ext>
          </a:extLst>
        </xdr:cNvPr>
        <xdr:cNvGrpSpPr/>
      </xdr:nvGrpSpPr>
      <xdr:grpSpPr>
        <a:xfrm>
          <a:off x="8562975" y="1177179"/>
          <a:ext cx="5697110" cy="6832516"/>
          <a:chOff x="8248650" y="2444004"/>
          <a:chExt cx="5982860" cy="6832516"/>
        </a:xfrm>
      </xdr:grpSpPr>
      <xdr:cxnSp macro="">
        <xdr:nvCxnSpPr>
          <xdr:cNvPr id="13" name="Gerade Verbindung mit Pfeil 12">
            <a:extLst>
              <a:ext uri="{FF2B5EF4-FFF2-40B4-BE49-F238E27FC236}">
                <a16:creationId xmlns:a16="http://schemas.microsoft.com/office/drawing/2014/main" id="{00000000-0008-0000-0400-00000D000000}"/>
              </a:ext>
            </a:extLst>
          </xdr:cNvPr>
          <xdr:cNvCxnSpPr/>
        </xdr:nvCxnSpPr>
        <xdr:spPr>
          <a:xfrm rot="10800000">
            <a:off x="8248650" y="5819775"/>
            <a:ext cx="4320000" cy="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27019" name="Line 12">
            <a:extLst>
              <a:ext uri="{FF2B5EF4-FFF2-40B4-BE49-F238E27FC236}">
                <a16:creationId xmlns:a16="http://schemas.microsoft.com/office/drawing/2014/main" id="{00000000-0008-0000-0400-00002BF00100}"/>
              </a:ext>
            </a:extLst>
          </xdr:cNvPr>
          <xdr:cNvSpPr>
            <a:spLocks noChangeShapeType="1"/>
          </xdr:cNvSpPr>
        </xdr:nvSpPr>
        <xdr:spPr bwMode="auto">
          <a:xfrm rot="2280000">
            <a:off x="11029950" y="2781300"/>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20" name="Line 12">
            <a:extLst>
              <a:ext uri="{FF2B5EF4-FFF2-40B4-BE49-F238E27FC236}">
                <a16:creationId xmlns:a16="http://schemas.microsoft.com/office/drawing/2014/main" id="{00000000-0008-0000-0400-00002CF00100}"/>
              </a:ext>
            </a:extLst>
          </xdr:cNvPr>
          <xdr:cNvSpPr>
            <a:spLocks noChangeShapeType="1"/>
          </xdr:cNvSpPr>
        </xdr:nvSpPr>
        <xdr:spPr bwMode="auto">
          <a:xfrm rot="2280000">
            <a:off x="8420100" y="2781300"/>
            <a:ext cx="1133475" cy="30099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21" name="Line 12">
            <a:extLst>
              <a:ext uri="{FF2B5EF4-FFF2-40B4-BE49-F238E27FC236}">
                <a16:creationId xmlns:a16="http://schemas.microsoft.com/office/drawing/2014/main" id="{00000000-0008-0000-0400-00002DF00100}"/>
              </a:ext>
            </a:extLst>
          </xdr:cNvPr>
          <xdr:cNvSpPr>
            <a:spLocks noChangeShapeType="1"/>
          </xdr:cNvSpPr>
        </xdr:nvSpPr>
        <xdr:spPr bwMode="auto">
          <a:xfrm>
            <a:off x="12382500" y="5819774"/>
            <a:ext cx="1133475" cy="306434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22" name="Line 12">
            <a:extLst>
              <a:ext uri="{FF2B5EF4-FFF2-40B4-BE49-F238E27FC236}">
                <a16:creationId xmlns:a16="http://schemas.microsoft.com/office/drawing/2014/main" id="{00000000-0008-0000-0400-00002EF00100}"/>
              </a:ext>
            </a:extLst>
          </xdr:cNvPr>
          <xdr:cNvSpPr>
            <a:spLocks noChangeShapeType="1"/>
          </xdr:cNvSpPr>
        </xdr:nvSpPr>
        <xdr:spPr bwMode="auto">
          <a:xfrm>
            <a:off x="10515600" y="5829299"/>
            <a:ext cx="1133475" cy="306434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27023" name="Line 12">
            <a:extLst>
              <a:ext uri="{FF2B5EF4-FFF2-40B4-BE49-F238E27FC236}">
                <a16:creationId xmlns:a16="http://schemas.microsoft.com/office/drawing/2014/main" id="{00000000-0008-0000-0400-00002FF00100}"/>
              </a:ext>
            </a:extLst>
          </xdr:cNvPr>
          <xdr:cNvSpPr>
            <a:spLocks noChangeShapeType="1"/>
          </xdr:cNvSpPr>
        </xdr:nvSpPr>
        <xdr:spPr bwMode="auto">
          <a:xfrm>
            <a:off x="8705850" y="5829299"/>
            <a:ext cx="1133475" cy="306434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4" name="Rectangle 7">
            <a:extLst>
              <a:ext uri="{FF2B5EF4-FFF2-40B4-BE49-F238E27FC236}">
                <a16:creationId xmlns:a16="http://schemas.microsoft.com/office/drawing/2014/main" id="{00000000-0008-0000-0400-000018000000}"/>
              </a:ext>
            </a:extLst>
          </xdr:cNvPr>
          <xdr:cNvSpPr>
            <a:spLocks noChangeArrowheads="1"/>
          </xdr:cNvSpPr>
        </xdr:nvSpPr>
        <xdr:spPr bwMode="auto">
          <a:xfrm>
            <a:off x="12573000" y="5638800"/>
            <a:ext cx="1440000" cy="360000"/>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de-DE" sz="1100" b="1" i="0" u="none" strike="noStrike" baseline="0">
                <a:solidFill>
                  <a:srgbClr val="000000"/>
                </a:solidFill>
                <a:latin typeface="Univers"/>
              </a:rPr>
              <a:t>…</a:t>
            </a:r>
          </a:p>
          <a:p>
            <a:pPr algn="ctr" rtl="0">
              <a:lnSpc>
                <a:spcPts val="1100"/>
              </a:lnSpc>
              <a:defRPr sz="1000"/>
            </a:pPr>
            <a:endParaRPr lang="de-DE" sz="1100" b="1" i="0" u="none" strike="noStrike" baseline="0">
              <a:solidFill>
                <a:srgbClr val="000000"/>
              </a:solidFill>
              <a:latin typeface="Univers"/>
            </a:endParaRPr>
          </a:p>
        </xdr:txBody>
      </xdr:sp>
      <xdr:sp macro="" textlink="Buttons!B40">
        <xdr:nvSpPr>
          <xdr:cNvPr id="19" name="Rectangle 3">
            <a:extLst>
              <a:ext uri="{FF2B5EF4-FFF2-40B4-BE49-F238E27FC236}">
                <a16:creationId xmlns:a16="http://schemas.microsoft.com/office/drawing/2014/main" id="{00000000-0008-0000-0400-000013000000}"/>
              </a:ext>
            </a:extLst>
          </xdr:cNvPr>
          <xdr:cNvSpPr>
            <a:spLocks noChangeArrowheads="1"/>
          </xdr:cNvSpPr>
        </xdr:nvSpPr>
        <xdr:spPr bwMode="auto">
          <a:xfrm>
            <a:off x="11337642" y="2444004"/>
            <a:ext cx="1440560" cy="358879"/>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30B39C89-93AB-4592-ACD1-8CF101FB14BF}" type="TxLink">
              <a:rPr lang="en-US" altLang="ko-KR" sz="1100" b="1" i="0" u="none" strike="noStrike" baseline="0">
                <a:solidFill>
                  <a:srgbClr val="000000"/>
                </a:solidFill>
                <a:latin typeface="Univers"/>
              </a:rPr>
              <a:pPr algn="ctr" rtl="0">
                <a:defRPr sz="1000"/>
              </a:pPr>
              <a:t>Man</a:t>
            </a:fld>
            <a:endParaRPr lang="de-DE" sz="1000" b="1" i="0" u="none" strike="noStrike" baseline="0">
              <a:solidFill>
                <a:srgbClr val="000000"/>
              </a:solidFill>
              <a:latin typeface="Univers"/>
            </a:endParaRPr>
          </a:p>
        </xdr:txBody>
      </xdr:sp>
      <xdr:sp macro="" textlink="Buttons!B41">
        <xdr:nvSpPr>
          <xdr:cNvPr id="20" name="Rectangle 3">
            <a:extLst>
              <a:ext uri="{FF2B5EF4-FFF2-40B4-BE49-F238E27FC236}">
                <a16:creationId xmlns:a16="http://schemas.microsoft.com/office/drawing/2014/main" id="{00000000-0008-0000-0400-000014000000}"/>
              </a:ext>
            </a:extLst>
          </xdr:cNvPr>
          <xdr:cNvSpPr>
            <a:spLocks noChangeArrowheads="1"/>
          </xdr:cNvSpPr>
        </xdr:nvSpPr>
        <xdr:spPr bwMode="auto">
          <a:xfrm>
            <a:off x="8736194" y="2450727"/>
            <a:ext cx="1442802" cy="358879"/>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F2AC80B1-BEC0-4F39-A7BE-BF5025E3CCD7}" type="TxLink">
              <a:rPr lang="en-US" altLang="ko-KR" sz="1100" b="1" i="0" u="none" strike="noStrike" baseline="0">
                <a:solidFill>
                  <a:srgbClr val="000000"/>
                </a:solidFill>
                <a:latin typeface="Univers"/>
              </a:rPr>
              <a:pPr algn="ctr" rtl="0">
                <a:defRPr sz="1000"/>
              </a:pPr>
              <a:t>Machine</a:t>
            </a:fld>
            <a:endParaRPr lang="de-DE" sz="1000" b="1" i="0" u="none" strike="noStrike" baseline="0">
              <a:solidFill>
                <a:srgbClr val="000000"/>
              </a:solidFill>
              <a:latin typeface="Univers"/>
            </a:endParaRPr>
          </a:p>
        </xdr:txBody>
      </xdr:sp>
      <xdr:sp macro="" textlink="Buttons!B44">
        <xdr:nvSpPr>
          <xdr:cNvPr id="23" name="Rectangle 3">
            <a:extLst>
              <a:ext uri="{FF2B5EF4-FFF2-40B4-BE49-F238E27FC236}">
                <a16:creationId xmlns:a16="http://schemas.microsoft.com/office/drawing/2014/main" id="{00000000-0008-0000-0400-000017000000}"/>
              </a:ext>
            </a:extLst>
          </xdr:cNvPr>
          <xdr:cNvSpPr>
            <a:spLocks noChangeArrowheads="1"/>
          </xdr:cNvSpPr>
        </xdr:nvSpPr>
        <xdr:spPr bwMode="auto">
          <a:xfrm>
            <a:off x="9092540" y="8899148"/>
            <a:ext cx="1445603"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8489778B-899F-48D6-A9D4-6A6537A9EF70}" type="TxLink">
              <a:rPr lang="en-US" altLang="ko-KR" sz="1100" b="1" i="0" u="none" strike="noStrike" baseline="0">
                <a:solidFill>
                  <a:srgbClr val="000000"/>
                </a:solidFill>
                <a:latin typeface="Univers"/>
              </a:rPr>
              <a:pPr algn="ctr" rtl="0">
                <a:defRPr sz="1000"/>
              </a:pPr>
              <a:t>Material</a:t>
            </a:fld>
            <a:endParaRPr lang="de-DE" sz="1050" b="1" i="0" u="none" strike="noStrike" baseline="0">
              <a:solidFill>
                <a:srgbClr val="000000"/>
              </a:solidFill>
              <a:latin typeface="Univers"/>
            </a:endParaRPr>
          </a:p>
        </xdr:txBody>
      </xdr:sp>
      <xdr:sp macro="" textlink="Buttons!B43">
        <xdr:nvSpPr>
          <xdr:cNvPr id="27" name="Rectangle 3">
            <a:extLst>
              <a:ext uri="{FF2B5EF4-FFF2-40B4-BE49-F238E27FC236}">
                <a16:creationId xmlns:a16="http://schemas.microsoft.com/office/drawing/2014/main" id="{00000000-0008-0000-0400-00001B000000}"/>
              </a:ext>
            </a:extLst>
          </xdr:cNvPr>
          <xdr:cNvSpPr>
            <a:spLocks noChangeArrowheads="1"/>
          </xdr:cNvSpPr>
        </xdr:nvSpPr>
        <xdr:spPr bwMode="auto">
          <a:xfrm>
            <a:off x="10908924" y="8894668"/>
            <a:ext cx="1443362"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A2426C77-D953-4C33-B1F8-A22F4FB8F4D4}" type="TxLink">
              <a:rPr lang="en-US" altLang="ko-KR" sz="1100" b="1" i="0" u="none" strike="noStrike" baseline="0">
                <a:solidFill>
                  <a:srgbClr val="000000"/>
                </a:solidFill>
                <a:latin typeface="Univers"/>
              </a:rPr>
              <a:pPr algn="ctr" rtl="0">
                <a:defRPr sz="1000"/>
              </a:pPr>
              <a:t>Method</a:t>
            </a:fld>
            <a:endParaRPr lang="de-DE" sz="1050" b="1" i="0" u="none" strike="noStrike" baseline="0">
              <a:solidFill>
                <a:srgbClr val="000000"/>
              </a:solidFill>
              <a:latin typeface="Univers"/>
            </a:endParaRPr>
          </a:p>
        </xdr:txBody>
      </xdr:sp>
      <xdr:sp macro="" textlink="Buttons!B42">
        <xdr:nvSpPr>
          <xdr:cNvPr id="29" name="Rectangle 3">
            <a:extLst>
              <a:ext uri="{FF2B5EF4-FFF2-40B4-BE49-F238E27FC236}">
                <a16:creationId xmlns:a16="http://schemas.microsoft.com/office/drawing/2014/main" id="{00000000-0008-0000-0400-00001D000000}"/>
              </a:ext>
            </a:extLst>
          </xdr:cNvPr>
          <xdr:cNvSpPr>
            <a:spLocks noChangeArrowheads="1"/>
          </xdr:cNvSpPr>
        </xdr:nvSpPr>
        <xdr:spPr bwMode="auto">
          <a:xfrm>
            <a:off x="12790389" y="8901392"/>
            <a:ext cx="1441121" cy="375128"/>
          </a:xfrm>
          <a:prstGeom prst="rect">
            <a:avLst/>
          </a:prstGeom>
          <a:solidFill>
            <a:schemeClr val="bg1">
              <a:lumMod val="95000"/>
            </a:schemeClr>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fld id="{28F18263-0A2C-46B6-A6AD-C6DDDFBC1C05}" type="TxLink">
              <a:rPr lang="en-US" altLang="ko-KR" sz="1100" b="1" i="0" u="none" strike="noStrike" baseline="0">
                <a:solidFill>
                  <a:srgbClr val="000000"/>
                </a:solidFill>
                <a:latin typeface="Univers"/>
              </a:rPr>
              <a:pPr algn="ctr" rtl="0">
                <a:defRPr sz="1000"/>
              </a:pPr>
              <a:t>Mother Nature</a:t>
            </a:fld>
            <a:endParaRPr lang="de-DE" sz="1050" b="1" i="0" u="none" strike="noStrike" baseline="0">
              <a:solidFill>
                <a:srgbClr val="000000"/>
              </a:solidFill>
              <a:latin typeface="Univers"/>
            </a:endParaRPr>
          </a:p>
        </xdr:txBody>
      </xdr:sp>
    </xdr:grpSp>
    <xdr:clientData/>
  </xdr:twoCellAnchor>
  <xdr:twoCellAnchor>
    <xdr:from>
      <xdr:col>3</xdr:col>
      <xdr:colOff>57331</xdr:colOff>
      <xdr:row>54</xdr:row>
      <xdr:rowOff>36115</xdr:rowOff>
    </xdr:from>
    <xdr:to>
      <xdr:col>9</xdr:col>
      <xdr:colOff>107656</xdr:colOff>
      <xdr:row>59</xdr:row>
      <xdr:rowOff>129933</xdr:rowOff>
    </xdr:to>
    <xdr:grpSp>
      <xdr:nvGrpSpPr>
        <xdr:cNvPr id="2" name="Gruppieren 1">
          <a:extLst>
            <a:ext uri="{FF2B5EF4-FFF2-40B4-BE49-F238E27FC236}">
              <a16:creationId xmlns:a16="http://schemas.microsoft.com/office/drawing/2014/main" id="{00000000-0008-0000-0400-000002000000}"/>
            </a:ext>
          </a:extLst>
        </xdr:cNvPr>
        <xdr:cNvGrpSpPr/>
      </xdr:nvGrpSpPr>
      <xdr:grpSpPr>
        <a:xfrm>
          <a:off x="581206" y="9456340"/>
          <a:ext cx="1193325" cy="903443"/>
          <a:chOff x="6002580" y="8724747"/>
          <a:chExt cx="1264762" cy="899504"/>
        </a:xfrm>
      </xdr:grpSpPr>
      <xdr:sp macro="" textlink="">
        <xdr:nvSpPr>
          <xdr:cNvPr id="46" name="Line 30">
            <a:extLst>
              <a:ext uri="{FF2B5EF4-FFF2-40B4-BE49-F238E27FC236}">
                <a16:creationId xmlns:a16="http://schemas.microsoft.com/office/drawing/2014/main" id="{00000000-0008-0000-0400-00002E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98" name="Rectangle 3">
            <a:extLst>
              <a:ext uri="{FF2B5EF4-FFF2-40B4-BE49-F238E27FC236}">
                <a16:creationId xmlns:a16="http://schemas.microsoft.com/office/drawing/2014/main" id="{00000000-0008-0000-0400-000062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65</xdr:col>
      <xdr:colOff>0</xdr:colOff>
      <xdr:row>62</xdr:row>
      <xdr:rowOff>84317</xdr:rowOff>
    </xdr:from>
    <xdr:to>
      <xdr:col>66</xdr:col>
      <xdr:colOff>15975</xdr:colOff>
      <xdr:row>63</xdr:row>
      <xdr:rowOff>133350</xdr:rowOff>
    </xdr:to>
    <xdr:sp macro="" textlink="">
      <xdr:nvSpPr>
        <xdr:cNvPr id="155" name="Rad 154">
          <a:extLst>
            <a:ext uri="{FF2B5EF4-FFF2-40B4-BE49-F238E27FC236}">
              <a16:creationId xmlns:a16="http://schemas.microsoft.com/office/drawing/2014/main" id="{00000000-0008-0000-0400-00009B000000}"/>
            </a:ext>
          </a:extLst>
        </xdr:cNvPr>
        <xdr:cNvSpPr/>
      </xdr:nvSpPr>
      <xdr:spPr>
        <a:xfrm>
          <a:off x="12192000" y="10923767"/>
          <a:ext cx="206475" cy="210958"/>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xdr:twoCellAnchor>
  <xdr:twoCellAnchor>
    <xdr:from>
      <xdr:col>65</xdr:col>
      <xdr:colOff>0</xdr:colOff>
      <xdr:row>59</xdr:row>
      <xdr:rowOff>66675</xdr:rowOff>
    </xdr:from>
    <xdr:to>
      <xdr:col>66</xdr:col>
      <xdr:colOff>0</xdr:colOff>
      <xdr:row>60</xdr:row>
      <xdr:rowOff>85725</xdr:rowOff>
    </xdr:to>
    <xdr:sp macro="" textlink="">
      <xdr:nvSpPr>
        <xdr:cNvPr id="156" name="Gleichschenkliges Dreieck 155">
          <a:extLst>
            <a:ext uri="{FF2B5EF4-FFF2-40B4-BE49-F238E27FC236}">
              <a16:creationId xmlns:a16="http://schemas.microsoft.com/office/drawing/2014/main" id="{00000000-0008-0000-0400-00009C000000}"/>
            </a:ext>
          </a:extLst>
        </xdr:cNvPr>
        <xdr:cNvSpPr/>
      </xdr:nvSpPr>
      <xdr:spPr>
        <a:xfrm>
          <a:off x="12192000" y="10420350"/>
          <a:ext cx="190500"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64</xdr:col>
      <xdr:colOff>159675</xdr:colOff>
      <xdr:row>56</xdr:row>
      <xdr:rowOff>30807</xdr:rowOff>
    </xdr:from>
    <xdr:to>
      <xdr:col>66</xdr:col>
      <xdr:colOff>47625</xdr:colOff>
      <xdr:row>58</xdr:row>
      <xdr:rowOff>0</xdr:rowOff>
    </xdr:to>
    <xdr:sp macro="" textlink="">
      <xdr:nvSpPr>
        <xdr:cNvPr id="157" name="Multiplizieren 156">
          <a:extLst>
            <a:ext uri="{FF2B5EF4-FFF2-40B4-BE49-F238E27FC236}">
              <a16:creationId xmlns:a16="http://schemas.microsoft.com/office/drawing/2014/main" id="{00000000-0008-0000-0400-00009D000000}"/>
            </a:ext>
          </a:extLst>
        </xdr:cNvPr>
        <xdr:cNvSpPr/>
      </xdr:nvSpPr>
      <xdr:spPr>
        <a:xfrm>
          <a:off x="12161175" y="9898707"/>
          <a:ext cx="268950" cy="293043"/>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xdr:twoCellAnchor>
  <xdr:twoCellAnchor>
    <xdr:from>
      <xdr:col>3</xdr:col>
      <xdr:colOff>57331</xdr:colOff>
      <xdr:row>59</xdr:row>
      <xdr:rowOff>45640</xdr:rowOff>
    </xdr:from>
    <xdr:to>
      <xdr:col>9</xdr:col>
      <xdr:colOff>107656</xdr:colOff>
      <xdr:row>64</xdr:row>
      <xdr:rowOff>139458</xdr:rowOff>
    </xdr:to>
    <xdr:grpSp>
      <xdr:nvGrpSpPr>
        <xdr:cNvPr id="226" name="Gruppieren 225">
          <a:extLst>
            <a:ext uri="{FF2B5EF4-FFF2-40B4-BE49-F238E27FC236}">
              <a16:creationId xmlns:a16="http://schemas.microsoft.com/office/drawing/2014/main" id="{00000000-0008-0000-0400-0000E2000000}"/>
            </a:ext>
          </a:extLst>
        </xdr:cNvPr>
        <xdr:cNvGrpSpPr/>
      </xdr:nvGrpSpPr>
      <xdr:grpSpPr>
        <a:xfrm>
          <a:off x="581206" y="10275490"/>
          <a:ext cx="1193325" cy="903443"/>
          <a:chOff x="6002580" y="8724747"/>
          <a:chExt cx="1264762" cy="899504"/>
        </a:xfrm>
      </xdr:grpSpPr>
      <xdr:sp macro="" textlink="">
        <xdr:nvSpPr>
          <xdr:cNvPr id="227" name="Line 30">
            <a:extLst>
              <a:ext uri="{FF2B5EF4-FFF2-40B4-BE49-F238E27FC236}">
                <a16:creationId xmlns:a16="http://schemas.microsoft.com/office/drawing/2014/main" id="{00000000-0008-0000-0400-0000E3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28" name="Rectangle 3">
            <a:extLst>
              <a:ext uri="{FF2B5EF4-FFF2-40B4-BE49-F238E27FC236}">
                <a16:creationId xmlns:a16="http://schemas.microsoft.com/office/drawing/2014/main" id="{00000000-0008-0000-0400-0000E4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3</xdr:col>
      <xdr:colOff>57331</xdr:colOff>
      <xdr:row>64</xdr:row>
      <xdr:rowOff>74215</xdr:rowOff>
    </xdr:from>
    <xdr:to>
      <xdr:col>9</xdr:col>
      <xdr:colOff>107656</xdr:colOff>
      <xdr:row>69</xdr:row>
      <xdr:rowOff>168033</xdr:rowOff>
    </xdr:to>
    <xdr:grpSp>
      <xdr:nvGrpSpPr>
        <xdr:cNvPr id="229" name="Gruppieren 228">
          <a:extLst>
            <a:ext uri="{FF2B5EF4-FFF2-40B4-BE49-F238E27FC236}">
              <a16:creationId xmlns:a16="http://schemas.microsoft.com/office/drawing/2014/main" id="{00000000-0008-0000-0400-0000E5000000}"/>
            </a:ext>
          </a:extLst>
        </xdr:cNvPr>
        <xdr:cNvGrpSpPr/>
      </xdr:nvGrpSpPr>
      <xdr:grpSpPr>
        <a:xfrm>
          <a:off x="581206" y="11113690"/>
          <a:ext cx="1193325" cy="903443"/>
          <a:chOff x="6002580" y="8724747"/>
          <a:chExt cx="1264762" cy="899504"/>
        </a:xfrm>
      </xdr:grpSpPr>
      <xdr:sp macro="" textlink="">
        <xdr:nvSpPr>
          <xdr:cNvPr id="230" name="Line 30">
            <a:extLst>
              <a:ext uri="{FF2B5EF4-FFF2-40B4-BE49-F238E27FC236}">
                <a16:creationId xmlns:a16="http://schemas.microsoft.com/office/drawing/2014/main" id="{00000000-0008-0000-0400-0000E6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31" name="Rectangle 3">
            <a:extLst>
              <a:ext uri="{FF2B5EF4-FFF2-40B4-BE49-F238E27FC236}">
                <a16:creationId xmlns:a16="http://schemas.microsoft.com/office/drawing/2014/main" id="{00000000-0008-0000-0400-0000E7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9</xdr:col>
      <xdr:colOff>190681</xdr:colOff>
      <xdr:row>54</xdr:row>
      <xdr:rowOff>36115</xdr:rowOff>
    </xdr:from>
    <xdr:to>
      <xdr:col>16</xdr:col>
      <xdr:colOff>40981</xdr:colOff>
      <xdr:row>59</xdr:row>
      <xdr:rowOff>129933</xdr:rowOff>
    </xdr:to>
    <xdr:grpSp>
      <xdr:nvGrpSpPr>
        <xdr:cNvPr id="232" name="Gruppieren 231">
          <a:extLst>
            <a:ext uri="{FF2B5EF4-FFF2-40B4-BE49-F238E27FC236}">
              <a16:creationId xmlns:a16="http://schemas.microsoft.com/office/drawing/2014/main" id="{00000000-0008-0000-0400-0000E8000000}"/>
            </a:ext>
          </a:extLst>
        </xdr:cNvPr>
        <xdr:cNvGrpSpPr/>
      </xdr:nvGrpSpPr>
      <xdr:grpSpPr>
        <a:xfrm>
          <a:off x="1857556" y="9456340"/>
          <a:ext cx="1183800" cy="903443"/>
          <a:chOff x="6002580" y="8724747"/>
          <a:chExt cx="1264762" cy="899504"/>
        </a:xfrm>
      </xdr:grpSpPr>
      <xdr:sp macro="" textlink="">
        <xdr:nvSpPr>
          <xdr:cNvPr id="233" name="Line 30">
            <a:extLst>
              <a:ext uri="{FF2B5EF4-FFF2-40B4-BE49-F238E27FC236}">
                <a16:creationId xmlns:a16="http://schemas.microsoft.com/office/drawing/2014/main" id="{00000000-0008-0000-0400-0000E9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34" name="Rectangle 3">
            <a:extLst>
              <a:ext uri="{FF2B5EF4-FFF2-40B4-BE49-F238E27FC236}">
                <a16:creationId xmlns:a16="http://schemas.microsoft.com/office/drawing/2014/main" id="{00000000-0008-0000-0400-0000EA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9</xdr:col>
      <xdr:colOff>190681</xdr:colOff>
      <xdr:row>59</xdr:row>
      <xdr:rowOff>45640</xdr:rowOff>
    </xdr:from>
    <xdr:to>
      <xdr:col>16</xdr:col>
      <xdr:colOff>40981</xdr:colOff>
      <xdr:row>64</xdr:row>
      <xdr:rowOff>139458</xdr:rowOff>
    </xdr:to>
    <xdr:grpSp>
      <xdr:nvGrpSpPr>
        <xdr:cNvPr id="235" name="Gruppieren 234">
          <a:extLst>
            <a:ext uri="{FF2B5EF4-FFF2-40B4-BE49-F238E27FC236}">
              <a16:creationId xmlns:a16="http://schemas.microsoft.com/office/drawing/2014/main" id="{00000000-0008-0000-0400-0000EB000000}"/>
            </a:ext>
          </a:extLst>
        </xdr:cNvPr>
        <xdr:cNvGrpSpPr/>
      </xdr:nvGrpSpPr>
      <xdr:grpSpPr>
        <a:xfrm>
          <a:off x="1857556" y="10275490"/>
          <a:ext cx="1183800" cy="903443"/>
          <a:chOff x="6002580" y="8724747"/>
          <a:chExt cx="1264762" cy="899504"/>
        </a:xfrm>
      </xdr:grpSpPr>
      <xdr:sp macro="" textlink="">
        <xdr:nvSpPr>
          <xdr:cNvPr id="236" name="Line 30">
            <a:extLst>
              <a:ext uri="{FF2B5EF4-FFF2-40B4-BE49-F238E27FC236}">
                <a16:creationId xmlns:a16="http://schemas.microsoft.com/office/drawing/2014/main" id="{00000000-0008-0000-0400-0000EC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37" name="Rectangle 3">
            <a:extLst>
              <a:ext uri="{FF2B5EF4-FFF2-40B4-BE49-F238E27FC236}">
                <a16:creationId xmlns:a16="http://schemas.microsoft.com/office/drawing/2014/main" id="{00000000-0008-0000-0400-0000ED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9</xdr:col>
      <xdr:colOff>190681</xdr:colOff>
      <xdr:row>64</xdr:row>
      <xdr:rowOff>74215</xdr:rowOff>
    </xdr:from>
    <xdr:to>
      <xdr:col>16</xdr:col>
      <xdr:colOff>40981</xdr:colOff>
      <xdr:row>69</xdr:row>
      <xdr:rowOff>168033</xdr:rowOff>
    </xdr:to>
    <xdr:grpSp>
      <xdr:nvGrpSpPr>
        <xdr:cNvPr id="238" name="Gruppieren 237">
          <a:extLst>
            <a:ext uri="{FF2B5EF4-FFF2-40B4-BE49-F238E27FC236}">
              <a16:creationId xmlns:a16="http://schemas.microsoft.com/office/drawing/2014/main" id="{00000000-0008-0000-0400-0000EE000000}"/>
            </a:ext>
          </a:extLst>
        </xdr:cNvPr>
        <xdr:cNvGrpSpPr/>
      </xdr:nvGrpSpPr>
      <xdr:grpSpPr>
        <a:xfrm>
          <a:off x="1857556" y="11113690"/>
          <a:ext cx="1183800" cy="903443"/>
          <a:chOff x="6002580" y="8724747"/>
          <a:chExt cx="1264762" cy="899504"/>
        </a:xfrm>
      </xdr:grpSpPr>
      <xdr:sp macro="" textlink="">
        <xdr:nvSpPr>
          <xdr:cNvPr id="239" name="Line 30">
            <a:extLst>
              <a:ext uri="{FF2B5EF4-FFF2-40B4-BE49-F238E27FC236}">
                <a16:creationId xmlns:a16="http://schemas.microsoft.com/office/drawing/2014/main" id="{00000000-0008-0000-0400-0000EF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40" name="Rectangle 3">
            <a:extLst>
              <a:ext uri="{FF2B5EF4-FFF2-40B4-BE49-F238E27FC236}">
                <a16:creationId xmlns:a16="http://schemas.microsoft.com/office/drawing/2014/main" id="{00000000-0008-0000-0400-0000F0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16</xdr:col>
      <xdr:colOff>124006</xdr:colOff>
      <xdr:row>54</xdr:row>
      <xdr:rowOff>36115</xdr:rowOff>
    </xdr:from>
    <xdr:to>
      <xdr:col>22</xdr:col>
      <xdr:colOff>174331</xdr:colOff>
      <xdr:row>59</xdr:row>
      <xdr:rowOff>129933</xdr:rowOff>
    </xdr:to>
    <xdr:grpSp>
      <xdr:nvGrpSpPr>
        <xdr:cNvPr id="241" name="Gruppieren 240">
          <a:extLst>
            <a:ext uri="{FF2B5EF4-FFF2-40B4-BE49-F238E27FC236}">
              <a16:creationId xmlns:a16="http://schemas.microsoft.com/office/drawing/2014/main" id="{00000000-0008-0000-0400-0000F1000000}"/>
            </a:ext>
          </a:extLst>
        </xdr:cNvPr>
        <xdr:cNvGrpSpPr/>
      </xdr:nvGrpSpPr>
      <xdr:grpSpPr>
        <a:xfrm>
          <a:off x="3124381" y="9456340"/>
          <a:ext cx="1193325" cy="903443"/>
          <a:chOff x="6002580" y="8724747"/>
          <a:chExt cx="1264762" cy="899504"/>
        </a:xfrm>
      </xdr:grpSpPr>
      <xdr:sp macro="" textlink="">
        <xdr:nvSpPr>
          <xdr:cNvPr id="242" name="Line 30">
            <a:extLst>
              <a:ext uri="{FF2B5EF4-FFF2-40B4-BE49-F238E27FC236}">
                <a16:creationId xmlns:a16="http://schemas.microsoft.com/office/drawing/2014/main" id="{00000000-0008-0000-0400-0000F2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43" name="Rectangle 3">
            <a:extLst>
              <a:ext uri="{FF2B5EF4-FFF2-40B4-BE49-F238E27FC236}">
                <a16:creationId xmlns:a16="http://schemas.microsoft.com/office/drawing/2014/main" id="{00000000-0008-0000-0400-0000F3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16</xdr:col>
      <xdr:colOff>124006</xdr:colOff>
      <xdr:row>59</xdr:row>
      <xdr:rowOff>45640</xdr:rowOff>
    </xdr:from>
    <xdr:to>
      <xdr:col>22</xdr:col>
      <xdr:colOff>174331</xdr:colOff>
      <xdr:row>64</xdr:row>
      <xdr:rowOff>139458</xdr:rowOff>
    </xdr:to>
    <xdr:grpSp>
      <xdr:nvGrpSpPr>
        <xdr:cNvPr id="244" name="Gruppieren 243">
          <a:extLst>
            <a:ext uri="{FF2B5EF4-FFF2-40B4-BE49-F238E27FC236}">
              <a16:creationId xmlns:a16="http://schemas.microsoft.com/office/drawing/2014/main" id="{00000000-0008-0000-0400-0000F4000000}"/>
            </a:ext>
          </a:extLst>
        </xdr:cNvPr>
        <xdr:cNvGrpSpPr/>
      </xdr:nvGrpSpPr>
      <xdr:grpSpPr>
        <a:xfrm>
          <a:off x="3124381" y="10275490"/>
          <a:ext cx="1193325" cy="903443"/>
          <a:chOff x="6002580" y="8724747"/>
          <a:chExt cx="1264762" cy="899504"/>
        </a:xfrm>
      </xdr:grpSpPr>
      <xdr:sp macro="" textlink="">
        <xdr:nvSpPr>
          <xdr:cNvPr id="245" name="Line 30">
            <a:extLst>
              <a:ext uri="{FF2B5EF4-FFF2-40B4-BE49-F238E27FC236}">
                <a16:creationId xmlns:a16="http://schemas.microsoft.com/office/drawing/2014/main" id="{00000000-0008-0000-0400-0000F5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46" name="Rectangle 3">
            <a:extLst>
              <a:ext uri="{FF2B5EF4-FFF2-40B4-BE49-F238E27FC236}">
                <a16:creationId xmlns:a16="http://schemas.microsoft.com/office/drawing/2014/main" id="{00000000-0008-0000-0400-0000F6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16</xdr:col>
      <xdr:colOff>124006</xdr:colOff>
      <xdr:row>64</xdr:row>
      <xdr:rowOff>74215</xdr:rowOff>
    </xdr:from>
    <xdr:to>
      <xdr:col>22</xdr:col>
      <xdr:colOff>174331</xdr:colOff>
      <xdr:row>69</xdr:row>
      <xdr:rowOff>168033</xdr:rowOff>
    </xdr:to>
    <xdr:grpSp>
      <xdr:nvGrpSpPr>
        <xdr:cNvPr id="247" name="Gruppieren 246">
          <a:extLst>
            <a:ext uri="{FF2B5EF4-FFF2-40B4-BE49-F238E27FC236}">
              <a16:creationId xmlns:a16="http://schemas.microsoft.com/office/drawing/2014/main" id="{00000000-0008-0000-0400-0000F7000000}"/>
            </a:ext>
          </a:extLst>
        </xdr:cNvPr>
        <xdr:cNvGrpSpPr/>
      </xdr:nvGrpSpPr>
      <xdr:grpSpPr>
        <a:xfrm>
          <a:off x="3124381" y="11113690"/>
          <a:ext cx="1193325" cy="903443"/>
          <a:chOff x="6002580" y="8724747"/>
          <a:chExt cx="1264762" cy="899504"/>
        </a:xfrm>
      </xdr:grpSpPr>
      <xdr:sp macro="" textlink="">
        <xdr:nvSpPr>
          <xdr:cNvPr id="248" name="Line 30">
            <a:extLst>
              <a:ext uri="{FF2B5EF4-FFF2-40B4-BE49-F238E27FC236}">
                <a16:creationId xmlns:a16="http://schemas.microsoft.com/office/drawing/2014/main" id="{00000000-0008-0000-0400-0000F8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49" name="Rectangle 3">
            <a:extLst>
              <a:ext uri="{FF2B5EF4-FFF2-40B4-BE49-F238E27FC236}">
                <a16:creationId xmlns:a16="http://schemas.microsoft.com/office/drawing/2014/main" id="{00000000-0008-0000-0400-0000F9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23</xdr:col>
      <xdr:colOff>57331</xdr:colOff>
      <xdr:row>59</xdr:row>
      <xdr:rowOff>45640</xdr:rowOff>
    </xdr:from>
    <xdr:to>
      <xdr:col>29</xdr:col>
      <xdr:colOff>107656</xdr:colOff>
      <xdr:row>64</xdr:row>
      <xdr:rowOff>139458</xdr:rowOff>
    </xdr:to>
    <xdr:grpSp>
      <xdr:nvGrpSpPr>
        <xdr:cNvPr id="253" name="Gruppieren 252">
          <a:extLst>
            <a:ext uri="{FF2B5EF4-FFF2-40B4-BE49-F238E27FC236}">
              <a16:creationId xmlns:a16="http://schemas.microsoft.com/office/drawing/2014/main" id="{00000000-0008-0000-0400-0000FD000000}"/>
            </a:ext>
          </a:extLst>
        </xdr:cNvPr>
        <xdr:cNvGrpSpPr/>
      </xdr:nvGrpSpPr>
      <xdr:grpSpPr>
        <a:xfrm>
          <a:off x="4391206" y="10275490"/>
          <a:ext cx="1193325" cy="903443"/>
          <a:chOff x="6002580" y="8724747"/>
          <a:chExt cx="1264762" cy="899504"/>
        </a:xfrm>
      </xdr:grpSpPr>
      <xdr:sp macro="" textlink="">
        <xdr:nvSpPr>
          <xdr:cNvPr id="254" name="Line 30">
            <a:extLst>
              <a:ext uri="{FF2B5EF4-FFF2-40B4-BE49-F238E27FC236}">
                <a16:creationId xmlns:a16="http://schemas.microsoft.com/office/drawing/2014/main" id="{00000000-0008-0000-0400-0000FE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55" name="Rectangle 3">
            <a:extLst>
              <a:ext uri="{FF2B5EF4-FFF2-40B4-BE49-F238E27FC236}">
                <a16:creationId xmlns:a16="http://schemas.microsoft.com/office/drawing/2014/main" id="{00000000-0008-0000-0400-0000FF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23</xdr:col>
      <xdr:colOff>57331</xdr:colOff>
      <xdr:row>64</xdr:row>
      <xdr:rowOff>74215</xdr:rowOff>
    </xdr:from>
    <xdr:to>
      <xdr:col>29</xdr:col>
      <xdr:colOff>107656</xdr:colOff>
      <xdr:row>69</xdr:row>
      <xdr:rowOff>168033</xdr:rowOff>
    </xdr:to>
    <xdr:grpSp>
      <xdr:nvGrpSpPr>
        <xdr:cNvPr id="256" name="Gruppieren 255">
          <a:extLst>
            <a:ext uri="{FF2B5EF4-FFF2-40B4-BE49-F238E27FC236}">
              <a16:creationId xmlns:a16="http://schemas.microsoft.com/office/drawing/2014/main" id="{00000000-0008-0000-0400-000000010000}"/>
            </a:ext>
          </a:extLst>
        </xdr:cNvPr>
        <xdr:cNvGrpSpPr/>
      </xdr:nvGrpSpPr>
      <xdr:grpSpPr>
        <a:xfrm>
          <a:off x="4391206" y="11113690"/>
          <a:ext cx="1193325" cy="903443"/>
          <a:chOff x="6002580" y="8724747"/>
          <a:chExt cx="1264762" cy="899505"/>
        </a:xfrm>
      </xdr:grpSpPr>
      <xdr:sp macro="" textlink="">
        <xdr:nvSpPr>
          <xdr:cNvPr id="257" name="Line 30">
            <a:extLst>
              <a:ext uri="{FF2B5EF4-FFF2-40B4-BE49-F238E27FC236}">
                <a16:creationId xmlns:a16="http://schemas.microsoft.com/office/drawing/2014/main" id="{00000000-0008-0000-0400-00000101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58" name="Rectangle 3">
            <a:extLst>
              <a:ext uri="{FF2B5EF4-FFF2-40B4-BE49-F238E27FC236}">
                <a16:creationId xmlns:a16="http://schemas.microsoft.com/office/drawing/2014/main" id="{00000000-0008-0000-0400-00000201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29</xdr:col>
      <xdr:colOff>186683</xdr:colOff>
      <xdr:row>59</xdr:row>
      <xdr:rowOff>43081</xdr:rowOff>
    </xdr:from>
    <xdr:to>
      <xdr:col>36</xdr:col>
      <xdr:colOff>40860</xdr:colOff>
      <xdr:row>62</xdr:row>
      <xdr:rowOff>111648</xdr:rowOff>
    </xdr:to>
    <xdr:grpSp>
      <xdr:nvGrpSpPr>
        <xdr:cNvPr id="259" name="Gruppieren 258">
          <a:extLst>
            <a:ext uri="{FF2B5EF4-FFF2-40B4-BE49-F238E27FC236}">
              <a16:creationId xmlns:a16="http://schemas.microsoft.com/office/drawing/2014/main" id="{00000000-0008-0000-0400-000003010000}"/>
            </a:ext>
          </a:extLst>
        </xdr:cNvPr>
        <xdr:cNvGrpSpPr/>
      </xdr:nvGrpSpPr>
      <xdr:grpSpPr>
        <a:xfrm>
          <a:off x="5663558" y="10272931"/>
          <a:ext cx="1187677" cy="554342"/>
          <a:chOff x="7607440" y="8561597"/>
          <a:chExt cx="1253282" cy="554135"/>
        </a:xfrm>
      </xdr:grpSpPr>
      <xdr:sp macro="" textlink="">
        <xdr:nvSpPr>
          <xdr:cNvPr id="260" name="Line 30">
            <a:extLst>
              <a:ext uri="{FF2B5EF4-FFF2-40B4-BE49-F238E27FC236}">
                <a16:creationId xmlns:a16="http://schemas.microsoft.com/office/drawing/2014/main" id="{00000000-0008-0000-0400-000004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61" name="Rectangle 3">
            <a:extLst>
              <a:ext uri="{FF2B5EF4-FFF2-40B4-BE49-F238E27FC236}">
                <a16:creationId xmlns:a16="http://schemas.microsoft.com/office/drawing/2014/main" id="{00000000-0008-0000-0400-000005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29</xdr:col>
      <xdr:colOff>186683</xdr:colOff>
      <xdr:row>64</xdr:row>
      <xdr:rowOff>71656</xdr:rowOff>
    </xdr:from>
    <xdr:to>
      <xdr:col>36</xdr:col>
      <xdr:colOff>40860</xdr:colOff>
      <xdr:row>67</xdr:row>
      <xdr:rowOff>140223</xdr:rowOff>
    </xdr:to>
    <xdr:grpSp>
      <xdr:nvGrpSpPr>
        <xdr:cNvPr id="262" name="Gruppieren 261">
          <a:extLst>
            <a:ext uri="{FF2B5EF4-FFF2-40B4-BE49-F238E27FC236}">
              <a16:creationId xmlns:a16="http://schemas.microsoft.com/office/drawing/2014/main" id="{00000000-0008-0000-0400-000006010000}"/>
            </a:ext>
          </a:extLst>
        </xdr:cNvPr>
        <xdr:cNvGrpSpPr/>
      </xdr:nvGrpSpPr>
      <xdr:grpSpPr>
        <a:xfrm>
          <a:off x="5663558" y="11111131"/>
          <a:ext cx="1187677" cy="554342"/>
          <a:chOff x="7607440" y="8561597"/>
          <a:chExt cx="1253282" cy="554135"/>
        </a:xfrm>
      </xdr:grpSpPr>
      <xdr:sp macro="" textlink="">
        <xdr:nvSpPr>
          <xdr:cNvPr id="263" name="Line 30">
            <a:extLst>
              <a:ext uri="{FF2B5EF4-FFF2-40B4-BE49-F238E27FC236}">
                <a16:creationId xmlns:a16="http://schemas.microsoft.com/office/drawing/2014/main" id="{00000000-0008-0000-0400-000007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64" name="Rectangle 3">
            <a:extLst>
              <a:ext uri="{FF2B5EF4-FFF2-40B4-BE49-F238E27FC236}">
                <a16:creationId xmlns:a16="http://schemas.microsoft.com/office/drawing/2014/main" id="{00000000-0008-0000-0400-000008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36</xdr:col>
      <xdr:colOff>120008</xdr:colOff>
      <xdr:row>59</xdr:row>
      <xdr:rowOff>43081</xdr:rowOff>
    </xdr:from>
    <xdr:to>
      <xdr:col>42</xdr:col>
      <xdr:colOff>174210</xdr:colOff>
      <xdr:row>62</xdr:row>
      <xdr:rowOff>111648</xdr:rowOff>
    </xdr:to>
    <xdr:grpSp>
      <xdr:nvGrpSpPr>
        <xdr:cNvPr id="268" name="Gruppieren 267">
          <a:extLst>
            <a:ext uri="{FF2B5EF4-FFF2-40B4-BE49-F238E27FC236}">
              <a16:creationId xmlns:a16="http://schemas.microsoft.com/office/drawing/2014/main" id="{00000000-0008-0000-0400-00000C010000}"/>
            </a:ext>
          </a:extLst>
        </xdr:cNvPr>
        <xdr:cNvGrpSpPr/>
      </xdr:nvGrpSpPr>
      <xdr:grpSpPr>
        <a:xfrm>
          <a:off x="6930383" y="10272931"/>
          <a:ext cx="1197202" cy="554342"/>
          <a:chOff x="7607440" y="8561597"/>
          <a:chExt cx="1253282" cy="554135"/>
        </a:xfrm>
      </xdr:grpSpPr>
      <xdr:sp macro="" textlink="">
        <xdr:nvSpPr>
          <xdr:cNvPr id="269" name="Line 30">
            <a:extLst>
              <a:ext uri="{FF2B5EF4-FFF2-40B4-BE49-F238E27FC236}">
                <a16:creationId xmlns:a16="http://schemas.microsoft.com/office/drawing/2014/main" id="{00000000-0008-0000-0400-00000D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70" name="Rectangle 3">
            <a:extLst>
              <a:ext uri="{FF2B5EF4-FFF2-40B4-BE49-F238E27FC236}">
                <a16:creationId xmlns:a16="http://schemas.microsoft.com/office/drawing/2014/main" id="{00000000-0008-0000-0400-00000E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36</xdr:col>
      <xdr:colOff>120008</xdr:colOff>
      <xdr:row>64</xdr:row>
      <xdr:rowOff>71656</xdr:rowOff>
    </xdr:from>
    <xdr:to>
      <xdr:col>42</xdr:col>
      <xdr:colOff>174210</xdr:colOff>
      <xdr:row>67</xdr:row>
      <xdr:rowOff>140223</xdr:rowOff>
    </xdr:to>
    <xdr:grpSp>
      <xdr:nvGrpSpPr>
        <xdr:cNvPr id="271" name="Gruppieren 270">
          <a:extLst>
            <a:ext uri="{FF2B5EF4-FFF2-40B4-BE49-F238E27FC236}">
              <a16:creationId xmlns:a16="http://schemas.microsoft.com/office/drawing/2014/main" id="{00000000-0008-0000-0400-00000F010000}"/>
            </a:ext>
          </a:extLst>
        </xdr:cNvPr>
        <xdr:cNvGrpSpPr/>
      </xdr:nvGrpSpPr>
      <xdr:grpSpPr>
        <a:xfrm>
          <a:off x="6930383" y="11111131"/>
          <a:ext cx="1197202" cy="554342"/>
          <a:chOff x="7607440" y="8561597"/>
          <a:chExt cx="1253282" cy="554135"/>
        </a:xfrm>
      </xdr:grpSpPr>
      <xdr:sp macro="" textlink="">
        <xdr:nvSpPr>
          <xdr:cNvPr id="272" name="Line 30">
            <a:extLst>
              <a:ext uri="{FF2B5EF4-FFF2-40B4-BE49-F238E27FC236}">
                <a16:creationId xmlns:a16="http://schemas.microsoft.com/office/drawing/2014/main" id="{00000000-0008-0000-0400-000010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73" name="Rectangle 3">
            <a:extLst>
              <a:ext uri="{FF2B5EF4-FFF2-40B4-BE49-F238E27FC236}">
                <a16:creationId xmlns:a16="http://schemas.microsoft.com/office/drawing/2014/main" id="{00000000-0008-0000-0400-000011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43</xdr:col>
      <xdr:colOff>53333</xdr:colOff>
      <xdr:row>59</xdr:row>
      <xdr:rowOff>43081</xdr:rowOff>
    </xdr:from>
    <xdr:to>
      <xdr:col>49</xdr:col>
      <xdr:colOff>107535</xdr:colOff>
      <xdr:row>62</xdr:row>
      <xdr:rowOff>111648</xdr:rowOff>
    </xdr:to>
    <xdr:grpSp>
      <xdr:nvGrpSpPr>
        <xdr:cNvPr id="277" name="Gruppieren 276">
          <a:extLst>
            <a:ext uri="{FF2B5EF4-FFF2-40B4-BE49-F238E27FC236}">
              <a16:creationId xmlns:a16="http://schemas.microsoft.com/office/drawing/2014/main" id="{00000000-0008-0000-0400-000015010000}"/>
            </a:ext>
          </a:extLst>
        </xdr:cNvPr>
        <xdr:cNvGrpSpPr/>
      </xdr:nvGrpSpPr>
      <xdr:grpSpPr>
        <a:xfrm>
          <a:off x="8197208" y="10272931"/>
          <a:ext cx="1197202" cy="554342"/>
          <a:chOff x="7607440" y="8561597"/>
          <a:chExt cx="1253282" cy="554135"/>
        </a:xfrm>
      </xdr:grpSpPr>
      <xdr:sp macro="" textlink="">
        <xdr:nvSpPr>
          <xdr:cNvPr id="278" name="Line 30">
            <a:extLst>
              <a:ext uri="{FF2B5EF4-FFF2-40B4-BE49-F238E27FC236}">
                <a16:creationId xmlns:a16="http://schemas.microsoft.com/office/drawing/2014/main" id="{00000000-0008-0000-0400-000016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79" name="Rectangle 3">
            <a:extLst>
              <a:ext uri="{FF2B5EF4-FFF2-40B4-BE49-F238E27FC236}">
                <a16:creationId xmlns:a16="http://schemas.microsoft.com/office/drawing/2014/main" id="{00000000-0008-0000-0400-000017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43</xdr:col>
      <xdr:colOff>53333</xdr:colOff>
      <xdr:row>64</xdr:row>
      <xdr:rowOff>71656</xdr:rowOff>
    </xdr:from>
    <xdr:to>
      <xdr:col>49</xdr:col>
      <xdr:colOff>107535</xdr:colOff>
      <xdr:row>67</xdr:row>
      <xdr:rowOff>140223</xdr:rowOff>
    </xdr:to>
    <xdr:grpSp>
      <xdr:nvGrpSpPr>
        <xdr:cNvPr id="280" name="Gruppieren 279">
          <a:extLst>
            <a:ext uri="{FF2B5EF4-FFF2-40B4-BE49-F238E27FC236}">
              <a16:creationId xmlns:a16="http://schemas.microsoft.com/office/drawing/2014/main" id="{00000000-0008-0000-0400-000018010000}"/>
            </a:ext>
          </a:extLst>
        </xdr:cNvPr>
        <xdr:cNvGrpSpPr/>
      </xdr:nvGrpSpPr>
      <xdr:grpSpPr>
        <a:xfrm>
          <a:off x="8197208" y="11111131"/>
          <a:ext cx="1197202" cy="554342"/>
          <a:chOff x="7607440" y="8561597"/>
          <a:chExt cx="1253282" cy="554135"/>
        </a:xfrm>
      </xdr:grpSpPr>
      <xdr:sp macro="" textlink="">
        <xdr:nvSpPr>
          <xdr:cNvPr id="281" name="Line 30">
            <a:extLst>
              <a:ext uri="{FF2B5EF4-FFF2-40B4-BE49-F238E27FC236}">
                <a16:creationId xmlns:a16="http://schemas.microsoft.com/office/drawing/2014/main" id="{00000000-0008-0000-0400-000019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82" name="Rectangle 3">
            <a:extLst>
              <a:ext uri="{FF2B5EF4-FFF2-40B4-BE49-F238E27FC236}">
                <a16:creationId xmlns:a16="http://schemas.microsoft.com/office/drawing/2014/main" id="{00000000-0008-0000-0400-00001A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49</xdr:col>
      <xdr:colOff>186683</xdr:colOff>
      <xdr:row>59</xdr:row>
      <xdr:rowOff>43081</xdr:rowOff>
    </xdr:from>
    <xdr:to>
      <xdr:col>56</xdr:col>
      <xdr:colOff>40860</xdr:colOff>
      <xdr:row>62</xdr:row>
      <xdr:rowOff>111648</xdr:rowOff>
    </xdr:to>
    <xdr:grpSp>
      <xdr:nvGrpSpPr>
        <xdr:cNvPr id="286" name="Gruppieren 285">
          <a:extLst>
            <a:ext uri="{FF2B5EF4-FFF2-40B4-BE49-F238E27FC236}">
              <a16:creationId xmlns:a16="http://schemas.microsoft.com/office/drawing/2014/main" id="{00000000-0008-0000-0400-00001E010000}"/>
            </a:ext>
          </a:extLst>
        </xdr:cNvPr>
        <xdr:cNvGrpSpPr/>
      </xdr:nvGrpSpPr>
      <xdr:grpSpPr>
        <a:xfrm>
          <a:off x="9473558" y="10272931"/>
          <a:ext cx="1187677" cy="554342"/>
          <a:chOff x="7607440" y="8561597"/>
          <a:chExt cx="1253282" cy="554135"/>
        </a:xfrm>
      </xdr:grpSpPr>
      <xdr:sp macro="" textlink="">
        <xdr:nvSpPr>
          <xdr:cNvPr id="287" name="Line 30">
            <a:extLst>
              <a:ext uri="{FF2B5EF4-FFF2-40B4-BE49-F238E27FC236}">
                <a16:creationId xmlns:a16="http://schemas.microsoft.com/office/drawing/2014/main" id="{00000000-0008-0000-0400-00001F01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88" name="Rectangle 3">
            <a:extLst>
              <a:ext uri="{FF2B5EF4-FFF2-40B4-BE49-F238E27FC236}">
                <a16:creationId xmlns:a16="http://schemas.microsoft.com/office/drawing/2014/main" id="{00000000-0008-0000-0400-000020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49</xdr:col>
      <xdr:colOff>186683</xdr:colOff>
      <xdr:row>64</xdr:row>
      <xdr:rowOff>71656</xdr:rowOff>
    </xdr:from>
    <xdr:to>
      <xdr:col>56</xdr:col>
      <xdr:colOff>40860</xdr:colOff>
      <xdr:row>67</xdr:row>
      <xdr:rowOff>140223</xdr:rowOff>
    </xdr:to>
    <xdr:grpSp>
      <xdr:nvGrpSpPr>
        <xdr:cNvPr id="289" name="Gruppieren 288">
          <a:extLst>
            <a:ext uri="{FF2B5EF4-FFF2-40B4-BE49-F238E27FC236}">
              <a16:creationId xmlns:a16="http://schemas.microsoft.com/office/drawing/2014/main" id="{00000000-0008-0000-0400-000021010000}"/>
            </a:ext>
          </a:extLst>
        </xdr:cNvPr>
        <xdr:cNvGrpSpPr/>
      </xdr:nvGrpSpPr>
      <xdr:grpSpPr>
        <a:xfrm>
          <a:off x="9473558" y="11111131"/>
          <a:ext cx="1187677" cy="554342"/>
          <a:chOff x="7607440" y="8561597"/>
          <a:chExt cx="1253282" cy="554130"/>
        </a:xfrm>
      </xdr:grpSpPr>
      <xdr:sp macro="" textlink="">
        <xdr:nvSpPr>
          <xdr:cNvPr id="290" name="Line 30">
            <a:extLst>
              <a:ext uri="{FF2B5EF4-FFF2-40B4-BE49-F238E27FC236}">
                <a16:creationId xmlns:a16="http://schemas.microsoft.com/office/drawing/2014/main" id="{00000000-0008-0000-0400-000022010000}"/>
              </a:ext>
            </a:extLst>
          </xdr:cNvPr>
          <xdr:cNvSpPr>
            <a:spLocks noChangeShapeType="1"/>
          </xdr:cNvSpPr>
        </xdr:nvSpPr>
        <xdr:spPr bwMode="auto">
          <a:xfrm rot="18900000">
            <a:off x="7621874" y="9114606"/>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291" name="Rectangle 3">
            <a:extLst>
              <a:ext uri="{FF2B5EF4-FFF2-40B4-BE49-F238E27FC236}">
                <a16:creationId xmlns:a16="http://schemas.microsoft.com/office/drawing/2014/main" id="{00000000-0008-0000-0400-00002301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49</xdr:col>
      <xdr:colOff>199010</xdr:colOff>
      <xdr:row>54</xdr:row>
      <xdr:rowOff>33556</xdr:rowOff>
    </xdr:from>
    <xdr:to>
      <xdr:col>56</xdr:col>
      <xdr:colOff>51505</xdr:colOff>
      <xdr:row>57</xdr:row>
      <xdr:rowOff>102123</xdr:rowOff>
    </xdr:to>
    <xdr:grpSp>
      <xdr:nvGrpSpPr>
        <xdr:cNvPr id="161" name="Gruppieren 160">
          <a:extLst>
            <a:ext uri="{FF2B5EF4-FFF2-40B4-BE49-F238E27FC236}">
              <a16:creationId xmlns:a16="http://schemas.microsoft.com/office/drawing/2014/main" id="{00000000-0008-0000-0400-0000A1000000}"/>
            </a:ext>
          </a:extLst>
        </xdr:cNvPr>
        <xdr:cNvGrpSpPr/>
      </xdr:nvGrpSpPr>
      <xdr:grpSpPr>
        <a:xfrm>
          <a:off x="9476360" y="9453781"/>
          <a:ext cx="1195520" cy="554342"/>
          <a:chOff x="7607440" y="8561597"/>
          <a:chExt cx="1253282" cy="554135"/>
        </a:xfrm>
      </xdr:grpSpPr>
      <xdr:sp macro="" textlink="">
        <xdr:nvSpPr>
          <xdr:cNvPr id="162" name="Line 30">
            <a:extLst>
              <a:ext uri="{FF2B5EF4-FFF2-40B4-BE49-F238E27FC236}">
                <a16:creationId xmlns:a16="http://schemas.microsoft.com/office/drawing/2014/main" id="{00000000-0008-0000-0400-0000A200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163" name="Rectangle 3">
            <a:extLst>
              <a:ext uri="{FF2B5EF4-FFF2-40B4-BE49-F238E27FC236}">
                <a16:creationId xmlns:a16="http://schemas.microsoft.com/office/drawing/2014/main" id="{00000000-0008-0000-0400-0000A300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29</xdr:col>
      <xdr:colOff>196208</xdr:colOff>
      <xdr:row>54</xdr:row>
      <xdr:rowOff>33556</xdr:rowOff>
    </xdr:from>
    <xdr:to>
      <xdr:col>36</xdr:col>
      <xdr:colOff>50385</xdr:colOff>
      <xdr:row>57</xdr:row>
      <xdr:rowOff>102123</xdr:rowOff>
    </xdr:to>
    <xdr:grpSp>
      <xdr:nvGrpSpPr>
        <xdr:cNvPr id="167" name="Gruppieren 166">
          <a:extLst>
            <a:ext uri="{FF2B5EF4-FFF2-40B4-BE49-F238E27FC236}">
              <a16:creationId xmlns:a16="http://schemas.microsoft.com/office/drawing/2014/main" id="{00000000-0008-0000-0400-0000A7000000}"/>
            </a:ext>
          </a:extLst>
        </xdr:cNvPr>
        <xdr:cNvGrpSpPr/>
      </xdr:nvGrpSpPr>
      <xdr:grpSpPr>
        <a:xfrm>
          <a:off x="5663558" y="9453781"/>
          <a:ext cx="1197202" cy="554342"/>
          <a:chOff x="7607440" y="8561597"/>
          <a:chExt cx="1253282" cy="554135"/>
        </a:xfrm>
      </xdr:grpSpPr>
      <xdr:sp macro="" textlink="">
        <xdr:nvSpPr>
          <xdr:cNvPr id="168" name="Line 30">
            <a:extLst>
              <a:ext uri="{FF2B5EF4-FFF2-40B4-BE49-F238E27FC236}">
                <a16:creationId xmlns:a16="http://schemas.microsoft.com/office/drawing/2014/main" id="{00000000-0008-0000-0400-0000A800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169" name="Rectangle 3">
            <a:extLst>
              <a:ext uri="{FF2B5EF4-FFF2-40B4-BE49-F238E27FC236}">
                <a16:creationId xmlns:a16="http://schemas.microsoft.com/office/drawing/2014/main" id="{00000000-0008-0000-0400-0000A900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60</xdr:col>
      <xdr:colOff>123824</xdr:colOff>
      <xdr:row>54</xdr:row>
      <xdr:rowOff>38100</xdr:rowOff>
    </xdr:from>
    <xdr:to>
      <xdr:col>61</xdr:col>
      <xdr:colOff>139799</xdr:colOff>
      <xdr:row>55</xdr:row>
      <xdr:rowOff>92175</xdr:rowOff>
    </xdr:to>
    <xdr:sp macro="" textlink="">
      <xdr:nvSpPr>
        <xdr:cNvPr id="3" name="Rad 2">
          <a:extLst>
            <a:ext uri="{FF2B5EF4-FFF2-40B4-BE49-F238E27FC236}">
              <a16:creationId xmlns:a16="http://schemas.microsoft.com/office/drawing/2014/main" id="{00000000-0008-0000-0400-000003000000}"/>
            </a:ext>
          </a:extLst>
        </xdr:cNvPr>
        <xdr:cNvSpPr/>
      </xdr:nvSpPr>
      <xdr:spPr>
        <a:xfrm>
          <a:off x="12024471" y="10851776"/>
          <a:ext cx="217681" cy="210958"/>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55</xdr:row>
      <xdr:rowOff>114300</xdr:rowOff>
    </xdr:from>
    <xdr:to>
      <xdr:col>61</xdr:col>
      <xdr:colOff>139799</xdr:colOff>
      <xdr:row>57</xdr:row>
      <xdr:rowOff>6450</xdr:rowOff>
    </xdr:to>
    <xdr:sp macro="" textlink="">
      <xdr:nvSpPr>
        <xdr:cNvPr id="129" name="Rad 128">
          <a:extLst>
            <a:ext uri="{FF2B5EF4-FFF2-40B4-BE49-F238E27FC236}">
              <a16:creationId xmlns:a16="http://schemas.microsoft.com/office/drawing/2014/main" id="{00000000-0008-0000-0400-000081000000}"/>
            </a:ext>
          </a:extLst>
        </xdr:cNvPr>
        <xdr:cNvSpPr/>
      </xdr:nvSpPr>
      <xdr:spPr>
        <a:xfrm>
          <a:off x="11925299" y="10953750"/>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57</xdr:row>
      <xdr:rowOff>19050</xdr:rowOff>
    </xdr:from>
    <xdr:to>
      <xdr:col>61</xdr:col>
      <xdr:colOff>139799</xdr:colOff>
      <xdr:row>58</xdr:row>
      <xdr:rowOff>73125</xdr:rowOff>
    </xdr:to>
    <xdr:sp macro="" textlink="">
      <xdr:nvSpPr>
        <xdr:cNvPr id="130" name="Rad 129">
          <a:extLst>
            <a:ext uri="{FF2B5EF4-FFF2-40B4-BE49-F238E27FC236}">
              <a16:creationId xmlns:a16="http://schemas.microsoft.com/office/drawing/2014/main" id="{00000000-0008-0000-0400-000082000000}"/>
            </a:ext>
          </a:extLst>
        </xdr:cNvPr>
        <xdr:cNvSpPr/>
      </xdr:nvSpPr>
      <xdr:spPr>
        <a:xfrm>
          <a:off x="11925299" y="11182350"/>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58</xdr:row>
      <xdr:rowOff>95250</xdr:rowOff>
    </xdr:from>
    <xdr:to>
      <xdr:col>61</xdr:col>
      <xdr:colOff>139799</xdr:colOff>
      <xdr:row>59</xdr:row>
      <xdr:rowOff>149325</xdr:rowOff>
    </xdr:to>
    <xdr:sp macro="" textlink="">
      <xdr:nvSpPr>
        <xdr:cNvPr id="131" name="Rad 130">
          <a:extLst>
            <a:ext uri="{FF2B5EF4-FFF2-40B4-BE49-F238E27FC236}">
              <a16:creationId xmlns:a16="http://schemas.microsoft.com/office/drawing/2014/main" id="{00000000-0008-0000-0400-000083000000}"/>
            </a:ext>
          </a:extLst>
        </xdr:cNvPr>
        <xdr:cNvSpPr/>
      </xdr:nvSpPr>
      <xdr:spPr>
        <a:xfrm>
          <a:off x="11925299" y="11420475"/>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60</xdr:row>
      <xdr:rowOff>0</xdr:rowOff>
    </xdr:from>
    <xdr:to>
      <xdr:col>61</xdr:col>
      <xdr:colOff>139799</xdr:colOff>
      <xdr:row>61</xdr:row>
      <xdr:rowOff>54075</xdr:rowOff>
    </xdr:to>
    <xdr:sp macro="" textlink="">
      <xdr:nvSpPr>
        <xdr:cNvPr id="132" name="Rad 131">
          <a:extLst>
            <a:ext uri="{FF2B5EF4-FFF2-40B4-BE49-F238E27FC236}">
              <a16:creationId xmlns:a16="http://schemas.microsoft.com/office/drawing/2014/main" id="{00000000-0008-0000-0400-000084000000}"/>
            </a:ext>
          </a:extLst>
        </xdr:cNvPr>
        <xdr:cNvSpPr/>
      </xdr:nvSpPr>
      <xdr:spPr>
        <a:xfrm>
          <a:off x="11925299" y="11649075"/>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61</xdr:row>
      <xdr:rowOff>76200</xdr:rowOff>
    </xdr:from>
    <xdr:to>
      <xdr:col>61</xdr:col>
      <xdr:colOff>139799</xdr:colOff>
      <xdr:row>62</xdr:row>
      <xdr:rowOff>130275</xdr:rowOff>
    </xdr:to>
    <xdr:sp macro="" textlink="">
      <xdr:nvSpPr>
        <xdr:cNvPr id="133" name="Rad 132">
          <a:extLst>
            <a:ext uri="{FF2B5EF4-FFF2-40B4-BE49-F238E27FC236}">
              <a16:creationId xmlns:a16="http://schemas.microsoft.com/office/drawing/2014/main" id="{00000000-0008-0000-0400-000085000000}"/>
            </a:ext>
          </a:extLst>
        </xdr:cNvPr>
        <xdr:cNvSpPr/>
      </xdr:nvSpPr>
      <xdr:spPr>
        <a:xfrm>
          <a:off x="11925299" y="11887200"/>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62</xdr:row>
      <xdr:rowOff>142875</xdr:rowOff>
    </xdr:from>
    <xdr:to>
      <xdr:col>61</xdr:col>
      <xdr:colOff>139799</xdr:colOff>
      <xdr:row>64</xdr:row>
      <xdr:rowOff>35025</xdr:rowOff>
    </xdr:to>
    <xdr:sp macro="" textlink="">
      <xdr:nvSpPr>
        <xdr:cNvPr id="134" name="Rad 133">
          <a:extLst>
            <a:ext uri="{FF2B5EF4-FFF2-40B4-BE49-F238E27FC236}">
              <a16:creationId xmlns:a16="http://schemas.microsoft.com/office/drawing/2014/main" id="{00000000-0008-0000-0400-000086000000}"/>
            </a:ext>
          </a:extLst>
        </xdr:cNvPr>
        <xdr:cNvSpPr/>
      </xdr:nvSpPr>
      <xdr:spPr>
        <a:xfrm>
          <a:off x="11925299" y="12115800"/>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64</xdr:row>
      <xdr:rowOff>57150</xdr:rowOff>
    </xdr:from>
    <xdr:to>
      <xdr:col>61</xdr:col>
      <xdr:colOff>139799</xdr:colOff>
      <xdr:row>65</xdr:row>
      <xdr:rowOff>111225</xdr:rowOff>
    </xdr:to>
    <xdr:sp macro="" textlink="">
      <xdr:nvSpPr>
        <xdr:cNvPr id="135" name="Rad 134">
          <a:extLst>
            <a:ext uri="{FF2B5EF4-FFF2-40B4-BE49-F238E27FC236}">
              <a16:creationId xmlns:a16="http://schemas.microsoft.com/office/drawing/2014/main" id="{00000000-0008-0000-0400-000087000000}"/>
            </a:ext>
          </a:extLst>
        </xdr:cNvPr>
        <xdr:cNvSpPr/>
      </xdr:nvSpPr>
      <xdr:spPr>
        <a:xfrm>
          <a:off x="11925299" y="12353925"/>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65</xdr:row>
      <xdr:rowOff>133350</xdr:rowOff>
    </xdr:from>
    <xdr:to>
      <xdr:col>61</xdr:col>
      <xdr:colOff>139799</xdr:colOff>
      <xdr:row>67</xdr:row>
      <xdr:rowOff>25500</xdr:rowOff>
    </xdr:to>
    <xdr:sp macro="" textlink="">
      <xdr:nvSpPr>
        <xdr:cNvPr id="136" name="Rad 135">
          <a:extLst>
            <a:ext uri="{FF2B5EF4-FFF2-40B4-BE49-F238E27FC236}">
              <a16:creationId xmlns:a16="http://schemas.microsoft.com/office/drawing/2014/main" id="{00000000-0008-0000-0400-000088000000}"/>
            </a:ext>
          </a:extLst>
        </xdr:cNvPr>
        <xdr:cNvSpPr/>
      </xdr:nvSpPr>
      <xdr:spPr>
        <a:xfrm>
          <a:off x="11925299" y="12592050"/>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60</xdr:col>
      <xdr:colOff>123824</xdr:colOff>
      <xdr:row>67</xdr:row>
      <xdr:rowOff>47625</xdr:rowOff>
    </xdr:from>
    <xdr:to>
      <xdr:col>61</xdr:col>
      <xdr:colOff>139799</xdr:colOff>
      <xdr:row>68</xdr:row>
      <xdr:rowOff>101700</xdr:rowOff>
    </xdr:to>
    <xdr:sp macro="" textlink="">
      <xdr:nvSpPr>
        <xdr:cNvPr id="137" name="Rad 136">
          <a:extLst>
            <a:ext uri="{FF2B5EF4-FFF2-40B4-BE49-F238E27FC236}">
              <a16:creationId xmlns:a16="http://schemas.microsoft.com/office/drawing/2014/main" id="{00000000-0008-0000-0400-000089000000}"/>
            </a:ext>
          </a:extLst>
        </xdr:cNvPr>
        <xdr:cNvSpPr/>
      </xdr:nvSpPr>
      <xdr:spPr>
        <a:xfrm>
          <a:off x="11925299" y="12830175"/>
          <a:ext cx="216000" cy="216000"/>
        </a:xfrm>
        <a:prstGeom prst="donut">
          <a:avLst/>
        </a:prstGeom>
        <a:solidFill>
          <a:srgbClr val="92D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solidFill>
              <a:schemeClr val="tx1"/>
            </a:solidFill>
          </a:endParaRPr>
        </a:p>
      </xdr:txBody>
    </xdr:sp>
    <xdr:clientData fLocksWithSheet="0"/>
  </xdr:twoCellAnchor>
  <xdr:twoCellAnchor>
    <xdr:from>
      <xdr:col>59</xdr:col>
      <xdr:colOff>9525</xdr:colOff>
      <xdr:row>54</xdr:row>
      <xdr:rowOff>57150</xdr:rowOff>
    </xdr:from>
    <xdr:to>
      <xdr:col>60</xdr:col>
      <xdr:colOff>9525</xdr:colOff>
      <xdr:row>55</xdr:row>
      <xdr:rowOff>76200</xdr:rowOff>
    </xdr:to>
    <xdr:sp macro="" textlink="">
      <xdr:nvSpPr>
        <xdr:cNvPr id="4" name="Gleichschenkliges Dreieck 3">
          <a:extLst>
            <a:ext uri="{FF2B5EF4-FFF2-40B4-BE49-F238E27FC236}">
              <a16:creationId xmlns:a16="http://schemas.microsoft.com/office/drawing/2014/main" id="{00000000-0008-0000-0400-000004000000}"/>
            </a:ext>
          </a:extLst>
        </xdr:cNvPr>
        <xdr:cNvSpPr/>
      </xdr:nvSpPr>
      <xdr:spPr>
        <a:xfrm>
          <a:off x="11708466" y="10870826"/>
          <a:ext cx="201706" cy="175933"/>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55</xdr:row>
      <xdr:rowOff>142875</xdr:rowOff>
    </xdr:from>
    <xdr:to>
      <xdr:col>60</xdr:col>
      <xdr:colOff>9525</xdr:colOff>
      <xdr:row>57</xdr:row>
      <xdr:rowOff>0</xdr:rowOff>
    </xdr:to>
    <xdr:sp macro="" textlink="">
      <xdr:nvSpPr>
        <xdr:cNvPr id="138" name="Gleichschenkliges Dreieck 137">
          <a:extLst>
            <a:ext uri="{FF2B5EF4-FFF2-40B4-BE49-F238E27FC236}">
              <a16:creationId xmlns:a16="http://schemas.microsoft.com/office/drawing/2014/main" id="{00000000-0008-0000-0400-00008A000000}"/>
            </a:ext>
          </a:extLst>
        </xdr:cNvPr>
        <xdr:cNvSpPr/>
      </xdr:nvSpPr>
      <xdr:spPr>
        <a:xfrm>
          <a:off x="11610975" y="10982325"/>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57</xdr:row>
      <xdr:rowOff>76200</xdr:rowOff>
    </xdr:from>
    <xdr:to>
      <xdr:col>60</xdr:col>
      <xdr:colOff>9525</xdr:colOff>
      <xdr:row>58</xdr:row>
      <xdr:rowOff>95250</xdr:rowOff>
    </xdr:to>
    <xdr:sp macro="" textlink="">
      <xdr:nvSpPr>
        <xdr:cNvPr id="139" name="Gleichschenkliges Dreieck 138">
          <a:extLst>
            <a:ext uri="{FF2B5EF4-FFF2-40B4-BE49-F238E27FC236}">
              <a16:creationId xmlns:a16="http://schemas.microsoft.com/office/drawing/2014/main" id="{00000000-0008-0000-0400-00008B000000}"/>
            </a:ext>
          </a:extLst>
        </xdr:cNvPr>
        <xdr:cNvSpPr/>
      </xdr:nvSpPr>
      <xdr:spPr>
        <a:xfrm>
          <a:off x="11610975" y="11239500"/>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59</xdr:row>
      <xdr:rowOff>0</xdr:rowOff>
    </xdr:from>
    <xdr:to>
      <xdr:col>60</xdr:col>
      <xdr:colOff>9525</xdr:colOff>
      <xdr:row>60</xdr:row>
      <xdr:rowOff>19050</xdr:rowOff>
    </xdr:to>
    <xdr:sp macro="" textlink="">
      <xdr:nvSpPr>
        <xdr:cNvPr id="140" name="Gleichschenkliges Dreieck 139">
          <a:extLst>
            <a:ext uri="{FF2B5EF4-FFF2-40B4-BE49-F238E27FC236}">
              <a16:creationId xmlns:a16="http://schemas.microsoft.com/office/drawing/2014/main" id="{00000000-0008-0000-0400-00008C000000}"/>
            </a:ext>
          </a:extLst>
        </xdr:cNvPr>
        <xdr:cNvSpPr/>
      </xdr:nvSpPr>
      <xdr:spPr>
        <a:xfrm>
          <a:off x="11610975" y="11487150"/>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60</xdr:row>
      <xdr:rowOff>104775</xdr:rowOff>
    </xdr:from>
    <xdr:to>
      <xdr:col>60</xdr:col>
      <xdr:colOff>9525</xdr:colOff>
      <xdr:row>61</xdr:row>
      <xdr:rowOff>123825</xdr:rowOff>
    </xdr:to>
    <xdr:sp macro="" textlink="">
      <xdr:nvSpPr>
        <xdr:cNvPr id="141" name="Gleichschenkliges Dreieck 140">
          <a:extLst>
            <a:ext uri="{FF2B5EF4-FFF2-40B4-BE49-F238E27FC236}">
              <a16:creationId xmlns:a16="http://schemas.microsoft.com/office/drawing/2014/main" id="{00000000-0008-0000-0400-00008D000000}"/>
            </a:ext>
          </a:extLst>
        </xdr:cNvPr>
        <xdr:cNvSpPr/>
      </xdr:nvSpPr>
      <xdr:spPr>
        <a:xfrm>
          <a:off x="11610975" y="11753850"/>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62</xdr:row>
      <xdr:rowOff>38100</xdr:rowOff>
    </xdr:from>
    <xdr:to>
      <xdr:col>60</xdr:col>
      <xdr:colOff>9525</xdr:colOff>
      <xdr:row>63</xdr:row>
      <xdr:rowOff>57150</xdr:rowOff>
    </xdr:to>
    <xdr:sp macro="" textlink="">
      <xdr:nvSpPr>
        <xdr:cNvPr id="142" name="Gleichschenkliges Dreieck 141">
          <a:extLst>
            <a:ext uri="{FF2B5EF4-FFF2-40B4-BE49-F238E27FC236}">
              <a16:creationId xmlns:a16="http://schemas.microsoft.com/office/drawing/2014/main" id="{00000000-0008-0000-0400-00008E000000}"/>
            </a:ext>
          </a:extLst>
        </xdr:cNvPr>
        <xdr:cNvSpPr/>
      </xdr:nvSpPr>
      <xdr:spPr>
        <a:xfrm>
          <a:off x="11610975" y="12011025"/>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63</xdr:row>
      <xdr:rowOff>142875</xdr:rowOff>
    </xdr:from>
    <xdr:to>
      <xdr:col>60</xdr:col>
      <xdr:colOff>9525</xdr:colOff>
      <xdr:row>65</xdr:row>
      <xdr:rowOff>0</xdr:rowOff>
    </xdr:to>
    <xdr:sp macro="" textlink="">
      <xdr:nvSpPr>
        <xdr:cNvPr id="143" name="Gleichschenkliges Dreieck 142">
          <a:extLst>
            <a:ext uri="{FF2B5EF4-FFF2-40B4-BE49-F238E27FC236}">
              <a16:creationId xmlns:a16="http://schemas.microsoft.com/office/drawing/2014/main" id="{00000000-0008-0000-0400-00008F000000}"/>
            </a:ext>
          </a:extLst>
        </xdr:cNvPr>
        <xdr:cNvSpPr/>
      </xdr:nvSpPr>
      <xdr:spPr>
        <a:xfrm>
          <a:off x="11610975" y="12277725"/>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65</xdr:row>
      <xdr:rowOff>104775</xdr:rowOff>
    </xdr:from>
    <xdr:to>
      <xdr:col>60</xdr:col>
      <xdr:colOff>9525</xdr:colOff>
      <xdr:row>66</xdr:row>
      <xdr:rowOff>123825</xdr:rowOff>
    </xdr:to>
    <xdr:sp macro="" textlink="">
      <xdr:nvSpPr>
        <xdr:cNvPr id="144" name="Gleichschenkliges Dreieck 143">
          <a:extLst>
            <a:ext uri="{FF2B5EF4-FFF2-40B4-BE49-F238E27FC236}">
              <a16:creationId xmlns:a16="http://schemas.microsoft.com/office/drawing/2014/main" id="{00000000-0008-0000-0400-000090000000}"/>
            </a:ext>
          </a:extLst>
        </xdr:cNvPr>
        <xdr:cNvSpPr/>
      </xdr:nvSpPr>
      <xdr:spPr>
        <a:xfrm>
          <a:off x="11610975" y="12563475"/>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59</xdr:col>
      <xdr:colOff>9525</xdr:colOff>
      <xdr:row>67</xdr:row>
      <xdr:rowOff>57150</xdr:rowOff>
    </xdr:from>
    <xdr:to>
      <xdr:col>60</xdr:col>
      <xdr:colOff>9525</xdr:colOff>
      <xdr:row>68</xdr:row>
      <xdr:rowOff>76200</xdr:rowOff>
    </xdr:to>
    <xdr:sp macro="" textlink="">
      <xdr:nvSpPr>
        <xdr:cNvPr id="145" name="Gleichschenkliges Dreieck 144">
          <a:extLst>
            <a:ext uri="{FF2B5EF4-FFF2-40B4-BE49-F238E27FC236}">
              <a16:creationId xmlns:a16="http://schemas.microsoft.com/office/drawing/2014/main" id="{00000000-0008-0000-0400-000091000000}"/>
            </a:ext>
          </a:extLst>
        </xdr:cNvPr>
        <xdr:cNvSpPr/>
      </xdr:nvSpPr>
      <xdr:spPr>
        <a:xfrm>
          <a:off x="11610975" y="12839700"/>
          <a:ext cx="200025" cy="180975"/>
        </a:xfrm>
        <a:prstGeom prst="triangle">
          <a:avLst/>
        </a:prstGeom>
        <a:noFill/>
        <a:ln w="571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fLocksWithSheet="0"/>
  </xdr:twoCellAnchor>
  <xdr:twoCellAnchor>
    <xdr:from>
      <xdr:col>57</xdr:col>
      <xdr:colOff>28575</xdr:colOff>
      <xdr:row>54</xdr:row>
      <xdr:rowOff>19050</xdr:rowOff>
    </xdr:from>
    <xdr:to>
      <xdr:col>58</xdr:col>
      <xdr:colOff>116550</xdr:colOff>
      <xdr:row>55</xdr:row>
      <xdr:rowOff>145125</xdr:rowOff>
    </xdr:to>
    <xdr:sp macro="" textlink="">
      <xdr:nvSpPr>
        <xdr:cNvPr id="5" name="Multiplizieren 4">
          <a:extLst>
            <a:ext uri="{FF2B5EF4-FFF2-40B4-BE49-F238E27FC236}">
              <a16:creationId xmlns:a16="http://schemas.microsoft.com/office/drawing/2014/main" id="{00000000-0008-0000-0400-000005000000}"/>
            </a:ext>
          </a:extLst>
        </xdr:cNvPr>
        <xdr:cNvSpPr/>
      </xdr:nvSpPr>
      <xdr:spPr>
        <a:xfrm>
          <a:off x="11324104" y="10832726"/>
          <a:ext cx="289681" cy="282958"/>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55</xdr:row>
      <xdr:rowOff>95250</xdr:rowOff>
    </xdr:from>
    <xdr:to>
      <xdr:col>58</xdr:col>
      <xdr:colOff>116550</xdr:colOff>
      <xdr:row>57</xdr:row>
      <xdr:rowOff>59400</xdr:rowOff>
    </xdr:to>
    <xdr:sp macro="" textlink="">
      <xdr:nvSpPr>
        <xdr:cNvPr id="146" name="Multiplizieren 145">
          <a:extLst>
            <a:ext uri="{FF2B5EF4-FFF2-40B4-BE49-F238E27FC236}">
              <a16:creationId xmlns:a16="http://schemas.microsoft.com/office/drawing/2014/main" id="{00000000-0008-0000-0400-000092000000}"/>
            </a:ext>
          </a:extLst>
        </xdr:cNvPr>
        <xdr:cNvSpPr/>
      </xdr:nvSpPr>
      <xdr:spPr>
        <a:xfrm>
          <a:off x="11229975" y="10934700"/>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57</xdr:row>
      <xdr:rowOff>9525</xdr:rowOff>
    </xdr:from>
    <xdr:to>
      <xdr:col>58</xdr:col>
      <xdr:colOff>116550</xdr:colOff>
      <xdr:row>58</xdr:row>
      <xdr:rowOff>135600</xdr:rowOff>
    </xdr:to>
    <xdr:sp macro="" textlink="">
      <xdr:nvSpPr>
        <xdr:cNvPr id="147" name="Multiplizieren 146">
          <a:extLst>
            <a:ext uri="{FF2B5EF4-FFF2-40B4-BE49-F238E27FC236}">
              <a16:creationId xmlns:a16="http://schemas.microsoft.com/office/drawing/2014/main" id="{00000000-0008-0000-0400-000093000000}"/>
            </a:ext>
          </a:extLst>
        </xdr:cNvPr>
        <xdr:cNvSpPr/>
      </xdr:nvSpPr>
      <xdr:spPr>
        <a:xfrm>
          <a:off x="11229975" y="1117282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58</xdr:row>
      <xdr:rowOff>95250</xdr:rowOff>
    </xdr:from>
    <xdr:to>
      <xdr:col>58</xdr:col>
      <xdr:colOff>116550</xdr:colOff>
      <xdr:row>60</xdr:row>
      <xdr:rowOff>59400</xdr:rowOff>
    </xdr:to>
    <xdr:sp macro="" textlink="">
      <xdr:nvSpPr>
        <xdr:cNvPr id="148" name="Multiplizieren 147">
          <a:extLst>
            <a:ext uri="{FF2B5EF4-FFF2-40B4-BE49-F238E27FC236}">
              <a16:creationId xmlns:a16="http://schemas.microsoft.com/office/drawing/2014/main" id="{00000000-0008-0000-0400-000094000000}"/>
            </a:ext>
          </a:extLst>
        </xdr:cNvPr>
        <xdr:cNvSpPr/>
      </xdr:nvSpPr>
      <xdr:spPr>
        <a:xfrm>
          <a:off x="11229975" y="1142047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60</xdr:row>
      <xdr:rowOff>19050</xdr:rowOff>
    </xdr:from>
    <xdr:to>
      <xdr:col>58</xdr:col>
      <xdr:colOff>116550</xdr:colOff>
      <xdr:row>61</xdr:row>
      <xdr:rowOff>145125</xdr:rowOff>
    </xdr:to>
    <xdr:sp macro="" textlink="">
      <xdr:nvSpPr>
        <xdr:cNvPr id="149" name="Multiplizieren 148">
          <a:extLst>
            <a:ext uri="{FF2B5EF4-FFF2-40B4-BE49-F238E27FC236}">
              <a16:creationId xmlns:a16="http://schemas.microsoft.com/office/drawing/2014/main" id="{00000000-0008-0000-0400-000095000000}"/>
            </a:ext>
          </a:extLst>
        </xdr:cNvPr>
        <xdr:cNvSpPr/>
      </xdr:nvSpPr>
      <xdr:spPr>
        <a:xfrm>
          <a:off x="11229975" y="1166812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61</xdr:row>
      <xdr:rowOff>95250</xdr:rowOff>
    </xdr:from>
    <xdr:to>
      <xdr:col>58</xdr:col>
      <xdr:colOff>116550</xdr:colOff>
      <xdr:row>63</xdr:row>
      <xdr:rowOff>59400</xdr:rowOff>
    </xdr:to>
    <xdr:sp macro="" textlink="">
      <xdr:nvSpPr>
        <xdr:cNvPr id="150" name="Multiplizieren 149">
          <a:extLst>
            <a:ext uri="{FF2B5EF4-FFF2-40B4-BE49-F238E27FC236}">
              <a16:creationId xmlns:a16="http://schemas.microsoft.com/office/drawing/2014/main" id="{00000000-0008-0000-0400-000096000000}"/>
            </a:ext>
          </a:extLst>
        </xdr:cNvPr>
        <xdr:cNvSpPr/>
      </xdr:nvSpPr>
      <xdr:spPr>
        <a:xfrm>
          <a:off x="11229975" y="11906250"/>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63</xdr:row>
      <xdr:rowOff>9525</xdr:rowOff>
    </xdr:from>
    <xdr:to>
      <xdr:col>58</xdr:col>
      <xdr:colOff>116550</xdr:colOff>
      <xdr:row>64</xdr:row>
      <xdr:rowOff>135600</xdr:rowOff>
    </xdr:to>
    <xdr:sp macro="" textlink="">
      <xdr:nvSpPr>
        <xdr:cNvPr id="151" name="Multiplizieren 150">
          <a:extLst>
            <a:ext uri="{FF2B5EF4-FFF2-40B4-BE49-F238E27FC236}">
              <a16:creationId xmlns:a16="http://schemas.microsoft.com/office/drawing/2014/main" id="{00000000-0008-0000-0400-000097000000}"/>
            </a:ext>
          </a:extLst>
        </xdr:cNvPr>
        <xdr:cNvSpPr/>
      </xdr:nvSpPr>
      <xdr:spPr>
        <a:xfrm>
          <a:off x="11229975" y="1214437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64</xdr:row>
      <xdr:rowOff>95250</xdr:rowOff>
    </xdr:from>
    <xdr:to>
      <xdr:col>58</xdr:col>
      <xdr:colOff>116550</xdr:colOff>
      <xdr:row>66</xdr:row>
      <xdr:rowOff>59400</xdr:rowOff>
    </xdr:to>
    <xdr:sp macro="" textlink="">
      <xdr:nvSpPr>
        <xdr:cNvPr id="152" name="Multiplizieren 151">
          <a:extLst>
            <a:ext uri="{FF2B5EF4-FFF2-40B4-BE49-F238E27FC236}">
              <a16:creationId xmlns:a16="http://schemas.microsoft.com/office/drawing/2014/main" id="{00000000-0008-0000-0400-000098000000}"/>
            </a:ext>
          </a:extLst>
        </xdr:cNvPr>
        <xdr:cNvSpPr/>
      </xdr:nvSpPr>
      <xdr:spPr>
        <a:xfrm>
          <a:off x="11229975" y="1239202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65</xdr:row>
      <xdr:rowOff>142875</xdr:rowOff>
    </xdr:from>
    <xdr:to>
      <xdr:col>58</xdr:col>
      <xdr:colOff>116550</xdr:colOff>
      <xdr:row>67</xdr:row>
      <xdr:rowOff>107025</xdr:rowOff>
    </xdr:to>
    <xdr:sp macro="" textlink="">
      <xdr:nvSpPr>
        <xdr:cNvPr id="153" name="Multiplizieren 152">
          <a:extLst>
            <a:ext uri="{FF2B5EF4-FFF2-40B4-BE49-F238E27FC236}">
              <a16:creationId xmlns:a16="http://schemas.microsoft.com/office/drawing/2014/main" id="{00000000-0008-0000-0400-000099000000}"/>
            </a:ext>
          </a:extLst>
        </xdr:cNvPr>
        <xdr:cNvSpPr/>
      </xdr:nvSpPr>
      <xdr:spPr>
        <a:xfrm>
          <a:off x="11229975" y="1260157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57</xdr:col>
      <xdr:colOff>28575</xdr:colOff>
      <xdr:row>67</xdr:row>
      <xdr:rowOff>47625</xdr:rowOff>
    </xdr:from>
    <xdr:to>
      <xdr:col>58</xdr:col>
      <xdr:colOff>116550</xdr:colOff>
      <xdr:row>69</xdr:row>
      <xdr:rowOff>11775</xdr:rowOff>
    </xdr:to>
    <xdr:sp macro="" textlink="">
      <xdr:nvSpPr>
        <xdr:cNvPr id="154" name="Multiplizieren 153">
          <a:extLst>
            <a:ext uri="{FF2B5EF4-FFF2-40B4-BE49-F238E27FC236}">
              <a16:creationId xmlns:a16="http://schemas.microsoft.com/office/drawing/2014/main" id="{00000000-0008-0000-0400-00009A000000}"/>
            </a:ext>
          </a:extLst>
        </xdr:cNvPr>
        <xdr:cNvSpPr/>
      </xdr:nvSpPr>
      <xdr:spPr>
        <a:xfrm>
          <a:off x="11229975" y="12830175"/>
          <a:ext cx="288000" cy="288000"/>
        </a:xfrm>
        <a:prstGeom prst="mathMultiply">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fLocksWithSheet="0"/>
  </xdr:twoCellAnchor>
  <xdr:twoCellAnchor>
    <xdr:from>
      <xdr:col>23</xdr:col>
      <xdr:colOff>52301</xdr:colOff>
      <xdr:row>54</xdr:row>
      <xdr:rowOff>31631</xdr:rowOff>
    </xdr:from>
    <xdr:to>
      <xdr:col>29</xdr:col>
      <xdr:colOff>102626</xdr:colOff>
      <xdr:row>59</xdr:row>
      <xdr:rowOff>125449</xdr:rowOff>
    </xdr:to>
    <xdr:grpSp>
      <xdr:nvGrpSpPr>
        <xdr:cNvPr id="159" name="Gruppieren 158">
          <a:extLst>
            <a:ext uri="{FF2B5EF4-FFF2-40B4-BE49-F238E27FC236}">
              <a16:creationId xmlns:a16="http://schemas.microsoft.com/office/drawing/2014/main" id="{00000000-0008-0000-0400-00009F000000}"/>
            </a:ext>
          </a:extLst>
        </xdr:cNvPr>
        <xdr:cNvGrpSpPr/>
      </xdr:nvGrpSpPr>
      <xdr:grpSpPr>
        <a:xfrm>
          <a:off x="4386176" y="9451856"/>
          <a:ext cx="1193325" cy="903443"/>
          <a:chOff x="6002580" y="8724747"/>
          <a:chExt cx="1264762" cy="899504"/>
        </a:xfrm>
      </xdr:grpSpPr>
      <xdr:sp macro="" textlink="">
        <xdr:nvSpPr>
          <xdr:cNvPr id="160" name="Line 30">
            <a:extLst>
              <a:ext uri="{FF2B5EF4-FFF2-40B4-BE49-F238E27FC236}">
                <a16:creationId xmlns:a16="http://schemas.microsoft.com/office/drawing/2014/main" id="{00000000-0008-0000-0400-0000A0000000}"/>
              </a:ext>
            </a:extLst>
          </xdr:cNvPr>
          <xdr:cNvSpPr>
            <a:spLocks noChangeShapeType="1"/>
          </xdr:cNvSpPr>
        </xdr:nvSpPr>
        <xdr:spPr bwMode="auto">
          <a:xfrm rot="2700000">
            <a:off x="6527668" y="9271539"/>
            <a:ext cx="704305"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171" name="Rectangle 3">
            <a:extLst>
              <a:ext uri="{FF2B5EF4-FFF2-40B4-BE49-F238E27FC236}">
                <a16:creationId xmlns:a16="http://schemas.microsoft.com/office/drawing/2014/main" id="{00000000-0008-0000-0400-0000AB000000}"/>
              </a:ext>
            </a:extLst>
          </xdr:cNvPr>
          <xdr:cNvSpPr>
            <a:spLocks noChangeArrowheads="1"/>
          </xdr:cNvSpPr>
        </xdr:nvSpPr>
        <xdr:spPr bwMode="auto">
          <a:xfrm>
            <a:off x="6002580" y="8724747"/>
            <a:ext cx="1264762" cy="299406"/>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43</xdr:col>
      <xdr:colOff>71262</xdr:colOff>
      <xdr:row>54</xdr:row>
      <xdr:rowOff>29073</xdr:rowOff>
    </xdr:from>
    <xdr:to>
      <xdr:col>49</xdr:col>
      <xdr:colOff>125464</xdr:colOff>
      <xdr:row>57</xdr:row>
      <xdr:rowOff>97640</xdr:rowOff>
    </xdr:to>
    <xdr:grpSp>
      <xdr:nvGrpSpPr>
        <xdr:cNvPr id="172" name="Gruppieren 171">
          <a:extLst>
            <a:ext uri="{FF2B5EF4-FFF2-40B4-BE49-F238E27FC236}">
              <a16:creationId xmlns:a16="http://schemas.microsoft.com/office/drawing/2014/main" id="{00000000-0008-0000-0400-0000AC000000}"/>
            </a:ext>
          </a:extLst>
        </xdr:cNvPr>
        <xdr:cNvGrpSpPr/>
      </xdr:nvGrpSpPr>
      <xdr:grpSpPr>
        <a:xfrm>
          <a:off x="8215137" y="9449298"/>
          <a:ext cx="1197202" cy="554342"/>
          <a:chOff x="7607440" y="8561597"/>
          <a:chExt cx="1253282" cy="554135"/>
        </a:xfrm>
      </xdr:grpSpPr>
      <xdr:sp macro="" textlink="">
        <xdr:nvSpPr>
          <xdr:cNvPr id="173" name="Line 30">
            <a:extLst>
              <a:ext uri="{FF2B5EF4-FFF2-40B4-BE49-F238E27FC236}">
                <a16:creationId xmlns:a16="http://schemas.microsoft.com/office/drawing/2014/main" id="{00000000-0008-0000-0400-0000AD00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174" name="Rectangle 3">
            <a:extLst>
              <a:ext uri="{FF2B5EF4-FFF2-40B4-BE49-F238E27FC236}">
                <a16:creationId xmlns:a16="http://schemas.microsoft.com/office/drawing/2014/main" id="{00000000-0008-0000-0400-0000AE00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twoCellAnchor>
    <xdr:from>
      <xdr:col>36</xdr:col>
      <xdr:colOff>142020</xdr:colOff>
      <xdr:row>54</xdr:row>
      <xdr:rowOff>31795</xdr:rowOff>
    </xdr:from>
    <xdr:to>
      <xdr:col>42</xdr:col>
      <xdr:colOff>196222</xdr:colOff>
      <xdr:row>57</xdr:row>
      <xdr:rowOff>100362</xdr:rowOff>
    </xdr:to>
    <xdr:grpSp>
      <xdr:nvGrpSpPr>
        <xdr:cNvPr id="175" name="Gruppieren 174">
          <a:extLst>
            <a:ext uri="{FF2B5EF4-FFF2-40B4-BE49-F238E27FC236}">
              <a16:creationId xmlns:a16="http://schemas.microsoft.com/office/drawing/2014/main" id="{00000000-0008-0000-0400-0000AF000000}"/>
            </a:ext>
          </a:extLst>
        </xdr:cNvPr>
        <xdr:cNvGrpSpPr/>
      </xdr:nvGrpSpPr>
      <xdr:grpSpPr>
        <a:xfrm>
          <a:off x="6952395" y="9452020"/>
          <a:ext cx="1187677" cy="554342"/>
          <a:chOff x="7607440" y="8561597"/>
          <a:chExt cx="1253282" cy="554135"/>
        </a:xfrm>
      </xdr:grpSpPr>
      <xdr:sp macro="" textlink="">
        <xdr:nvSpPr>
          <xdr:cNvPr id="176" name="Line 30">
            <a:extLst>
              <a:ext uri="{FF2B5EF4-FFF2-40B4-BE49-F238E27FC236}">
                <a16:creationId xmlns:a16="http://schemas.microsoft.com/office/drawing/2014/main" id="{00000000-0008-0000-0400-0000B0000000}"/>
              </a:ext>
            </a:extLst>
          </xdr:cNvPr>
          <xdr:cNvSpPr>
            <a:spLocks noChangeShapeType="1"/>
          </xdr:cNvSpPr>
        </xdr:nvSpPr>
        <xdr:spPr bwMode="auto">
          <a:xfrm rot="-2700000">
            <a:off x="7621874" y="9114611"/>
            <a:ext cx="717162" cy="1121"/>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fLocksText="0">
        <xdr:nvSpPr>
          <xdr:cNvPr id="177" name="Rectangle 3">
            <a:extLst>
              <a:ext uri="{FF2B5EF4-FFF2-40B4-BE49-F238E27FC236}">
                <a16:creationId xmlns:a16="http://schemas.microsoft.com/office/drawing/2014/main" id="{00000000-0008-0000-0400-0000B1000000}"/>
              </a:ext>
            </a:extLst>
          </xdr:cNvPr>
          <xdr:cNvSpPr>
            <a:spLocks noChangeArrowheads="1"/>
          </xdr:cNvSpPr>
        </xdr:nvSpPr>
        <xdr:spPr bwMode="auto">
          <a:xfrm>
            <a:off x="7607440" y="8561597"/>
            <a:ext cx="1253282" cy="302072"/>
          </a:xfrm>
          <a:prstGeom prst="rect">
            <a:avLst/>
          </a:prstGeom>
          <a:solidFill>
            <a:srgbClr val="FFFFCC"/>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ctr" upright="1"/>
          <a:lstStyle/>
          <a:p>
            <a:pPr algn="ctr" rtl="0">
              <a:defRPr sz="1000"/>
            </a:pPr>
            <a:r>
              <a:rPr lang="de-DE" sz="1050" b="0" i="0" u="none" strike="noStrike" baseline="0">
                <a:solidFill>
                  <a:srgbClr val="000000"/>
                </a:solidFill>
                <a:latin typeface="Univers"/>
              </a:rPr>
              <a:t>...</a:t>
            </a:r>
          </a:p>
        </xdr:txBody>
      </xdr:sp>
    </xdr:grpSp>
    <xdr:clientData fLocksWithSheet="0"/>
  </xdr:twoCellAnchor>
</xdr:wsDr>
</file>

<file path=xl/drawings/drawing6.xml><?xml version="1.0" encoding="utf-8"?>
<xdr:wsDr xmlns:xdr="http://schemas.openxmlformats.org/drawingml/2006/spreadsheetDrawing" xmlns:a="http://schemas.openxmlformats.org/drawingml/2006/main">
  <xdr:twoCellAnchor>
    <xdr:from>
      <xdr:col>21</xdr:col>
      <xdr:colOff>526950</xdr:colOff>
      <xdr:row>3</xdr:row>
      <xdr:rowOff>0</xdr:rowOff>
    </xdr:from>
    <xdr:to>
      <xdr:col>21</xdr:col>
      <xdr:colOff>742950</xdr:colOff>
      <xdr:row>3</xdr:row>
      <xdr:rowOff>216000</xdr:rowOff>
    </xdr:to>
    <xdr:sp macro="" textlink="">
      <xdr:nvSpPr>
        <xdr:cNvPr id="5" name="Ellipse 4">
          <a:hlinkClick xmlns:r="http://schemas.openxmlformats.org/officeDocument/2006/relationships" r:id="rId1"/>
          <a:extLst>
            <a:ext uri="{FF2B5EF4-FFF2-40B4-BE49-F238E27FC236}">
              <a16:creationId xmlns:a16="http://schemas.microsoft.com/office/drawing/2014/main" id="{00000000-0008-0000-0600-000005000000}"/>
            </a:ext>
          </a:extLst>
        </xdr:cNvPr>
        <xdr:cNvSpPr>
          <a:spLocks noChangeAspect="1"/>
        </xdr:cNvSpPr>
      </xdr:nvSpPr>
      <xdr:spPr>
        <a:xfrm>
          <a:off x="44132400" y="2314575"/>
          <a:ext cx="216000" cy="216000"/>
        </a:xfrm>
        <a:prstGeom prst="ellipse">
          <a:avLst/>
        </a:prstGeom>
        <a:gradFill flip="none" rotWithShape="1">
          <a:gsLst>
            <a:gs pos="0">
              <a:srgbClr val="BB2B27">
                <a:shade val="30000"/>
                <a:satMod val="115000"/>
              </a:srgbClr>
            </a:gs>
            <a:gs pos="50000">
              <a:srgbClr val="BB2B27">
                <a:shade val="67500"/>
                <a:satMod val="115000"/>
              </a:srgbClr>
            </a:gs>
            <a:gs pos="100000">
              <a:srgbClr val="BB2B27">
                <a:shade val="100000"/>
                <a:satMod val="115000"/>
              </a:srgbClr>
            </a:gs>
          </a:gsLst>
          <a:lin ang="16200000" scaled="1"/>
          <a:tileRect/>
        </a:gradFill>
        <a:ln>
          <a:noFill/>
        </a:ln>
        <a:scene3d>
          <a:camera prst="orthographicFront">
            <a:rot lat="0" lon="0" rev="0"/>
          </a:camera>
          <a:lightRig rig="threePt" dir="t"/>
        </a:scene3d>
        <a:sp3d z="6350">
          <a:bevelT w="25400" h="254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indent="0" algn="ctr"/>
          <a:r>
            <a:rPr lang="de-DE" sz="1600" b="1" i="0" u="none" strike="noStrike">
              <a:solidFill>
                <a:schemeClr val="bg1"/>
              </a:solidFill>
              <a:latin typeface="Univers"/>
              <a:ea typeface="+mn-ea"/>
              <a:cs typeface="+mn-cs"/>
            </a:rPr>
            <a:t>?</a:t>
          </a:r>
        </a:p>
      </xdr:txBody>
    </xdr:sp>
    <xdr:clientData fPrintsWithSheet="0"/>
  </xdr:twoCellAnchor>
  <xdr:twoCellAnchor>
    <xdr:from>
      <xdr:col>62</xdr:col>
      <xdr:colOff>0</xdr:colOff>
      <xdr:row>57</xdr:row>
      <xdr:rowOff>0</xdr:rowOff>
    </xdr:from>
    <xdr:to>
      <xdr:col>76</xdr:col>
      <xdr:colOff>0</xdr:colOff>
      <xdr:row>60</xdr:row>
      <xdr:rowOff>0</xdr:rowOff>
    </xdr:to>
    <xdr:sp macro="" textlink="Buttons!B63">
      <xdr:nvSpPr>
        <xdr:cNvPr id="8" name="Rechteck 7">
          <a:hlinkClick xmlns:r="http://schemas.openxmlformats.org/officeDocument/2006/relationships" r:id="rId2"/>
          <a:extLst>
            <a:ext uri="{FF2B5EF4-FFF2-40B4-BE49-F238E27FC236}">
              <a16:creationId xmlns:a16="http://schemas.microsoft.com/office/drawing/2014/main" id="{00000000-0008-0000-0600-000008000000}"/>
            </a:ext>
          </a:extLst>
        </xdr:cNvPr>
        <xdr:cNvSpPr/>
      </xdr:nvSpPr>
      <xdr:spPr>
        <a:xfrm>
          <a:off x="11430000" y="8267700"/>
          <a:ext cx="2667000" cy="571500"/>
        </a:xfrm>
        <a:prstGeom prst="rect">
          <a:avLst/>
        </a:prstGeom>
        <a:solidFill>
          <a:schemeClr val="bg1">
            <a:lumMod val="65000"/>
          </a:schemeClr>
        </a:solidFill>
        <a:ln w="12700">
          <a:solidFill>
            <a:schemeClr val="tx1"/>
          </a:solidFill>
        </a:ln>
        <a:scene3d>
          <a:camera prst="orthographicFront">
            <a:rot lat="0" lon="0" rev="0"/>
          </a:camera>
          <a:lightRig rig="threePt" dir="t"/>
        </a:scene3d>
        <a:sp3d z="6350">
          <a:bevelT w="38100" h="38100"/>
          <a:bevelB w="381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fld id="{7C681A1A-912D-4A7B-8A30-BCE496640292}" type="TxLink">
            <a:rPr lang="en-US" sz="1400" b="1" i="0" u="none" strike="noStrike">
              <a:solidFill>
                <a:srgbClr val="000000"/>
              </a:solidFill>
              <a:latin typeface="Univers"/>
              <a:ea typeface="+mn-ea"/>
              <a:cs typeface="+mn-cs"/>
            </a:rPr>
            <a:pPr marL="0" indent="0" algn="ctr"/>
            <a:t>5x Why</a:t>
          </a:fld>
          <a:endParaRPr lang="de-DE" sz="1600" b="1" i="0" u="none" strike="noStrike">
            <a:solidFill>
              <a:srgbClr val="000000"/>
            </a:solidFill>
            <a:latin typeface="Univers"/>
            <a:ea typeface="+mn-ea"/>
            <a:cs typeface="+mn-cs"/>
          </a:endParaRP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7</xdr:col>
      <xdr:colOff>742950</xdr:colOff>
      <xdr:row>0</xdr:row>
      <xdr:rowOff>219075</xdr:rowOff>
    </xdr:from>
    <xdr:to>
      <xdr:col>7</xdr:col>
      <xdr:colOff>2362950</xdr:colOff>
      <xdr:row>0</xdr:row>
      <xdr:rowOff>651075</xdr:rowOff>
    </xdr:to>
    <xdr:sp macro="" textlink="Buttons!A114">
      <xdr:nvSpPr>
        <xdr:cNvPr id="2" name="Rechteck 1">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1533525" y="257175"/>
          <a:ext cx="750" cy="432000"/>
        </a:xfrm>
        <a:prstGeom prst="rect">
          <a:avLst/>
        </a:prstGeom>
        <a:solidFill>
          <a:schemeClr val="bg1">
            <a:lumMod val="65000"/>
          </a:schemeClr>
        </a:solidFill>
        <a:ln>
          <a:solidFill>
            <a:schemeClr val="bg1">
              <a:lumMod val="65000"/>
            </a:schemeClr>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fld id="{6E5098E8-AD1B-4957-AD2B-3EB1ACB20948}" type="TxLink">
            <a:rPr kumimoji="0" lang="en-US" altLang="ja-JP" sz="1400" b="1" i="0" u="none" strike="noStrike" kern="0" cap="none" spc="0" normalizeH="0" baseline="0" noProof="0">
              <a:ln>
                <a:noFill/>
              </a:ln>
              <a:solidFill>
                <a:srgbClr val="000000"/>
              </a:solidFill>
              <a:effectLst/>
              <a:uLnTx/>
              <a:uFillTx/>
              <a:latin typeface="Univers"/>
            </a:rPr>
            <a:pPr marL="0" marR="0" lvl="0" indent="0" algn="ctr" defTabSz="914400" eaLnBrk="1" fontAlgn="auto" latinLnBrk="0" hangingPunct="1">
              <a:lnSpc>
                <a:spcPct val="100000"/>
              </a:lnSpc>
              <a:spcBef>
                <a:spcPts val="0"/>
              </a:spcBef>
              <a:spcAft>
                <a:spcPts val="0"/>
              </a:spcAft>
              <a:buClrTx/>
              <a:buSzTx/>
              <a:buFontTx/>
              <a:buNone/>
              <a:tabLst/>
              <a:defRPr/>
            </a:pPr>
            <a:t>← Back</a:t>
          </a:fld>
          <a:endParaRPr kumimoji="0" lang="de-DE" sz="1400" b="1" i="0" u="none" strike="noStrike" kern="0" cap="none" spc="0" normalizeH="0" baseline="0" noProof="0">
            <a:ln>
              <a:noFill/>
            </a:ln>
            <a:solidFill>
              <a:sysClr val="windowText" lastClr="000000"/>
            </a:solidFill>
            <a:effectLst/>
            <a:uLnTx/>
            <a:uFillTx/>
            <a:latin typeface="Univers" panose="020B060302020203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271909</xdr:colOff>
      <xdr:row>4</xdr:row>
      <xdr:rowOff>27843</xdr:rowOff>
    </xdr:from>
    <xdr:to>
      <xdr:col>9</xdr:col>
      <xdr:colOff>0</xdr:colOff>
      <xdr:row>12</xdr:row>
      <xdr:rowOff>0</xdr:rowOff>
    </xdr:to>
    <xdr:graphicFrame macro="">
      <xdr:nvGraphicFramePr>
        <xdr:cNvPr id="2" name="Diagramm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nc/ZQU/10_Prod_Qualitaet/60_Methoden/00_In%20Bearbeitung/2014_04_Update_PMP_Vorlage/PMP/ProblemManagementProcess-Ueberarbeite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P"/>
      <sheetName val="Explanation"/>
      <sheetName val="Header Data"/>
      <sheetName val="Problem description"/>
      <sheetName val="Statistic"/>
      <sheetName val="Action List"/>
      <sheetName val="Ishikawa"/>
      <sheetName val="FTA"/>
      <sheetName val="5 Why's"/>
      <sheetName val="Lessons Learned"/>
      <sheetName val="Ref"/>
      <sheetName val="8D-Report"/>
      <sheetName val="Schadenstisch"/>
      <sheetName val="PSS"/>
      <sheetName val="Document Templates"/>
      <sheetName val="Buttons"/>
    </sheetNames>
    <sheetDataSet>
      <sheetData sheetId="0" refreshError="1">
        <row r="11">
          <cell r="C11" t="str">
            <v>deutsch</v>
          </cell>
        </row>
      </sheetData>
      <sheetData sheetId="1" refreshError="1"/>
      <sheetData sheetId="2" refreshError="1"/>
      <sheetData sheetId="3" refreshError="1">
        <row r="21">
          <cell r="AH21" t="str">
            <v>x</v>
          </cell>
        </row>
        <row r="25">
          <cell r="AH25" t="str">
            <v>x</v>
          </cell>
        </row>
        <row r="29">
          <cell r="AH29" t="str">
            <v>x</v>
          </cell>
        </row>
        <row r="34">
          <cell r="B34" t="str">
            <v>i.O.- Teil</v>
          </cell>
        </row>
      </sheetData>
      <sheetData sheetId="4" refreshError="1"/>
      <sheetData sheetId="5" refreshError="1">
        <row r="16">
          <cell r="B16" t="str">
            <v>Maßnahme</v>
          </cell>
        </row>
        <row r="20">
          <cell r="B20" t="str">
            <v>Sofortmaßnahme(n) bei Kunde / Lieferant</v>
          </cell>
        </row>
        <row r="21">
          <cell r="AN21" t="str">
            <v>Status</v>
          </cell>
        </row>
        <row r="30">
          <cell r="AN30" t="str">
            <v>Status</v>
          </cell>
        </row>
        <row r="41">
          <cell r="AA41" t="str">
            <v>Ist der Fehler reproduzierbar?</v>
          </cell>
        </row>
        <row r="42">
          <cell r="AM42" t="str">
            <v>x</v>
          </cell>
        </row>
        <row r="48">
          <cell r="AM48" t="str">
            <v>x</v>
          </cell>
        </row>
        <row r="56">
          <cell r="B56" t="str">
            <v>Maßnahme</v>
          </cell>
          <cell r="AN56" t="str">
            <v>Status</v>
          </cell>
        </row>
        <row r="60">
          <cell r="AQ60" t="str">
            <v>Nachweis der Wirksamkeit</v>
          </cell>
        </row>
        <row r="62">
          <cell r="AN62" t="str">
            <v>Status</v>
          </cell>
        </row>
        <row r="66">
          <cell r="AA66" t="str">
            <v>v</v>
          </cell>
          <cell r="AG66" t="str">
            <v>t</v>
          </cell>
        </row>
        <row r="67">
          <cell r="B67" t="str">
            <v>Maßnahmen gegen Wiederauftreten</v>
          </cell>
        </row>
        <row r="68">
          <cell r="AN68" t="str">
            <v>Status</v>
          </cell>
        </row>
      </sheetData>
      <sheetData sheetId="6" refreshError="1"/>
      <sheetData sheetId="7" refreshError="1"/>
      <sheetData sheetId="8" refreshError="1"/>
      <sheetData sheetId="9" refreshError="1">
        <row r="10">
          <cell r="AS10" t="str">
            <v>Status</v>
          </cell>
        </row>
        <row r="24">
          <cell r="AB24" t="str">
            <v>x</v>
          </cell>
        </row>
      </sheetData>
      <sheetData sheetId="10" refreshError="1">
        <row r="2">
          <cell r="J2" t="str">
            <v>Kopfdaten</v>
          </cell>
          <cell r="K2" t="str">
            <v>Problem-
beschreibung</v>
          </cell>
          <cell r="L2" t="str">
            <v>Ishikawa-Diagramm</v>
          </cell>
          <cell r="M2" t="str">
            <v>Sofort-
maßnahmen</v>
          </cell>
          <cell r="N2" t="str">
            <v>Fehlerbaumanalyse (FBA)</v>
          </cell>
          <cell r="O2" t="str">
            <v>5x Warum</v>
          </cell>
          <cell r="P2" t="str">
            <v>Fehlerursache / Abstell-
maßnahmen</v>
          </cell>
          <cell r="Q2" t="str">
            <v>PLS / 8D-Report / Schadenstisch</v>
          </cell>
          <cell r="R2" t="str">
            <v>Ist das
Fehlermerkmal
durch eine Pruefung
abgedeckt?</v>
          </cell>
          <cell r="S2" t="str">
            <v>Ja</v>
          </cell>
          <cell r="T2" t="str">
            <v>Nein</v>
          </cell>
          <cell r="U2" t="str">
            <v>Mensch</v>
          </cell>
          <cell r="V2" t="str">
            <v>Maschine</v>
          </cell>
          <cell r="W2" t="str">
            <v>Material</v>
          </cell>
          <cell r="X2" t="str">
            <v>Methode</v>
          </cell>
          <cell r="Y2" t="str">
            <v>Mitwelt</v>
          </cell>
        </row>
        <row r="5">
          <cell r="B5" t="str">
            <v>deutsch</v>
          </cell>
          <cell r="C5" t="str">
            <v>english</v>
          </cell>
          <cell r="D5" t="str">
            <v>français</v>
          </cell>
          <cell r="E5" t="str">
            <v>español</v>
          </cell>
          <cell r="F5" t="str">
            <v xml:space="preserve">português </v>
          </cell>
          <cell r="G5" t="str">
            <v>česky</v>
          </cell>
        </row>
        <row r="6">
          <cell r="B6" t="str">
            <v>Wiederholfehler</v>
          </cell>
          <cell r="C6" t="str">
            <v>Repeat failure</v>
          </cell>
          <cell r="D6" t="str">
            <v>Défaut récurent</v>
          </cell>
          <cell r="E6" t="str">
            <v>Fallo recurrente</v>
          </cell>
          <cell r="F6" t="str">
            <v>Reincidência</v>
          </cell>
          <cell r="G6" t="str">
            <v>Opakovaná chyba</v>
          </cell>
        </row>
        <row r="7">
          <cell r="B7" t="str">
            <v>Sicherheitskritisches Merkmal (D/S)?</v>
          </cell>
          <cell r="C7" t="str">
            <v>Safety critical characteristic (D/S)?</v>
          </cell>
          <cell r="D7" t="str">
            <v>Caractéristique S/R</v>
          </cell>
          <cell r="E7" t="str">
            <v>¿Característica crítica de seguridad (D/S)?</v>
          </cell>
          <cell r="F7" t="str">
            <v>Critérios de segurança?</v>
          </cell>
          <cell r="G7" t="str">
            <v>Bezpečnostně kritický ukazatel</v>
          </cell>
        </row>
        <row r="8">
          <cell r="B8" t="str">
            <v>Nein</v>
          </cell>
          <cell r="C8" t="str">
            <v>No</v>
          </cell>
          <cell r="D8" t="str">
            <v>Non</v>
          </cell>
          <cell r="E8" t="str">
            <v>No</v>
          </cell>
          <cell r="F8" t="str">
            <v>Não</v>
          </cell>
          <cell r="G8" t="str">
            <v>Ne</v>
          </cell>
        </row>
        <row r="9">
          <cell r="B9" t="str">
            <v>Ja</v>
          </cell>
          <cell r="C9" t="str">
            <v>Yes</v>
          </cell>
          <cell r="D9" t="str">
            <v>Oui</v>
          </cell>
          <cell r="E9" t="str">
            <v>Sí</v>
          </cell>
          <cell r="F9" t="str">
            <v>Sim</v>
          </cell>
          <cell r="G9" t="str">
            <v>Ano</v>
          </cell>
        </row>
        <row r="10">
          <cell r="B10" t="str">
            <v>Pruefbericht Kunde</v>
          </cell>
          <cell r="C10" t="str">
            <v>Inspection report customer</v>
          </cell>
          <cell r="D10" t="str">
            <v>N° du rapport client</v>
          </cell>
          <cell r="E10" t="str">
            <v>No.de reporte cliente</v>
          </cell>
          <cell r="F10" t="str">
            <v>N° da reclamaçã do cliente</v>
          </cell>
          <cell r="G10" t="str">
            <v>Zkušební protokol zákazníka</v>
          </cell>
        </row>
        <row r="11">
          <cell r="B11" t="str">
            <v>Reklamationsdatum</v>
          </cell>
          <cell r="C11" t="str">
            <v>Date of complaint</v>
          </cell>
          <cell r="D11" t="str">
            <v>Date de réclamation</v>
          </cell>
          <cell r="E11" t="str">
            <v>Fecha de reclamación</v>
          </cell>
          <cell r="F11" t="str">
            <v>Data da reclamação</v>
          </cell>
          <cell r="G11" t="str">
            <v>Datum reklamace</v>
          </cell>
        </row>
        <row r="12">
          <cell r="B12" t="str">
            <v xml:space="preserve">Kunde </v>
          </cell>
          <cell r="C12" t="str">
            <v>Customer</v>
          </cell>
          <cell r="D12" t="str">
            <v>Client</v>
          </cell>
          <cell r="E12" t="str">
            <v xml:space="preserve">Cliente </v>
          </cell>
          <cell r="F12" t="str">
            <v>Cliente</v>
          </cell>
          <cell r="G12" t="str">
            <v>Zákazník</v>
          </cell>
        </row>
        <row r="13">
          <cell r="B13" t="str">
            <v>Kunden-Ansprechpartner</v>
          </cell>
          <cell r="C13" t="str">
            <v>Customer contact person</v>
          </cell>
          <cell r="D13" t="str">
            <v>Nom interlocuteur client</v>
          </cell>
          <cell r="E13" t="str">
            <v>Persona de contacto- Cliente</v>
          </cell>
          <cell r="F13" t="str">
            <v>Pessoa de contato do cliente</v>
          </cell>
          <cell r="G13" t="str">
            <v>Zákazník - kontaktní osoba</v>
          </cell>
        </row>
        <row r="14">
          <cell r="B14" t="str">
            <v>Telefon Kunden-Ansprechpartner</v>
          </cell>
          <cell r="C14" t="str">
            <v>Phone number customer contact person</v>
          </cell>
          <cell r="D14" t="str">
            <v>N° téléphone interlocuteur client</v>
          </cell>
          <cell r="E14" t="str">
            <v>Teléfono de contacto- Cliente</v>
          </cell>
          <cell r="F14" t="str">
            <v>Telefone do cliente</v>
          </cell>
          <cell r="G14" t="str">
            <v>Zákazník - t elefon kontaktní osoby</v>
          </cell>
        </row>
        <row r="15">
          <cell r="B15" t="str">
            <v>SAP-Meldungsnummer</v>
          </cell>
          <cell r="C15" t="str">
            <v>SAP notification number</v>
          </cell>
          <cell r="D15" t="str">
            <v>N° d'incident</v>
          </cell>
          <cell r="E15" t="str">
            <v>No. notificación en SAP</v>
          </cell>
          <cell r="F15" t="str">
            <v>N° nota SAP</v>
          </cell>
          <cell r="G15" t="str">
            <v>SAP - číslo hlášení</v>
          </cell>
        </row>
        <row r="16">
          <cell r="B16" t="str">
            <v>Problem</v>
          </cell>
          <cell r="C16" t="str">
            <v>Problem</v>
          </cell>
          <cell r="D16" t="str">
            <v>Problème</v>
          </cell>
          <cell r="E16" t="str">
            <v>Problema</v>
          </cell>
          <cell r="F16" t="str">
            <v>Problema</v>
          </cell>
          <cell r="G16" t="str">
            <v>Problém</v>
          </cell>
        </row>
        <row r="17">
          <cell r="B17" t="str">
            <v>Letzte Bearbeitung</v>
          </cell>
          <cell r="C17" t="str">
            <v>Last update</v>
          </cell>
          <cell r="D17" t="str">
            <v>Dernière mise à jour</v>
          </cell>
          <cell r="E17" t="str">
            <v>Última actualización</v>
          </cell>
          <cell r="F17" t="str">
            <v xml:space="preserve">Última atualização </v>
          </cell>
          <cell r="G17" t="str">
            <v>Poslední aktualizace</v>
          </cell>
        </row>
        <row r="18">
          <cell r="B18" t="str">
            <v>Problemloesungsteam</v>
          </cell>
          <cell r="C18" t="str">
            <v>Problem solving team</v>
          </cell>
          <cell r="D18" t="str">
            <v>Equipe de résoulution de problème</v>
          </cell>
          <cell r="E18" t="str">
            <v>Equipo de solución del problema</v>
          </cell>
          <cell r="F18" t="str">
            <v>Equipe de resolução do problema</v>
          </cell>
          <cell r="G18" t="str">
            <v>Tým pro řešení problému</v>
          </cell>
        </row>
        <row r="19">
          <cell r="B19" t="str">
            <v>Brose-Ansprechpartner</v>
          </cell>
          <cell r="C19" t="str">
            <v>Brose contact person</v>
          </cell>
          <cell r="D19" t="str">
            <v>Brose - Personne à contacter</v>
          </cell>
          <cell r="E19" t="str">
            <v>Brose - Persona de contacto</v>
          </cell>
          <cell r="F19" t="str">
            <v>Pessoa de contato da Brose</v>
          </cell>
          <cell r="G19" t="str">
            <v>Brose - kontaktní osoba</v>
          </cell>
        </row>
        <row r="20">
          <cell r="B20" t="str">
            <v>Telefon Brose-Ansprechpartner</v>
          </cell>
          <cell r="C20" t="str">
            <v>Phone number Brose contact person</v>
          </cell>
          <cell r="D20" t="str">
            <v>Brose - N° de téléphone</v>
          </cell>
          <cell r="E20" t="str">
            <v>Brose - Télefono de contacto</v>
          </cell>
          <cell r="F20" t="str">
            <v>Telefone Brose</v>
          </cell>
          <cell r="G20" t="str">
            <v>Brose - telefon kontaktní osoby</v>
          </cell>
        </row>
        <row r="21">
          <cell r="B21" t="str">
            <v>Problembeschreibung</v>
          </cell>
          <cell r="C21" t="str">
            <v>Problem description</v>
          </cell>
          <cell r="D21" t="str">
            <v>Description du problème</v>
          </cell>
          <cell r="E21" t="str">
            <v>Descripción del fallo</v>
          </cell>
          <cell r="F21" t="str">
            <v>Descrição do problema</v>
          </cell>
          <cell r="G21" t="str">
            <v>Popis problému</v>
          </cell>
        </row>
        <row r="22">
          <cell r="B22" t="str">
            <v>Fahrzeug- / Projektbezeichnung</v>
          </cell>
          <cell r="C22" t="str">
            <v>Vehicle / Project name</v>
          </cell>
          <cell r="D22" t="str">
            <v>Véhicule/ Nom du projet</v>
          </cell>
          <cell r="E22" t="str">
            <v>Vehículo / Denominación del proyecto</v>
          </cell>
          <cell r="F22" t="str">
            <v>Modelo / nome do projeto</v>
          </cell>
          <cell r="G22" t="str">
            <v>Označení vozidla / projektu</v>
          </cell>
        </row>
        <row r="23">
          <cell r="B23" t="str">
            <v>Termin</v>
          </cell>
          <cell r="C23" t="str">
            <v>Date</v>
          </cell>
          <cell r="D23" t="str">
            <v>Date</v>
          </cell>
          <cell r="E23" t="str">
            <v>Fecha</v>
          </cell>
          <cell r="F23" t="str">
            <v>Data</v>
          </cell>
          <cell r="G23" t="str">
            <v>Datum</v>
          </cell>
        </row>
        <row r="24">
          <cell r="B24" t="str">
            <v>Umsetz-datum</v>
          </cell>
          <cell r="C24" t="str">
            <v>Realization date</v>
          </cell>
          <cell r="D24" t="str">
            <v>Date de réalisation</v>
          </cell>
          <cell r="E24" t="str">
            <v>Fecha de realización</v>
          </cell>
          <cell r="F24" t="str">
            <v>Data de realização</v>
          </cell>
          <cell r="G24" t="str">
            <v>Datum uskutečnění</v>
          </cell>
        </row>
        <row r="25">
          <cell r="B25" t="str">
            <v>Verantwortlich</v>
          </cell>
          <cell r="C25" t="str">
            <v>Responsible</v>
          </cell>
          <cell r="D25" t="str">
            <v>Responsable</v>
          </cell>
          <cell r="E25" t="str">
            <v>Responsable</v>
          </cell>
          <cell r="F25" t="str">
            <v>Responsável</v>
          </cell>
          <cell r="G25" t="str">
            <v>Zodpovědný</v>
          </cell>
        </row>
        <row r="26">
          <cell r="B26" t="str">
            <v>Kennzeichnung der i.O.-Lieferung</v>
          </cell>
          <cell r="C26" t="str">
            <v>Identification o.k. delivery</v>
          </cell>
          <cell r="D26" t="str">
            <v>Traçabilité</v>
          </cell>
          <cell r="E26" t="str">
            <v>Identificación de la entrega o.k.</v>
          </cell>
          <cell r="F26" t="str">
            <v>Identificação da entrega o.k.</v>
          </cell>
          <cell r="G26" t="str">
            <v>Identifikační označení o.k. zásilky</v>
          </cell>
        </row>
        <row r="27">
          <cell r="B27" t="str">
            <v>Lieferdatum</v>
          </cell>
          <cell r="C27" t="str">
            <v>Delivery date</v>
          </cell>
          <cell r="D27" t="str">
            <v>Date de livraison</v>
          </cell>
          <cell r="E27" t="str">
            <v>Fecha de entrega</v>
          </cell>
          <cell r="F27" t="str">
            <v>Data de entrega</v>
          </cell>
          <cell r="G27" t="str">
            <v>Datum dodání</v>
          </cell>
        </row>
        <row r="28">
          <cell r="B28" t="str">
            <v>Fehlerursache</v>
          </cell>
          <cell r="C28" t="str">
            <v>Failure cause</v>
          </cell>
          <cell r="D28" t="str">
            <v>Cause du défaut</v>
          </cell>
          <cell r="E28" t="str">
            <v>Causa del fallo</v>
          </cell>
          <cell r="F28" t="str">
            <v>Causa raíz</v>
          </cell>
          <cell r="G28" t="str">
            <v>Příčina chyby</v>
          </cell>
        </row>
        <row r="29">
          <cell r="B29" t="str">
            <v>Maßnahmen gegen Fehlerauftreten bzw. Fehlerursache</v>
          </cell>
          <cell r="C29" t="str">
            <v>Actions against failure occurrence or failure cause respectively</v>
          </cell>
          <cell r="D29" t="str">
            <v>Actions contre l'occurrence du défaut ou cause du défaut</v>
          </cell>
          <cell r="E29" t="str">
            <v>Acciones contra la aparición o causa del fallo</v>
          </cell>
          <cell r="F29" t="str">
            <v>Ações corretivas contra ocorrência/ causa raíz do erro</v>
          </cell>
          <cell r="G29" t="str">
            <v>Opatření zabraňující výskytu / příčin chyb</v>
          </cell>
        </row>
        <row r="30">
          <cell r="B30" t="str">
            <v>Nachweis</v>
          </cell>
          <cell r="C30" t="str">
            <v>Evidence</v>
          </cell>
          <cell r="D30" t="str">
            <v>Preuve</v>
          </cell>
          <cell r="E30" t="str">
            <v>Evidencia</v>
          </cell>
          <cell r="F30" t="str">
            <v>Verificação</v>
          </cell>
          <cell r="G30" t="str">
            <v>Doklad</v>
          </cell>
        </row>
        <row r="31">
          <cell r="B31" t="str">
            <v>Maßnahmen gegen Nichtentdecken</v>
          </cell>
          <cell r="C31" t="str">
            <v>Actions against non detection</v>
          </cell>
          <cell r="D31" t="str">
            <v>Action contre la non détection</v>
          </cell>
          <cell r="E31" t="str">
            <v>Acciones contra la no detección del fallo</v>
          </cell>
          <cell r="F31" t="str">
            <v>Ações contra não-deteção do erro</v>
          </cell>
          <cell r="G31" t="str">
            <v>Opatření proti neobjevení</v>
          </cell>
        </row>
        <row r="32">
          <cell r="B32" t="str">
            <v>Maßnahmen gegen Wiederauftreten</v>
          </cell>
          <cell r="C32" t="str">
            <v xml:space="preserve">Actions against recurrence </v>
          </cell>
          <cell r="D32" t="str">
            <v>Action contre la récurence</v>
          </cell>
          <cell r="E32" t="str">
            <v>Acciones contra la recurrencia</v>
          </cell>
          <cell r="F32" t="str">
            <v>Ações contra reincidência</v>
          </cell>
          <cell r="G32" t="str">
            <v>Opatření proti opětovnému výskytu</v>
          </cell>
        </row>
        <row r="33">
          <cell r="B33" t="str">
            <v>Abschluß durch vorgesetzte Stelle</v>
          </cell>
          <cell r="C33" t="str">
            <v>Closure by superior authority</v>
          </cell>
          <cell r="D33" t="str">
            <v>Fermeture par l'autorité supérieur</v>
          </cell>
          <cell r="E33" t="str">
            <v>Cierre mediante la autoridad superior</v>
          </cell>
          <cell r="F33" t="str">
            <v>Conclusão pelo posto superior</v>
          </cell>
          <cell r="G33" t="str">
            <v>Závěř nadřízené osoby</v>
          </cell>
        </row>
        <row r="34">
          <cell r="B34" t="str">
            <v>Datum</v>
          </cell>
          <cell r="C34" t="str">
            <v>Date</v>
          </cell>
          <cell r="D34" t="str">
            <v>Date</v>
          </cell>
          <cell r="E34" t="str">
            <v>Fecha</v>
          </cell>
          <cell r="F34" t="str">
            <v>Data</v>
          </cell>
          <cell r="G34" t="str">
            <v>Datum</v>
          </cell>
        </row>
        <row r="35">
          <cell r="B35" t="str">
            <v>Unterschrift</v>
          </cell>
          <cell r="C35" t="str">
            <v>Signature</v>
          </cell>
          <cell r="D35" t="str">
            <v>Signature</v>
          </cell>
          <cell r="E35" t="str">
            <v>Firma</v>
          </cell>
          <cell r="F35" t="str">
            <v>Assinatura</v>
          </cell>
          <cell r="G35" t="str">
            <v>Podpis</v>
          </cell>
        </row>
        <row r="36">
          <cell r="B36" t="str">
            <v>Aktuellen Stand waehlen!</v>
          </cell>
          <cell r="C36" t="str">
            <v>Select actual state!</v>
          </cell>
          <cell r="D36" t="str">
            <v>Sélection de statu actuel</v>
          </cell>
          <cell r="E36" t="str">
            <v>¡Seleccionar el estado actual!</v>
          </cell>
          <cell r="F36" t="str">
            <v>Seleciona estado atual</v>
          </cell>
          <cell r="G36" t="str">
            <v>Vyberte aktuální stav!</v>
          </cell>
        </row>
        <row r="37">
          <cell r="B37" t="str">
            <v>offen</v>
          </cell>
          <cell r="C37" t="str">
            <v>open</v>
          </cell>
          <cell r="D37" t="str">
            <v>ouvert</v>
          </cell>
          <cell r="E37" t="str">
            <v>abierto</v>
          </cell>
          <cell r="F37" t="str">
            <v>aberto</v>
          </cell>
          <cell r="G37" t="str">
            <v>otevřeno</v>
          </cell>
        </row>
        <row r="38">
          <cell r="B38" t="str">
            <v>geschlossen</v>
          </cell>
          <cell r="C38" t="str">
            <v>closed</v>
          </cell>
          <cell r="D38" t="str">
            <v>fermé</v>
          </cell>
          <cell r="E38" t="str">
            <v>cerrado</v>
          </cell>
          <cell r="F38" t="str">
            <v>encerrado</v>
          </cell>
          <cell r="G38" t="str">
            <v>uzavřeno</v>
          </cell>
        </row>
        <row r="39">
          <cell r="B39" t="str">
            <v>abgelehnt</v>
          </cell>
          <cell r="C39" t="str">
            <v>rejected</v>
          </cell>
          <cell r="D39" t="str">
            <v>refusé</v>
          </cell>
          <cell r="E39" t="str">
            <v>rechazado</v>
          </cell>
          <cell r="F39" t="str">
            <v>rejeitado</v>
          </cell>
          <cell r="G39" t="str">
            <v>odmítnuto</v>
          </cell>
        </row>
        <row r="40">
          <cell r="B40" t="str">
            <v>Legende</v>
          </cell>
          <cell r="C40" t="str">
            <v>Legend</v>
          </cell>
          <cell r="D40" t="str">
            <v>légende</v>
          </cell>
          <cell r="E40" t="str">
            <v>Leyenda</v>
          </cell>
          <cell r="F40" t="str">
            <v>legenda</v>
          </cell>
          <cell r="G40" t="str">
            <v>Legenda</v>
          </cell>
        </row>
        <row r="41">
          <cell r="B41" t="str">
            <v>Nachweis der Wirksamkeit</v>
          </cell>
          <cell r="C41" t="str">
            <v>Evidence of efficiency</v>
          </cell>
          <cell r="D41" t="str">
            <v>Preuve de l'efficacité</v>
          </cell>
          <cell r="E41" t="str">
            <v>Evidencia de la eficacia</v>
          </cell>
          <cell r="F41" t="str">
            <v>Evidência de eficácia</v>
          </cell>
          <cell r="G41" t="str">
            <v>Doklad o účinnosti</v>
          </cell>
        </row>
        <row r="42">
          <cell r="B42" t="str">
            <v>geplant</v>
          </cell>
          <cell r="C42" t="str">
            <v>planned</v>
          </cell>
          <cell r="D42" t="str">
            <v>planifié</v>
          </cell>
          <cell r="E42" t="str">
            <v>planificado</v>
          </cell>
          <cell r="F42" t="str">
            <v>planejado</v>
          </cell>
          <cell r="G42" t="str">
            <v>plánováno</v>
          </cell>
        </row>
        <row r="43">
          <cell r="B43" t="str">
            <v>umgesetzt</v>
          </cell>
          <cell r="C43" t="str">
            <v>realized</v>
          </cell>
          <cell r="D43" t="str">
            <v>réalisé</v>
          </cell>
          <cell r="E43" t="str">
            <v>realizado</v>
          </cell>
          <cell r="F43" t="str">
            <v>realizado</v>
          </cell>
          <cell r="G43" t="str">
            <v>realizováno</v>
          </cell>
        </row>
        <row r="44">
          <cell r="B44" t="str">
            <v>verifiziert</v>
          </cell>
          <cell r="C44" t="str">
            <v>verified</v>
          </cell>
          <cell r="D44" t="str">
            <v>vérifié</v>
          </cell>
          <cell r="E44" t="str">
            <v>verificado</v>
          </cell>
          <cell r="F44" t="str">
            <v>verificado</v>
          </cell>
          <cell r="G44" t="str">
            <v>ověřeno</v>
          </cell>
        </row>
        <row r="45">
          <cell r="B45" t="str">
            <v>Nachweis fuer:</v>
          </cell>
          <cell r="C45" t="str">
            <v>Evidence of:</v>
          </cell>
          <cell r="D45" t="str">
            <v>Preuve de:</v>
          </cell>
          <cell r="E45" t="str">
            <v>Evidencia por:</v>
          </cell>
          <cell r="F45" t="str">
            <v>Verificação por</v>
          </cell>
          <cell r="G45" t="str">
            <v>Doklad pro</v>
          </cell>
        </row>
        <row r="46">
          <cell r="B46" t="str">
            <v>A-F Checkliste</v>
          </cell>
          <cell r="C46" t="str">
            <v>A-F check list</v>
          </cell>
          <cell r="D46" t="str">
            <v>Checklist A-F</v>
          </cell>
          <cell r="E46" t="str">
            <v>Checklist A-F</v>
          </cell>
          <cell r="F46" t="str">
            <v>Check-lista A-F</v>
          </cell>
          <cell r="G46" t="str">
            <v>A-F seznam kontrolních bodů</v>
          </cell>
        </row>
        <row r="47">
          <cell r="B47" t="str">
            <v>Anweisungen</v>
          </cell>
          <cell r="C47" t="str">
            <v>Instructions</v>
          </cell>
          <cell r="D47" t="str">
            <v>Instructions</v>
          </cell>
          <cell r="E47" t="str">
            <v>Instrucciones</v>
          </cell>
          <cell r="F47" t="str">
            <v>Instruções</v>
          </cell>
          <cell r="G47" t="str">
            <v>Pokyny</v>
          </cell>
        </row>
        <row r="48">
          <cell r="B48" t="str">
            <v>Audit</v>
          </cell>
          <cell r="C48" t="str">
            <v>Audit</v>
          </cell>
          <cell r="D48" t="str">
            <v>Audit</v>
          </cell>
          <cell r="E48" t="str">
            <v>Auditoría</v>
          </cell>
          <cell r="F48" t="str">
            <v>Auditoria</v>
          </cell>
          <cell r="G48" t="str">
            <v>Audit</v>
          </cell>
        </row>
        <row r="49">
          <cell r="B49" t="str">
            <v>Betriebsdatenerfassung</v>
          </cell>
          <cell r="C49" t="str">
            <v>Operating data logging</v>
          </cell>
          <cell r="D49" t="str">
            <v>Enregistrement  date de l'action</v>
          </cell>
          <cell r="E49" t="str">
            <v>Registro de datos de operación</v>
          </cell>
          <cell r="F49" t="str">
            <v>Registro de dados de operacões</v>
          </cell>
          <cell r="G49" t="str">
            <v>Sběr provozních dat</v>
          </cell>
        </row>
        <row r="50">
          <cell r="B50" t="str">
            <v>Brose Norm</v>
          </cell>
          <cell r="C50" t="str">
            <v>Brose standard</v>
          </cell>
          <cell r="D50" t="str">
            <v>standard Brose</v>
          </cell>
          <cell r="E50" t="str">
            <v>Norma Brose</v>
          </cell>
          <cell r="F50" t="str">
            <v>padrão Brose</v>
          </cell>
          <cell r="G50" t="str">
            <v>Brose normy</v>
          </cell>
        </row>
        <row r="51">
          <cell r="B51" t="str">
            <v>K-FMEA</v>
          </cell>
          <cell r="C51" t="str">
            <v>K-FMEA</v>
          </cell>
          <cell r="D51" t="str">
            <v>AMDEC produit</v>
          </cell>
          <cell r="E51" t="str">
            <v>FMEA de diseño</v>
          </cell>
          <cell r="F51" t="str">
            <v>FMEA de desenho</v>
          </cell>
          <cell r="G51" t="str">
            <v>K-FMEA</v>
          </cell>
        </row>
        <row r="52">
          <cell r="B52" t="str">
            <v>P-FMEA</v>
          </cell>
          <cell r="C52" t="str">
            <v>P-FMEA</v>
          </cell>
          <cell r="D52" t="str">
            <v>AMDEC process</v>
          </cell>
          <cell r="E52" t="str">
            <v>FMEA de proceso</v>
          </cell>
          <cell r="F52" t="str">
            <v>FMEA de processo</v>
          </cell>
          <cell r="G52" t="str">
            <v>P-FMEA</v>
          </cell>
        </row>
        <row r="53">
          <cell r="B53" t="str">
            <v>System- / Schnittstellen-FMEA</v>
          </cell>
          <cell r="C53" t="str">
            <v>System / Interface FMEA</v>
          </cell>
          <cell r="D53" t="str">
            <v>AMDEC système/interface</v>
          </cell>
          <cell r="E53" t="str">
            <v>FMEA de Sistema / Interfaces</v>
          </cell>
          <cell r="F53" t="str">
            <v>FMEA do sistema</v>
          </cell>
          <cell r="G53" t="str">
            <v>Systémové / mezisíťové FMEA</v>
          </cell>
        </row>
        <row r="54">
          <cell r="B54" t="str">
            <v>PLP / Pruefplan</v>
          </cell>
          <cell r="C54" t="str">
            <v>Control plan</v>
          </cell>
          <cell r="D54" t="str">
            <v>Plan de contrôle</v>
          </cell>
          <cell r="E54" t="str">
            <v>Plan de control</v>
          </cell>
          <cell r="F54" t="str">
            <v>Plano de controle</v>
          </cell>
          <cell r="G54" t="str">
            <v>PLP / Kontrolní plán</v>
          </cell>
        </row>
        <row r="55">
          <cell r="B55" t="str">
            <v>Prozeßsystem</v>
          </cell>
          <cell r="C55" t="str">
            <v>Process system</v>
          </cell>
          <cell r="D55" t="str">
            <v>Système process</v>
          </cell>
          <cell r="E55" t="str">
            <v>Sistema de proceso</v>
          </cell>
          <cell r="F55" t="str">
            <v>Sistema de processo</v>
          </cell>
          <cell r="G55" t="str">
            <v>Provozní systém</v>
          </cell>
        </row>
        <row r="56">
          <cell r="B56" t="str">
            <v>Schadenstisch</v>
          </cell>
          <cell r="C56" t="str">
            <v>Failure Visualization</v>
          </cell>
          <cell r="D56" t="str">
            <v>Visualisation du défaut</v>
          </cell>
          <cell r="E56" t="str">
            <v>Hoja de fallo</v>
          </cell>
          <cell r="F56" t="str">
            <v>Visualização de Falha</v>
          </cell>
          <cell r="G56" t="str">
            <v>Popis poruchy</v>
          </cell>
        </row>
        <row r="57">
          <cell r="B57" t="str">
            <v>Wartungsplan</v>
          </cell>
          <cell r="C57" t="str">
            <v>Maintenance schedule</v>
          </cell>
          <cell r="D57" t="str">
            <v>Plan de maintenace</v>
          </cell>
          <cell r="E57" t="str">
            <v>Plan de mantenimiento</v>
          </cell>
          <cell r="F57" t="str">
            <v>Plano de manutenção</v>
          </cell>
          <cell r="G57" t="str">
            <v>Plán údržby</v>
          </cell>
        </row>
        <row r="58">
          <cell r="B58" t="str">
            <v>Werkzeug</v>
          </cell>
          <cell r="C58" t="str">
            <v>Tool</v>
          </cell>
          <cell r="D58" t="str">
            <v>Outil</v>
          </cell>
          <cell r="E58" t="str">
            <v>Herramienta / Dispositivo</v>
          </cell>
          <cell r="F58" t="str">
            <v>Ferramental</v>
          </cell>
          <cell r="G58" t="str">
            <v>Nářadí</v>
          </cell>
        </row>
        <row r="59">
          <cell r="B59" t="str">
            <v>Zeichnungsaenderung</v>
          </cell>
          <cell r="C59" t="str">
            <v>Update of drawing</v>
          </cell>
          <cell r="D59" t="str">
            <v>Mise à jour du plan</v>
          </cell>
          <cell r="E59" t="str">
            <v>Actualización del plano</v>
          </cell>
          <cell r="F59" t="str">
            <v>Atualização do desenho</v>
          </cell>
          <cell r="G59" t="str">
            <v>Změna výkresu</v>
          </cell>
        </row>
        <row r="60">
          <cell r="B60" t="str">
            <v>8D-Report</v>
          </cell>
          <cell r="C60" t="str">
            <v>8D Report</v>
          </cell>
          <cell r="D60" t="str">
            <v>Rapport 8D</v>
          </cell>
          <cell r="E60" t="str">
            <v>Informe 8D</v>
          </cell>
          <cell r="F60" t="str">
            <v>Relatório 8D</v>
          </cell>
          <cell r="G60" t="str">
            <v>8D Report</v>
          </cell>
        </row>
        <row r="61">
          <cell r="B61" t="str">
            <v>Containment</v>
          </cell>
          <cell r="C61" t="str">
            <v>Containment</v>
          </cell>
          <cell r="D61" t="str">
            <v>Sécurisation</v>
          </cell>
          <cell r="E61" t="str">
            <v>Planes de contención</v>
          </cell>
          <cell r="F61" t="str">
            <v>Contenção</v>
          </cell>
          <cell r="G61" t="str">
            <v>Bezpečnostní výstroj</v>
          </cell>
        </row>
        <row r="62">
          <cell r="B62" t="str">
            <v>Hinweis: Bilder sollten die maximale Größe von 300kB nicht überschreiten.</v>
          </cell>
          <cell r="C62" t="str">
            <v>Note: Pictures should not be larger than 300kB.</v>
          </cell>
          <cell r="D62" t="str">
            <v>Nota : Les photos ne doivent pas excéder 33kB.</v>
          </cell>
          <cell r="E62" t="str">
            <v xml:space="preserve">Atención: las fotos no deben tener un tamaño mayor a 300 KB. </v>
          </cell>
          <cell r="F62" t="str">
            <v xml:space="preserve">Anotação: O tamanho de fotos deve ser embaixo de 300kB. </v>
          </cell>
          <cell r="G62" t="str">
            <v>Poznámka: Obrázky nesmí překročit maximální velikost 300kB.</v>
          </cell>
        </row>
        <row r="63">
          <cell r="B63" t="str">
            <v>Problemloeseschablone (PLS)</v>
          </cell>
          <cell r="C63" t="str">
            <v>Problem solving Scheme (PSS)</v>
          </cell>
          <cell r="D63" t="str">
            <v>Plan de résolution du problème (PRP)</v>
          </cell>
          <cell r="E63" t="str">
            <v>Plantilla de solución de problemas (PSP)</v>
          </cell>
          <cell r="F63" t="str">
            <v>Esquema de Resolução de Problemas (ERP)</v>
          </cell>
          <cell r="G63" t="str">
            <v>Šablona řešení problémů ( SRP)</v>
          </cell>
        </row>
        <row r="64">
          <cell r="B64" t="str">
            <v>Teilereferenznummer</v>
          </cell>
          <cell r="C64" t="str">
            <v>Part reference number</v>
          </cell>
          <cell r="D64" t="str">
            <v>Référence pièce</v>
          </cell>
          <cell r="E64" t="str">
            <v>Número de referencia de la pieza</v>
          </cell>
          <cell r="F64" t="str">
            <v>Número da referência da peça</v>
          </cell>
          <cell r="G64" t="str">
            <v>Referenční číslo dílu</v>
          </cell>
        </row>
        <row r="65">
          <cell r="B65" t="str">
            <v>Fertigungsdatum</v>
          </cell>
          <cell r="C65" t="str">
            <v>Production date</v>
          </cell>
          <cell r="D65" t="str">
            <v>Date de production</v>
          </cell>
          <cell r="E65" t="str">
            <v>Fecha de producción</v>
          </cell>
          <cell r="F65" t="str">
            <v>Data da fabricação</v>
          </cell>
          <cell r="G65" t="str">
            <v>Datum výroby</v>
          </cell>
        </row>
        <row r="66">
          <cell r="B66" t="str">
            <v>Brose-Werk</v>
          </cell>
          <cell r="C66" t="str">
            <v>Brose plant</v>
          </cell>
          <cell r="D66" t="str">
            <v>Usine Brose</v>
          </cell>
          <cell r="E66" t="str">
            <v>Planta Brose</v>
          </cell>
          <cell r="F66" t="str">
            <v>Planta da Brose</v>
          </cell>
          <cell r="G66" t="str">
            <v>Brose -závod</v>
          </cell>
        </row>
        <row r="67">
          <cell r="B67" t="str">
            <v>Werk / Kostenstelle</v>
          </cell>
          <cell r="C67" t="str">
            <v>Plant / Cost centre</v>
          </cell>
          <cell r="D67" t="str">
            <v>Centre de coût / Usine</v>
          </cell>
          <cell r="E67" t="str">
            <v>Centro de coste / Planta</v>
          </cell>
          <cell r="F67" t="str">
            <v>Planta/ Centro de custo</v>
          </cell>
          <cell r="G67" t="str">
            <v>Závod /  hospodářské středisko</v>
          </cell>
        </row>
        <row r="68">
          <cell r="B68" t="str">
            <v>Brose-Teilenummer / Zeichnungsnummer</v>
          </cell>
          <cell r="C68" t="str">
            <v>Brose part number / Drawing number</v>
          </cell>
          <cell r="D68" t="str">
            <v>Référence piéce Brose / N° de plan</v>
          </cell>
          <cell r="E68" t="str">
            <v xml:space="preserve">Número Pieza / Plano Número - Brose </v>
          </cell>
          <cell r="F68" t="str">
            <v>N° Material</v>
          </cell>
          <cell r="G68" t="str">
            <v>Brose - číslo dílu / číslo výkresu</v>
          </cell>
        </row>
        <row r="69">
          <cell r="B69" t="str">
            <v>Intern</v>
          </cell>
          <cell r="C69" t="str">
            <v>Internal</v>
          </cell>
          <cell r="D69" t="str">
            <v>Interne</v>
          </cell>
          <cell r="E69" t="str">
            <v>Interno</v>
          </cell>
          <cell r="F69" t="str">
            <v>Interno</v>
          </cell>
          <cell r="G69" t="str">
            <v>interní</v>
          </cell>
        </row>
        <row r="70">
          <cell r="B70" t="str">
            <v>Feld</v>
          </cell>
          <cell r="C70" t="str">
            <v>Field</v>
          </cell>
          <cell r="D70" t="str">
            <v>Garantie</v>
          </cell>
          <cell r="E70" t="str">
            <v>Campo</v>
          </cell>
          <cell r="F70" t="str">
            <v>Campo</v>
          </cell>
          <cell r="G70" t="str">
            <v>pole</v>
          </cell>
        </row>
        <row r="72">
          <cell r="B72" t="str">
            <v>Brose-Entwicklung</v>
          </cell>
          <cell r="C72" t="str">
            <v>Brose development</v>
          </cell>
          <cell r="D72" t="str">
            <v>Développement Brose</v>
          </cell>
          <cell r="E72" t="str">
            <v>Brose Desarrollo</v>
          </cell>
          <cell r="F72" t="str">
            <v>Brose desenvolvimento</v>
          </cell>
          <cell r="G72" t="str">
            <v>Brose - vývoj</v>
          </cell>
        </row>
        <row r="73">
          <cell r="B73" t="str">
            <v>Lieferant</v>
          </cell>
          <cell r="C73" t="str">
            <v>Supplier</v>
          </cell>
          <cell r="D73" t="str">
            <v>Fournisseur</v>
          </cell>
          <cell r="E73" t="str">
            <v>Proveedor</v>
          </cell>
          <cell r="F73" t="str">
            <v>Fornecedor</v>
          </cell>
          <cell r="G73" t="str">
            <v>Dodavatel</v>
          </cell>
        </row>
        <row r="74">
          <cell r="B74" t="str">
            <v>Brose-Prozeß</v>
          </cell>
          <cell r="C74" t="str">
            <v>Brose process</v>
          </cell>
          <cell r="D74" t="str">
            <v>Process Brose</v>
          </cell>
          <cell r="E74" t="str">
            <v>Proceso Brose</v>
          </cell>
          <cell r="F74" t="str">
            <v>Processo Brose</v>
          </cell>
          <cell r="G74" t="str">
            <v>Brose - proces</v>
          </cell>
        </row>
        <row r="75">
          <cell r="B75" t="str">
            <v>Lieferant / Brose</v>
          </cell>
          <cell r="C75" t="str">
            <v>Supplier / Brose</v>
          </cell>
          <cell r="D75" t="str">
            <v>Brose / Fournisseur</v>
          </cell>
          <cell r="E75" t="str">
            <v>Brose / Proveedor</v>
          </cell>
          <cell r="F75" t="str">
            <v>Fornecedor / Brose</v>
          </cell>
          <cell r="G75" t="str">
            <v>Dodavatel / Brose</v>
          </cell>
        </row>
        <row r="76">
          <cell r="B76" t="str">
            <v>Name des Lieferanten</v>
          </cell>
          <cell r="C76" t="str">
            <v>Supplier name</v>
          </cell>
          <cell r="D76" t="str">
            <v>Nom du fournisseur</v>
          </cell>
          <cell r="E76" t="str">
            <v>Nombre del proveedor</v>
          </cell>
          <cell r="F76" t="str">
            <v>Nome do fornecedor</v>
          </cell>
          <cell r="G76" t="str">
            <v>Jméno dodavatele</v>
          </cell>
        </row>
        <row r="77">
          <cell r="B77" t="str">
            <v>Brose / Kunde</v>
          </cell>
          <cell r="C77" t="str">
            <v>Brose / Customer</v>
          </cell>
          <cell r="D77" t="str">
            <v>Client / Brose</v>
          </cell>
          <cell r="E77" t="str">
            <v>Cliente / Brose</v>
          </cell>
          <cell r="F77" t="str">
            <v>Brose / Cliente</v>
          </cell>
          <cell r="G77" t="str">
            <v>Brose / zákazník</v>
          </cell>
        </row>
        <row r="78">
          <cell r="B78" t="str">
            <v>Reklamationsstatus</v>
          </cell>
          <cell r="C78" t="str">
            <v>Status of complaint</v>
          </cell>
          <cell r="D78" t="str">
            <v>Avancement de la réclamation</v>
          </cell>
          <cell r="E78" t="str">
            <v>Estado de la reclamación</v>
          </cell>
          <cell r="F78" t="str">
            <v>Status da reclamação</v>
          </cell>
          <cell r="G78" t="str">
            <v>Stav zakázky</v>
          </cell>
        </row>
        <row r="79">
          <cell r="B79" t="str">
            <v xml:space="preserve">N.i.O.-Teil </v>
          </cell>
          <cell r="C79" t="str">
            <v>N.o.k. part</v>
          </cell>
          <cell r="D79" t="str">
            <v>Nb de pièces non conforme</v>
          </cell>
          <cell r="E79" t="str">
            <v>Piezas no OK</v>
          </cell>
          <cell r="F79" t="str">
            <v>Peça - n.o.k.</v>
          </cell>
          <cell r="G79" t="str">
            <v>Neshodný díl</v>
          </cell>
        </row>
        <row r="80">
          <cell r="B80" t="str">
            <v>PLS</v>
          </cell>
          <cell r="C80" t="str">
            <v>PSS</v>
          </cell>
          <cell r="E80" t="str">
            <v>PSP</v>
          </cell>
          <cell r="F80" t="str">
            <v>ERP</v>
          </cell>
          <cell r="G80" t="str">
            <v>SRP</v>
          </cell>
        </row>
        <row r="82">
          <cell r="B82" t="str">
            <v>Was ist das PROBLEM? Nutze die W-Fragen, um die aktuelle Situation festzustellen!</v>
          </cell>
          <cell r="C82" t="str">
            <v>What is the PROBLEM? Use the w-questions to assess the actual situation!</v>
          </cell>
          <cell r="D82" t="str">
            <v>Quel est le problème? Utiliser les 5 pourquoi pour décrire la situation actuel</v>
          </cell>
          <cell r="E82" t="str">
            <v>¿Cual es el PROBLEMA? ¡Utilice las preguntas para describir la situación actual!</v>
          </cell>
          <cell r="F82" t="str">
            <v>Qual é o PROBLEMA? Use as 5 Porque-perguntas para avaliar a situação real!</v>
          </cell>
          <cell r="G82" t="str">
            <v>Kde je problém? Využij následujících otázek k zjíštění aktuální situace!</v>
          </cell>
        </row>
        <row r="83">
          <cell r="B83" t="str">
            <v>Kunden-Sicht</v>
          </cell>
          <cell r="C83" t="str">
            <v>Customers point of view</v>
          </cell>
          <cell r="D83" t="str">
            <v>Point de vue coté  Client</v>
          </cell>
          <cell r="E83" t="str">
            <v>Punto de vista del cliente</v>
          </cell>
          <cell r="F83" t="str">
            <v>Ponto de vista do cliente</v>
          </cell>
          <cell r="G83" t="str">
            <v>Z pohledu zákazníka</v>
          </cell>
        </row>
        <row r="84">
          <cell r="B84" t="str">
            <v>Was ist passiert?</v>
          </cell>
          <cell r="C84" t="str">
            <v>What happened?</v>
          </cell>
          <cell r="D84" t="str">
            <v>Que s'est il passé?</v>
          </cell>
          <cell r="E84" t="str">
            <v>¿Qué ha pasado?</v>
          </cell>
          <cell r="F84" t="str">
            <v>O que aconteceu?</v>
          </cell>
          <cell r="G84" t="str">
            <v>Co se stalo?</v>
          </cell>
        </row>
        <row r="85">
          <cell r="B85" t="str">
            <v>Warum ist das ein Problem?</v>
          </cell>
          <cell r="C85" t="str">
            <v>Why is this a problem?</v>
          </cell>
          <cell r="D85" t="str">
            <v xml:space="preserve">Quel est le problème? </v>
          </cell>
          <cell r="E85" t="str">
            <v>¿Por qué es un problema?</v>
          </cell>
          <cell r="F85" t="str">
            <v>Por que isso se caracteriza como um problema?</v>
          </cell>
          <cell r="G85" t="str">
            <v>Proč je to problém?</v>
          </cell>
        </row>
        <row r="86">
          <cell r="B86" t="str">
            <v>Wann ist es aufgetreten?</v>
          </cell>
          <cell r="C86" t="str">
            <v>When did it happen?</v>
          </cell>
          <cell r="D86" t="str">
            <v>Quand cela c'est il produit?</v>
          </cell>
          <cell r="E86" t="str">
            <v>¿Cuando sucedió?</v>
          </cell>
          <cell r="F86" t="str">
            <v>Quando isso aconteceu?</v>
          </cell>
          <cell r="G86" t="str">
            <v>Kdy se vyskytl?</v>
          </cell>
        </row>
        <row r="87">
          <cell r="B87" t="str">
            <v xml:space="preserve">Wer hat es entdeckt (Name)? </v>
          </cell>
          <cell r="C87" t="str">
            <v xml:space="preserve">Who detected the problem (name)? </v>
          </cell>
          <cell r="D87" t="str">
            <v>Qui a détecté le défaut (nom) ?</v>
          </cell>
          <cell r="E87" t="str">
            <v>¿Quién ha detectado el problema? (nombre)</v>
          </cell>
          <cell r="F87" t="str">
            <v>Quem detectou o problema? (nome)</v>
          </cell>
          <cell r="G87" t="str">
            <v>Kdo jej objevil (jméno)?</v>
          </cell>
        </row>
        <row r="88">
          <cell r="B88" t="str">
            <v>Wo wurde es entdeckt (Ausfallort)?</v>
          </cell>
          <cell r="C88" t="str">
            <v>Where was the problem detected  (failure place)?</v>
          </cell>
          <cell r="D88" t="str">
            <v>Ou le défaut a-t-il était détecté (lieu du défaut) ?</v>
          </cell>
          <cell r="E88" t="str">
            <v>¿Donde se detectó el fallo? (Lugar del fallo)</v>
          </cell>
          <cell r="F88" t="str">
            <v>Onde o problema foi detectado? (local da falha)</v>
          </cell>
          <cell r="G88" t="str">
            <v>Kde byl objeven (místo výpadku)?</v>
          </cell>
        </row>
        <row r="89">
          <cell r="B89" t="str">
            <v>Wie wurde es entdeckt?</v>
          </cell>
          <cell r="C89" t="str">
            <v>How was the problem detected?</v>
          </cell>
          <cell r="D89" t="str">
            <v>Comment le problème a-t-il été détecté ?</v>
          </cell>
          <cell r="E89" t="str">
            <v>¿Cómo fué detectado el problema?</v>
          </cell>
          <cell r="F89" t="str">
            <v>Como o problema foi detectado?</v>
          </cell>
          <cell r="G89" t="str">
            <v>Jak byl objeven?</v>
          </cell>
        </row>
        <row r="90">
          <cell r="B90" t="str">
            <v>Wie viele n.i.O.-Teile sind von dem Problem betroffen?</v>
          </cell>
          <cell r="C90" t="str">
            <v>How many n.o.k. parts are affected by the problem?</v>
          </cell>
          <cell r="D90" t="str">
            <v>Combien de pièces ont-elles été affecté par le problème?</v>
          </cell>
          <cell r="E90" t="str">
            <v>¿Cuantas piezas n.o.k presentan el fallo?</v>
          </cell>
          <cell r="F90" t="str">
            <v>Quantas peças não ok são afetadas pelo problema?</v>
          </cell>
          <cell r="G90" t="str">
            <v>Kolik neshodných dílu má tenhle problém?</v>
          </cell>
        </row>
        <row r="91">
          <cell r="B91" t="str">
            <v>Wie viele Teile wurden reklamiert?</v>
          </cell>
          <cell r="C91" t="str">
            <v>How many parts are rejected?</v>
          </cell>
          <cell r="D91" t="str">
            <v>Combien de pièces ont été rejetées?</v>
          </cell>
          <cell r="E91" t="str">
            <v>¿Cuántas piezas han sido reclamadas?</v>
          </cell>
          <cell r="F91" t="str">
            <v>Quantas peças foram reclamadas?</v>
          </cell>
          <cell r="G91" t="str">
            <v>Kolik dílu bylo reklamováno?</v>
          </cell>
        </row>
        <row r="92">
          <cell r="B92" t="str">
            <v>Brose-Sicht</v>
          </cell>
          <cell r="C92" t="str">
            <v>Brose point of view</v>
          </cell>
          <cell r="D92" t="str">
            <v>Point de vue coté  Brose</v>
          </cell>
          <cell r="E92" t="str">
            <v>Punto de vista de Brose</v>
          </cell>
          <cell r="F92" t="str">
            <v>Ponto de vista da Brose</v>
          </cell>
          <cell r="G92" t="str">
            <v>Z pohledu Brose</v>
          </cell>
        </row>
        <row r="93">
          <cell r="B93" t="str">
            <v>Welches Symptom sehen wir auf unseren Teilen?</v>
          </cell>
          <cell r="C93" t="str">
            <v>Which symptoms do we see on our parts?</v>
          </cell>
          <cell r="D93" t="str">
            <v>Quelles symptomes peut on voir sur les pièces ?</v>
          </cell>
          <cell r="E93" t="str">
            <v>¿Qué síntomas presentan nuestras piezas?</v>
          </cell>
          <cell r="F93" t="str">
            <v>Quais sintomas podem ser vistos em nossas peças?</v>
          </cell>
          <cell r="G93" t="str">
            <v>Jaké symptomy vidíme na našich dílech?</v>
          </cell>
        </row>
        <row r="94">
          <cell r="B94" t="str">
            <v>Wurde das reklamierte Teil bei Brose nachgearbeitet?</v>
          </cell>
          <cell r="C94" t="str">
            <v>Was the rejected part reworked at Brose?</v>
          </cell>
          <cell r="D94" t="str">
            <v>Est-ce que les pièces rejetées avaient subi une reprise par Brose ?</v>
          </cell>
          <cell r="E94" t="str">
            <v>¿Fué la pieza rechazada, retrabajada en Brose?</v>
          </cell>
          <cell r="F94" t="str">
            <v>A peço rejeitada foi retrabalhado na Brose?</v>
          </cell>
          <cell r="G94" t="str">
            <v>Byl reklamovaný díl dohotoven u Brose?</v>
          </cell>
        </row>
        <row r="95">
          <cell r="B95" t="str">
            <v>Wann wurde das Teil bei Brose produziert?</v>
          </cell>
          <cell r="C95" t="str">
            <v>When was the rejected part manufactured at Brose?</v>
          </cell>
          <cell r="D95" t="str">
            <v>Quand les pièces reprises ont-elles étaient fabriquées par Brose ?</v>
          </cell>
          <cell r="E95" t="str">
            <v>¿Cuando fué, la pieza rechazada, producida en Brose?</v>
          </cell>
          <cell r="F95" t="str">
            <v>Quando a parte rejeitada foi produzido na Brose?</v>
          </cell>
          <cell r="G95" t="str">
            <v>Kdy byl vyroben tenhle díl u Brose?</v>
          </cell>
        </row>
        <row r="96">
          <cell r="B96" t="str">
            <v>Wer hat das Teil produziert?</v>
          </cell>
          <cell r="C96" t="str">
            <v>Who manufactured the part?</v>
          </cell>
          <cell r="D96" t="str">
            <v>Qui a fabriqué les pièces ?</v>
          </cell>
          <cell r="E96" t="str">
            <v>¿Quién fabricó la pieza?</v>
          </cell>
          <cell r="F96" t="str">
            <v>Quem fabricou a peça?</v>
          </cell>
          <cell r="G96" t="str">
            <v>Kdo vyrobil tenhle díl?</v>
          </cell>
        </row>
        <row r="97">
          <cell r="B97" t="str">
            <v>Welche anderen Brose-Werke / Kunden sind ebenfalls betroffen?</v>
          </cell>
          <cell r="C97" t="str">
            <v>Which other Brose plants / customers are involved?</v>
          </cell>
          <cell r="D97" t="str">
            <v>Quels autres usines Brose / clients sont impactés ?</v>
          </cell>
          <cell r="E97" t="str">
            <v>¿Qué otras plantas de Brose / Clientes están afectadas?</v>
          </cell>
          <cell r="F97" t="str">
            <v>Quais outras plantas/clientes de Brose envolvidas?</v>
          </cell>
          <cell r="G97" t="str">
            <v>Které další Brose závody / zákazníci byli také postižení?</v>
          </cell>
        </row>
        <row r="98">
          <cell r="B98" t="str">
            <v>Wird der Fehler bei Wiedereinbringung des Produktes
in den normalen Prozeß entdeckt?</v>
          </cell>
          <cell r="C98" t="str">
            <v>Are we capturing the defect when we re-introduce
the product into the normal process?</v>
          </cell>
          <cell r="D98" t="str">
            <v>Est que le défaut est piégé quand nous ré-injectons le produit dans un process normal?</v>
          </cell>
          <cell r="E98" t="str">
            <v>¿Es posible detectar el fallo cuando lo introducimos en el proceso normal?</v>
          </cell>
          <cell r="F98" t="str">
            <v>Estamos captando o defeito ao reintroduzir o produto no processo normal?</v>
          </cell>
          <cell r="G98" t="str">
            <v>Je chyba při znovuuvedení produktu do normálního procesu objevena?</v>
          </cell>
        </row>
        <row r="99">
          <cell r="B99" t="str">
            <v>War ein aehnliches Problem beim Kunden oder intern bereits bekannt?</v>
          </cell>
          <cell r="C99" t="str">
            <v>Did a similar problem happen previously at customer or internally?</v>
          </cell>
          <cell r="D99" t="str">
            <v>Est-ce qu'un défaut identique s'est déjà produit chez le client ou en interne ?</v>
          </cell>
          <cell r="E99" t="str">
            <v>¿Ha ocurrido anteriormente algún problema similar con el cliente o en Brose ?</v>
          </cell>
          <cell r="F99" t="str">
            <v>Um problema semelhante aconteceu anteriormente no cliente ou internamente?</v>
          </cell>
          <cell r="G99" t="str">
            <v>Je znám podobný problém u zákazníků nebo u Brose?</v>
          </cell>
        </row>
        <row r="101">
          <cell r="B101" t="str">
            <v>Sortierte Teile</v>
          </cell>
          <cell r="C101" t="str">
            <v>Sorted parts</v>
          </cell>
          <cell r="D101" t="str">
            <v>Pièces triées</v>
          </cell>
          <cell r="E101" t="str">
            <v>Piezas seleccionadas</v>
          </cell>
          <cell r="F101" t="str">
            <v>Peças selecionadas</v>
          </cell>
          <cell r="G101" t="str">
            <v>Tříděné díly</v>
          </cell>
        </row>
        <row r="102">
          <cell r="B102" t="str">
            <v>Sortierdatum</v>
          </cell>
          <cell r="C102" t="str">
            <v>Sorting date</v>
          </cell>
          <cell r="D102" t="str">
            <v>Date du tri</v>
          </cell>
          <cell r="E102" t="str">
            <v>Fecha de la selección</v>
          </cell>
          <cell r="F102" t="str">
            <v>Data da seleção das peças</v>
          </cell>
          <cell r="G102" t="str">
            <v>Datum třízení</v>
          </cell>
        </row>
        <row r="104">
          <cell r="B104" t="str">
            <v>Kennzeichnung i.O.- Teile</v>
          </cell>
          <cell r="C104" t="str">
            <v>Identification o.k. parts</v>
          </cell>
          <cell r="D104" t="str">
            <v>Pièces identifiées conformes</v>
          </cell>
          <cell r="E104" t="str">
            <v>Piezas - Identificación o.k.</v>
          </cell>
          <cell r="F104" t="str">
            <v>Identificação - peças o.k.</v>
          </cell>
          <cell r="G104" t="str">
            <v>Značení o.k. dílu</v>
          </cell>
        </row>
        <row r="105">
          <cell r="B105" t="str">
            <v>Kunden-Werk</v>
          </cell>
          <cell r="C105" t="str">
            <v>Customers plant</v>
          </cell>
          <cell r="D105" t="str">
            <v>Uisne client</v>
          </cell>
          <cell r="E105" t="str">
            <v>Planta del cliente</v>
          </cell>
          <cell r="F105" t="str">
            <v>Planta do cliente</v>
          </cell>
          <cell r="G105" t="str">
            <v>Zákazník - závod</v>
          </cell>
        </row>
        <row r="106">
          <cell r="B106" t="str">
            <v>Transport / Logistik</v>
          </cell>
          <cell r="C106" t="str">
            <v>Transport / logistic</v>
          </cell>
          <cell r="D106" t="str">
            <v>Transport / logistique</v>
          </cell>
          <cell r="E106" t="str">
            <v>Transporte/logística</v>
          </cell>
          <cell r="F106" t="str">
            <v>Transporte/logistica</v>
          </cell>
          <cell r="G106" t="str">
            <v>Doprava / Logistika</v>
          </cell>
        </row>
        <row r="107">
          <cell r="B107" t="str">
            <v>Produktionsdatum der sortierten Teile</v>
          </cell>
          <cell r="C107" t="str">
            <v xml:space="preserve">Manufacturing date of the sorted parts             </v>
          </cell>
          <cell r="D107" t="str">
            <v>Date de production des pièces triées</v>
          </cell>
          <cell r="E107" t="str">
            <v>Fecha de producción de las piezas seleccionadas</v>
          </cell>
          <cell r="F107" t="str">
            <v>Data de produção das peças selecionadas</v>
          </cell>
          <cell r="G107" t="str">
            <v>Datum výroby tříděných dílů</v>
          </cell>
        </row>
        <row r="108">
          <cell r="B108" t="str">
            <v>Kunden-Teilenummer / Zeichnungsnummer</v>
          </cell>
          <cell r="C108" t="str">
            <v>Part number customer / drawing number</v>
          </cell>
          <cell r="D108" t="str">
            <v>Référence client / N° de plan</v>
          </cell>
          <cell r="E108" t="str">
            <v>Número Pieza / Plano Número - Cliente</v>
          </cell>
          <cell r="F108" t="str">
            <v>N° material cliente</v>
          </cell>
          <cell r="G108" t="str">
            <v>Zákazník - číslo dílu /  číslo výkresu</v>
          </cell>
        </row>
        <row r="109">
          <cell r="B109" t="str">
            <v>Warnung anderer Kunden / Brose-Werke oder Geschaeftsbereiche noetig?</v>
          </cell>
          <cell r="C109" t="str">
            <v>Warn other customers / Brose plants or business divisions?</v>
          </cell>
          <cell r="D109" t="str">
            <v>Alerter d'autres clents / Usines Brose ou divisons?</v>
          </cell>
          <cell r="E109" t="str">
            <v>¿Es necesario notificar / alertar a otros clientes / plantas o divisiones?</v>
          </cell>
          <cell r="F109" t="str">
            <v>Alertar outros clientes/plantas/divisões de negócio da Brose?</v>
          </cell>
          <cell r="G109" t="str">
            <v>Je nutné varovat ostatní závody zákazníků /  Brose nebo obchodní oblasti?</v>
          </cell>
        </row>
        <row r="112">
          <cell r="B112" t="str">
            <v>Sofortmaßnahme(n) bei Brose</v>
          </cell>
          <cell r="C112" t="str">
            <v>Containment action(s) at Brose</v>
          </cell>
          <cell r="D112" t="str">
            <v>Action(s) de sécurisations chez Brose</v>
          </cell>
          <cell r="E112" t="str">
            <v>Acción(es) contenedora(s) en planta Brose</v>
          </cell>
          <cell r="F112" t="str">
            <v>Ações de contenção na Brose</v>
          </cell>
          <cell r="G112" t="str">
            <v>Okamžitá opatření u Brose</v>
          </cell>
        </row>
        <row r="115">
          <cell r="B115" t="str">
            <v>Sofortmaßnahme(n) bei Kunde / Lieferant</v>
          </cell>
          <cell r="C115" t="str">
            <v>Containment action(s) at customer / supplier</v>
          </cell>
          <cell r="D115" t="str">
            <v>Action(s) de sécurisations chez le client / fournisseur</v>
          </cell>
          <cell r="E115" t="str">
            <v>Acción(es) contenedora(s) en planta del cliente / proveedor</v>
          </cell>
          <cell r="F115" t="str">
            <v>Ações de contenção no cliente/fornecedor</v>
          </cell>
          <cell r="G115" t="str">
            <v>Okamžitá opatření u zákazníka / dodavatele</v>
          </cell>
        </row>
        <row r="118">
          <cell r="B118" t="str">
            <v>Nichtentdecken</v>
          </cell>
          <cell r="C118" t="str">
            <v>Non detection</v>
          </cell>
          <cell r="D118" t="str">
            <v>Non détection</v>
          </cell>
          <cell r="E118" t="str">
            <v>No detección</v>
          </cell>
          <cell r="F118" t="str">
            <v>Não detenção</v>
          </cell>
          <cell r="G118" t="str">
            <v>Neobjeveno</v>
          </cell>
        </row>
        <row r="120">
          <cell r="B120" t="str">
            <v>Anwendung auf aehnliche Produkte / Prozesse moeglich?</v>
          </cell>
          <cell r="C120" t="str">
            <v>Applicable to similar products / processes?</v>
          </cell>
          <cell r="D120" t="str">
            <v>Applicable à des produits / process similaires?</v>
          </cell>
          <cell r="E120" t="str">
            <v>¿Aplicable a productos/procesos similares?</v>
          </cell>
          <cell r="F120" t="str">
            <v>Aplicável a produtos/processos semelhantes?</v>
          </cell>
          <cell r="G120" t="str">
            <v>Je možno aplikovat na obdobné výrobky / procesy?</v>
          </cell>
        </row>
        <row r="121">
          <cell r="B121" t="str">
            <v>Produkte / Prozesse</v>
          </cell>
          <cell r="C121" t="str">
            <v>Products / processes</v>
          </cell>
          <cell r="D121" t="str">
            <v>Produits / process</v>
          </cell>
          <cell r="E121" t="str">
            <v>Productos / Procesos</v>
          </cell>
          <cell r="F121" t="str">
            <v>Produtos/Processos</v>
          </cell>
          <cell r="G121" t="str">
            <v>Výrobky / procesy</v>
          </cell>
        </row>
        <row r="122">
          <cell r="B122" t="str">
            <v>Lasten- / Pflichtenheft</v>
          </cell>
          <cell r="C122" t="str">
            <v>Performance / functional specification</v>
          </cell>
          <cell r="D122" t="str">
            <v>Performance / specification fonctionnel</v>
          </cell>
          <cell r="E122" t="str">
            <v>Especificaciones técnicas</v>
          </cell>
          <cell r="F122" t="str">
            <v>Especificação do desempenho/ funcional</v>
          </cell>
          <cell r="G122" t="str">
            <v>Specifikace funkčnosti</v>
          </cell>
        </row>
        <row r="123">
          <cell r="B123" t="str">
            <v>FBA Auftreten</v>
          </cell>
          <cell r="C123" t="str">
            <v>FTA occurrence</v>
          </cell>
          <cell r="D123" t="str">
            <v>FTA occurrence</v>
          </cell>
          <cell r="E123" t="str">
            <v>AAF ocurrencia</v>
          </cell>
          <cell r="F123" t="str">
            <v>AAF ocorrência</v>
          </cell>
          <cell r="G123" t="str">
            <v>Stromová analýza poruch - Výskyt</v>
          </cell>
        </row>
        <row r="124">
          <cell r="B124" t="str">
            <v>Auftreten</v>
          </cell>
          <cell r="C124" t="str">
            <v>Occurrence</v>
          </cell>
          <cell r="D124" t="str">
            <v>Occurrence</v>
          </cell>
          <cell r="E124" t="str">
            <v>Ocurrencia</v>
          </cell>
          <cell r="F124" t="str">
            <v>Ocorrência</v>
          </cell>
          <cell r="G124" t="str">
            <v>Výskyt</v>
          </cell>
        </row>
        <row r="125">
          <cell r="B125" t="str">
            <v>Fehlerbaumanalyse (FBA)</v>
          </cell>
          <cell r="C125" t="str">
            <v>Fault tree analysis (FTA)</v>
          </cell>
          <cell r="D125" t="str">
            <v>Arbre des défauilance</v>
          </cell>
          <cell r="E125" t="str">
            <v>Árbol de análisis del fallo (AAF)</v>
          </cell>
          <cell r="F125" t="str">
            <v>Análise da árvore de falha (AAF)</v>
          </cell>
          <cell r="G125" t="str">
            <v>Stromová analýza poruch</v>
          </cell>
        </row>
        <row r="126">
          <cell r="B126" t="str">
            <v>Beurteilung</v>
          </cell>
          <cell r="C126" t="str">
            <v>Evaluation</v>
          </cell>
          <cell r="D126" t="str">
            <v>Evaluation</v>
          </cell>
          <cell r="E126" t="str">
            <v>Evaluación</v>
          </cell>
          <cell r="F126" t="str">
            <v>Avaliação</v>
          </cell>
          <cell r="G126" t="str">
            <v>Hodnocení</v>
          </cell>
        </row>
        <row r="127">
          <cell r="B127" t="str">
            <v>FBA Nichtentdecken</v>
          </cell>
          <cell r="C127" t="str">
            <v>FTA non detection</v>
          </cell>
          <cell r="D127" t="str">
            <v>FTA non detection</v>
          </cell>
          <cell r="E127" t="str">
            <v>AAF No detección</v>
          </cell>
          <cell r="F127" t="str">
            <v>AAF "não detenção"</v>
          </cell>
          <cell r="G127" t="str">
            <v>Stromová analýza poruch - Neobjeveno</v>
          </cell>
        </row>
        <row r="128">
          <cell r="B128" t="str">
            <v>Einflußfaktoren</v>
          </cell>
          <cell r="C128" t="str">
            <v>Influencing factors</v>
          </cell>
          <cell r="D128" t="str">
            <v>Facteurs influents</v>
          </cell>
          <cell r="E128" t="str">
            <v>Factores influyentes</v>
          </cell>
          <cell r="F128" t="str">
            <v>Fatores de influência</v>
          </cell>
          <cell r="G128" t="str">
            <v>Ovlivňující faktory</v>
          </cell>
        </row>
        <row r="129">
          <cell r="B129" t="str">
            <v>Pruefmerkmal aus PLP</v>
          </cell>
          <cell r="C129" t="str">
            <v>Inspection criteria from control plan</v>
          </cell>
          <cell r="D129" t="str">
            <v>Caractéristique du plan de contrôle</v>
          </cell>
          <cell r="E129" t="str">
            <v>Características del plan de control</v>
          </cell>
          <cell r="F129" t="str">
            <v>Critérios de inspeção do plano de controle</v>
          </cell>
          <cell r="G129" t="str">
            <v>Zkušební znak z PLP</v>
          </cell>
        </row>
        <row r="130">
          <cell r="B130" t="str">
            <v>Spezifikation/
Merkmal</v>
          </cell>
          <cell r="C130" t="str">
            <v>Specification/ criteria</v>
          </cell>
          <cell r="D130" t="str">
            <v>Spécification/ caractéristique</v>
          </cell>
          <cell r="E130" t="str">
            <v>Especificación/ 
Criterio</v>
          </cell>
          <cell r="F130" t="str">
            <v>Especificação/ Característica</v>
          </cell>
          <cell r="G130" t="str">
            <v>Specifikace / charakteristický znak</v>
          </cell>
        </row>
        <row r="131">
          <cell r="B131" t="str">
            <v>i.O.- Teile</v>
          </cell>
          <cell r="C131" t="str">
            <v>O.k. parts</v>
          </cell>
          <cell r="D131" t="str">
            <v>Pièces OK</v>
          </cell>
          <cell r="E131" t="str">
            <v xml:space="preserve">Piezas - o.k.  </v>
          </cell>
          <cell r="F131" t="str">
            <v>Peças - o.k.</v>
          </cell>
          <cell r="G131" t="str">
            <v>O.k. díly</v>
          </cell>
        </row>
        <row r="132">
          <cell r="B132" t="str">
            <v>Spezifikation/
Merkmal
korrekt</v>
          </cell>
          <cell r="C132" t="str">
            <v>Specification/
criteria correct</v>
          </cell>
          <cell r="D132" t="str">
            <v>Spécification/ caractéristique conforme</v>
          </cell>
          <cell r="E132" t="str">
            <v>Especificaciones/
características 
correctas</v>
          </cell>
          <cell r="F132" t="str">
            <v>Especificação/ Característica correto</v>
          </cell>
          <cell r="G132" t="str">
            <v>Specifikace / charakteristický znak korektní</v>
          </cell>
        </row>
        <row r="133">
          <cell r="B133" t="str">
            <v>Abweichung ggue. Spezifikation/
Merkmal</v>
          </cell>
          <cell r="C133" t="str">
            <v>Deviation compared to specification/
criteria</v>
          </cell>
          <cell r="D133" t="str">
            <v>Ecart comparé à la spécification caractéristique</v>
          </cell>
          <cell r="E133" t="str">
            <v xml:space="preserve">Desviación en comparación a la especificación </v>
          </cell>
          <cell r="F133" t="str">
            <v>Desvio comparado com especificação/ Característica</v>
          </cell>
          <cell r="G133" t="str">
            <v>Odchylka od specifikace / charakteristického znaku</v>
          </cell>
        </row>
        <row r="134">
          <cell r="B134" t="str">
            <v xml:space="preserve">Direkter Bezug zum Problem? </v>
          </cell>
          <cell r="C134" t="str">
            <v>Direct reference to problem?</v>
          </cell>
          <cell r="D134" t="str">
            <v>Lien direct avec le problème</v>
          </cell>
          <cell r="E134" t="str">
            <v>Referencia directa al problema</v>
          </cell>
          <cell r="F134" t="str">
            <v>Referência direta ao problema</v>
          </cell>
          <cell r="G134" t="str">
            <v>Přímý vztah k problému?</v>
          </cell>
        </row>
        <row r="135">
          <cell r="B135" t="str">
            <v>Priorisierung bzw. Kommentar zum Einflußfakor</v>
          </cell>
          <cell r="C135" t="str">
            <v xml:space="preserve">Prioritization and / or comments about the influencing factor </v>
          </cell>
          <cell r="D135" t="str">
            <v>Hiérarchirisation et / ou commentaires sur les facteurs influents</v>
          </cell>
          <cell r="E135" t="str">
            <v>Priorización y/o comentarios sobre factor influyente</v>
          </cell>
          <cell r="F135" t="str">
            <v>Priorização e/ou comentários sobre fator de influência</v>
          </cell>
          <cell r="G135" t="str">
            <v>Priorita popř. komentář k ovlivňujicímu faktoru</v>
          </cell>
        </row>
        <row r="145">
          <cell r="B145" t="str">
            <v>5x Warum</v>
          </cell>
          <cell r="C145" t="str">
            <v>5 Whys</v>
          </cell>
          <cell r="D145" t="str">
            <v>5 Pourquois</v>
          </cell>
          <cell r="E145" t="str">
            <v>5 Por qué</v>
          </cell>
          <cell r="F145" t="str">
            <v>5 Porquês</v>
          </cell>
          <cell r="G145" t="str">
            <v>5 Proč</v>
          </cell>
        </row>
        <row r="146">
          <cell r="B146" t="str">
            <v>Moegliche Fehlerursache</v>
          </cell>
          <cell r="C146" t="str">
            <v>Possible failure cause</v>
          </cell>
          <cell r="D146" t="str">
            <v>Cause possible du défaut</v>
          </cell>
          <cell r="E146" t="str">
            <v>Posible causa del fallo</v>
          </cell>
          <cell r="F146" t="str">
            <v>Possivel causa</v>
          </cell>
          <cell r="G146" t="str">
            <v>Možné příčíny chyby</v>
          </cell>
        </row>
        <row r="147">
          <cell r="B147" t="str">
            <v>Warum?</v>
          </cell>
          <cell r="C147" t="str">
            <v>Why?</v>
          </cell>
          <cell r="D147" t="str">
            <v>Pourquoi?</v>
          </cell>
          <cell r="E147" t="str">
            <v>¿Por qué?</v>
          </cell>
          <cell r="F147" t="str">
            <v>Por quê?</v>
          </cell>
          <cell r="G147" t="str">
            <v>Proč?</v>
          </cell>
        </row>
        <row r="154">
          <cell r="B154" t="str">
            <v>Champion</v>
          </cell>
          <cell r="C154" t="str">
            <v xml:space="preserve">Champion </v>
          </cell>
          <cell r="D154" t="str">
            <v>Responsable du 8D</v>
          </cell>
          <cell r="E154" t="str">
            <v>Champion</v>
          </cell>
          <cell r="F154" t="str">
            <v>Campeão</v>
          </cell>
          <cell r="G154" t="str">
            <v>Zodpovědná osoba</v>
          </cell>
        </row>
        <row r="155">
          <cell r="B155" t="str">
            <v>Anlage</v>
          </cell>
          <cell r="C155" t="str">
            <v>Annex</v>
          </cell>
          <cell r="D155" t="str">
            <v>Annexe</v>
          </cell>
          <cell r="E155" t="str">
            <v>Anexo</v>
          </cell>
          <cell r="F155" t="str">
            <v>Anexo</v>
          </cell>
          <cell r="G155" t="str">
            <v>Příloha</v>
          </cell>
        </row>
        <row r="156">
          <cell r="B156" t="str">
            <v>Erklaerung</v>
          </cell>
          <cell r="C156" t="str">
            <v>Explanation</v>
          </cell>
          <cell r="D156" t="str">
            <v>Explication</v>
          </cell>
          <cell r="E156" t="str">
            <v>Explicación</v>
          </cell>
          <cell r="F156" t="str">
            <v>Explicação</v>
          </cell>
          <cell r="G156" t="str">
            <v>Vysvětlení</v>
          </cell>
        </row>
        <row r="157">
          <cell r="B157" t="str">
            <v>Maßnahmen</v>
          </cell>
          <cell r="C157" t="str">
            <v>Action</v>
          </cell>
          <cell r="D157" t="str">
            <v>Action</v>
          </cell>
          <cell r="E157" t="str">
            <v>Acciones</v>
          </cell>
          <cell r="F157" t="str">
            <v>Ações</v>
          </cell>
          <cell r="G157" t="str">
            <v>Opatření</v>
          </cell>
        </row>
        <row r="158">
          <cell r="B158" t="str">
            <v>Falls ja, SAP-Meldungsnummer angeben</v>
          </cell>
          <cell r="C158" t="str">
            <v>If yes, fill in SAP declaration number</v>
          </cell>
          <cell r="D158" t="str">
            <v>Si oui, remplir dans le fichier</v>
          </cell>
          <cell r="E158" t="str">
            <v>Si es sí, indica el No.de notificación de SAP</v>
          </cell>
          <cell r="F158" t="str">
            <v>Se sim, preencha o número da notificação do SAP</v>
          </cell>
          <cell r="G158" t="str">
            <v>Pokud ano, zadejte číslo hlášení SAP</v>
          </cell>
        </row>
        <row r="159">
          <cell r="B159" t="str">
            <v>Aenderungen</v>
          </cell>
          <cell r="C159" t="str">
            <v>Changes</v>
          </cell>
          <cell r="D159" t="str">
            <v>Modifications</v>
          </cell>
          <cell r="E159" t="str">
            <v>Modificación</v>
          </cell>
          <cell r="F159" t="str">
            <v>Mudanças</v>
          </cell>
          <cell r="G159" t="str">
            <v>Změny</v>
          </cell>
        </row>
        <row r="160">
          <cell r="B160" t="str">
            <v>Wer informiert?</v>
          </cell>
          <cell r="C160" t="str">
            <v>Who informs?</v>
          </cell>
          <cell r="D160" t="str">
            <v>Qui prévenir ?</v>
          </cell>
          <cell r="E160" t="str">
            <v>Quién informa?</v>
          </cell>
          <cell r="F160" t="str">
            <v>Quem informa?</v>
          </cell>
          <cell r="G160" t="str">
            <v>Kdo informuje?</v>
          </cell>
        </row>
        <row r="161">
          <cell r="B161" t="str">
            <v>Nummer</v>
          </cell>
          <cell r="C161" t="str">
            <v>Number</v>
          </cell>
          <cell r="D161" t="str">
            <v>Numéro</v>
          </cell>
          <cell r="E161" t="str">
            <v>Número</v>
          </cell>
          <cell r="F161" t="str">
            <v>Número</v>
          </cell>
          <cell r="G161" t="str">
            <v>Číslo</v>
          </cell>
        </row>
        <row r="162">
          <cell r="B162" t="str">
            <v>Maßnahmenliste / Fehlerursache</v>
          </cell>
          <cell r="C162" t="str">
            <v>Action list / Root cause</v>
          </cell>
          <cell r="D162" t="str">
            <v>Liste des actions / Cause origine</v>
          </cell>
          <cell r="E162" t="str">
            <v>Lista de acciones / causa raiz</v>
          </cell>
          <cell r="F162" t="str">
            <v>Lista da ação / causa raiz</v>
          </cell>
          <cell r="G162" t="str">
            <v>Seznam opatření / příčina chyby</v>
          </cell>
        </row>
        <row r="163">
          <cell r="B163" t="str">
            <v>Zurueck</v>
          </cell>
          <cell r="C163" t="str">
            <v>Back</v>
          </cell>
          <cell r="D163" t="str">
            <v>Retour</v>
          </cell>
          <cell r="E163" t="str">
            <v>Regresar</v>
          </cell>
          <cell r="F163" t="str">
            <v>Voltar</v>
          </cell>
          <cell r="G163" t="str">
            <v>Zpět</v>
          </cell>
        </row>
        <row r="165">
          <cell r="B165" t="str">
            <v>Champion Telefonnummer</v>
          </cell>
          <cell r="C165" t="str">
            <v>Champion phone number</v>
          </cell>
          <cell r="D165" t="str">
            <v>N° de téléphone responsable</v>
          </cell>
          <cell r="E165" t="str">
            <v>Champion No. Teléfono</v>
          </cell>
          <cell r="F165" t="str">
            <v>No. do telefone do campeão.</v>
          </cell>
          <cell r="G165" t="str">
            <v>Tel. číslo zodpovědné osoby</v>
          </cell>
        </row>
        <row r="166">
          <cell r="B166" t="str">
            <v>Informationen zur Benutzung der PMP-Vorlage</v>
          </cell>
          <cell r="C166" t="str">
            <v>Information for using the PMP template</v>
          </cell>
          <cell r="D166" t="str">
            <v>Information pour utiliser le formulaire PMP</v>
          </cell>
          <cell r="E166" t="str">
            <v>Información para utilizar la plantilla PGP</v>
          </cell>
          <cell r="F166" t="str">
            <v>Informação para usar o formulário PMP</v>
          </cell>
          <cell r="G166" t="str">
            <v>Informace k použití PMP předlohy</v>
          </cell>
        </row>
        <row r="167">
          <cell r="B167" t="str">
            <v>Zu verwendende Unterlagen:</v>
          </cell>
          <cell r="C167" t="str">
            <v>Documents to be used:</v>
          </cell>
          <cell r="D167" t="str">
            <v>Documents à utiliser</v>
          </cell>
          <cell r="E167" t="str">
            <v>Documentos a utilizar:</v>
          </cell>
          <cell r="F167" t="str">
            <v>Formulários a serem usados</v>
          </cell>
          <cell r="G167" t="str">
            <v>Použité dokumenty</v>
          </cell>
        </row>
        <row r="168">
          <cell r="B168" t="str">
            <v>Prozeßbeschreibung (PR): Problemmanagementprozeß (PMP) - M1_060_GR_51_00</v>
          </cell>
          <cell r="C168" t="str">
            <v>Procedure (PR): Problem Management Process (PMP) - M1_060_GR_51_00</v>
          </cell>
          <cell r="D168" t="str">
            <v>Procdécure : Problem Management Process (PMP) :M1_060_GR_51_00</v>
          </cell>
          <cell r="E168" t="str">
            <v>Descripción del proceso (PR): Proceso de gestión de problemas (PGP) - M1_060_GR_51_02</v>
          </cell>
          <cell r="F168" t="str">
            <v>Instrução de Trabalho ():  Problem Management Process (PMP) - M1_060_GR_51_00</v>
          </cell>
          <cell r="G168" t="str">
            <v>Popis procesu (PR): Problem Management Prozess (PMP) - M1_060_GR_51_00</v>
          </cell>
        </row>
        <row r="169">
          <cell r="B169" t="str">
            <v>Arbeitsanweisung (AA): Top-Q Prozeß Brose - M1_060_GR_51_02</v>
          </cell>
          <cell r="C169" t="str">
            <v>Work Instruction (WI): Top-Q Process Brose - M1_060_GR_51_02</v>
          </cell>
          <cell r="D169" t="str">
            <v>Work Instruction (WI): Top-Q Process Brose - M1_060_GR_51_03</v>
          </cell>
          <cell r="E169" t="str">
            <v>Instrucción de trabajo (IT): Proceso Top-Q de Brose- M1_060_GR_51_02</v>
          </cell>
          <cell r="F169" t="str">
            <v>Instrução De Trabalho (): Top-Q Process Brose - M1_060_GR_51_02</v>
          </cell>
          <cell r="G169" t="str">
            <v>Pracovní instrukce (): Top-Q Prozeß Brose - M1_060_GR_51_02</v>
          </cell>
        </row>
        <row r="170">
          <cell r="B170" t="str">
            <v>Einstufung der Eskalation:</v>
          </cell>
          <cell r="C170" t="str">
            <v>Rating of escalation:</v>
          </cell>
          <cell r="D170" t="str">
            <v>Niveau d'escalation</v>
          </cell>
          <cell r="E170" t="str">
            <v>Grado de escalación:</v>
          </cell>
          <cell r="F170" t="str">
            <v>Avaliação da escalação</v>
          </cell>
          <cell r="G170" t="str">
            <v>Eskalační matrice</v>
          </cell>
        </row>
        <row r="171">
          <cell r="B171" t="str">
            <v>Einstufung der Eskalation und der entsprechenden Informationspflichten sind festzulegen gemaeß der Kriterien in Arbeitsanweisung (AA): Top-Q Prozeß Brose - M1_060_GR_51_02.</v>
          </cell>
          <cell r="C171" t="str">
            <v>Rating of escalation and appropriate reporting requirements have to be defined according to Work Instruction (WI): Top-Q Process Brose - M1_060_GR_51_02.</v>
          </cell>
          <cell r="D171" t="str">
            <v>Niveau d'escalation et demande de reporting approprié doivent être défini suivant Work Instruction (WI): Top-Q Process Brose - M1_060_GR_51_02.</v>
          </cell>
          <cell r="E171" t="str">
            <v>El Grado de escalación y la correspondiente información requerida, tienen que ser definidas según el criterio de la instrucción de trabajo (AA): Top-Q proceso Brose M1_060_GR_51_02</v>
          </cell>
          <cell r="F171" t="str">
            <v>A avaliação da escalação e exigências de informações tem que ser definida de acordo com a instrução de trabalho (WI): Top-Q Brose Process - M1_060_GR_51_02</v>
          </cell>
          <cell r="G171" t="str">
            <v>Zařazení eskalace a odpovídající informační povinností jsou stanoveny dle kritérií v pracovním návodě (AA): Top-Q Brose Process - M1_060_GR_51_02.</v>
          </cell>
        </row>
        <row r="172">
          <cell r="B172" t="str">
            <v>Anwendung der Problemloesung:</v>
          </cell>
          <cell r="C172" t="str">
            <v>Application of problem solving:</v>
          </cell>
          <cell r="D172" t="str">
            <v>Détail de la résolution de problème</v>
          </cell>
          <cell r="E172" t="str">
            <v>Detallar el uso de las herramientas para solución de problemas:</v>
          </cell>
          <cell r="F172" t="str">
            <v>Aplicação dos ferramentos "resolução de problema"</v>
          </cell>
          <cell r="G172" t="str">
            <v>Aplikace řešení problému</v>
          </cell>
        </row>
        <row r="173">
          <cell r="B173" t="str">
            <v>Ueber die Steuerleiste (oben) sind die einzelnen Bereiche der PMP-Vorlage per Mausklick direkt ansteuerbar.</v>
          </cell>
          <cell r="C173" t="str">
            <v>Via klick on the control element (above) it is possible to activate the different components of the PMP template directely.</v>
          </cell>
          <cell r="D173" t="str">
            <v>Par le "Click" sur le contrôle ci-dessous, il est possible d'activer les différentes feuilles du 8D</v>
          </cell>
          <cell r="E173" t="str">
            <v>Haciendo 'click' en las controles que se muestran arriba es posible activar los diferentes elementos de la plantilla PGP.</v>
          </cell>
          <cell r="F173" t="str">
            <v>Os componentes da planilha PMP podem ser ativados com os controles em cima.</v>
          </cell>
          <cell r="G173" t="str">
            <v>Kliknutím na lištu (nahoře) volíte přímo jednotlivé oblasti PMP předloh.</v>
          </cell>
        </row>
        <row r="174">
          <cell r="B174" t="str">
            <v>Mensch</v>
          </cell>
          <cell r="C174" t="str">
            <v>Man</v>
          </cell>
          <cell r="D174" t="str">
            <v>Main d'œuvre</v>
          </cell>
          <cell r="E174" t="str">
            <v>Hombre</v>
          </cell>
          <cell r="F174" t="str">
            <v>Mão de obra</v>
          </cell>
          <cell r="G174" t="str">
            <v>Člověk</v>
          </cell>
        </row>
        <row r="175">
          <cell r="B175" t="str">
            <v>Maschine</v>
          </cell>
          <cell r="C175" t="str">
            <v>Machine</v>
          </cell>
          <cell r="D175" t="str">
            <v>Machine</v>
          </cell>
          <cell r="E175" t="str">
            <v>Máquina</v>
          </cell>
          <cell r="F175" t="str">
            <v>Máquina</v>
          </cell>
          <cell r="G175" t="str">
            <v>Stroj</v>
          </cell>
        </row>
        <row r="176">
          <cell r="B176" t="str">
            <v>Material</v>
          </cell>
          <cell r="C176" t="str">
            <v>Material</v>
          </cell>
          <cell r="D176" t="str">
            <v>Material</v>
          </cell>
          <cell r="E176" t="str">
            <v>Material</v>
          </cell>
          <cell r="F176" t="str">
            <v>Material</v>
          </cell>
          <cell r="G176" t="str">
            <v>Material</v>
          </cell>
        </row>
        <row r="177">
          <cell r="B177" t="str">
            <v>Methode</v>
          </cell>
          <cell r="C177" t="str">
            <v>Method</v>
          </cell>
          <cell r="D177" t="str">
            <v>Méthode</v>
          </cell>
          <cell r="E177" t="str">
            <v>Método</v>
          </cell>
          <cell r="F177" t="str">
            <v>Método</v>
          </cell>
          <cell r="G177" t="str">
            <v>Metoda</v>
          </cell>
        </row>
        <row r="178">
          <cell r="B178" t="str">
            <v>Mitwelt</v>
          </cell>
          <cell r="C178" t="str">
            <v>Mother Nature</v>
          </cell>
          <cell r="D178" t="str">
            <v>Environnement</v>
          </cell>
          <cell r="E178" t="str">
            <v>Medio ambiente</v>
          </cell>
          <cell r="F178" t="str">
            <v>Meio ambiente</v>
          </cell>
          <cell r="G178" t="str">
            <v>Prostředí</v>
          </cell>
        </row>
        <row r="179">
          <cell r="B179" t="str">
            <v>Fazit aus Sortierung</v>
          </cell>
          <cell r="C179" t="str">
            <v>Reults of the sorting action</v>
          </cell>
          <cell r="D179" t="str">
            <v>Bilan des action de tri</v>
          </cell>
          <cell r="E179" t="str">
            <v>resultado de la selección</v>
          </cell>
          <cell r="F179" t="str">
            <v>Resultado da seleção</v>
          </cell>
          <cell r="G179" t="str">
            <v>Výsledek třízení</v>
          </cell>
        </row>
        <row r="181">
          <cell r="B181" t="str">
            <v>Soll-Situation 
(Kunden-Sicht)</v>
          </cell>
          <cell r="C181" t="str">
            <v>Target situation
(Customers point of view)</v>
          </cell>
          <cell r="D181" t="str">
            <v>Situation à atteindre
(point de vue client)</v>
          </cell>
          <cell r="E181" t="str">
            <v>Condición esperada / especificación de la pieza 
(Punto de vista del cliente)</v>
          </cell>
          <cell r="F181" t="str">
            <v>situação alvo (ponto de vista do cliente)</v>
          </cell>
          <cell r="G181" t="str">
            <v>Požadovaná situace (z pohledu zákazníka)</v>
          </cell>
        </row>
        <row r="182">
          <cell r="B182" t="str">
            <v>Ist-Situation
(Kunden-Sicht)</v>
          </cell>
          <cell r="C182" t="str">
            <v>Actual situation
(Customers point of view)</v>
          </cell>
          <cell r="D182" t="str">
            <v>Situation actuelle
(point de vue client)</v>
          </cell>
          <cell r="E182" t="str">
            <v>Condición real de la pieza
(Punto de vista del cliente)</v>
          </cell>
          <cell r="F182" t="str">
            <v>situação real (ponto de vista do cliente)</v>
          </cell>
          <cell r="G182" t="str">
            <v>Skutečná situace (z pohledu zákazníka)</v>
          </cell>
        </row>
        <row r="186">
          <cell r="B186" t="str">
            <v>Statistik: Grafische Darstellung der n.i.O.-Teile und/oder Sortieraktion (jeweils bei Bedarf)</v>
          </cell>
          <cell r="C186" t="str">
            <v>Statistics: Chart of n.o.k parts and/or sorting action (if reqiured)</v>
          </cell>
          <cell r="D186" t="str">
            <v>Statistiques :Graphique des non conformes et/ou opération de tri (si demandé)</v>
          </cell>
          <cell r="E186" t="str">
            <v>Estadística: gráfico de las piezas no OK y/o del resultado de la selección (si se requiere)</v>
          </cell>
          <cell r="F186" t="str">
            <v>Statistica: Gráfico de peças n.o.k. e/ou do resultado da seleção</v>
          </cell>
          <cell r="G186" t="str">
            <v>Statistika: Grafické znázornění neshodných dílu a / nebo třízení (dle potřeby)</v>
          </cell>
        </row>
        <row r="187">
          <cell r="B187" t="str">
            <v>Erklaerung: Aufzeigen der potentiellen Einflußfaktoren mit anschließender Bewertung, z.B. Priorisierung durch farbige Kennzeichnung, usw…</v>
          </cell>
          <cell r="C187" t="str">
            <v>Explanation: Point out the potential factors of influence with following evaluation, e.g. Prioritization by colored marking, etc....</v>
          </cell>
          <cell r="D187" t="str">
            <v>Explication : Montrer les facteurs d´influence potentiels  à l'aide de l'évaluation correspondante, par exemple: ordre prioritaire par marquage de couleur.</v>
          </cell>
          <cell r="E187" t="str">
            <v>Explicación: Precise los posibles latente factores que pueden influir para el fallo y emita una valoración de los mismos; p. ejemplo: Priorizándolos que si tienen, etc....</v>
          </cell>
          <cell r="F187" t="str">
            <v>Explicação: Indique os fatores de influência e avialia-los, por exemplo excluir os fatores não-influentes, priorização com colores etc.</v>
          </cell>
          <cell r="G187" t="str">
            <v xml:space="preserve">Vysvětlení: Upozorněte na potenciální ovlivňující faktory následným hodnocením, např. Barevným značením, atd...
</v>
          </cell>
        </row>
        <row r="188">
          <cell r="B188" t="str">
            <v>Ishikawa-Diagramm</v>
          </cell>
          <cell r="C188" t="str">
            <v>Ishikawa diagram</v>
          </cell>
          <cell r="D188" t="str">
            <v>diagramme Ishikawa</v>
          </cell>
          <cell r="E188" t="str">
            <v>Diagrama de Ishikawa</v>
          </cell>
          <cell r="F188" t="str">
            <v>Diagramo Ishikawa</v>
          </cell>
          <cell r="G188" t="str">
            <v>Ishikawův diagram</v>
          </cell>
        </row>
        <row r="189">
          <cell r="B189" t="str">
            <v>Anzahl n.i.O.-Teile</v>
          </cell>
          <cell r="C189" t="str">
            <v>Number of n.o.k. parts</v>
          </cell>
          <cell r="D189" t="str">
            <v>Nombre de pièces non conformes</v>
          </cell>
          <cell r="E189" t="str">
            <v>Cantidad de piezas no OK</v>
          </cell>
          <cell r="F189" t="str">
            <v>Número de peças - n.o.k.</v>
          </cell>
          <cell r="G189" t="str">
            <v>Počet neshodných dílů</v>
          </cell>
        </row>
        <row r="190">
          <cell r="B190" t="str">
            <v>Anzahl i.O.-Teile</v>
          </cell>
          <cell r="C190" t="str">
            <v>Number of o.k. parts</v>
          </cell>
          <cell r="D190" t="str">
            <v>Nombre de pièces conformes</v>
          </cell>
          <cell r="E190" t="str">
            <v>Cantidad de piezas OK</v>
          </cell>
          <cell r="F190" t="str">
            <v>Número de peças- o.k.</v>
          </cell>
          <cell r="G190" t="str">
            <v>Počet o.k. dílů</v>
          </cell>
        </row>
        <row r="191">
          <cell r="B191" t="str">
            <v>Fehlerursache Auftreten</v>
          </cell>
          <cell r="C191" t="str">
            <v>Failure cause occurrence</v>
          </cell>
          <cell r="D191" t="str">
            <v>Occurrence sur les causes du défaut</v>
          </cell>
          <cell r="E191" t="str">
            <v>Causa de ocurrencia del fallo</v>
          </cell>
          <cell r="F191" t="str">
            <v>Causa raiz de ocorrência de falha</v>
          </cell>
          <cell r="G191" t="str">
            <v>Příčina výskytu chyby</v>
          </cell>
        </row>
        <row r="192">
          <cell r="B192" t="str">
            <v>Fehlerursache Nichtentdecken</v>
          </cell>
          <cell r="C192" t="str">
            <v>Failure cause non detection</v>
          </cell>
          <cell r="D192" t="str">
            <v>Occurrence sur les causes de la non détection</v>
          </cell>
          <cell r="E192" t="str">
            <v>Causa de la no detección del fallo</v>
          </cell>
          <cell r="F192" t="str">
            <v>Causa raiz de não-detenção da falha</v>
          </cell>
          <cell r="G192" t="str">
            <v>Příčina chyby neobjevena</v>
          </cell>
        </row>
        <row r="193">
          <cell r="B193" t="str">
            <v>Unklar</v>
          </cell>
          <cell r="C193" t="str">
            <v>Unclear</v>
          </cell>
          <cell r="D193" t="str">
            <v>Non éclairci</v>
          </cell>
          <cell r="E193" t="str">
            <v>confusa</v>
          </cell>
          <cell r="F193" t="str">
            <v>não claro</v>
          </cell>
          <cell r="G193" t="str">
            <v>Nejasné</v>
          </cell>
        </row>
        <row r="194">
          <cell r="B194" t="str">
            <v>Grundursache - Auftreten</v>
          </cell>
          <cell r="C194" t="str">
            <v>Root cause - failure occurrence</v>
          </cell>
          <cell r="D194" t="str">
            <v>Cause origine - Occurrence</v>
          </cell>
          <cell r="E194" t="str">
            <v>Causa raíz - ocurrencia del fallo</v>
          </cell>
          <cell r="F194" t="str">
            <v xml:space="preserve">Causa raiz de ocorrência </v>
          </cell>
          <cell r="G194" t="str">
            <v>Kořenová příčina výskytu</v>
          </cell>
        </row>
        <row r="195">
          <cell r="B195" t="str">
            <v>Grundursache - Nichtentdecken</v>
          </cell>
          <cell r="C195" t="str">
            <v>Root cause - failure non detection</v>
          </cell>
          <cell r="D195" t="str">
            <v>Cause origine - Non détection</v>
          </cell>
          <cell r="E195" t="str">
            <v>Causa raíz - no detección del fallo</v>
          </cell>
          <cell r="F195" t="str">
            <v>Causa raiz de não-detenção</v>
          </cell>
          <cell r="G195" t="str">
            <v>Kořenová příčína neobjevena</v>
          </cell>
        </row>
        <row r="196">
          <cell r="B196" t="str">
            <v>Kopfdaten</v>
          </cell>
          <cell r="C196" t="str">
            <v>Header data</v>
          </cell>
          <cell r="D196" t="str">
            <v>Données de base</v>
          </cell>
          <cell r="E196" t="str">
            <v>Encabezado</v>
          </cell>
          <cell r="F196" t="str">
            <v>Cabeçal</v>
          </cell>
          <cell r="G196" t="str">
            <v>Hlavní data</v>
          </cell>
        </row>
        <row r="197">
          <cell r="B197" t="str">
            <v>i.O.- Teil</v>
          </cell>
          <cell r="C197" t="str">
            <v>O.k. part</v>
          </cell>
          <cell r="D197" t="str">
            <v>Piéce conforme</v>
          </cell>
          <cell r="E197" t="str">
            <v xml:space="preserve">Piezas OK  </v>
          </cell>
          <cell r="F197" t="str">
            <v>Peça - o.k.</v>
          </cell>
          <cell r="G197" t="str">
            <v>O.k. díl</v>
          </cell>
        </row>
        <row r="198">
          <cell r="B198" t="str">
            <v>Maßnahme</v>
          </cell>
          <cell r="C198" t="str">
            <v>Action</v>
          </cell>
          <cell r="D198" t="str">
            <v>Action</v>
          </cell>
          <cell r="E198" t="str">
            <v>Acciones</v>
          </cell>
          <cell r="F198" t="str">
            <v>Ação</v>
          </cell>
          <cell r="G198" t="str">
            <v>Opatření</v>
          </cell>
        </row>
        <row r="200">
          <cell r="B200" t="str">
            <v>Analyseergebnisse</v>
          </cell>
          <cell r="C200" t="str">
            <v>Analysis results</v>
          </cell>
          <cell r="D200" t="str">
            <v>Résulats des analyses</v>
          </cell>
          <cell r="E200" t="str">
            <v>Análisis de los resultados</v>
          </cell>
          <cell r="F200" t="str">
            <v>resultados da análise</v>
          </cell>
          <cell r="G200" t="str">
            <v>Výsledky analýzy</v>
          </cell>
        </row>
        <row r="201">
          <cell r="B201" t="str">
            <v>Definition der Sofortmaßnahme(n) in Maßnahmenliste</v>
          </cell>
          <cell r="C201" t="str">
            <v>Definition of containment action(s) in the action list</v>
          </cell>
          <cell r="D201" t="str">
            <v>Définition des actions de sécurisation  dans la liste des actions</v>
          </cell>
          <cell r="E201" t="str">
            <v>Definición de actividades de contención en la lista de acciones</v>
          </cell>
          <cell r="F201" t="str">
            <v>Definição das ações de contenção na lista de ações</v>
          </cell>
          <cell r="G201" t="str">
            <v>Definice okamžitých opatření v plánu opatření</v>
          </cell>
        </row>
        <row r="202">
          <cell r="B202" t="str">
            <v>Ausgabe des vorlaeufigen 8D-Reports</v>
          </cell>
          <cell r="C202" t="str">
            <v>Output of preliminary 8D Report</v>
          </cell>
          <cell r="D202" t="str">
            <v xml:space="preserve">Sortie du rapport 8D péliminaire </v>
          </cell>
          <cell r="E202" t="str">
            <v>Emisión del reporte preliminar 8D</v>
          </cell>
          <cell r="F202" t="str">
            <v>Visualisar relatório 8D-Report preliminaria</v>
          </cell>
          <cell r="G202" t="str">
            <v>Výstup předbězných 8D reportů</v>
          </cell>
        </row>
        <row r="203">
          <cell r="B203" t="str">
            <v>Systematische Betrachtung unter Beruecksichtigung der 5 Ms</v>
          </cell>
          <cell r="C203" t="str">
            <v>Systematic consideration with taking the aspects of 5M´s into account</v>
          </cell>
          <cell r="D203" t="str">
            <v>Analyse systématique en tenant compte des aspects du 5M</v>
          </cell>
          <cell r="E203" t="str">
            <v>Realizar el análisis considerando sistemáticamente las 5Ms</v>
          </cell>
          <cell r="F203" t="str">
            <v>Consideração sistemática (aspectos 5M's)</v>
          </cell>
          <cell r="G203" t="str">
            <v>Systematická úvaha zohledňující 5Ms</v>
          </cell>
        </row>
        <row r="204">
          <cell r="B204" t="str">
            <v>Klassifikation</v>
          </cell>
          <cell r="C204" t="str">
            <v>Classification</v>
          </cell>
          <cell r="D204" t="str">
            <v>Classification</v>
          </cell>
          <cell r="E204" t="str">
            <v>Clasificación</v>
          </cell>
          <cell r="F204" t="str">
            <v>Classificação</v>
          </cell>
          <cell r="G204" t="str">
            <v>Klasifikace</v>
          </cell>
        </row>
        <row r="205">
          <cell r="B205" t="str">
            <v>Sicherheitskritisch?</v>
          </cell>
          <cell r="C205" t="str">
            <v>Safety critical?</v>
          </cell>
          <cell r="D205" t="str">
            <v>Caractéristique sécurité?</v>
          </cell>
          <cell r="E205" t="str">
            <v>crítico para la seguridad?</v>
          </cell>
          <cell r="F205" t="str">
            <v>Crítica à segurança?</v>
          </cell>
          <cell r="G205" t="str">
            <v>Bezpečnostně kritické?</v>
          </cell>
        </row>
        <row r="206">
          <cell r="B206" t="str">
            <v>Verifizieren der Grundursache fuer Fehler-Nichtentdecken</v>
          </cell>
          <cell r="C206" t="str">
            <v>Verify the root cause for failure non detection</v>
          </cell>
          <cell r="D206" t="str">
            <v>Vérifier les causes origines de la non détection.</v>
          </cell>
          <cell r="E206" t="str">
            <v>Verificación de la causa raíz para la no-detección</v>
          </cell>
          <cell r="F206" t="str">
            <v>Verificação da causa raíz da não-detecção da falha</v>
          </cell>
          <cell r="G206" t="str">
            <v>Ověření základních příčin neobjevených chyb</v>
          </cell>
        </row>
        <row r="207">
          <cell r="B207" t="str">
            <v>Verifizieren der Grundursache fuer Fehler-Auftreten</v>
          </cell>
          <cell r="C207" t="str">
            <v>Verify the root cause for failure occurrence</v>
          </cell>
          <cell r="D207" t="str">
            <v>Vérifier les causes origines de l'occurrence du défaut.</v>
          </cell>
          <cell r="E207" t="str">
            <v>Verificación de la causa raíz para la occurrencia</v>
          </cell>
          <cell r="F207" t="str">
            <v>Verificação da causa raíz da ocorrência da falha</v>
          </cell>
          <cell r="G207" t="str">
            <v>Ověření základních příčin vyskytnutých chyb</v>
          </cell>
        </row>
        <row r="208">
          <cell r="B208" t="str">
            <v>Definition der Maßnahmen gegen Fehlerursache / Grundursache und Nichtentdecken in Maßnahmenliste</v>
          </cell>
          <cell r="C208" t="str">
            <v>Definition of actions against failure cause / root cause and non detection in action list</v>
          </cell>
          <cell r="D208" t="str">
            <v>Définition des actions contre la cause du défaut/ cause origine et non détection dans la liste d'actions</v>
          </cell>
          <cell r="E208" t="str">
            <v>Definición de acciones contra la causa raíz del fallo y la causa de la no detección en la lista de acciones</v>
          </cell>
          <cell r="F208" t="str">
            <v>Definição das ações contre occorencia da falha/causa raiz/não-deteção da falha na lista de ações</v>
          </cell>
          <cell r="G208" t="str">
            <v>Definice opatření proti příčině chyby / základní příčína a neobjevení v přístupovém seznamu</v>
          </cell>
        </row>
        <row r="209">
          <cell r="B209" t="str">
            <v>Charge</v>
          </cell>
          <cell r="C209" t="str">
            <v>Batch</v>
          </cell>
          <cell r="D209" t="str">
            <v>Lot</v>
          </cell>
          <cell r="E209" t="str">
            <v>Lote</v>
          </cell>
          <cell r="F209" t="str">
            <v>Lote</v>
          </cell>
          <cell r="G209" t="str">
            <v>Šarže</v>
          </cell>
        </row>
        <row r="210">
          <cell r="B210" t="str">
            <v>Fehlerverursacher</v>
          </cell>
          <cell r="C210" t="str">
            <v>Failure origin</v>
          </cell>
          <cell r="D210" t="str">
            <v>Défaut origine</v>
          </cell>
          <cell r="E210" t="str">
            <v>Causante de la falla</v>
          </cell>
          <cell r="F210" t="str">
            <v>Origem da falha</v>
          </cell>
          <cell r="G210" t="str">
            <v>Původce chyby</v>
          </cell>
        </row>
        <row r="211">
          <cell r="B211" t="str">
            <v>Aktualisierung von:</v>
          </cell>
          <cell r="C211" t="str">
            <v>Update of:</v>
          </cell>
          <cell r="D211" t="str">
            <v>Mise à jour de :</v>
          </cell>
          <cell r="E211" t="str">
            <v>Fecha de actualización:</v>
          </cell>
          <cell r="F211" t="str">
            <v>Ultima atualização:</v>
          </cell>
          <cell r="G211" t="str">
            <v>Aktualizováno dne:</v>
          </cell>
        </row>
        <row r="212">
          <cell r="B212" t="str">
            <v>Zeichnung</v>
          </cell>
          <cell r="C212" t="str">
            <v>Drawing</v>
          </cell>
          <cell r="D212" t="str">
            <v>Dessin</v>
          </cell>
          <cell r="E212" t="str">
            <v>Plano</v>
          </cell>
          <cell r="F212" t="str">
            <v>Desenho</v>
          </cell>
          <cell r="G212" t="str">
            <v>Výkres</v>
          </cell>
        </row>
        <row r="213">
          <cell r="B213" t="str">
            <v xml:space="preserve">Problemloesung </v>
          </cell>
          <cell r="C213" t="str">
            <v>Problem solution</v>
          </cell>
          <cell r="D213" t="str">
            <v>Solution de problème</v>
          </cell>
          <cell r="E213" t="str">
            <v>Solución del problema</v>
          </cell>
          <cell r="F213" t="str">
            <v>Solução do problema</v>
          </cell>
          <cell r="G213" t="str">
            <v>Řešení problému</v>
          </cell>
        </row>
        <row r="214">
          <cell r="B214" t="str">
            <v>Fehler erkannt</v>
          </cell>
          <cell r="C214" t="str">
            <v>Failure detected</v>
          </cell>
          <cell r="D214" t="str">
            <v>Détection du défaut</v>
          </cell>
          <cell r="E214" t="str">
            <v>Fallo detectado</v>
          </cell>
          <cell r="F214" t="str">
            <v>Falha detectada</v>
          </cell>
          <cell r="G214" t="str">
            <v>Chyba rozpoznáná</v>
          </cell>
        </row>
        <row r="215">
          <cell r="B215" t="str">
            <v>kurzfristige Maßnahmen</v>
          </cell>
          <cell r="C215" t="str">
            <v>Containment actions</v>
          </cell>
          <cell r="D215" t="str">
            <v>Action de sécurisation</v>
          </cell>
          <cell r="E215" t="str">
            <v>Acciones contenedoras</v>
          </cell>
          <cell r="F215" t="str">
            <v>Ações de contenção</v>
          </cell>
          <cell r="G215" t="str">
            <v>Krátkodobá opatření</v>
          </cell>
        </row>
        <row r="216">
          <cell r="B216" t="str">
            <v>Ursache gefunden</v>
          </cell>
          <cell r="C216" t="str">
            <v>Root cause found</v>
          </cell>
          <cell r="D216" t="str">
            <v>Cause origine trouvée</v>
          </cell>
          <cell r="E216" t="str">
            <v>Causa raíz encontrada</v>
          </cell>
          <cell r="F216" t="str">
            <v>Causa raiz encontrada</v>
          </cell>
          <cell r="G216" t="str">
            <v>Příčina nalezena</v>
          </cell>
        </row>
        <row r="217">
          <cell r="B217" t="str">
            <v>Loesung verifiziert (Unterschrift Teamleiter)</v>
          </cell>
          <cell r="C217" t="str">
            <v>Solution verified (signature team leader)</v>
          </cell>
          <cell r="D217" t="str">
            <v>Solution vérifiée (signature du responsable)</v>
          </cell>
          <cell r="E217" t="str">
            <v>Solución verificada (Firma del director de equipo)</v>
          </cell>
          <cell r="F217" t="str">
            <v>Solução verificada (assinatura do líder da equipe)</v>
          </cell>
          <cell r="G217" t="str">
            <v>Řešení ověřeno ( podpis vedoucího týmu )</v>
          </cell>
        </row>
        <row r="218">
          <cell r="B218" t="str">
            <v>Auswirkungen</v>
          </cell>
          <cell r="C218" t="str">
            <v>Effects</v>
          </cell>
          <cell r="D218" t="str">
            <v>Effets</v>
          </cell>
          <cell r="E218" t="str">
            <v>Efectos</v>
          </cell>
          <cell r="F218" t="str">
            <v>Efeitos</v>
          </cell>
          <cell r="G218" t="str">
            <v>Důsledky</v>
          </cell>
        </row>
        <row r="219">
          <cell r="B219" t="str">
            <v>interne Fehlerkosten</v>
          </cell>
          <cell r="C219" t="str">
            <v>Internal failure costs</v>
          </cell>
          <cell r="D219" t="str">
            <v>Coûts incident Interne</v>
          </cell>
          <cell r="E219" t="str">
            <v>Costos internos generados por la falla</v>
          </cell>
          <cell r="F219" t="str">
            <v>Custos internos da falha</v>
          </cell>
          <cell r="G219" t="str">
            <v>Interní vynálohy chyby</v>
          </cell>
        </row>
        <row r="220">
          <cell r="B220" t="str">
            <v>externe Fehlerkosten</v>
          </cell>
          <cell r="C220" t="str">
            <v>External failure costs</v>
          </cell>
          <cell r="D220" t="str">
            <v>Coûts incident Externe</v>
          </cell>
          <cell r="E220" t="str">
            <v>Costos externos generados por la falla</v>
          </cell>
          <cell r="F220" t="str">
            <v>Custos externos da falha</v>
          </cell>
          <cell r="G220" t="str">
            <v>Externí vynálohy chyby</v>
          </cell>
        </row>
        <row r="221">
          <cell r="B221" t="str">
            <v>verwendete Tools / Formulare zur Problemloesung</v>
          </cell>
          <cell r="C221" t="str">
            <v>Used tools / forms for problem solving</v>
          </cell>
          <cell r="D221" t="str">
            <v>Outil utilisé / Formulaire de résolution de problème</v>
          </cell>
          <cell r="E221" t="str">
            <v>Herramientas empleadas / Formularios para resolver 
el problema</v>
          </cell>
          <cell r="F221" t="str">
            <v>Ferramentos/formulários usados para resolução do problema</v>
          </cell>
          <cell r="G221" t="str">
            <v>Užité nástroje / formuláře pro řešení problému</v>
          </cell>
        </row>
        <row r="222">
          <cell r="B222" t="str">
            <v>Reklamierte Menge</v>
          </cell>
          <cell r="C222" t="str">
            <v>Rejected quantity</v>
          </cell>
          <cell r="D222" t="str">
            <v>Quantité rejetée</v>
          </cell>
          <cell r="E222" t="str">
            <v>Cantidad reclamada</v>
          </cell>
          <cell r="F222" t="str">
            <v>Quantidade reclamada</v>
          </cell>
          <cell r="G222" t="str">
            <v>Počet reklamací</v>
          </cell>
        </row>
        <row r="223">
          <cell r="B223" t="str">
            <v>Ausfallort</v>
          </cell>
          <cell r="C223" t="str">
            <v>Failure location</v>
          </cell>
          <cell r="D223" t="str">
            <v>Usine du défaut</v>
          </cell>
          <cell r="E223" t="str">
            <v>Lugar del fallo</v>
          </cell>
          <cell r="F223" t="str">
            <v>Local da falha</v>
          </cell>
          <cell r="G223" t="str">
            <v>Místo výpadku</v>
          </cell>
        </row>
        <row r="224">
          <cell r="B224" t="str">
            <v xml:space="preserve">N.i.O.- Teile </v>
          </cell>
          <cell r="C224" t="str">
            <v>N.o.k. parts</v>
          </cell>
          <cell r="D224" t="str">
            <v>Nombre de pièces ok</v>
          </cell>
          <cell r="E224" t="str">
            <v>Piezas no OK</v>
          </cell>
          <cell r="F224" t="str">
            <v>Peças - n.o.k.</v>
          </cell>
          <cell r="G224" t="str">
            <v>Neshodné díly</v>
          </cell>
        </row>
        <row r="225">
          <cell r="B225" t="str">
            <v>Kundenspezifische Forderungen bezuegl. der Nutzung von Kundendokumenten sind zu beruecksichtigen.</v>
          </cell>
          <cell r="C225" t="str">
            <v>Customer specific requirements regarding the use of customer documents have to be considered.</v>
          </cell>
          <cell r="D225" t="str">
            <v>Demande particulaire du client sur l'utilisation des documents doit être pris en compte</v>
          </cell>
          <cell r="E225" t="str">
            <v>Considerar el uso de documentos específicos de cliente según sea requerido</v>
          </cell>
          <cell r="F225" t="str">
            <v>As exigências específicas do cliente a respeito do uso de originais do cliente têm que ser consideradas</v>
          </cell>
          <cell r="G225" t="str">
            <v>Požadavky zákazníka by se měly brát úvahu.</v>
          </cell>
        </row>
        <row r="226">
          <cell r="B226" t="str">
            <v>Benennung Teil</v>
          </cell>
          <cell r="C226" t="str">
            <v>Part name</v>
          </cell>
          <cell r="D226" t="str">
            <v>Désignation</v>
          </cell>
          <cell r="E226" t="str">
            <v>Denominación de la pieza</v>
          </cell>
          <cell r="F226" t="str">
            <v>Nome da peça</v>
          </cell>
          <cell r="G226" t="str">
            <v>Název dílu</v>
          </cell>
        </row>
        <row r="227">
          <cell r="B227" t="str">
            <v>Schicht</v>
          </cell>
          <cell r="C227" t="str">
            <v>Shift</v>
          </cell>
          <cell r="D227" t="str">
            <v>Equipe de résoulution de problème</v>
          </cell>
          <cell r="E227" t="str">
            <v>Turno</v>
          </cell>
          <cell r="F227" t="str">
            <v>Turno</v>
          </cell>
          <cell r="G227" t="str">
            <v>Směna</v>
          </cell>
        </row>
        <row r="228">
          <cell r="B228" t="str">
            <v>Defekt gefunden / bearbeitet durch</v>
          </cell>
          <cell r="C228" t="str">
            <v>Defect found / worked on</v>
          </cell>
          <cell r="D228" t="str">
            <v>Défaut trouvé / Travaillé sur</v>
          </cell>
          <cell r="E228" t="str">
            <v>Defecto encontrado / Fabricado por</v>
          </cell>
          <cell r="F228" t="str">
            <v>Defeito encontrado/trabalhado por</v>
          </cell>
          <cell r="G228" t="str">
            <v>Defekt nalezen / zpracován</v>
          </cell>
        </row>
        <row r="229">
          <cell r="B229" t="str">
            <v>Wer?</v>
          </cell>
          <cell r="C229" t="str">
            <v>Who?</v>
          </cell>
          <cell r="D229" t="str">
            <v>Qui?</v>
          </cell>
          <cell r="E229" t="str">
            <v>¿Quién?</v>
          </cell>
          <cell r="F229" t="str">
            <v>Quem?</v>
          </cell>
          <cell r="G229" t="str">
            <v>Kdo?</v>
          </cell>
        </row>
        <row r="230">
          <cell r="B230" t="str">
            <v>Wann?</v>
          </cell>
          <cell r="C230" t="str">
            <v>When?</v>
          </cell>
          <cell r="D230" t="str">
            <v>Quand?</v>
          </cell>
          <cell r="E230" t="str">
            <v>¿Cuándo?</v>
          </cell>
          <cell r="F230" t="str">
            <v>Quando?</v>
          </cell>
          <cell r="G230" t="str">
            <v>Kdy?</v>
          </cell>
        </row>
        <row r="231">
          <cell r="B231" t="str">
            <v>Sortierergebnisse</v>
          </cell>
          <cell r="C231" t="str">
            <v>Sorting results</v>
          </cell>
          <cell r="D231" t="str">
            <v>Bilan du tri</v>
          </cell>
          <cell r="E231" t="str">
            <v>resultado de la selección</v>
          </cell>
          <cell r="F231" t="str">
            <v>Resultados da seleção</v>
          </cell>
          <cell r="G231" t="str">
            <v>Výsledky třízení</v>
          </cell>
        </row>
        <row r="232">
          <cell r="E232" t="str">
            <v>Proceso de gestión de problemas - PGP</v>
          </cell>
          <cell r="F232" t="str">
            <v>Problem Management Process - PMP</v>
          </cell>
        </row>
        <row r="233">
          <cell r="B233" t="str">
            <v>Kommentar</v>
          </cell>
          <cell r="C233" t="str">
            <v>Comment</v>
          </cell>
          <cell r="D233" t="str">
            <v>Commentaire</v>
          </cell>
          <cell r="E233" t="str">
            <v>Comentarios</v>
          </cell>
          <cell r="F233" t="str">
            <v>Comentário</v>
          </cell>
          <cell r="G233" t="str">
            <v>Komentář</v>
          </cell>
        </row>
        <row r="234">
          <cell r="B234" t="str">
            <v>Sofort-
maßnahmen</v>
          </cell>
          <cell r="C234" t="str">
            <v>Containment
actions</v>
          </cell>
          <cell r="D234" t="str">
            <v>Actions
de sécurisation</v>
          </cell>
          <cell r="E234" t="str">
            <v>Acciónes
contenedoras</v>
          </cell>
          <cell r="F234" t="str">
            <v>Ações de contenção</v>
          </cell>
          <cell r="G234" t="str">
            <v>Okamžitá opatření</v>
          </cell>
        </row>
        <row r="235">
          <cell r="B235" t="str">
            <v>Fehlerursache / Abstell-
maßnahmen</v>
          </cell>
          <cell r="C235" t="str">
            <v>Root Cause / Corrective
Actions</v>
          </cell>
          <cell r="D235" t="str">
            <v>Cause origine / Actions
 correctives</v>
          </cell>
          <cell r="E235" t="str">
            <v>Causa raíz / Acciones correctivas</v>
          </cell>
          <cell r="F235" t="str">
            <v>Causa raiz da falha/ acões corretivas</v>
          </cell>
          <cell r="G235" t="str">
            <v>Příčína chyby / odstavná opatření</v>
          </cell>
        </row>
        <row r="236">
          <cell r="B236" t="str">
            <v>PLS / 8D-Report / Schadenstisch</v>
          </cell>
          <cell r="C236" t="str">
            <v>PSS / 8D Report / Failure Visualization</v>
          </cell>
          <cell r="D236" t="str">
            <v>PSS/ Rapport 8D ?Visualisation du défaut</v>
          </cell>
          <cell r="E236" t="str">
            <v>PSP/Reporte 8D/Hoja de fallo</v>
          </cell>
          <cell r="F236" t="str">
            <v>ERP/Relatório 8D/  Visualização de Falha</v>
          </cell>
          <cell r="G236" t="str">
            <v>SRP / 8D Report / Popis poruchy</v>
          </cell>
        </row>
        <row r="237">
          <cell r="B237" t="str">
            <v>Auftreten des Fehlers</v>
          </cell>
          <cell r="C237" t="str">
            <v>Occurrence of the failure</v>
          </cell>
          <cell r="D237" t="str">
            <v>Occurrence sur le défaut</v>
          </cell>
          <cell r="E237" t="str">
            <v>Ocurrencia del fallo</v>
          </cell>
          <cell r="F237" t="str">
            <v>Ocorrência da falha</v>
          </cell>
          <cell r="G237" t="str">
            <v>Výskyt chyby</v>
          </cell>
        </row>
        <row r="238">
          <cell r="B238" t="str">
            <v>Zusatzinformation</v>
          </cell>
          <cell r="C238" t="str">
            <v>Additional Information</v>
          </cell>
          <cell r="D238" t="str">
            <v>Information complémentare</v>
          </cell>
          <cell r="E238" t="str">
            <v>Información adicional</v>
          </cell>
          <cell r="F238" t="str">
            <v>Informações adicionais</v>
          </cell>
          <cell r="G238" t="str">
            <v>Dodatečné informace</v>
          </cell>
        </row>
        <row r="239">
          <cell r="B239" t="str">
            <v>Ist das Teil sicherheitskritisch?</v>
          </cell>
          <cell r="C239" t="str">
            <v>Is the part safety critical?</v>
          </cell>
          <cell r="D239" t="str">
            <v>Est une pièce de sécurité Réglementation?</v>
          </cell>
          <cell r="E239" t="str">
            <v>¿La pieza tienen características críticas para la seguridad?</v>
          </cell>
          <cell r="F239" t="str">
            <v>A peça tem critérios de segurança?</v>
          </cell>
          <cell r="G239" t="str">
            <v>Je díl bezpečnostně kritický?</v>
          </cell>
        </row>
        <row r="240">
          <cell r="B240" t="str">
            <v>Falls ja, Klassifikation (S oder D)?</v>
          </cell>
          <cell r="C240" t="str">
            <v>If yes, classification (S or D)?</v>
          </cell>
          <cell r="D240" t="str">
            <v>Si oui, classification (S or R)</v>
          </cell>
          <cell r="E240" t="str">
            <v xml:space="preserve">¿Si es sí, clasificación (S o D)? </v>
          </cell>
          <cell r="F240" t="str">
            <v>Caso sim, classificação (S ou D)?</v>
          </cell>
          <cell r="G240" t="str">
            <v>Pokud ano, klasifikace (S nebo D)?</v>
          </cell>
        </row>
        <row r="241">
          <cell r="B241" t="str">
            <v>Falls ja, Quality Alert unter: http://cobs1030/sites/qual/Q-alert-TS</v>
          </cell>
          <cell r="C241" t="str">
            <v>If yes, Quality Alert  Link: http://cobs1030/sites/qual/Q-alert-TS</v>
          </cell>
          <cell r="D241" t="str">
            <v>Si oui, lien avec Quality Alert : http://cobs1030/sites/qual/Q-alert-TS</v>
          </cell>
          <cell r="E241" t="str">
            <v>Si es sí, generar Alerta de Calidad en: http://cobs1030/sites/qual/Q-alert-TS</v>
          </cell>
          <cell r="F241" t="str">
            <v>Caso sim, Quality alert:
http://cobs1030/sites/qual/Q-alert-TS</v>
          </cell>
          <cell r="G241" t="str">
            <v>Pokud ano, Quality Alert dostupný na: http://cobs1030/sites/qual/Q-alert-TS</v>
          </cell>
        </row>
        <row r="242">
          <cell r="B242" t="str">
            <v>Maßnahmen zur Ursachenanalyse</v>
          </cell>
          <cell r="C242" t="str">
            <v>Actions for root cause analysis</v>
          </cell>
          <cell r="D242" t="str">
            <v>Actions suite à l'analyse des causes origine</v>
          </cell>
          <cell r="E242" t="str">
            <v>Acciones para determinar la causa raíz</v>
          </cell>
          <cell r="F242" t="str">
            <v>Ações para analise da causa raiz</v>
          </cell>
          <cell r="G242" t="str">
            <v>Opatření k analýze příčiny</v>
          </cell>
        </row>
        <row r="243">
          <cell r="B243" t="str">
            <v>Ist der Fehler reproduzierbar?</v>
          </cell>
          <cell r="C243" t="str">
            <v>Can you reproduce the failure?</v>
          </cell>
          <cell r="D243" t="str">
            <v>Pouvez vous reproduire le défaut?</v>
          </cell>
          <cell r="E243" t="str">
            <v>¿El fallo puede ser reproducido?</v>
          </cell>
          <cell r="F243" t="str">
            <v>A falha pode ser reproduzido?</v>
          </cell>
          <cell r="G243" t="str">
            <v>Je možno chybu reprodukovat?</v>
          </cell>
        </row>
        <row r="244">
          <cell r="B244" t="str">
            <v>Falls nein, weitere Analysen durchfuehren</v>
          </cell>
          <cell r="C244" t="str">
            <v>If no, make further analysis</v>
          </cell>
          <cell r="D244" t="str">
            <v>Si Non,  faire une nouvelle analyse</v>
          </cell>
          <cell r="E244" t="str">
            <v>Si es no, realizar análisis adicionales</v>
          </cell>
          <cell r="F244" t="str">
            <v>Caso não, realize analises adicionais</v>
          </cell>
          <cell r="G244" t="str">
            <v>Pokud ne, proveďte další analýzy</v>
          </cell>
        </row>
        <row r="245">
          <cell r="B245" t="str">
            <v>Es ist zu pruefen, ob das Fehlermerkmal durch eine Pruefung abgedeckt ist.
Pruefungen koennen z.B. vorgegeben / abgesichert sein in / durch:
Versuchsfreigabe, Erstmusterpruefung, Audit, Requalifizierung, Wareneingangskontrolle, End of Line-Test,
Produkti</v>
          </cell>
          <cell r="C245" t="str">
            <v>Check, if the failure characteristic is covered by a test.
Tests can be covered by e.g.: 
test release, initial sample test report, goods incoming inspection, Audit, Requalification, incoming inspection, end of line test, control plan, inspection plan, i</v>
          </cell>
          <cell r="D245" t="str">
            <v>Vérfier, si la caractéristique du défaut est sous contrôle.
Les contrôles  peuvent etre :
Résultat des tests, rapport d'échantillons initiaux, contrôle réception, Audit, Requalifiaction,test fin de ligne, plan de contrôle, plan de surveillance, instructi</v>
          </cell>
          <cell r="E245" t="str">
            <v xml:space="preserve">Verificar si la característica ya está incluída en algún tipo de control.
Estos controles pueden encontrarse en: pruebas de validación de diseño (test release 1 or 2), pruebas de PPAP, plan de control de recibo, auditorías de producto o proceso, pruebas </v>
          </cell>
          <cell r="F245" t="str">
            <v>Verifique se a característica está incluida em algun típo de controle.
Controles podem ser:
test release 1/2, plano de controle do recebimento, requalificação, controle de PPAP, auditória de produtos ou processos, testes no final da linha, plano de contr</v>
          </cell>
          <cell r="G245" t="str">
            <v>Musí se oveřit, zda je možné chybu zkouškou odhalit.
Zkoušky mohou byt zadány / zajistěny např. v / při:
test release, vzorové zkoušce, auditem, rekvalifikací, kontrolou příjmu zboží, End of Line-Testem,
kontrolním plánem (PLP), zkušebním plánem, návody,</v>
          </cell>
        </row>
        <row r="246">
          <cell r="B246" t="str">
            <v>Wo ist Pruefmerkmal abgedeckt?</v>
          </cell>
          <cell r="C246" t="str">
            <v>Where is the testing charcteristic covered?</v>
          </cell>
          <cell r="D246" t="str">
            <v>Ou la caractéristique est elle sous contrôle?</v>
          </cell>
          <cell r="E246" t="str">
            <v>¿En dónde se encuentra reflejado este punto de control de la característica?</v>
          </cell>
          <cell r="F246" t="str">
            <v>Onde a caracteristica de controle é documentado?</v>
          </cell>
          <cell r="G246" t="str">
            <v>Kde byl objeven zkušební znak?</v>
          </cell>
        </row>
        <row r="247">
          <cell r="B247" t="str">
            <v>Pruefmerkmal</v>
          </cell>
          <cell r="C247" t="str">
            <v>Testing characteristic</v>
          </cell>
          <cell r="D247" t="str">
            <v>Type de contrôle</v>
          </cell>
          <cell r="E247" t="str">
            <v>Característica de control</v>
          </cell>
          <cell r="F247" t="str">
            <v>Caracteristica de inspeção</v>
          </cell>
          <cell r="G247" t="str">
            <v>Zkušební znak</v>
          </cell>
        </row>
        <row r="248">
          <cell r="B248" t="str">
            <v>Pruefverfahren</v>
          </cell>
          <cell r="C248" t="str">
            <v>Testing method</v>
          </cell>
          <cell r="D248" t="str">
            <v>Méthode de contrôle</v>
          </cell>
          <cell r="E248" t="str">
            <v>Método de control</v>
          </cell>
          <cell r="F248" t="str">
            <v>Metodo de inspeção</v>
          </cell>
          <cell r="G248" t="str">
            <v>Zkušební metoda</v>
          </cell>
        </row>
        <row r="249">
          <cell r="B249" t="str">
            <v>Pruefkriterium</v>
          </cell>
          <cell r="C249" t="str">
            <v>Testing criteria</v>
          </cell>
          <cell r="D249" t="str">
            <v>Caractérique du contrôle</v>
          </cell>
          <cell r="E249" t="str">
            <v>Especificación de la característica / criterio de aceptación</v>
          </cell>
          <cell r="F249" t="str">
            <v>Critérios de inspeção</v>
          </cell>
          <cell r="G249" t="str">
            <v xml:space="preserve">Zkušební kritérium </v>
          </cell>
        </row>
        <row r="250">
          <cell r="B250" t="str">
            <v>Prueffrequenz</v>
          </cell>
          <cell r="C250" t="str">
            <v>Testing frequency</v>
          </cell>
          <cell r="D250" t="str">
            <v>Fréquence du contrôle</v>
          </cell>
          <cell r="E250" t="str">
            <v>Frecuencia de control</v>
          </cell>
          <cell r="F250" t="str">
            <v>Frequência de controle</v>
          </cell>
          <cell r="G250" t="str">
            <v>Zkušební frekvence</v>
          </cell>
        </row>
        <row r="251">
          <cell r="B251" t="str">
            <v>Wie ist die Pruefung vorgegeben (Soll-Situation)?</v>
          </cell>
          <cell r="C251" t="str">
            <v>How is the test required (target situation)?</v>
          </cell>
          <cell r="D251" t="str">
            <v>Comment le contrôle est demandé (objectif de la situation)</v>
          </cell>
          <cell r="E251" t="str">
            <v>Condiciones especificadas de la prueba</v>
          </cell>
          <cell r="F251" t="str">
            <v>Onde o controle está documentado ?(situação alvo)</v>
          </cell>
          <cell r="G251" t="str">
            <v>Jak by měla zkouška probíhat? ( Požadovaná situace )</v>
          </cell>
        </row>
        <row r="252">
          <cell r="B252" t="str">
            <v>Ist diese Vorgabe ausreichend?</v>
          </cell>
          <cell r="C252" t="str">
            <v xml:space="preserve">Is the requirement adequate? </v>
          </cell>
          <cell r="D252" t="str">
            <v>La demande est elle adéquate</v>
          </cell>
          <cell r="E252" t="str">
            <v>¿Son estas condiciones apropiadas / suficientes?</v>
          </cell>
          <cell r="F252" t="str">
            <v>A especificação do controle é suficiente?</v>
          </cell>
          <cell r="G252" t="str">
            <v>Je tahle předloha dostačující?</v>
          </cell>
        </row>
        <row r="253">
          <cell r="B253" t="str">
            <v>Wurde diese Pruefung nach Vorgabe durchgefuehrt?</v>
          </cell>
          <cell r="C253" t="str">
            <v>Was the test done according to the reqirements?</v>
          </cell>
          <cell r="D253" t="str">
            <v>Est-ce que le contrôle à été fait suivant la demande?</v>
          </cell>
          <cell r="E253" t="str">
            <v>¿La prueba / verificación se realizó de acuerdo a lo especificado?</v>
          </cell>
          <cell r="F253" t="str">
            <v>o controle foi feito de acordo com a especificação</v>
          </cell>
          <cell r="G253" t="str">
            <v>Byla zkouška provedena podle předlohy?</v>
          </cell>
        </row>
        <row r="254">
          <cell r="B254" t="str">
            <v>Ist das
Fehlermerkmal
durch eine Pruefung
abgedeckt?</v>
          </cell>
          <cell r="C254" t="str">
            <v>Is the failure characteristic covered by a test?</v>
          </cell>
          <cell r="D254" t="str">
            <v>Est-ce que la caractéristique du défaut est couvert par le contrôle?</v>
          </cell>
          <cell r="E254" t="str">
            <v>¿Está este modo de fallo de alguna manera siendo verificado por algún tipo de control?</v>
          </cell>
          <cell r="F254" t="str">
            <v>A caracteristica da falha é inspecionada  por um controle?</v>
          </cell>
          <cell r="G254" t="str">
            <v>Byl chybný znak zkouškou objeven?</v>
          </cell>
        </row>
        <row r="255">
          <cell r="B255" t="str">
            <v>Lessons Learned und Verifizieren der Maßnahmen</v>
          </cell>
          <cell r="C255" t="str">
            <v>Lessons learned and verification of the actions</v>
          </cell>
          <cell r="D255" t="str">
            <v xml:space="preserve"> Mémorisation et vérification des actions</v>
          </cell>
          <cell r="E255" t="str">
            <v>Lecciones aprendidas y verificación de las acciones</v>
          </cell>
          <cell r="F255" t="str">
            <v>Lessons Learned e verificação das açõoes</v>
          </cell>
          <cell r="G255" t="str">
            <v>Lessons learned a verifikace opatření</v>
          </cell>
        </row>
        <row r="256">
          <cell r="B256" t="str">
            <v>Pruefplan</v>
          </cell>
          <cell r="C256" t="str">
            <v>Inspection Plan</v>
          </cell>
          <cell r="D256" t="str">
            <v>Plan de surveillance</v>
          </cell>
          <cell r="E256" t="str">
            <v>Plan de inspeción</v>
          </cell>
          <cell r="F256" t="str">
            <v>Plano de inspecção</v>
          </cell>
          <cell r="G256" t="str">
            <v>Zkušební plán</v>
          </cell>
        </row>
        <row r="257">
          <cell r="B257" t="str">
            <v>Werker-Selbstkontrolle</v>
          </cell>
          <cell r="C257" t="str">
            <v>Check by operator</v>
          </cell>
          <cell r="D257" t="str">
            <v>Contrôlé par l'pérateur</v>
          </cell>
          <cell r="E257" t="str">
            <v>Autocontrol de operario</v>
          </cell>
          <cell r="F257" t="str">
            <v>Controle do operador</v>
          </cell>
          <cell r="G257" t="str">
            <v>Kontrola pracovníka</v>
          </cell>
        </row>
        <row r="258">
          <cell r="B258" t="str">
            <v>Pruefstaende</v>
          </cell>
          <cell r="C258" t="str">
            <v>Test machines</v>
          </cell>
          <cell r="D258" t="str">
            <v>machine de contrôle</v>
          </cell>
          <cell r="E258" t="str">
            <v>Dispositivo de pruebas</v>
          </cell>
          <cell r="F258" t="str">
            <v>Máquinas de testes</v>
          </cell>
          <cell r="G258" t="str">
            <v>Zkušební stanice</v>
          </cell>
        </row>
        <row r="259">
          <cell r="B259" t="str">
            <v>Requalifizierung</v>
          </cell>
          <cell r="C259" t="str">
            <v>Requalification</v>
          </cell>
          <cell r="D259" t="str">
            <v>Requalification</v>
          </cell>
          <cell r="E259" t="str">
            <v>Recalificación</v>
          </cell>
          <cell r="F259" t="str">
            <v>Requalificação</v>
          </cell>
          <cell r="G259" t="str">
            <v>Rekvalifikace</v>
          </cell>
        </row>
        <row r="260">
          <cell r="B260" t="str">
            <v>Problem-
beschreibung</v>
          </cell>
          <cell r="C260" t="str">
            <v>Problem
description</v>
          </cell>
          <cell r="D260" t="str">
            <v>Description du problème</v>
          </cell>
          <cell r="E260" t="str">
            <v>Descripción
del fallo</v>
          </cell>
          <cell r="F260" t="str">
            <v>Descrição
do problema</v>
          </cell>
          <cell r="G260" t="str">
            <v>Popis problému</v>
          </cell>
        </row>
        <row r="261">
          <cell r="B261" t="str">
            <v>PLP</v>
          </cell>
          <cell r="C261" t="str">
            <v>Control plan</v>
          </cell>
          <cell r="D261" t="str">
            <v>Plan de contrôle</v>
          </cell>
          <cell r="E261" t="str">
            <v>Plan de control</v>
          </cell>
          <cell r="F261" t="str">
            <v>Plano de controle</v>
          </cell>
          <cell r="G261" t="str">
            <v>Kontrolní plán</v>
          </cell>
        </row>
        <row r="262">
          <cell r="B262" t="str">
            <v>Kontrollpunkt im Prozeß?</v>
          </cell>
          <cell r="C262" t="str">
            <v>Controllpoint in process?</v>
          </cell>
          <cell r="D262" t="str">
            <v>point directeur être procès?</v>
          </cell>
          <cell r="E262" t="str">
            <v>puesto de control en el proceso?</v>
          </cell>
          <cell r="F262" t="str">
            <v>kontrolní bod v procesu </v>
          </cell>
          <cell r="G262" t="str">
            <v>kontrolní bod</v>
          </cell>
        </row>
        <row r="263">
          <cell r="B263" t="str">
            <v>Unterschriftenliste</v>
          </cell>
          <cell r="C263" t="str">
            <v>Signature list</v>
          </cell>
          <cell r="D263" t="str">
            <v>Liste de signatures</v>
          </cell>
          <cell r="E263" t="str">
            <v>Lista de firmas</v>
          </cell>
          <cell r="F263" t="str">
            <v>Lista de assinatura</v>
          </cell>
          <cell r="G263" t="str">
            <v>podpisová listina</v>
          </cell>
        </row>
        <row r="264">
          <cell r="B264" t="str">
            <v xml:space="preserve">Name </v>
          </cell>
          <cell r="C264" t="str">
            <v>Name</v>
          </cell>
          <cell r="D264" t="str">
            <v>Nom</v>
          </cell>
          <cell r="E264" t="str">
            <v>Apellido</v>
          </cell>
          <cell r="F264" t="str">
            <v>Nome</v>
          </cell>
          <cell r="G264" t="str">
            <v>jméno</v>
          </cell>
        </row>
        <row r="265">
          <cell r="B265" t="str">
            <v>Personalnummer</v>
          </cell>
          <cell r="C265" t="str">
            <v>Personnel number</v>
          </cell>
          <cell r="D265" t="str">
            <v xml:space="preserve"> Numero D´ Employe</v>
          </cell>
          <cell r="E265" t="str">
            <v>Numeró personal</v>
          </cell>
          <cell r="F265" t="str">
            <v>Número de Pessoal</v>
          </cell>
          <cell r="G265" t="str">
            <v xml:space="preserve">osobní číslo </v>
          </cell>
        </row>
        <row r="266">
          <cell r="B266" t="str">
            <v>Unterschrift</v>
          </cell>
          <cell r="C266" t="str">
            <v>Signature</v>
          </cell>
          <cell r="D266" t="str">
            <v>Signature</v>
          </cell>
          <cell r="E266" t="str">
            <v>Firma</v>
          </cell>
          <cell r="F266" t="str">
            <v>Assinatura</v>
          </cell>
          <cell r="G266" t="str">
            <v>podpis</v>
          </cell>
        </row>
        <row r="267">
          <cell r="B267" t="str">
            <v>Einsatz Computertomograph sinnvoll?</v>
          </cell>
          <cell r="C267" t="str">
            <v>Use of Computertomograph makes sense?</v>
          </cell>
          <cell r="D267" t="str">
            <v>L'utilisation du Computertomograph du bon sens?</v>
          </cell>
          <cell r="E267" t="str">
            <v>El uso de la Computertomograph tiene sentido?</v>
          </cell>
          <cell r="F267" t="str">
            <v>Uso de Computertomograph faz sentido?</v>
          </cell>
          <cell r="G267" t="str">
            <v>Má nasazení  Computertomograph smysl?</v>
          </cell>
        </row>
        <row r="268">
          <cell r="B268" t="str">
            <v>Was haben wir gelernt?</v>
          </cell>
          <cell r="C268" t="str">
            <v>What have we learned?</v>
          </cell>
          <cell r="D268" t="str">
            <v>Qu'avons-nous appris?</v>
          </cell>
          <cell r="E268" t="str">
            <v>¿Qué hemos aprendido?</v>
          </cell>
          <cell r="F268" t="str">
            <v>Que nós aprendemos?</v>
          </cell>
          <cell r="G268" t="str">
            <v>Co jsme se naučili?</v>
          </cell>
        </row>
      </sheetData>
      <sheetData sheetId="11" refreshError="1">
        <row r="3">
          <cell r="B3" t="str">
            <v>Champion</v>
          </cell>
        </row>
        <row r="17">
          <cell r="B17" t="str">
            <v>i.O.- Teil</v>
          </cell>
        </row>
        <row r="31">
          <cell r="B31" t="str">
            <v>Sofortmaßnahme(n) bei Brose</v>
          </cell>
          <cell r="AA31" t="str">
            <v>Verantwortlich</v>
          </cell>
          <cell r="AG31" t="str">
            <v>Termin</v>
          </cell>
          <cell r="AK31" t="str">
            <v>Umsetz-datum</v>
          </cell>
          <cell r="AN31" t="str">
            <v>Status</v>
          </cell>
          <cell r="AQ31" t="str">
            <v>Kommentar</v>
          </cell>
        </row>
        <row r="35">
          <cell r="B35" t="str">
            <v>Sofortmaßnahme(n) bei Kunde / Lieferant</v>
          </cell>
          <cell r="AA35" t="str">
            <v>Verantwortlich</v>
          </cell>
          <cell r="AG35" t="str">
            <v>Termin</v>
          </cell>
          <cell r="AK35" t="str">
            <v>Umsetz-datum</v>
          </cell>
          <cell r="AN35" t="str">
            <v>Status</v>
          </cell>
          <cell r="AQ35" t="str">
            <v>Kommentar</v>
          </cell>
        </row>
        <row r="40">
          <cell r="B40">
            <v>0</v>
          </cell>
        </row>
        <row r="41">
          <cell r="B41" t="str">
            <v>Fehlerursache Auftreten</v>
          </cell>
        </row>
        <row r="46">
          <cell r="B46" t="str">
            <v>Fehlerursache Nichtentdecken</v>
          </cell>
        </row>
        <row r="51">
          <cell r="B51" t="str">
            <v>Maßnahmen gegen Fehlerauftreten bzw. Fehlerursache</v>
          </cell>
          <cell r="AA51" t="str">
            <v>Verantwortlich</v>
          </cell>
          <cell r="AG51" t="str">
            <v>Termin</v>
          </cell>
          <cell r="AK51" t="str">
            <v>Umsetz-datum</v>
          </cell>
          <cell r="AN51" t="str">
            <v>Status</v>
          </cell>
          <cell r="AQ51" t="str">
            <v>Nachweis der Wirksamkeit</v>
          </cell>
        </row>
        <row r="55">
          <cell r="B55" t="str">
            <v>Maßnahmen gegen Nichtentdecken</v>
          </cell>
          <cell r="AA55" t="str">
            <v>Verantwortlich</v>
          </cell>
          <cell r="AG55" t="str">
            <v>Termin</v>
          </cell>
          <cell r="AK55" t="str">
            <v>Umsetz-datum</v>
          </cell>
          <cell r="AN55" t="str">
            <v>Status</v>
          </cell>
          <cell r="AQ55" t="str">
            <v>Nachweis der Wirksamkeit</v>
          </cell>
        </row>
        <row r="59">
          <cell r="B59" t="str">
            <v>Maßnahmen gegen Wiederauftreten</v>
          </cell>
          <cell r="AA59" t="str">
            <v>Verantwortlich</v>
          </cell>
          <cell r="AG59" t="str">
            <v>Termin</v>
          </cell>
          <cell r="AK59" t="str">
            <v>Umsetz-datum</v>
          </cell>
          <cell r="AN59" t="str">
            <v>Status</v>
          </cell>
          <cell r="AQ59" t="str">
            <v>Nachweis der Wirksamkeit</v>
          </cell>
        </row>
        <row r="63">
          <cell r="B63" t="str">
            <v>Abschluß durch vorgesetzte Stelle</v>
          </cell>
          <cell r="H63" t="str">
            <v>Datum</v>
          </cell>
          <cell r="AQ63" t="str">
            <v>Aktuellen Stand waehlen!</v>
          </cell>
        </row>
        <row r="64">
          <cell r="H64" t="str">
            <v>Unterschrift</v>
          </cell>
          <cell r="AQ64" t="str">
            <v>otevřeno</v>
          </cell>
        </row>
      </sheetData>
      <sheetData sheetId="12" refreshError="1">
        <row r="3">
          <cell r="C3">
            <v>0</v>
          </cell>
        </row>
        <row r="21">
          <cell r="B21" t="str">
            <v>Maßnahmen gegen Fehlerauftreten bzw. Fehlerursache</v>
          </cell>
        </row>
        <row r="25">
          <cell r="B25" t="str">
            <v>Maßnahmen gegen Nichtentdecken</v>
          </cell>
        </row>
        <row r="29">
          <cell r="C29" t="str">
            <v>Aktualisierung von:</v>
          </cell>
        </row>
        <row r="38">
          <cell r="B38" t="str">
            <v>i.O.- Teil</v>
          </cell>
        </row>
      </sheetData>
      <sheetData sheetId="13" refreshError="1"/>
      <sheetData sheetId="14" refreshError="1"/>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 displayName="Tabelle1" ref="A1:D1048576" totalsRowShown="0" headerRowDxfId="5" dataDxfId="4" headerRowCellStyle="Standard 6" dataCellStyle="Standard 6">
  <autoFilter ref="A1:D1048576" xr:uid="{00000000-0009-0000-0100-000001000000}"/>
  <tableColumns count="4">
    <tableColumn id="1" xr3:uid="{00000000-0010-0000-0000-000001000000}" name="Release" dataDxfId="3" dataCellStyle="Standard 6"/>
    <tableColumn id="2" xr3:uid="{00000000-0010-0000-0000-000002000000}" name="Release_date" dataDxfId="2" dataCellStyle="Standard 6"/>
    <tableColumn id="3" xr3:uid="{00000000-0010-0000-0000-000003000000}" name="changed_by" dataDxfId="1" dataCellStyle="Standard 6"/>
    <tableColumn id="4" xr3:uid="{00000000-0010-0000-0000-000004000000}" name="change_description" dataDxfId="0" dataCellStyle="Standard 6"/>
  </tableColumns>
  <tableStyleInfo name="TableStyleMedium1" showFirstColumn="0" showLastColumn="0" showRowStripes="1" showColumnStripes="0"/>
</table>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lumMod val="65000"/>
          </a:schemeClr>
        </a:solidFill>
        <a:ln>
          <a:noFill/>
        </a:ln>
        <a:scene3d>
          <a:camera prst="orthographicFront">
            <a:rot lat="0" lon="0" rev="0"/>
          </a:camera>
          <a:lightRig rig="threePt" dir="t"/>
        </a:scene3d>
        <a:sp3d z="6350">
          <a:bevelT w="25400" h="25400"/>
        </a:sp3d>
      </a:spPr>
      <a:bodyPr vertOverflow="clip" horzOverflow="clip" rtlCol="0" anchor="ctr"/>
      <a:lstStyle>
        <a:defPPr marL="0" indent="0" algn="ctr">
          <a:defRPr sz="1200" b="1" i="0" u="none" strike="noStrike">
            <a:solidFill>
              <a:srgbClr val="000000"/>
            </a:solidFill>
            <a:latin typeface="Univers"/>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ustomProperty" Target="../customProperty7.bin"/><Relationship Id="rId13" Type="http://schemas.openxmlformats.org/officeDocument/2006/relationships/customProperty" Target="../customProperty12.bin"/><Relationship Id="rId18" Type="http://schemas.openxmlformats.org/officeDocument/2006/relationships/customProperty" Target="../customProperty17.bin"/><Relationship Id="rId3" Type="http://schemas.openxmlformats.org/officeDocument/2006/relationships/customProperty" Target="../customProperty2.bin"/><Relationship Id="rId21" Type="http://schemas.openxmlformats.org/officeDocument/2006/relationships/drawing" Target="../drawings/drawing3.xml"/><Relationship Id="rId7" Type="http://schemas.openxmlformats.org/officeDocument/2006/relationships/customProperty" Target="../customProperty6.bin"/><Relationship Id="rId12" Type="http://schemas.openxmlformats.org/officeDocument/2006/relationships/customProperty" Target="../customProperty11.bin"/><Relationship Id="rId17" Type="http://schemas.openxmlformats.org/officeDocument/2006/relationships/customProperty" Target="../customProperty16.bin"/><Relationship Id="rId2" Type="http://schemas.openxmlformats.org/officeDocument/2006/relationships/customProperty" Target="../customProperty1.bin"/><Relationship Id="rId16" Type="http://schemas.openxmlformats.org/officeDocument/2006/relationships/customProperty" Target="../customProperty15.bin"/><Relationship Id="rId20" Type="http://schemas.openxmlformats.org/officeDocument/2006/relationships/customProperty" Target="../customProperty19.bin"/><Relationship Id="rId1" Type="http://schemas.openxmlformats.org/officeDocument/2006/relationships/printerSettings" Target="../printerSettings/printerSettings3.bin"/><Relationship Id="rId6" Type="http://schemas.openxmlformats.org/officeDocument/2006/relationships/customProperty" Target="../customProperty5.bin"/><Relationship Id="rId11" Type="http://schemas.openxmlformats.org/officeDocument/2006/relationships/customProperty" Target="../customProperty10.bin"/><Relationship Id="rId5" Type="http://schemas.openxmlformats.org/officeDocument/2006/relationships/customProperty" Target="../customProperty4.bin"/><Relationship Id="rId15" Type="http://schemas.openxmlformats.org/officeDocument/2006/relationships/customProperty" Target="../customProperty14.bin"/><Relationship Id="rId10" Type="http://schemas.openxmlformats.org/officeDocument/2006/relationships/customProperty" Target="../customProperty9.bin"/><Relationship Id="rId19" Type="http://schemas.openxmlformats.org/officeDocument/2006/relationships/customProperty" Target="../customProperty18.bin"/><Relationship Id="rId4" Type="http://schemas.openxmlformats.org/officeDocument/2006/relationships/customProperty" Target="../customProperty3.bin"/><Relationship Id="rId9" Type="http://schemas.openxmlformats.org/officeDocument/2006/relationships/customProperty" Target="../customProperty8.bin"/><Relationship Id="rId14" Type="http://schemas.openxmlformats.org/officeDocument/2006/relationships/customProperty" Target="../customProperty13.bin"/><Relationship Id="rId22" Type="http://schemas.openxmlformats.org/officeDocument/2006/relationships/vmlDrawing" Target="../drawings/vmlDrawing4.v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ustomProperty" Target="../customProperty26.bin"/><Relationship Id="rId13" Type="http://schemas.openxmlformats.org/officeDocument/2006/relationships/customProperty" Target="../customProperty31.bin"/><Relationship Id="rId18" Type="http://schemas.openxmlformats.org/officeDocument/2006/relationships/customProperty" Target="../customProperty36.bin"/><Relationship Id="rId3" Type="http://schemas.openxmlformats.org/officeDocument/2006/relationships/customProperty" Target="../customProperty21.bin"/><Relationship Id="rId21" Type="http://schemas.openxmlformats.org/officeDocument/2006/relationships/drawing" Target="../drawings/drawing6.xml"/><Relationship Id="rId7" Type="http://schemas.openxmlformats.org/officeDocument/2006/relationships/customProperty" Target="../customProperty25.bin"/><Relationship Id="rId12" Type="http://schemas.openxmlformats.org/officeDocument/2006/relationships/customProperty" Target="../customProperty30.bin"/><Relationship Id="rId17" Type="http://schemas.openxmlformats.org/officeDocument/2006/relationships/customProperty" Target="../customProperty35.bin"/><Relationship Id="rId2" Type="http://schemas.openxmlformats.org/officeDocument/2006/relationships/customProperty" Target="../customProperty20.bin"/><Relationship Id="rId16" Type="http://schemas.openxmlformats.org/officeDocument/2006/relationships/customProperty" Target="../customProperty34.bin"/><Relationship Id="rId20" Type="http://schemas.openxmlformats.org/officeDocument/2006/relationships/customProperty" Target="../customProperty38.bin"/><Relationship Id="rId1" Type="http://schemas.openxmlformats.org/officeDocument/2006/relationships/printerSettings" Target="../printerSettings/printerSettings7.bin"/><Relationship Id="rId6" Type="http://schemas.openxmlformats.org/officeDocument/2006/relationships/customProperty" Target="../customProperty24.bin"/><Relationship Id="rId11" Type="http://schemas.openxmlformats.org/officeDocument/2006/relationships/customProperty" Target="../customProperty29.bin"/><Relationship Id="rId5" Type="http://schemas.openxmlformats.org/officeDocument/2006/relationships/customProperty" Target="../customProperty23.bin"/><Relationship Id="rId15" Type="http://schemas.openxmlformats.org/officeDocument/2006/relationships/customProperty" Target="../customProperty33.bin"/><Relationship Id="rId10" Type="http://schemas.openxmlformats.org/officeDocument/2006/relationships/customProperty" Target="../customProperty28.bin"/><Relationship Id="rId19" Type="http://schemas.openxmlformats.org/officeDocument/2006/relationships/customProperty" Target="../customProperty37.bin"/><Relationship Id="rId4" Type="http://schemas.openxmlformats.org/officeDocument/2006/relationships/customProperty" Target="../customProperty22.bin"/><Relationship Id="rId9" Type="http://schemas.openxmlformats.org/officeDocument/2006/relationships/customProperty" Target="../customProperty27.bin"/><Relationship Id="rId14" Type="http://schemas.openxmlformats.org/officeDocument/2006/relationships/customProperty" Target="../customProperty32.bin"/><Relationship Id="rId22" Type="http://schemas.openxmlformats.org/officeDocument/2006/relationships/vmlDrawing" Target="../drawings/vmlDrawing8.vml"/></Relationships>
</file>

<file path=xl/worksheets/_rels/sheet8.xml.rels><?xml version="1.0" encoding="UTF-8" standalone="yes"?>
<Relationships xmlns="http://schemas.openxmlformats.org/package/2006/relationships"><Relationship Id="rId8" Type="http://schemas.openxmlformats.org/officeDocument/2006/relationships/customProperty" Target="../customProperty45.bin"/><Relationship Id="rId13" Type="http://schemas.openxmlformats.org/officeDocument/2006/relationships/customProperty" Target="../customProperty50.bin"/><Relationship Id="rId18" Type="http://schemas.openxmlformats.org/officeDocument/2006/relationships/customProperty" Target="../customProperty55.bin"/><Relationship Id="rId3" Type="http://schemas.openxmlformats.org/officeDocument/2006/relationships/customProperty" Target="../customProperty40.bin"/><Relationship Id="rId21" Type="http://schemas.openxmlformats.org/officeDocument/2006/relationships/vmlDrawing" Target="../drawings/vmlDrawing9.vml"/><Relationship Id="rId7" Type="http://schemas.openxmlformats.org/officeDocument/2006/relationships/customProperty" Target="../customProperty44.bin"/><Relationship Id="rId12" Type="http://schemas.openxmlformats.org/officeDocument/2006/relationships/customProperty" Target="../customProperty49.bin"/><Relationship Id="rId17" Type="http://schemas.openxmlformats.org/officeDocument/2006/relationships/customProperty" Target="../customProperty54.bin"/><Relationship Id="rId2" Type="http://schemas.openxmlformats.org/officeDocument/2006/relationships/customProperty" Target="../customProperty39.bin"/><Relationship Id="rId16" Type="http://schemas.openxmlformats.org/officeDocument/2006/relationships/customProperty" Target="../customProperty53.bin"/><Relationship Id="rId20" Type="http://schemas.openxmlformats.org/officeDocument/2006/relationships/customProperty" Target="../customProperty57.bin"/><Relationship Id="rId1" Type="http://schemas.openxmlformats.org/officeDocument/2006/relationships/printerSettings" Target="../printerSettings/printerSettings8.bin"/><Relationship Id="rId6" Type="http://schemas.openxmlformats.org/officeDocument/2006/relationships/customProperty" Target="../customProperty43.bin"/><Relationship Id="rId11" Type="http://schemas.openxmlformats.org/officeDocument/2006/relationships/customProperty" Target="../customProperty48.bin"/><Relationship Id="rId5" Type="http://schemas.openxmlformats.org/officeDocument/2006/relationships/customProperty" Target="../customProperty42.bin"/><Relationship Id="rId15" Type="http://schemas.openxmlformats.org/officeDocument/2006/relationships/customProperty" Target="../customProperty52.bin"/><Relationship Id="rId10" Type="http://schemas.openxmlformats.org/officeDocument/2006/relationships/customProperty" Target="../customProperty47.bin"/><Relationship Id="rId19" Type="http://schemas.openxmlformats.org/officeDocument/2006/relationships/customProperty" Target="../customProperty56.bin"/><Relationship Id="rId4" Type="http://schemas.openxmlformats.org/officeDocument/2006/relationships/customProperty" Target="../customProperty41.bin"/><Relationship Id="rId9" Type="http://schemas.openxmlformats.org/officeDocument/2006/relationships/customProperty" Target="../customProperty46.bin"/><Relationship Id="rId14" Type="http://schemas.openxmlformats.org/officeDocument/2006/relationships/customProperty" Target="../customProperty5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3">
    <tabColor theme="4" tint="0.39997558519241921"/>
    <pageSetUpPr fitToPage="1"/>
  </sheetPr>
  <dimension ref="B1:BO195"/>
  <sheetViews>
    <sheetView tabSelected="1" zoomScaleNormal="100" zoomScaleSheetLayoutView="85" workbookViewId="0">
      <pane ySplit="1" topLeftCell="A2" activePane="bottomLeft" state="frozen"/>
      <selection activeCell="E10" sqref="E10"/>
      <selection pane="bottomLeft" activeCell="E4" sqref="E4:F4"/>
    </sheetView>
  </sheetViews>
  <sheetFormatPr baseColWidth="10" defaultColWidth="11" defaultRowHeight="12.75"/>
  <cols>
    <col min="1" max="2" width="1.875" style="142" customWidth="1"/>
    <col min="3" max="6" width="8.125" style="142" customWidth="1"/>
    <col min="7" max="7" width="3.125" style="142" customWidth="1"/>
    <col min="8" max="8" width="5" style="142" customWidth="1"/>
    <col min="9" max="21" width="8.125" style="142" customWidth="1"/>
    <col min="22" max="29" width="11.25" style="477" customWidth="1"/>
    <col min="30" max="93" width="11.25" style="142" customWidth="1"/>
    <col min="94" max="95" width="11" style="142"/>
    <col min="96" max="96" width="11" style="142" customWidth="1"/>
    <col min="97" max="114" width="11" style="142"/>
    <col min="115" max="115" width="11" style="142" customWidth="1"/>
    <col min="116" max="16384" width="11" style="142"/>
  </cols>
  <sheetData>
    <row r="1" spans="2:60" ht="33.75" customHeight="1">
      <c r="B1" s="609" t="str">
        <f>VLOOKUP(1002,Languages!A5:C455,Languages!A2,FALSE)</f>
        <v>Template for supplier-8D</v>
      </c>
      <c r="C1" s="609"/>
      <c r="D1" s="609"/>
      <c r="E1" s="609"/>
      <c r="F1" s="609"/>
      <c r="G1" s="609"/>
      <c r="H1" s="609"/>
      <c r="I1" s="609"/>
      <c r="J1" s="609"/>
      <c r="K1" s="609"/>
      <c r="L1" s="609"/>
      <c r="M1" s="609"/>
      <c r="N1" s="609"/>
      <c r="O1" s="609"/>
      <c r="P1" s="609"/>
      <c r="Q1" s="609"/>
      <c r="R1" s="609"/>
      <c r="S1" s="609"/>
      <c r="T1" s="609"/>
      <c r="U1" s="609"/>
      <c r="V1" s="594"/>
      <c r="W1" s="594"/>
      <c r="X1" s="594"/>
      <c r="Y1" s="594"/>
      <c r="Z1" s="594"/>
      <c r="AA1" s="594"/>
      <c r="AB1" s="594"/>
      <c r="AC1" s="594"/>
      <c r="AD1" s="594"/>
      <c r="AE1" s="594"/>
      <c r="AF1" s="594"/>
      <c r="AG1" s="594"/>
      <c r="AH1" s="594"/>
      <c r="AI1" s="594"/>
      <c r="AJ1" s="594"/>
      <c r="AK1" s="594"/>
      <c r="AL1" s="594"/>
      <c r="AM1" s="595"/>
      <c r="AN1" s="595"/>
      <c r="AO1" s="595"/>
      <c r="AP1" s="595"/>
      <c r="AQ1" s="596"/>
      <c r="AR1" s="596"/>
      <c r="AS1" s="596"/>
      <c r="AT1" s="596"/>
      <c r="AU1" s="596"/>
      <c r="AV1" s="596"/>
      <c r="AW1" s="596"/>
      <c r="AX1" s="596"/>
      <c r="AY1" s="596"/>
      <c r="AZ1" s="596"/>
      <c r="BA1" s="596"/>
      <c r="BB1" s="596"/>
      <c r="BC1" s="596"/>
      <c r="BD1" s="596"/>
      <c r="BE1" s="596"/>
      <c r="BF1" s="596"/>
      <c r="BG1" s="596"/>
      <c r="BH1" s="596"/>
    </row>
    <row r="2" spans="2:60" ht="33.75" customHeight="1" thickBot="1">
      <c r="C2" s="597"/>
      <c r="D2" s="130"/>
      <c r="E2" s="138"/>
      <c r="F2" s="151"/>
      <c r="G2" s="151"/>
      <c r="H2" s="151"/>
      <c r="I2" s="151"/>
      <c r="J2" s="151"/>
      <c r="K2" s="151"/>
      <c r="L2" s="151"/>
      <c r="M2" s="151"/>
      <c r="N2" s="151"/>
      <c r="O2" s="151"/>
      <c r="P2" s="151"/>
      <c r="Q2" s="151"/>
      <c r="R2" s="151"/>
      <c r="S2" s="613" t="s">
        <v>864</v>
      </c>
      <c r="T2" s="613"/>
      <c r="U2" s="613"/>
      <c r="V2" s="138"/>
      <c r="W2" s="138"/>
      <c r="X2" s="138"/>
      <c r="Y2" s="138"/>
      <c r="Z2" s="138"/>
      <c r="AA2" s="138"/>
      <c r="AB2" s="138"/>
      <c r="AC2" s="138"/>
      <c r="AD2" s="138"/>
      <c r="AE2" s="138"/>
      <c r="AF2" s="138"/>
      <c r="AG2" s="136"/>
      <c r="AH2" s="136"/>
      <c r="AI2" s="136"/>
      <c r="AJ2" s="136"/>
      <c r="AK2" s="136"/>
      <c r="AL2" s="136"/>
      <c r="AM2" s="136"/>
      <c r="AN2" s="136"/>
      <c r="AO2" s="136"/>
      <c r="AP2" s="136"/>
      <c r="AQ2" s="136"/>
      <c r="AR2" s="136"/>
      <c r="AS2" s="136"/>
      <c r="AT2" s="136"/>
      <c r="AU2" s="137"/>
      <c r="AV2" s="137"/>
      <c r="AW2" s="137"/>
      <c r="AX2" s="136"/>
      <c r="AY2" s="136"/>
      <c r="AZ2" s="136"/>
      <c r="BA2" s="139"/>
      <c r="BB2" s="140"/>
      <c r="BC2" s="140"/>
      <c r="BD2" s="140"/>
      <c r="BE2" s="140"/>
      <c r="BF2" s="141"/>
      <c r="BG2" s="141"/>
      <c r="BH2" s="138"/>
    </row>
    <row r="3" spans="2:60" ht="19.5" customHeight="1" thickTop="1">
      <c r="C3" s="130"/>
      <c r="D3" s="598"/>
      <c r="E3" s="209"/>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6"/>
      <c r="AH3" s="136"/>
      <c r="AI3" s="136"/>
      <c r="AJ3" s="136"/>
      <c r="AK3" s="136"/>
      <c r="AL3" s="136"/>
      <c r="AM3" s="136"/>
      <c r="AN3" s="136"/>
      <c r="AO3" s="136"/>
      <c r="AP3" s="136"/>
      <c r="AQ3" s="136"/>
      <c r="AR3" s="136"/>
      <c r="AS3" s="136"/>
      <c r="AT3" s="136"/>
      <c r="AU3" s="137"/>
      <c r="AV3" s="137"/>
      <c r="AW3" s="137"/>
      <c r="AX3" s="136"/>
      <c r="AY3" s="136"/>
      <c r="AZ3" s="136"/>
      <c r="BA3" s="139"/>
      <c r="BB3" s="140"/>
      <c r="BC3" s="140"/>
      <c r="BD3" s="140"/>
      <c r="BE3" s="140"/>
      <c r="BF3" s="141"/>
      <c r="BG3" s="141"/>
      <c r="BH3" s="138"/>
    </row>
    <row r="4" spans="2:60" s="130" customFormat="1" ht="18.75" customHeight="1">
      <c r="B4" s="142"/>
      <c r="C4" s="593" t="str">
        <f>VLOOKUP(1001,Languages!A5:C455,Languages!A2,FALSE)</f>
        <v>Language:</v>
      </c>
      <c r="E4" s="610" t="s">
        <v>815</v>
      </c>
      <c r="F4" s="611"/>
      <c r="G4" s="591" t="s">
        <v>393</v>
      </c>
      <c r="H4" s="592"/>
      <c r="I4" s="142"/>
      <c r="J4" s="142"/>
      <c r="K4" s="612" t="str">
        <f>VLOOKUP(1006,Languages!A5:C455,Languages!A2,FALSE)</f>
        <v>Target of the template for supplier-8D</v>
      </c>
      <c r="L4" s="612"/>
      <c r="M4" s="612"/>
      <c r="N4" s="612"/>
      <c r="O4" s="612"/>
      <c r="P4" s="612"/>
      <c r="Q4" s="612"/>
      <c r="R4" s="612"/>
      <c r="S4" s="612"/>
      <c r="T4" s="612"/>
      <c r="U4" s="612"/>
      <c r="V4" s="138"/>
      <c r="W4" s="138"/>
      <c r="X4" s="138"/>
      <c r="Y4" s="138"/>
      <c r="Z4" s="138"/>
      <c r="AA4" s="138"/>
      <c r="AB4" s="138"/>
      <c r="AC4" s="138"/>
      <c r="AD4" s="138"/>
      <c r="AE4" s="138"/>
      <c r="AK4" s="138"/>
      <c r="AL4" s="138"/>
      <c r="AM4" s="138"/>
      <c r="AN4" s="138"/>
      <c r="AO4" s="138"/>
      <c r="AP4" s="138"/>
      <c r="AQ4" s="138"/>
      <c r="AR4" s="138"/>
      <c r="AS4" s="138"/>
      <c r="AT4" s="138"/>
      <c r="AU4" s="146"/>
      <c r="AV4" s="146"/>
      <c r="AW4" s="146"/>
      <c r="AX4" s="138"/>
      <c r="AY4" s="138"/>
      <c r="AZ4" s="138"/>
      <c r="BA4" s="139"/>
      <c r="BB4" s="140"/>
      <c r="BC4" s="140"/>
      <c r="BD4" s="140"/>
      <c r="BE4" s="140"/>
      <c r="BF4" s="140"/>
      <c r="BG4" s="140"/>
      <c r="BH4" s="138"/>
    </row>
    <row r="5" spans="2:60" ht="18" customHeight="1">
      <c r="B5" s="476"/>
      <c r="C5" s="476"/>
      <c r="E5" s="476"/>
      <c r="F5" s="476"/>
      <c r="G5" s="476"/>
      <c r="H5" s="476"/>
      <c r="J5" s="476"/>
      <c r="K5" s="614" t="str">
        <f>VLOOKUP(1007,Languages!A5:C455,Languages!A2,FALSE)</f>
        <v>One standard method to solve complaints from Brose in a structured way and thus to avoid repeated issues</v>
      </c>
      <c r="L5" s="614"/>
      <c r="M5" s="614"/>
      <c r="N5" s="614"/>
      <c r="O5" s="614"/>
      <c r="P5" s="614"/>
      <c r="Q5" s="614"/>
      <c r="R5" s="614"/>
      <c r="S5" s="614"/>
      <c r="T5" s="614"/>
      <c r="U5" s="614"/>
      <c r="V5" s="476"/>
      <c r="W5" s="476"/>
    </row>
    <row r="6" spans="2:60" ht="18" customHeight="1">
      <c r="B6" s="476"/>
      <c r="C6" s="476"/>
      <c r="F6" s="476"/>
      <c r="G6" s="476"/>
      <c r="H6" s="476"/>
      <c r="J6" s="476"/>
      <c r="K6" s="615"/>
      <c r="L6" s="615"/>
      <c r="M6" s="615"/>
      <c r="N6" s="615"/>
      <c r="O6" s="615"/>
      <c r="P6" s="615"/>
      <c r="Q6" s="615"/>
      <c r="R6" s="615"/>
      <c r="S6" s="615"/>
      <c r="T6" s="615"/>
      <c r="U6" s="615"/>
      <c r="V6" s="478"/>
      <c r="W6" s="476"/>
      <c r="AK6" s="479"/>
    </row>
    <row r="7" spans="2:60" ht="18" customHeight="1">
      <c r="B7" s="476"/>
      <c r="C7" s="476"/>
      <c r="E7" s="476"/>
      <c r="F7" s="480"/>
      <c r="G7" s="480"/>
      <c r="H7" s="480"/>
      <c r="J7" s="130"/>
      <c r="K7" s="615"/>
      <c r="L7" s="615"/>
      <c r="M7" s="615"/>
      <c r="N7" s="615"/>
      <c r="O7" s="615"/>
      <c r="P7" s="615"/>
      <c r="Q7" s="615"/>
      <c r="R7" s="615"/>
      <c r="S7" s="615"/>
      <c r="T7" s="615"/>
      <c r="U7" s="615"/>
      <c r="V7" s="478"/>
      <c r="W7" s="481"/>
      <c r="AI7" s="130"/>
      <c r="AJ7" s="130"/>
      <c r="AK7" s="479"/>
    </row>
    <row r="8" spans="2:60" ht="18" customHeight="1">
      <c r="B8" s="482"/>
      <c r="C8" s="483"/>
      <c r="E8" s="483"/>
      <c r="F8" s="129"/>
      <c r="G8" s="123"/>
      <c r="H8" s="123"/>
      <c r="J8" s="129"/>
      <c r="K8" s="612" t="str">
        <f>VLOOKUP(1008,Languages!A5:C455,Languages!A2,FALSE)</f>
        <v>Mindset for successfull problem solving</v>
      </c>
      <c r="L8" s="612"/>
      <c r="M8" s="612"/>
      <c r="N8" s="612"/>
      <c r="O8" s="612"/>
      <c r="P8" s="612"/>
      <c r="Q8" s="612"/>
      <c r="R8" s="612"/>
      <c r="S8" s="612"/>
      <c r="T8" s="612"/>
      <c r="U8" s="612"/>
      <c r="V8" s="478"/>
      <c r="W8" s="123"/>
      <c r="AI8" s="126"/>
      <c r="AJ8" s="126"/>
      <c r="AK8" s="617"/>
      <c r="AL8" s="617"/>
      <c r="AN8" s="484"/>
      <c r="AO8" s="484"/>
      <c r="AP8" s="484"/>
      <c r="AQ8" s="484"/>
      <c r="AR8" s="484"/>
      <c r="AS8" s="484"/>
    </row>
    <row r="9" spans="2:60" ht="18" customHeight="1">
      <c r="B9" s="482"/>
      <c r="C9" s="483"/>
      <c r="E9" s="483"/>
      <c r="F9" s="129"/>
      <c r="G9" s="129"/>
      <c r="H9" s="129"/>
      <c r="J9" s="129"/>
      <c r="K9" s="606" t="str">
        <f>VLOOKUP(1009,Languages!A5:C455,Languages!A2,FALSE)</f>
        <v>- real place
- real parts
- real data
- compare to standards
- rapid response / deadlines
- logical thinking
- responsibilities / ownership</v>
      </c>
      <c r="L9" s="606"/>
      <c r="M9" s="606"/>
      <c r="N9" s="606"/>
      <c r="O9" s="606"/>
      <c r="P9" s="606"/>
      <c r="Q9" s="606"/>
      <c r="R9" s="606"/>
      <c r="S9" s="606"/>
      <c r="T9" s="606"/>
      <c r="U9" s="606"/>
      <c r="W9" s="123"/>
      <c r="AI9" s="126"/>
      <c r="AJ9" s="126"/>
      <c r="AK9" s="473"/>
      <c r="AL9" s="473"/>
      <c r="AN9" s="484"/>
      <c r="AO9" s="484"/>
      <c r="AP9" s="484"/>
      <c r="AQ9" s="484"/>
      <c r="AR9" s="484"/>
      <c r="AS9" s="484"/>
    </row>
    <row r="10" spans="2:60" ht="18" customHeight="1">
      <c r="B10" s="482"/>
      <c r="C10" s="483"/>
      <c r="G10" s="129"/>
      <c r="H10" s="129"/>
      <c r="I10" s="129"/>
      <c r="J10" s="129"/>
      <c r="K10" s="607"/>
      <c r="L10" s="607"/>
      <c r="M10" s="607"/>
      <c r="N10" s="607"/>
      <c r="O10" s="607"/>
      <c r="P10" s="607"/>
      <c r="Q10" s="607"/>
      <c r="R10" s="607"/>
      <c r="S10" s="607"/>
      <c r="T10" s="607"/>
      <c r="U10" s="607"/>
      <c r="V10" s="478"/>
      <c r="W10" s="123"/>
      <c r="AI10" s="485"/>
      <c r="AJ10" s="486"/>
      <c r="AK10" s="502"/>
      <c r="AL10" s="503"/>
      <c r="AM10" s="130"/>
      <c r="AN10" s="486"/>
      <c r="AO10" s="487"/>
      <c r="AP10" s="487"/>
      <c r="AQ10" s="486"/>
      <c r="AR10" s="486"/>
      <c r="AS10" s="486"/>
    </row>
    <row r="11" spans="2:60" ht="18" customHeight="1">
      <c r="B11" s="488"/>
      <c r="C11" s="489"/>
      <c r="E11" s="490"/>
      <c r="F11" s="491"/>
      <c r="G11" s="129"/>
      <c r="H11" s="129"/>
      <c r="I11" s="129"/>
      <c r="J11" s="123"/>
      <c r="K11" s="607"/>
      <c r="L11" s="607"/>
      <c r="M11" s="607"/>
      <c r="N11" s="607"/>
      <c r="O11" s="607"/>
      <c r="P11" s="607"/>
      <c r="Q11" s="607"/>
      <c r="R11" s="607"/>
      <c r="S11" s="607"/>
      <c r="T11" s="607"/>
      <c r="U11" s="607"/>
      <c r="V11" s="478"/>
      <c r="W11" s="123"/>
      <c r="AJ11" s="487"/>
      <c r="AK11" s="56"/>
      <c r="AL11" s="503"/>
      <c r="AM11" s="130"/>
      <c r="AN11" s="130"/>
      <c r="AO11" s="130"/>
      <c r="AP11" s="130"/>
      <c r="AQ11" s="130"/>
      <c r="AR11" s="130"/>
      <c r="AS11" s="130"/>
    </row>
    <row r="12" spans="2:60" ht="18" customHeight="1">
      <c r="B12" s="488"/>
      <c r="C12" s="490"/>
      <c r="E12" s="490"/>
      <c r="F12" s="492"/>
      <c r="G12" s="129"/>
      <c r="H12" s="123"/>
      <c r="I12" s="129"/>
      <c r="J12" s="129"/>
      <c r="K12" s="607"/>
      <c r="L12" s="607"/>
      <c r="M12" s="607"/>
      <c r="N12" s="607"/>
      <c r="O12" s="607"/>
      <c r="P12" s="607"/>
      <c r="Q12" s="607"/>
      <c r="R12" s="607"/>
      <c r="S12" s="607"/>
      <c r="T12" s="607"/>
      <c r="U12" s="607"/>
      <c r="V12" s="123"/>
      <c r="W12" s="123"/>
      <c r="AJ12" s="487"/>
      <c r="AK12" s="56"/>
      <c r="AL12" s="503"/>
      <c r="AM12" s="130"/>
      <c r="AN12" s="130"/>
      <c r="AO12" s="130"/>
      <c r="AP12" s="130"/>
      <c r="AQ12" s="130"/>
      <c r="AR12" s="130"/>
      <c r="AS12" s="130"/>
    </row>
    <row r="13" spans="2:60" ht="18" customHeight="1">
      <c r="B13" s="488"/>
      <c r="C13" s="493"/>
      <c r="E13" s="493"/>
      <c r="F13" s="492"/>
      <c r="G13" s="129"/>
      <c r="H13" s="129"/>
      <c r="I13" s="129"/>
      <c r="J13" s="129"/>
      <c r="K13" s="607"/>
      <c r="L13" s="607"/>
      <c r="M13" s="607"/>
      <c r="N13" s="607"/>
      <c r="O13" s="607"/>
      <c r="P13" s="607"/>
      <c r="Q13" s="607"/>
      <c r="R13" s="607"/>
      <c r="S13" s="607"/>
      <c r="T13" s="607"/>
      <c r="U13" s="607"/>
      <c r="V13" s="494"/>
      <c r="W13" s="123"/>
      <c r="AJ13" s="487"/>
      <c r="AK13" s="56"/>
      <c r="AL13" s="503"/>
    </row>
    <row r="14" spans="2:60" ht="18" customHeight="1">
      <c r="B14" s="488"/>
      <c r="K14" s="607"/>
      <c r="L14" s="607"/>
      <c r="M14" s="607"/>
      <c r="N14" s="607"/>
      <c r="O14" s="607"/>
      <c r="P14" s="607"/>
      <c r="Q14" s="607"/>
      <c r="R14" s="607"/>
      <c r="S14" s="607"/>
      <c r="T14" s="607"/>
      <c r="U14" s="607"/>
      <c r="V14" s="494"/>
      <c r="W14" s="123"/>
      <c r="AJ14" s="146"/>
      <c r="AK14" s="56"/>
      <c r="AL14" s="503"/>
    </row>
    <row r="15" spans="2:60" ht="18" customHeight="1">
      <c r="B15" s="488"/>
      <c r="K15" s="607"/>
      <c r="L15" s="607"/>
      <c r="M15" s="607"/>
      <c r="N15" s="607"/>
      <c r="O15" s="607"/>
      <c r="P15" s="607"/>
      <c r="Q15" s="607"/>
      <c r="R15" s="607"/>
      <c r="S15" s="607"/>
      <c r="T15" s="607"/>
      <c r="U15" s="607"/>
      <c r="V15" s="494"/>
      <c r="W15" s="123"/>
      <c r="AJ15" s="146"/>
      <c r="AK15" s="56"/>
      <c r="AL15" s="503"/>
    </row>
    <row r="16" spans="2:60" ht="18" customHeight="1">
      <c r="B16" s="488"/>
      <c r="K16" s="607"/>
      <c r="L16" s="607"/>
      <c r="M16" s="607"/>
      <c r="N16" s="607"/>
      <c r="O16" s="607"/>
      <c r="P16" s="607"/>
      <c r="Q16" s="607"/>
      <c r="R16" s="607"/>
      <c r="S16" s="607"/>
      <c r="T16" s="607"/>
      <c r="U16" s="607"/>
      <c r="V16" s="494"/>
      <c r="W16" s="123"/>
      <c r="AJ16" s="495"/>
      <c r="AK16" s="496"/>
      <c r="AL16" s="497"/>
    </row>
    <row r="17" spans="2:45" ht="18" customHeight="1">
      <c r="B17" s="488"/>
      <c r="K17" s="608" t="str">
        <f>VLOOKUP(1017,Languages!A5:C455,Languages!A2,FALSE)</f>
        <v>Please note</v>
      </c>
      <c r="L17" s="608"/>
      <c r="M17" s="608"/>
      <c r="N17" s="608"/>
      <c r="O17" s="608"/>
      <c r="P17" s="608"/>
      <c r="Q17" s="608"/>
      <c r="R17" s="608"/>
      <c r="S17" s="608"/>
      <c r="T17" s="608"/>
      <c r="U17" s="608"/>
      <c r="AJ17" s="498"/>
      <c r="AK17" s="499"/>
      <c r="AL17" s="500"/>
    </row>
    <row r="18" spans="2:45" ht="18" customHeight="1">
      <c r="B18" s="488"/>
      <c r="K18" s="606" t="str">
        <f>VLOOKUP(1019,Languages!A5:C455,Languages!A2,FALSE)</f>
        <v>Please make sure you're always using the latest version of our template. You may find this via
https://www.brose.com/de-en/purchasing/handbooks-templates/</v>
      </c>
      <c r="L18" s="606"/>
      <c r="M18" s="606"/>
      <c r="N18" s="606"/>
      <c r="O18" s="606"/>
      <c r="P18" s="606"/>
      <c r="Q18" s="606"/>
      <c r="R18" s="606"/>
      <c r="S18" s="606"/>
      <c r="T18" s="606"/>
      <c r="U18" s="606"/>
      <c r="AJ18" s="501"/>
      <c r="AK18" s="618"/>
      <c r="AL18" s="616"/>
    </row>
    <row r="19" spans="2:45" ht="18" customHeight="1">
      <c r="B19" s="488"/>
      <c r="K19" s="607"/>
      <c r="L19" s="607"/>
      <c r="M19" s="607"/>
      <c r="N19" s="607"/>
      <c r="O19" s="607"/>
      <c r="P19" s="607"/>
      <c r="Q19" s="607"/>
      <c r="R19" s="607"/>
      <c r="S19" s="607"/>
      <c r="T19" s="607"/>
      <c r="U19" s="607"/>
      <c r="AI19" s="504"/>
      <c r="AJ19" s="495"/>
      <c r="AK19" s="618"/>
      <c r="AL19" s="616"/>
    </row>
    <row r="20" spans="2:45" ht="12.75" customHeight="1">
      <c r="B20" s="488"/>
      <c r="K20" s="607"/>
      <c r="L20" s="607"/>
      <c r="M20" s="607"/>
      <c r="N20" s="607"/>
      <c r="O20" s="607"/>
      <c r="P20" s="607"/>
      <c r="Q20" s="607"/>
      <c r="R20" s="607"/>
      <c r="S20" s="607"/>
      <c r="T20" s="607"/>
      <c r="U20" s="607"/>
      <c r="AI20" s="504"/>
      <c r="AJ20" s="495"/>
      <c r="AK20" s="618"/>
      <c r="AL20" s="616"/>
    </row>
    <row r="21" spans="2:45" ht="18" customHeight="1">
      <c r="B21" s="505"/>
      <c r="K21" s="607"/>
      <c r="L21" s="607"/>
      <c r="M21" s="607"/>
      <c r="N21" s="607"/>
      <c r="O21" s="607"/>
      <c r="P21" s="607"/>
      <c r="Q21" s="607"/>
      <c r="R21" s="607"/>
      <c r="S21" s="607"/>
      <c r="T21" s="607"/>
      <c r="U21" s="607"/>
      <c r="AI21" s="504"/>
      <c r="AJ21" s="495"/>
      <c r="AK21" s="502"/>
      <c r="AL21" s="503"/>
    </row>
    <row r="22" spans="2:45" ht="18" customHeight="1">
      <c r="B22" s="493"/>
      <c r="K22" s="607" t="str">
        <f>VLOOKUP(1018,Languages!A5:C455,Languages!A2,FALSE)</f>
        <v>The document "brose-8-d-problem-solving-scheme" is property of Brose. Major modifications are strictly prohibited without prior written consent.
Exceptions are valid for adding new lines (e.g. for further measures), adding contents (e.g. pictures) or the modification of line heights if standard contents are not hidden by this.</v>
      </c>
      <c r="L22" s="607"/>
      <c r="M22" s="607"/>
      <c r="N22" s="607"/>
      <c r="O22" s="607"/>
      <c r="P22" s="607"/>
      <c r="Q22" s="607"/>
      <c r="R22" s="607"/>
      <c r="S22" s="607"/>
      <c r="T22" s="607"/>
      <c r="U22" s="607"/>
      <c r="AI22" s="504"/>
      <c r="AJ22" s="130"/>
      <c r="AK22" s="493"/>
      <c r="AL22" s="486"/>
    </row>
    <row r="23" spans="2:45" ht="18" customHeight="1">
      <c r="B23" s="493"/>
      <c r="K23" s="607"/>
      <c r="L23" s="607"/>
      <c r="M23" s="607"/>
      <c r="N23" s="607"/>
      <c r="O23" s="607"/>
      <c r="P23" s="607"/>
      <c r="Q23" s="607"/>
      <c r="R23" s="607"/>
      <c r="S23" s="607"/>
      <c r="T23" s="607"/>
      <c r="U23" s="607"/>
      <c r="V23" s="142"/>
      <c r="W23" s="142"/>
      <c r="X23" s="142"/>
      <c r="Y23" s="142"/>
      <c r="Z23" s="142"/>
      <c r="AA23" s="142"/>
      <c r="AB23" s="142"/>
      <c r="AC23" s="142"/>
      <c r="AI23" s="504"/>
      <c r="AJ23" s="130"/>
      <c r="AK23" s="493"/>
      <c r="AL23" s="486"/>
    </row>
    <row r="24" spans="2:45" ht="18" customHeight="1">
      <c r="B24" s="493"/>
      <c r="D24" s="483"/>
      <c r="E24" s="506"/>
      <c r="F24" s="123"/>
      <c r="K24" s="607"/>
      <c r="L24" s="607"/>
      <c r="M24" s="607"/>
      <c r="N24" s="607"/>
      <c r="O24" s="607"/>
      <c r="P24" s="607"/>
      <c r="Q24" s="607"/>
      <c r="R24" s="607"/>
      <c r="S24" s="607"/>
      <c r="T24" s="607"/>
      <c r="U24" s="607"/>
      <c r="V24" s="142"/>
      <c r="W24" s="142"/>
      <c r="X24" s="142"/>
      <c r="Y24" s="142"/>
      <c r="Z24" s="142"/>
      <c r="AA24" s="142"/>
      <c r="AB24" s="142"/>
      <c r="AC24" s="142"/>
      <c r="AI24" s="504"/>
      <c r="AJ24" s="130"/>
      <c r="AK24" s="493"/>
      <c r="AL24" s="486"/>
    </row>
    <row r="25" spans="2:45" ht="18" customHeight="1">
      <c r="B25" s="493"/>
      <c r="D25" s="483"/>
      <c r="E25" s="506"/>
      <c r="F25" s="123"/>
      <c r="K25" s="607"/>
      <c r="L25" s="607"/>
      <c r="M25" s="607"/>
      <c r="N25" s="607"/>
      <c r="O25" s="607"/>
      <c r="P25" s="607"/>
      <c r="Q25" s="607"/>
      <c r="R25" s="607"/>
      <c r="S25" s="607"/>
      <c r="T25" s="607"/>
      <c r="U25" s="607"/>
      <c r="V25" s="142"/>
      <c r="W25" s="142"/>
      <c r="X25" s="142"/>
      <c r="Y25" s="142"/>
      <c r="Z25" s="142"/>
      <c r="AA25" s="142"/>
      <c r="AB25" s="142"/>
      <c r="AC25" s="142"/>
      <c r="AI25" s="504"/>
      <c r="AJ25" s="130"/>
      <c r="AK25" s="493"/>
      <c r="AL25" s="486"/>
    </row>
    <row r="26" spans="2:45" ht="18" customHeight="1">
      <c r="B26" s="493"/>
      <c r="D26" s="483"/>
      <c r="E26" s="506"/>
      <c r="F26" s="123"/>
      <c r="K26" s="607"/>
      <c r="L26" s="607"/>
      <c r="M26" s="607"/>
      <c r="N26" s="607"/>
      <c r="O26" s="607"/>
      <c r="P26" s="607"/>
      <c r="Q26" s="607"/>
      <c r="R26" s="607"/>
      <c r="S26" s="607"/>
      <c r="T26" s="607"/>
      <c r="U26" s="607"/>
      <c r="V26" s="142"/>
      <c r="W26" s="142"/>
      <c r="X26" s="142"/>
      <c r="Y26" s="142"/>
      <c r="Z26" s="142"/>
      <c r="AA26" s="142"/>
      <c r="AB26" s="142"/>
      <c r="AC26" s="142"/>
      <c r="AI26" s="504"/>
      <c r="AJ26" s="130"/>
      <c r="AK26" s="493"/>
      <c r="AL26" s="486"/>
    </row>
    <row r="27" spans="2:45" ht="18" customHeight="1">
      <c r="B27" s="493"/>
      <c r="F27" s="123"/>
      <c r="K27" s="607"/>
      <c r="L27" s="607"/>
      <c r="M27" s="607"/>
      <c r="N27" s="607"/>
      <c r="O27" s="607"/>
      <c r="P27" s="607"/>
      <c r="Q27" s="607"/>
      <c r="R27" s="607"/>
      <c r="S27" s="607"/>
      <c r="T27" s="607"/>
      <c r="U27" s="607"/>
      <c r="V27" s="142"/>
      <c r="W27" s="142"/>
      <c r="X27" s="142"/>
      <c r="Y27" s="142"/>
      <c r="Z27" s="142"/>
      <c r="AA27" s="142"/>
      <c r="AB27" s="142"/>
      <c r="AC27" s="142"/>
      <c r="AI27" s="504"/>
      <c r="AJ27" s="130"/>
      <c r="AK27" s="493"/>
      <c r="AL27" s="486"/>
    </row>
    <row r="28" spans="2:45" ht="18" customHeight="1">
      <c r="B28" s="493"/>
      <c r="F28" s="123"/>
      <c r="K28" s="607"/>
      <c r="L28" s="607"/>
      <c r="M28" s="607"/>
      <c r="N28" s="607"/>
      <c r="O28" s="607"/>
      <c r="P28" s="607"/>
      <c r="Q28" s="607"/>
      <c r="R28" s="607"/>
      <c r="S28" s="607"/>
      <c r="T28" s="607"/>
      <c r="U28" s="607"/>
      <c r="V28" s="142"/>
      <c r="W28" s="142"/>
      <c r="X28" s="142"/>
      <c r="Y28" s="142"/>
      <c r="Z28" s="142"/>
      <c r="AA28" s="142"/>
      <c r="AB28" s="142"/>
      <c r="AC28" s="142"/>
      <c r="AI28" s="504"/>
      <c r="AJ28" s="130"/>
      <c r="AK28" s="493"/>
      <c r="AL28" s="486"/>
    </row>
    <row r="29" spans="2:45" ht="18" customHeight="1">
      <c r="B29" s="507"/>
      <c r="F29" s="123"/>
      <c r="K29" s="608" t="str">
        <f>VLOOKUP(1010,Languages!A5:C455,Languages!A2,FALSE)</f>
        <v>Use of different methods according to complexity of the problem</v>
      </c>
      <c r="L29" s="608"/>
      <c r="M29" s="608"/>
      <c r="N29" s="608"/>
      <c r="O29" s="608"/>
      <c r="P29" s="608"/>
      <c r="Q29" s="608"/>
      <c r="R29" s="608"/>
      <c r="S29" s="608"/>
      <c r="T29" s="608"/>
      <c r="U29" s="608"/>
      <c r="V29" s="142"/>
      <c r="W29" s="142"/>
      <c r="X29" s="142"/>
      <c r="Y29" s="142"/>
      <c r="Z29" s="142"/>
      <c r="AA29" s="142"/>
      <c r="AB29" s="142"/>
      <c r="AC29" s="142"/>
      <c r="AI29" s="504"/>
      <c r="AJ29" s="130"/>
    </row>
    <row r="30" spans="2:45" ht="18" customHeight="1">
      <c r="B30" s="130"/>
      <c r="F30" s="508"/>
      <c r="K30" s="606" t="str">
        <f>VLOOKUP(1011,Languages!A5:C455,Languages!A2,FALSE)</f>
        <v>- problems with known cause and countermeasure can be solved by using 
  existing knowledge (does not apply for repeat failures)
- problems with unknown cause and countermeasure need a structured 
  approach and tools
The minium requirement is the 8D-report - the usage of Is IsNot, Ishikawa and 5Why (tabs highlighted in green) is recommended.</v>
      </c>
      <c r="L30" s="606"/>
      <c r="M30" s="606"/>
      <c r="N30" s="606"/>
      <c r="O30" s="606"/>
      <c r="P30" s="606"/>
      <c r="Q30" s="606"/>
      <c r="R30" s="606"/>
      <c r="S30" s="606"/>
      <c r="T30" s="606"/>
      <c r="U30" s="606"/>
      <c r="V30" s="142"/>
      <c r="W30" s="142"/>
      <c r="X30" s="142"/>
      <c r="Y30" s="142"/>
      <c r="Z30" s="142"/>
      <c r="AA30" s="142"/>
      <c r="AB30" s="142"/>
      <c r="AC30" s="142"/>
      <c r="AI30" s="504"/>
      <c r="AJ30" s="509"/>
      <c r="AK30" s="509"/>
      <c r="AL30" s="509"/>
      <c r="AM30" s="509"/>
      <c r="AN30" s="509"/>
      <c r="AO30" s="509"/>
      <c r="AP30" s="509"/>
      <c r="AQ30" s="509"/>
      <c r="AR30" s="509"/>
      <c r="AS30" s="509"/>
    </row>
    <row r="31" spans="2:45" ht="18" customHeight="1">
      <c r="B31" s="482"/>
      <c r="K31" s="607"/>
      <c r="L31" s="607"/>
      <c r="M31" s="607"/>
      <c r="N31" s="607"/>
      <c r="O31" s="607"/>
      <c r="P31" s="607"/>
      <c r="Q31" s="607"/>
      <c r="R31" s="607"/>
      <c r="S31" s="607"/>
      <c r="T31" s="607"/>
      <c r="U31" s="607"/>
      <c r="V31" s="510"/>
      <c r="W31" s="510"/>
      <c r="AI31" s="486"/>
      <c r="AJ31" s="486"/>
      <c r="AK31" s="511"/>
      <c r="AL31" s="511"/>
      <c r="AM31" s="511"/>
      <c r="AN31" s="511"/>
      <c r="AO31" s="511"/>
      <c r="AP31" s="511"/>
      <c r="AQ31" s="511"/>
      <c r="AR31" s="511"/>
      <c r="AS31" s="511"/>
    </row>
    <row r="32" spans="2:45" ht="18" customHeight="1">
      <c r="B32" s="482"/>
      <c r="K32" s="607"/>
      <c r="L32" s="607"/>
      <c r="M32" s="607"/>
      <c r="N32" s="607"/>
      <c r="O32" s="607"/>
      <c r="P32" s="607"/>
      <c r="Q32" s="607"/>
      <c r="R32" s="607"/>
      <c r="S32" s="607"/>
      <c r="T32" s="607"/>
      <c r="U32" s="607"/>
      <c r="V32" s="512"/>
      <c r="W32" s="512"/>
      <c r="AI32" s="487"/>
      <c r="AJ32" s="487"/>
      <c r="AK32" s="128"/>
      <c r="AL32" s="128"/>
      <c r="AM32" s="128"/>
      <c r="AN32" s="129"/>
      <c r="AO32" s="129"/>
      <c r="AP32" s="129"/>
      <c r="AQ32" s="129"/>
      <c r="AR32" s="513"/>
      <c r="AS32" s="513"/>
    </row>
    <row r="33" spans="2:45" ht="18" customHeight="1">
      <c r="B33" s="488"/>
      <c r="K33" s="607"/>
      <c r="L33" s="607"/>
      <c r="M33" s="607"/>
      <c r="N33" s="607"/>
      <c r="O33" s="607"/>
      <c r="P33" s="607"/>
      <c r="Q33" s="607"/>
      <c r="R33" s="607"/>
      <c r="S33" s="607"/>
      <c r="T33" s="607"/>
      <c r="U33" s="607"/>
      <c r="V33" s="512"/>
      <c r="W33" s="512"/>
      <c r="AI33" s="487"/>
      <c r="AJ33" s="487"/>
      <c r="AK33" s="514"/>
      <c r="AL33" s="128"/>
      <c r="AM33" s="128"/>
      <c r="AN33" s="128"/>
      <c r="AO33" s="128"/>
      <c r="AP33" s="128"/>
      <c r="AQ33" s="128"/>
      <c r="AR33" s="128"/>
      <c r="AS33" s="128"/>
    </row>
    <row r="34" spans="2:45" ht="18" customHeight="1">
      <c r="B34" s="488"/>
      <c r="K34" s="607"/>
      <c r="L34" s="607"/>
      <c r="M34" s="607"/>
      <c r="N34" s="607"/>
      <c r="O34" s="607"/>
      <c r="P34" s="607"/>
      <c r="Q34" s="607"/>
      <c r="R34" s="607"/>
      <c r="S34" s="607"/>
      <c r="T34" s="607"/>
      <c r="U34" s="607"/>
      <c r="V34" s="512"/>
      <c r="W34" s="512"/>
      <c r="X34" s="512"/>
      <c r="Y34" s="512"/>
      <c r="Z34" s="512"/>
      <c r="AA34" s="512"/>
      <c r="AB34" s="512"/>
      <c r="AC34" s="512"/>
      <c r="AD34" s="515"/>
      <c r="AE34" s="515"/>
      <c r="AF34" s="515"/>
      <c r="AG34" s="511"/>
      <c r="AH34" s="511"/>
      <c r="AI34" s="487"/>
      <c r="AJ34" s="487"/>
      <c r="AK34" s="514"/>
      <c r="AL34" s="128"/>
      <c r="AM34" s="128"/>
      <c r="AN34" s="129"/>
      <c r="AO34" s="129"/>
      <c r="AP34" s="129"/>
      <c r="AQ34" s="129"/>
      <c r="AR34" s="129"/>
      <c r="AS34" s="129"/>
    </row>
    <row r="35" spans="2:45" ht="18" customHeight="1">
      <c r="B35" s="488"/>
      <c r="K35" s="607"/>
      <c r="L35" s="607"/>
      <c r="M35" s="607"/>
      <c r="N35" s="607"/>
      <c r="O35" s="607"/>
      <c r="P35" s="607"/>
      <c r="Q35" s="607"/>
      <c r="R35" s="607"/>
      <c r="S35" s="607"/>
      <c r="T35" s="607"/>
      <c r="U35" s="607"/>
      <c r="V35" s="512"/>
      <c r="W35" s="512"/>
      <c r="X35" s="512"/>
      <c r="Y35" s="512"/>
      <c r="Z35" s="512"/>
      <c r="AA35" s="512"/>
      <c r="AB35" s="512"/>
      <c r="AC35" s="512"/>
      <c r="AD35" s="515"/>
      <c r="AE35" s="515"/>
      <c r="AF35" s="515"/>
      <c r="AG35" s="128"/>
      <c r="AH35" s="128"/>
      <c r="AI35" s="128"/>
      <c r="AJ35" s="487"/>
      <c r="AK35" s="514"/>
      <c r="AL35" s="128"/>
      <c r="AM35" s="128"/>
      <c r="AN35" s="128"/>
      <c r="AO35" s="128"/>
      <c r="AP35" s="128"/>
      <c r="AQ35" s="128"/>
      <c r="AR35" s="128"/>
      <c r="AS35" s="128"/>
    </row>
    <row r="36" spans="2:45" ht="20.100000000000001" customHeight="1">
      <c r="B36" s="488"/>
      <c r="K36" s="607"/>
      <c r="L36" s="607"/>
      <c r="M36" s="607"/>
      <c r="N36" s="607"/>
      <c r="O36" s="607"/>
      <c r="P36" s="607"/>
      <c r="Q36" s="607"/>
      <c r="R36" s="607"/>
      <c r="S36" s="607"/>
      <c r="T36" s="607"/>
      <c r="U36" s="607"/>
      <c r="V36" s="512"/>
      <c r="W36" s="512"/>
      <c r="X36" s="512"/>
      <c r="Y36" s="512"/>
      <c r="Z36" s="512"/>
      <c r="AA36" s="512"/>
      <c r="AB36" s="512"/>
      <c r="AC36" s="512"/>
      <c r="AD36" s="515"/>
      <c r="AE36" s="515"/>
      <c r="AF36" s="515"/>
      <c r="AG36" s="128"/>
      <c r="AH36" s="128"/>
      <c r="AI36" s="128"/>
      <c r="AJ36" s="128"/>
      <c r="AK36" s="514"/>
      <c r="AL36" s="128"/>
      <c r="AM36" s="128"/>
      <c r="AN36" s="129"/>
      <c r="AO36" s="129"/>
      <c r="AP36" s="129"/>
      <c r="AQ36" s="129"/>
      <c r="AR36" s="129"/>
      <c r="AS36" s="129"/>
    </row>
    <row r="37" spans="2:45" ht="12" customHeight="1">
      <c r="B37" s="488"/>
      <c r="K37" s="607"/>
      <c r="L37" s="607"/>
      <c r="M37" s="607"/>
      <c r="N37" s="607"/>
      <c r="O37" s="607"/>
      <c r="P37" s="607"/>
      <c r="Q37" s="607"/>
      <c r="R37" s="607"/>
      <c r="S37" s="607"/>
      <c r="T37" s="607"/>
      <c r="U37" s="607"/>
      <c r="V37" s="512"/>
      <c r="W37" s="512"/>
      <c r="X37" s="512"/>
      <c r="Y37" s="512"/>
      <c r="Z37" s="512"/>
      <c r="AA37" s="512"/>
      <c r="AB37" s="512"/>
      <c r="AC37" s="512"/>
      <c r="AD37" s="515"/>
      <c r="AE37" s="515"/>
      <c r="AF37" s="515"/>
      <c r="AG37" s="128"/>
      <c r="AH37" s="128"/>
      <c r="AI37" s="128"/>
      <c r="AJ37" s="128"/>
      <c r="AK37" s="514"/>
      <c r="AL37" s="128"/>
      <c r="AM37" s="128"/>
      <c r="AN37" s="516"/>
      <c r="AO37" s="128"/>
      <c r="AP37" s="128"/>
      <c r="AQ37" s="128"/>
      <c r="AR37" s="128"/>
      <c r="AS37" s="128"/>
    </row>
    <row r="38" spans="2:45" ht="12" customHeight="1">
      <c r="B38" s="488"/>
      <c r="O38" s="515"/>
      <c r="P38" s="515"/>
      <c r="Q38" s="515"/>
      <c r="R38" s="515"/>
      <c r="S38" s="515"/>
      <c r="T38" s="515"/>
      <c r="U38" s="515"/>
      <c r="V38" s="512"/>
      <c r="W38" s="512"/>
      <c r="X38" s="512"/>
      <c r="Y38" s="512"/>
      <c r="Z38" s="512"/>
      <c r="AA38" s="512"/>
      <c r="AB38" s="512"/>
      <c r="AC38" s="512"/>
      <c r="AD38" s="515"/>
      <c r="AE38" s="515"/>
      <c r="AF38" s="515"/>
      <c r="AG38" s="128"/>
      <c r="AH38" s="128"/>
      <c r="AI38" s="128"/>
      <c r="AJ38" s="129"/>
      <c r="AK38" s="514"/>
      <c r="AL38" s="129"/>
      <c r="AM38" s="129"/>
      <c r="AN38" s="129"/>
      <c r="AO38" s="129"/>
      <c r="AP38" s="129"/>
      <c r="AQ38" s="129"/>
      <c r="AR38" s="129"/>
      <c r="AS38" s="129"/>
    </row>
    <row r="39" spans="2:45" ht="12" customHeight="1">
      <c r="B39" s="488"/>
      <c r="O39" s="515"/>
      <c r="P39" s="515"/>
      <c r="Q39" s="515"/>
      <c r="R39" s="515"/>
      <c r="S39" s="515"/>
      <c r="T39" s="515"/>
      <c r="U39" s="515"/>
      <c r="V39" s="512"/>
      <c r="W39" s="512"/>
      <c r="X39" s="512"/>
      <c r="Y39" s="512"/>
      <c r="Z39" s="512"/>
      <c r="AA39" s="512"/>
      <c r="AB39" s="512"/>
      <c r="AC39" s="512"/>
      <c r="AD39" s="515"/>
      <c r="AE39" s="515"/>
      <c r="AF39" s="515"/>
      <c r="AG39" s="128"/>
      <c r="AH39" s="128"/>
      <c r="AI39" s="128"/>
      <c r="AJ39" s="128"/>
      <c r="AK39" s="514"/>
      <c r="AL39" s="128"/>
      <c r="AM39" s="128"/>
      <c r="AN39" s="128"/>
      <c r="AO39" s="128"/>
      <c r="AP39" s="128"/>
      <c r="AQ39" s="128"/>
      <c r="AR39" s="128"/>
      <c r="AS39" s="128"/>
    </row>
    <row r="40" spans="2:45" ht="12" customHeight="1">
      <c r="B40" s="488"/>
      <c r="O40" s="515"/>
      <c r="P40" s="515"/>
      <c r="Q40" s="515"/>
      <c r="R40" s="515"/>
      <c r="S40" s="515"/>
      <c r="T40" s="515"/>
      <c r="U40" s="515"/>
      <c r="V40" s="512"/>
      <c r="W40" s="512"/>
      <c r="X40" s="512"/>
      <c r="Y40" s="512"/>
      <c r="Z40" s="512"/>
      <c r="AA40" s="512"/>
      <c r="AB40" s="512"/>
      <c r="AC40" s="512"/>
      <c r="AD40" s="515"/>
      <c r="AE40" s="515"/>
      <c r="AF40" s="515"/>
      <c r="AG40" s="128"/>
      <c r="AH40" s="128"/>
      <c r="AI40" s="128"/>
      <c r="AJ40" s="128"/>
      <c r="AK40" s="514"/>
      <c r="AL40" s="128"/>
      <c r="AM40" s="128"/>
      <c r="AN40" s="129"/>
      <c r="AO40" s="129"/>
      <c r="AP40" s="129"/>
      <c r="AQ40" s="129"/>
      <c r="AR40" s="129"/>
      <c r="AS40" s="129"/>
    </row>
    <row r="41" spans="2:45" ht="12" customHeight="1">
      <c r="B41" s="488"/>
      <c r="O41" s="515"/>
      <c r="P41" s="515"/>
      <c r="Q41" s="515"/>
      <c r="R41" s="515"/>
      <c r="S41" s="515"/>
      <c r="T41" s="515"/>
      <c r="U41" s="515"/>
      <c r="V41" s="512"/>
      <c r="W41" s="512"/>
      <c r="X41" s="512"/>
      <c r="Y41" s="512"/>
      <c r="Z41" s="512"/>
      <c r="AA41" s="512"/>
      <c r="AB41" s="512"/>
      <c r="AC41" s="512"/>
      <c r="AD41" s="515"/>
      <c r="AE41" s="515"/>
      <c r="AF41" s="515"/>
      <c r="AG41" s="128"/>
      <c r="AH41" s="128"/>
      <c r="AI41" s="128"/>
      <c r="AJ41" s="128"/>
      <c r="AK41" s="514"/>
      <c r="AL41" s="128"/>
      <c r="AM41" s="128"/>
      <c r="AN41" s="128"/>
      <c r="AO41" s="128"/>
      <c r="AP41" s="128"/>
      <c r="AQ41" s="128"/>
      <c r="AR41" s="128"/>
      <c r="AS41" s="128"/>
    </row>
    <row r="42" spans="2:45" ht="12" customHeight="1">
      <c r="B42" s="493"/>
      <c r="C42" s="493"/>
      <c r="D42" s="130"/>
      <c r="E42" s="515"/>
      <c r="F42" s="515"/>
      <c r="G42" s="515"/>
      <c r="H42" s="515"/>
      <c r="I42" s="515"/>
      <c r="J42" s="515"/>
      <c r="K42" s="515"/>
      <c r="L42" s="515"/>
      <c r="M42" s="515"/>
      <c r="N42" s="515"/>
      <c r="O42" s="515"/>
      <c r="P42" s="515"/>
      <c r="Q42" s="515"/>
      <c r="R42" s="515"/>
      <c r="S42" s="515"/>
      <c r="T42" s="515"/>
      <c r="U42" s="515"/>
      <c r="V42" s="512"/>
      <c r="W42" s="512"/>
      <c r="X42" s="512"/>
      <c r="Y42" s="512"/>
      <c r="Z42" s="512"/>
      <c r="AA42" s="512"/>
      <c r="AB42" s="512"/>
      <c r="AC42" s="512"/>
      <c r="AD42" s="515"/>
      <c r="AE42" s="515"/>
      <c r="AF42" s="515"/>
      <c r="AG42" s="128"/>
      <c r="AH42" s="128"/>
      <c r="AI42" s="128"/>
      <c r="AJ42" s="128"/>
      <c r="AK42" s="514"/>
      <c r="AL42" s="128"/>
      <c r="AM42" s="128"/>
      <c r="AN42" s="129"/>
      <c r="AO42" s="129"/>
      <c r="AP42" s="129"/>
      <c r="AQ42" s="129"/>
      <c r="AR42" s="129"/>
      <c r="AS42" s="129"/>
    </row>
    <row r="43" spans="2:45" ht="12" customHeight="1">
      <c r="B43" s="493"/>
      <c r="C43" s="493"/>
      <c r="D43" s="493"/>
      <c r="E43" s="515"/>
      <c r="F43" s="515"/>
      <c r="G43" s="515"/>
      <c r="H43" s="515"/>
      <c r="I43" s="515"/>
      <c r="J43" s="515"/>
      <c r="K43" s="515"/>
      <c r="L43" s="515"/>
      <c r="M43" s="515"/>
      <c r="N43" s="515"/>
      <c r="O43" s="515"/>
      <c r="P43" s="515"/>
      <c r="Q43" s="515"/>
      <c r="R43" s="515"/>
      <c r="S43" s="515"/>
      <c r="T43" s="515"/>
      <c r="U43" s="515"/>
      <c r="V43" s="512"/>
      <c r="W43" s="512"/>
      <c r="X43" s="512"/>
      <c r="Y43" s="512"/>
      <c r="Z43" s="512"/>
      <c r="AA43" s="512"/>
      <c r="AB43" s="512"/>
      <c r="AC43" s="512"/>
      <c r="AD43" s="515"/>
      <c r="AE43" s="515"/>
      <c r="AF43" s="515"/>
      <c r="AG43" s="128"/>
      <c r="AH43" s="128"/>
      <c r="AI43" s="128"/>
      <c r="AJ43" s="128"/>
      <c r="AK43" s="514"/>
      <c r="AL43" s="128"/>
      <c r="AM43" s="128"/>
      <c r="AN43" s="128"/>
      <c r="AO43" s="128"/>
      <c r="AP43" s="128"/>
      <c r="AQ43" s="128"/>
      <c r="AR43" s="128"/>
      <c r="AS43" s="128"/>
    </row>
    <row r="44" spans="2:45" ht="12" customHeight="1">
      <c r="B44" s="493"/>
      <c r="C44" s="493"/>
      <c r="D44" s="493"/>
      <c r="E44" s="515"/>
      <c r="F44" s="515"/>
      <c r="G44" s="515"/>
      <c r="H44" s="515"/>
      <c r="I44" s="515"/>
      <c r="J44" s="515"/>
      <c r="K44" s="515"/>
      <c r="L44" s="515"/>
      <c r="M44" s="515"/>
      <c r="N44" s="515"/>
      <c r="O44" s="515"/>
      <c r="P44" s="515"/>
      <c r="Q44" s="515"/>
      <c r="R44" s="515"/>
      <c r="S44" s="515"/>
      <c r="T44" s="515"/>
      <c r="U44" s="515"/>
      <c r="V44" s="512"/>
      <c r="W44" s="512"/>
      <c r="X44" s="512"/>
      <c r="Y44" s="512"/>
      <c r="Z44" s="512"/>
      <c r="AA44" s="512"/>
      <c r="AB44" s="512"/>
      <c r="AC44" s="512"/>
      <c r="AD44" s="515"/>
      <c r="AE44" s="515"/>
      <c r="AF44" s="515"/>
      <c r="AG44" s="128"/>
      <c r="AH44" s="128"/>
      <c r="AI44" s="128"/>
      <c r="AJ44" s="128"/>
      <c r="AK44" s="514"/>
      <c r="AL44" s="128"/>
      <c r="AM44" s="128"/>
      <c r="AN44" s="129"/>
      <c r="AO44" s="129"/>
      <c r="AP44" s="129"/>
      <c r="AQ44" s="129"/>
      <c r="AR44" s="129"/>
      <c r="AS44" s="129"/>
    </row>
    <row r="45" spans="2:45" ht="12" customHeight="1">
      <c r="B45" s="493"/>
      <c r="C45" s="493"/>
      <c r="D45" s="493"/>
      <c r="E45" s="515"/>
      <c r="F45" s="515"/>
      <c r="G45" s="515"/>
      <c r="H45" s="515"/>
      <c r="I45" s="515"/>
      <c r="J45" s="515"/>
      <c r="K45" s="515"/>
      <c r="L45" s="515"/>
      <c r="M45" s="515"/>
      <c r="N45" s="515"/>
      <c r="O45" s="515"/>
      <c r="P45" s="515"/>
      <c r="Q45" s="515"/>
      <c r="R45" s="515"/>
      <c r="S45" s="515"/>
      <c r="T45" s="515"/>
      <c r="U45" s="515"/>
      <c r="V45" s="512"/>
      <c r="W45" s="512"/>
      <c r="X45" s="512"/>
      <c r="Y45" s="512"/>
      <c r="Z45" s="512"/>
      <c r="AA45" s="512"/>
      <c r="AB45" s="512"/>
      <c r="AC45" s="512"/>
      <c r="AD45" s="515"/>
      <c r="AE45" s="515"/>
      <c r="AF45" s="515"/>
      <c r="AG45" s="128"/>
      <c r="AH45" s="128"/>
      <c r="AI45" s="128"/>
      <c r="AJ45" s="128"/>
      <c r="AK45" s="514"/>
      <c r="AL45" s="128"/>
      <c r="AM45" s="128"/>
      <c r="AN45" s="128"/>
      <c r="AO45" s="128"/>
      <c r="AP45" s="128"/>
      <c r="AQ45" s="128"/>
      <c r="AR45" s="128"/>
      <c r="AS45" s="128"/>
    </row>
    <row r="46" spans="2:45" ht="12" customHeight="1">
      <c r="B46" s="493"/>
      <c r="C46" s="493"/>
      <c r="D46" s="493"/>
      <c r="E46" s="515"/>
      <c r="F46" s="515"/>
      <c r="G46" s="515"/>
      <c r="H46" s="515"/>
      <c r="I46" s="515"/>
      <c r="J46" s="515"/>
      <c r="K46" s="515"/>
      <c r="L46" s="515"/>
      <c r="M46" s="515"/>
      <c r="N46" s="515"/>
      <c r="O46" s="515"/>
      <c r="P46" s="515"/>
      <c r="Q46" s="515"/>
      <c r="R46" s="515"/>
      <c r="S46" s="515"/>
      <c r="T46" s="515"/>
      <c r="U46" s="515"/>
      <c r="V46" s="512"/>
      <c r="W46" s="512"/>
      <c r="X46" s="512"/>
      <c r="Y46" s="512"/>
      <c r="Z46" s="512"/>
      <c r="AA46" s="512"/>
      <c r="AB46" s="512"/>
      <c r="AC46" s="512"/>
      <c r="AD46" s="515"/>
      <c r="AE46" s="515"/>
      <c r="AF46" s="515"/>
      <c r="AG46" s="128"/>
      <c r="AH46" s="128"/>
      <c r="AI46" s="128"/>
      <c r="AJ46" s="200"/>
      <c r="AK46" s="514"/>
      <c r="AL46" s="200"/>
      <c r="AM46" s="200"/>
      <c r="AN46" s="517"/>
      <c r="AO46" s="517"/>
      <c r="AP46" s="517"/>
      <c r="AQ46" s="517"/>
      <c r="AR46" s="517"/>
      <c r="AS46" s="517"/>
    </row>
    <row r="47" spans="2:45" ht="12" customHeight="1">
      <c r="B47" s="493"/>
      <c r="C47" s="493"/>
      <c r="D47" s="493"/>
      <c r="E47" s="515"/>
      <c r="F47" s="515"/>
      <c r="G47" s="515"/>
      <c r="H47" s="515"/>
      <c r="I47" s="515"/>
      <c r="J47" s="515"/>
      <c r="K47" s="515"/>
      <c r="L47" s="515"/>
      <c r="M47" s="515"/>
      <c r="N47" s="515"/>
      <c r="O47" s="515"/>
      <c r="P47" s="515"/>
      <c r="Q47" s="515"/>
      <c r="R47" s="515"/>
      <c r="S47" s="515"/>
      <c r="T47" s="515"/>
      <c r="U47" s="515"/>
      <c r="V47" s="512"/>
      <c r="W47" s="512"/>
      <c r="X47" s="512"/>
      <c r="Y47" s="512"/>
      <c r="Z47" s="512"/>
      <c r="AA47" s="512"/>
      <c r="AB47" s="512"/>
      <c r="AC47" s="512"/>
      <c r="AD47" s="515"/>
      <c r="AE47" s="515"/>
      <c r="AF47" s="515"/>
      <c r="AG47" s="128"/>
      <c r="AH47" s="128"/>
      <c r="AI47" s="128"/>
      <c r="AJ47" s="128"/>
      <c r="AK47" s="514"/>
      <c r="AL47" s="128"/>
      <c r="AM47" s="128"/>
      <c r="AN47" s="128"/>
      <c r="AO47" s="128"/>
      <c r="AP47" s="128"/>
      <c r="AQ47" s="128"/>
      <c r="AR47" s="128"/>
      <c r="AS47" s="128"/>
    </row>
    <row r="48" spans="2:45" ht="12" customHeight="1">
      <c r="B48" s="493"/>
      <c r="C48" s="493"/>
      <c r="D48" s="493"/>
      <c r="E48" s="515"/>
      <c r="F48" s="515"/>
      <c r="G48" s="515"/>
      <c r="H48" s="515"/>
      <c r="I48" s="515"/>
      <c r="J48" s="515"/>
      <c r="K48" s="515"/>
      <c r="L48" s="515"/>
      <c r="M48" s="515"/>
      <c r="N48" s="515"/>
      <c r="O48" s="515"/>
      <c r="P48" s="515"/>
      <c r="Q48" s="515"/>
      <c r="R48" s="515"/>
      <c r="S48" s="515"/>
      <c r="T48" s="515"/>
      <c r="U48" s="515"/>
      <c r="V48" s="512"/>
      <c r="W48" s="512"/>
      <c r="X48" s="512"/>
      <c r="Y48" s="512"/>
      <c r="Z48" s="512"/>
      <c r="AA48" s="512"/>
      <c r="AB48" s="512"/>
      <c r="AC48" s="512"/>
      <c r="AD48" s="515"/>
      <c r="AE48" s="515"/>
      <c r="AF48" s="515"/>
      <c r="AG48" s="128"/>
      <c r="AH48" s="128"/>
      <c r="AI48" s="128"/>
      <c r="AJ48" s="491"/>
      <c r="AK48" s="514"/>
      <c r="AL48" s="491"/>
      <c r="AM48" s="491"/>
      <c r="AN48" s="491"/>
      <c r="AO48" s="491"/>
      <c r="AP48" s="491"/>
      <c r="AQ48" s="491"/>
      <c r="AR48" s="491"/>
      <c r="AS48" s="491"/>
    </row>
    <row r="49" spans="2:45" ht="12" customHeight="1">
      <c r="B49" s="493"/>
      <c r="C49" s="493"/>
      <c r="D49" s="493"/>
      <c r="E49" s="515"/>
      <c r="F49" s="515"/>
      <c r="G49" s="515"/>
      <c r="H49" s="515"/>
      <c r="I49" s="515"/>
      <c r="J49" s="515"/>
      <c r="K49" s="515"/>
      <c r="L49" s="515"/>
      <c r="M49" s="515"/>
      <c r="N49" s="515"/>
      <c r="O49" s="515"/>
      <c r="P49" s="515"/>
      <c r="Q49" s="515"/>
      <c r="R49" s="515"/>
      <c r="S49" s="515"/>
      <c r="T49" s="515"/>
      <c r="U49" s="515"/>
      <c r="V49" s="512"/>
      <c r="W49" s="512"/>
      <c r="X49" s="512"/>
      <c r="Y49" s="512"/>
      <c r="Z49" s="512"/>
      <c r="AA49" s="512"/>
      <c r="AB49" s="512"/>
      <c r="AC49" s="512"/>
      <c r="AD49" s="515"/>
      <c r="AE49" s="515"/>
      <c r="AF49" s="515"/>
      <c r="AG49" s="128"/>
      <c r="AH49" s="128"/>
      <c r="AI49" s="128"/>
      <c r="AJ49" s="200"/>
      <c r="AK49" s="514"/>
      <c r="AL49" s="200"/>
      <c r="AM49" s="200"/>
      <c r="AN49" s="128"/>
      <c r="AO49" s="128"/>
      <c r="AP49" s="128"/>
      <c r="AQ49" s="144"/>
      <c r="AR49" s="145"/>
      <c r="AS49" s="145"/>
    </row>
    <row r="50" spans="2:45" ht="12" customHeight="1">
      <c r="B50" s="493"/>
      <c r="C50" s="493"/>
      <c r="D50" s="493"/>
      <c r="E50" s="515"/>
      <c r="F50" s="515"/>
      <c r="G50" s="515"/>
      <c r="H50" s="515"/>
      <c r="I50" s="515"/>
      <c r="J50" s="515"/>
      <c r="K50" s="515"/>
      <c r="L50" s="515"/>
      <c r="M50" s="515"/>
      <c r="N50" s="515"/>
      <c r="O50" s="515"/>
      <c r="P50" s="515"/>
      <c r="Q50" s="515"/>
      <c r="R50" s="515"/>
      <c r="S50" s="515"/>
      <c r="T50" s="515"/>
      <c r="U50" s="515"/>
      <c r="V50" s="512"/>
      <c r="W50" s="512"/>
      <c r="X50" s="512"/>
      <c r="Y50" s="512"/>
      <c r="Z50" s="512"/>
      <c r="AA50" s="512"/>
      <c r="AB50" s="512"/>
      <c r="AC50" s="512"/>
      <c r="AD50" s="515"/>
      <c r="AE50" s="515"/>
      <c r="AF50" s="515"/>
      <c r="AG50" s="128"/>
      <c r="AH50" s="128"/>
      <c r="AI50" s="128"/>
      <c r="AJ50" s="200"/>
      <c r="AK50" s="514"/>
      <c r="AL50" s="200"/>
      <c r="AM50" s="200"/>
      <c r="AN50" s="128"/>
      <c r="AO50" s="128"/>
      <c r="AP50" s="128"/>
      <c r="AQ50" s="145"/>
      <c r="AR50" s="145"/>
      <c r="AS50" s="145"/>
    </row>
    <row r="51" spans="2:45" ht="12" customHeight="1">
      <c r="B51" s="493"/>
      <c r="C51" s="493"/>
      <c r="D51" s="493"/>
      <c r="E51" s="515"/>
      <c r="F51" s="515"/>
      <c r="G51" s="515"/>
      <c r="H51" s="515"/>
      <c r="I51" s="515"/>
      <c r="J51" s="515"/>
      <c r="K51" s="515"/>
      <c r="L51" s="515"/>
      <c r="M51" s="515"/>
      <c r="N51" s="515"/>
      <c r="O51" s="515"/>
      <c r="P51" s="515"/>
      <c r="Q51" s="515"/>
      <c r="R51" s="515"/>
      <c r="S51" s="515"/>
      <c r="T51" s="515"/>
      <c r="U51" s="515"/>
      <c r="V51" s="512"/>
      <c r="W51" s="512"/>
      <c r="X51" s="512"/>
      <c r="Y51" s="512"/>
      <c r="Z51" s="512"/>
      <c r="AA51" s="512"/>
      <c r="AB51" s="512"/>
      <c r="AC51" s="512"/>
      <c r="AD51" s="515"/>
      <c r="AE51" s="515"/>
      <c r="AF51" s="515"/>
      <c r="AG51" s="128"/>
      <c r="AH51" s="128"/>
      <c r="AI51" s="128"/>
      <c r="AJ51" s="130"/>
      <c r="AK51" s="514"/>
    </row>
    <row r="52" spans="2:45" ht="12" customHeight="1">
      <c r="B52" s="493"/>
      <c r="C52" s="493"/>
      <c r="D52" s="493"/>
      <c r="E52" s="515"/>
      <c r="F52" s="515"/>
      <c r="G52" s="515"/>
      <c r="H52" s="515"/>
      <c r="I52" s="515"/>
      <c r="J52" s="515"/>
      <c r="K52" s="515"/>
      <c r="L52" s="515"/>
      <c r="M52" s="515"/>
      <c r="N52" s="515"/>
      <c r="O52" s="515"/>
      <c r="P52" s="515"/>
      <c r="Q52" s="515"/>
      <c r="R52" s="515"/>
      <c r="S52" s="515"/>
      <c r="T52" s="515"/>
      <c r="U52" s="515"/>
      <c r="V52" s="512"/>
      <c r="W52" s="512"/>
      <c r="X52" s="512"/>
      <c r="Y52" s="512"/>
      <c r="Z52" s="512"/>
      <c r="AA52" s="512"/>
      <c r="AB52" s="512"/>
      <c r="AC52" s="512"/>
      <c r="AD52" s="515"/>
      <c r="AE52" s="515"/>
      <c r="AF52" s="515"/>
      <c r="AG52" s="128"/>
      <c r="AH52" s="128"/>
      <c r="AI52" s="128"/>
      <c r="AJ52" s="130"/>
      <c r="AK52" s="514"/>
    </row>
    <row r="53" spans="2:45" ht="12" customHeight="1">
      <c r="B53" s="493"/>
      <c r="C53" s="493"/>
      <c r="D53" s="493"/>
      <c r="E53" s="515"/>
      <c r="F53" s="515"/>
      <c r="G53" s="515"/>
      <c r="H53" s="515"/>
      <c r="I53" s="515"/>
      <c r="J53" s="515"/>
      <c r="K53" s="515"/>
      <c r="L53" s="515"/>
      <c r="M53" s="515"/>
      <c r="N53" s="515"/>
      <c r="O53" s="515"/>
      <c r="P53" s="489"/>
      <c r="Q53" s="489"/>
      <c r="R53" s="489"/>
      <c r="S53" s="489"/>
      <c r="T53" s="489"/>
      <c r="U53" s="489"/>
      <c r="V53" s="489"/>
      <c r="W53" s="489"/>
      <c r="X53" s="489"/>
      <c r="Y53" s="489"/>
      <c r="Z53" s="489"/>
      <c r="AA53" s="489"/>
      <c r="AB53" s="489"/>
      <c r="AC53" s="489"/>
      <c r="AD53" s="489"/>
      <c r="AE53" s="489"/>
      <c r="AF53" s="515"/>
      <c r="AG53" s="128"/>
      <c r="AH53" s="128"/>
      <c r="AI53" s="128"/>
      <c r="AJ53" s="130"/>
      <c r="AK53" s="514"/>
    </row>
    <row r="54" spans="2:45" ht="12" customHeight="1">
      <c r="B54" s="493"/>
      <c r="C54" s="493"/>
      <c r="D54" s="493"/>
      <c r="E54" s="509"/>
      <c r="F54" s="509"/>
      <c r="G54" s="509"/>
      <c r="H54" s="509"/>
      <c r="I54" s="509"/>
      <c r="J54" s="509"/>
      <c r="K54" s="509"/>
      <c r="L54" s="489"/>
      <c r="M54" s="489"/>
      <c r="N54" s="489"/>
      <c r="O54" s="489"/>
      <c r="P54" s="489"/>
      <c r="Q54" s="489"/>
      <c r="R54" s="489"/>
      <c r="S54" s="489"/>
      <c r="T54" s="489"/>
      <c r="U54" s="489"/>
      <c r="V54" s="489"/>
      <c r="W54" s="489"/>
      <c r="X54" s="489"/>
      <c r="Y54" s="489"/>
      <c r="Z54" s="489"/>
      <c r="AA54" s="489"/>
      <c r="AB54" s="489"/>
      <c r="AC54" s="489"/>
      <c r="AD54" s="489"/>
      <c r="AE54" s="489"/>
      <c r="AF54" s="515"/>
      <c r="AG54" s="128"/>
      <c r="AH54" s="128"/>
      <c r="AI54" s="128"/>
      <c r="AJ54" s="130"/>
      <c r="AK54" s="514"/>
    </row>
    <row r="55" spans="2:45" ht="12" customHeight="1">
      <c r="B55" s="493"/>
      <c r="C55" s="493"/>
      <c r="D55" s="493"/>
      <c r="E55" s="511"/>
      <c r="F55" s="511"/>
      <c r="G55" s="511"/>
      <c r="H55" s="511"/>
      <c r="I55" s="511"/>
      <c r="J55" s="511"/>
      <c r="K55" s="511"/>
      <c r="L55" s="511"/>
      <c r="M55" s="511"/>
      <c r="N55" s="511"/>
      <c r="O55" s="511"/>
      <c r="P55" s="511"/>
      <c r="Q55" s="511"/>
      <c r="R55" s="511"/>
      <c r="S55" s="511"/>
      <c r="T55" s="511"/>
      <c r="U55" s="511"/>
      <c r="V55" s="511"/>
      <c r="W55" s="511"/>
      <c r="X55" s="511"/>
      <c r="Y55" s="511"/>
      <c r="Z55" s="511"/>
      <c r="AA55" s="511"/>
      <c r="AB55" s="511"/>
      <c r="AC55" s="511"/>
      <c r="AD55" s="511"/>
      <c r="AE55" s="511"/>
      <c r="AF55" s="515"/>
      <c r="AG55" s="518"/>
      <c r="AH55" s="518"/>
      <c r="AI55" s="486"/>
      <c r="AJ55" s="130"/>
      <c r="AK55" s="514"/>
    </row>
    <row r="56" spans="2:45" ht="12" customHeight="1">
      <c r="B56" s="493"/>
      <c r="C56" s="493"/>
      <c r="D56" s="493"/>
      <c r="E56" s="128"/>
      <c r="F56" s="128"/>
      <c r="G56" s="128"/>
      <c r="H56" s="128"/>
      <c r="I56" s="128"/>
      <c r="J56" s="128"/>
      <c r="K56" s="128"/>
      <c r="L56" s="128"/>
      <c r="M56" s="128"/>
      <c r="N56" s="128"/>
      <c r="O56" s="128"/>
      <c r="P56" s="129"/>
      <c r="Q56" s="129"/>
      <c r="R56" s="129"/>
      <c r="S56" s="129"/>
      <c r="T56" s="129"/>
      <c r="U56" s="129"/>
      <c r="V56" s="123"/>
      <c r="W56" s="123"/>
      <c r="X56" s="519"/>
      <c r="Y56" s="519"/>
      <c r="Z56" s="519"/>
      <c r="AA56" s="519"/>
      <c r="AB56" s="519"/>
      <c r="AC56" s="519"/>
      <c r="AD56" s="520"/>
      <c r="AE56" s="520"/>
      <c r="AF56" s="515"/>
      <c r="AG56" s="515"/>
      <c r="AH56" s="515"/>
      <c r="AI56" s="487"/>
      <c r="AJ56" s="130"/>
      <c r="AK56" s="514"/>
    </row>
    <row r="57" spans="2:45" ht="12" customHeight="1">
      <c r="B57" s="493"/>
      <c r="C57" s="493"/>
      <c r="D57" s="493"/>
      <c r="E57" s="129"/>
      <c r="F57" s="128"/>
      <c r="G57" s="128"/>
      <c r="H57" s="128"/>
      <c r="I57" s="128"/>
      <c r="J57" s="128"/>
      <c r="K57" s="128"/>
      <c r="L57" s="128"/>
      <c r="M57" s="128"/>
      <c r="N57" s="128"/>
      <c r="O57" s="128"/>
      <c r="P57" s="129"/>
      <c r="Q57" s="128"/>
      <c r="R57" s="128"/>
      <c r="S57" s="128"/>
      <c r="T57" s="128"/>
      <c r="U57" s="128"/>
      <c r="V57" s="123"/>
      <c r="W57" s="123"/>
      <c r="X57" s="123"/>
      <c r="Y57" s="123"/>
      <c r="Z57" s="123"/>
      <c r="AA57" s="123"/>
      <c r="AB57" s="123"/>
      <c r="AC57" s="123"/>
      <c r="AD57" s="128"/>
      <c r="AE57" s="128"/>
      <c r="AF57" s="515"/>
      <c r="AG57" s="515"/>
      <c r="AH57" s="515"/>
      <c r="AI57" s="487"/>
      <c r="AJ57" s="130"/>
      <c r="AK57" s="514"/>
    </row>
    <row r="58" spans="2:45" ht="12" customHeight="1">
      <c r="B58" s="493"/>
      <c r="C58" s="493"/>
      <c r="D58" s="493"/>
      <c r="E58" s="128"/>
      <c r="F58" s="128"/>
      <c r="G58" s="128"/>
      <c r="H58" s="128"/>
      <c r="I58" s="128"/>
      <c r="J58" s="128"/>
      <c r="K58" s="128"/>
      <c r="L58" s="128"/>
      <c r="M58" s="128"/>
      <c r="N58" s="128"/>
      <c r="O58" s="128"/>
      <c r="P58" s="129"/>
      <c r="Q58" s="129"/>
      <c r="R58" s="129"/>
      <c r="S58" s="129"/>
      <c r="T58" s="129"/>
      <c r="U58" s="129"/>
      <c r="V58" s="123"/>
      <c r="W58" s="123"/>
      <c r="X58" s="123"/>
      <c r="Y58" s="123"/>
      <c r="Z58" s="123"/>
      <c r="AA58" s="123"/>
      <c r="AB58" s="123"/>
      <c r="AC58" s="123"/>
      <c r="AD58" s="129"/>
      <c r="AE58" s="129"/>
      <c r="AF58" s="515"/>
      <c r="AG58" s="515"/>
      <c r="AH58" s="515"/>
      <c r="AI58" s="487"/>
      <c r="AJ58" s="130"/>
      <c r="AK58" s="514"/>
    </row>
    <row r="59" spans="2:45" ht="12" customHeight="1">
      <c r="B59" s="493"/>
      <c r="C59" s="493"/>
      <c r="D59" s="493"/>
      <c r="E59" s="129"/>
      <c r="F59" s="128"/>
      <c r="G59" s="128"/>
      <c r="H59" s="128"/>
      <c r="I59" s="128"/>
      <c r="J59" s="128"/>
      <c r="K59" s="128"/>
      <c r="L59" s="128"/>
      <c r="M59" s="128"/>
      <c r="N59" s="128"/>
      <c r="O59" s="128"/>
      <c r="P59" s="129"/>
      <c r="Q59" s="128"/>
      <c r="R59" s="128"/>
      <c r="S59" s="128"/>
      <c r="T59" s="128"/>
      <c r="U59" s="128"/>
      <c r="V59" s="123"/>
      <c r="W59" s="123"/>
      <c r="X59" s="123"/>
      <c r="Y59" s="123"/>
      <c r="Z59" s="123"/>
      <c r="AA59" s="123"/>
      <c r="AB59" s="123"/>
      <c r="AC59" s="123"/>
      <c r="AD59" s="128"/>
      <c r="AE59" s="128"/>
      <c r="AF59" s="515"/>
      <c r="AG59" s="515"/>
      <c r="AH59" s="515"/>
      <c r="AI59" s="515"/>
      <c r="AJ59" s="130"/>
      <c r="AK59" s="514"/>
    </row>
    <row r="60" spans="2:45" ht="12" customHeight="1">
      <c r="B60" s="493"/>
      <c r="C60" s="493"/>
      <c r="D60" s="493"/>
      <c r="E60" s="128"/>
      <c r="F60" s="128"/>
      <c r="G60" s="128"/>
      <c r="H60" s="128"/>
      <c r="I60" s="128"/>
      <c r="J60" s="128"/>
      <c r="K60" s="128"/>
      <c r="L60" s="128"/>
      <c r="M60" s="128"/>
      <c r="N60" s="128"/>
      <c r="O60" s="128"/>
      <c r="P60" s="129"/>
      <c r="Q60" s="129"/>
      <c r="R60" s="129"/>
      <c r="S60" s="129"/>
      <c r="T60" s="129"/>
      <c r="U60" s="129"/>
      <c r="V60" s="123"/>
      <c r="W60" s="123"/>
      <c r="X60" s="123"/>
      <c r="Y60" s="123"/>
      <c r="Z60" s="123"/>
      <c r="AA60" s="123"/>
      <c r="AB60" s="123"/>
      <c r="AC60" s="123"/>
      <c r="AD60" s="129"/>
      <c r="AE60" s="129"/>
      <c r="AF60" s="515"/>
      <c r="AG60" s="515"/>
      <c r="AH60" s="515"/>
      <c r="AI60" s="515"/>
      <c r="AJ60" s="130"/>
      <c r="AK60" s="514"/>
    </row>
    <row r="61" spans="2:45" ht="12" customHeight="1">
      <c r="B61" s="493"/>
      <c r="C61" s="493"/>
      <c r="D61" s="493"/>
      <c r="E61" s="129"/>
      <c r="F61" s="128"/>
      <c r="G61" s="128"/>
      <c r="H61" s="128"/>
      <c r="I61" s="128"/>
      <c r="J61" s="128"/>
      <c r="K61" s="128"/>
      <c r="L61" s="128"/>
      <c r="M61" s="128"/>
      <c r="N61" s="128"/>
      <c r="O61" s="128"/>
      <c r="P61" s="521"/>
      <c r="Q61" s="516"/>
      <c r="R61" s="516"/>
      <c r="S61" s="516"/>
      <c r="T61" s="516"/>
      <c r="U61" s="516"/>
      <c r="V61" s="508"/>
      <c r="W61" s="508"/>
      <c r="X61" s="508"/>
      <c r="Y61" s="508"/>
      <c r="Z61" s="508"/>
      <c r="AA61" s="508"/>
      <c r="AB61" s="508"/>
      <c r="AC61" s="508"/>
      <c r="AD61" s="516"/>
      <c r="AE61" s="516"/>
      <c r="AF61" s="515"/>
      <c r="AG61" s="515"/>
      <c r="AH61" s="515"/>
      <c r="AI61" s="515"/>
      <c r="AJ61" s="130"/>
      <c r="AK61" s="514"/>
    </row>
    <row r="62" spans="2:45" ht="12" customHeight="1">
      <c r="B62" s="493"/>
      <c r="C62" s="493"/>
      <c r="D62" s="493"/>
      <c r="E62" s="129"/>
      <c r="F62" s="129"/>
      <c r="G62" s="129"/>
      <c r="H62" s="129"/>
      <c r="I62" s="129"/>
      <c r="J62" s="129"/>
      <c r="K62" s="129"/>
      <c r="L62" s="129"/>
      <c r="M62" s="129"/>
      <c r="N62" s="129"/>
      <c r="O62" s="129"/>
      <c r="P62" s="129"/>
      <c r="Q62" s="129"/>
      <c r="R62" s="129"/>
      <c r="S62" s="129"/>
      <c r="T62" s="129"/>
      <c r="U62" s="129"/>
      <c r="V62" s="123"/>
      <c r="W62" s="123"/>
      <c r="X62" s="123"/>
      <c r="Y62" s="123"/>
      <c r="Z62" s="123"/>
      <c r="AA62" s="123"/>
      <c r="AB62" s="123"/>
      <c r="AC62" s="123"/>
      <c r="AD62" s="129"/>
      <c r="AE62" s="129"/>
      <c r="AF62" s="515"/>
      <c r="AG62" s="515"/>
      <c r="AH62" s="515"/>
      <c r="AI62" s="515"/>
      <c r="AJ62" s="130"/>
      <c r="AK62" s="514"/>
    </row>
    <row r="63" spans="2:45" ht="12" customHeight="1">
      <c r="B63" s="493"/>
      <c r="C63" s="493"/>
      <c r="D63" s="493"/>
      <c r="E63" s="129"/>
      <c r="F63" s="128"/>
      <c r="G63" s="128"/>
      <c r="H63" s="128"/>
      <c r="I63" s="128"/>
      <c r="J63" s="128"/>
      <c r="K63" s="128"/>
      <c r="L63" s="128"/>
      <c r="M63" s="128"/>
      <c r="N63" s="128"/>
      <c r="O63" s="128"/>
      <c r="P63" s="129"/>
      <c r="Q63" s="128"/>
      <c r="R63" s="128"/>
      <c r="S63" s="128"/>
      <c r="T63" s="128"/>
      <c r="U63" s="128"/>
      <c r="V63" s="123"/>
      <c r="W63" s="123"/>
      <c r="X63" s="123"/>
      <c r="Y63" s="123"/>
      <c r="Z63" s="123"/>
      <c r="AA63" s="123"/>
      <c r="AB63" s="123"/>
      <c r="AC63" s="123"/>
      <c r="AD63" s="128"/>
      <c r="AE63" s="128"/>
      <c r="AF63" s="515"/>
      <c r="AG63" s="515"/>
      <c r="AH63" s="515"/>
      <c r="AI63" s="515"/>
      <c r="AJ63" s="130"/>
      <c r="AK63" s="514"/>
    </row>
    <row r="64" spans="2:45" ht="12" customHeight="1">
      <c r="B64" s="493"/>
      <c r="C64" s="493"/>
      <c r="D64" s="493"/>
      <c r="E64" s="128"/>
      <c r="F64" s="128"/>
      <c r="G64" s="128"/>
      <c r="H64" s="128"/>
      <c r="I64" s="128"/>
      <c r="J64" s="128"/>
      <c r="K64" s="128"/>
      <c r="L64" s="128"/>
      <c r="M64" s="128"/>
      <c r="N64" s="128"/>
      <c r="O64" s="128"/>
      <c r="P64" s="129"/>
      <c r="Q64" s="129"/>
      <c r="R64" s="129"/>
      <c r="S64" s="129"/>
      <c r="T64" s="129"/>
      <c r="U64" s="129"/>
      <c r="V64" s="123"/>
      <c r="W64" s="123"/>
      <c r="X64" s="123"/>
      <c r="Y64" s="123"/>
      <c r="Z64" s="123"/>
      <c r="AA64" s="123"/>
      <c r="AB64" s="123"/>
      <c r="AC64" s="123"/>
      <c r="AD64" s="129"/>
      <c r="AE64" s="129"/>
      <c r="AF64" s="515"/>
      <c r="AG64" s="515"/>
      <c r="AH64" s="515"/>
      <c r="AI64" s="515"/>
      <c r="AJ64" s="130"/>
      <c r="AK64" s="514"/>
    </row>
    <row r="65" spans="2:67" ht="12" customHeight="1">
      <c r="B65" s="493"/>
      <c r="C65" s="493"/>
      <c r="D65" s="493"/>
      <c r="E65" s="129"/>
      <c r="F65" s="128"/>
      <c r="G65" s="128"/>
      <c r="H65" s="128"/>
      <c r="I65" s="128"/>
      <c r="J65" s="128"/>
      <c r="K65" s="128"/>
      <c r="L65" s="128"/>
      <c r="M65" s="128"/>
      <c r="N65" s="128"/>
      <c r="O65" s="128"/>
      <c r="P65" s="129"/>
      <c r="Q65" s="128"/>
      <c r="R65" s="128"/>
      <c r="S65" s="128"/>
      <c r="T65" s="128"/>
      <c r="U65" s="128"/>
      <c r="V65" s="123"/>
      <c r="W65" s="123"/>
      <c r="X65" s="123"/>
      <c r="Y65" s="123"/>
      <c r="Z65" s="123"/>
      <c r="AA65" s="123"/>
      <c r="AB65" s="123"/>
      <c r="AC65" s="123"/>
      <c r="AD65" s="128"/>
      <c r="AE65" s="128"/>
      <c r="AF65" s="515"/>
      <c r="AG65" s="515"/>
      <c r="AH65" s="515"/>
      <c r="AI65" s="515"/>
      <c r="AJ65" s="130"/>
      <c r="AK65" s="514"/>
    </row>
    <row r="66" spans="2:67" ht="12" customHeight="1">
      <c r="B66" s="493"/>
      <c r="C66" s="493"/>
      <c r="D66" s="493"/>
      <c r="E66" s="128"/>
      <c r="F66" s="128"/>
      <c r="G66" s="128"/>
      <c r="H66" s="128"/>
      <c r="I66" s="128"/>
      <c r="J66" s="128"/>
      <c r="K66" s="128"/>
      <c r="L66" s="128"/>
      <c r="M66" s="128"/>
      <c r="N66" s="128"/>
      <c r="O66" s="128"/>
      <c r="P66" s="129"/>
      <c r="Q66" s="129"/>
      <c r="R66" s="129"/>
      <c r="S66" s="129"/>
      <c r="T66" s="129"/>
      <c r="U66" s="129"/>
      <c r="V66" s="123"/>
      <c r="W66" s="123"/>
      <c r="X66" s="123"/>
      <c r="Y66" s="123"/>
      <c r="Z66" s="123"/>
      <c r="AA66" s="123"/>
      <c r="AB66" s="123"/>
      <c r="AC66" s="123"/>
      <c r="AD66" s="129"/>
      <c r="AE66" s="129"/>
      <c r="AF66" s="515"/>
      <c r="AG66" s="515"/>
      <c r="AH66" s="515"/>
      <c r="AI66" s="515"/>
      <c r="AJ66" s="130"/>
      <c r="AK66" s="514"/>
    </row>
    <row r="67" spans="2:67" ht="12" customHeight="1">
      <c r="B67" s="493"/>
      <c r="C67" s="493"/>
      <c r="D67" s="493"/>
      <c r="E67" s="129"/>
      <c r="F67" s="128"/>
      <c r="G67" s="128"/>
      <c r="H67" s="128"/>
      <c r="I67" s="128"/>
      <c r="J67" s="128"/>
      <c r="K67" s="128"/>
      <c r="L67" s="128"/>
      <c r="M67" s="128"/>
      <c r="N67" s="128"/>
      <c r="O67" s="128"/>
      <c r="P67" s="129"/>
      <c r="Q67" s="128"/>
      <c r="R67" s="128"/>
      <c r="S67" s="128"/>
      <c r="T67" s="128"/>
      <c r="U67" s="128"/>
      <c r="V67" s="123"/>
      <c r="W67" s="123"/>
      <c r="X67" s="123"/>
      <c r="Y67" s="123"/>
      <c r="Z67" s="123"/>
      <c r="AA67" s="123"/>
      <c r="AB67" s="123"/>
      <c r="AC67" s="123"/>
      <c r="AD67" s="128"/>
      <c r="AE67" s="128"/>
      <c r="AF67" s="515"/>
      <c r="AG67" s="515"/>
      <c r="AH67" s="515"/>
      <c r="AI67" s="515"/>
      <c r="AJ67" s="130"/>
      <c r="AK67" s="514"/>
    </row>
    <row r="68" spans="2:67" ht="12" customHeight="1">
      <c r="B68" s="493"/>
      <c r="C68" s="493"/>
      <c r="D68" s="493"/>
      <c r="E68" s="128"/>
      <c r="F68" s="128"/>
      <c r="G68" s="128"/>
      <c r="H68" s="128"/>
      <c r="I68" s="128"/>
      <c r="J68" s="128"/>
      <c r="K68" s="128"/>
      <c r="L68" s="128"/>
      <c r="M68" s="128"/>
      <c r="N68" s="128"/>
      <c r="O68" s="128"/>
      <c r="P68" s="129"/>
      <c r="Q68" s="129"/>
      <c r="R68" s="129"/>
      <c r="S68" s="129"/>
      <c r="T68" s="129"/>
      <c r="U68" s="129"/>
      <c r="V68" s="123"/>
      <c r="W68" s="123"/>
      <c r="X68" s="123"/>
      <c r="Y68" s="123"/>
      <c r="Z68" s="123"/>
      <c r="AA68" s="123"/>
      <c r="AB68" s="123"/>
      <c r="AC68" s="123"/>
      <c r="AD68" s="129"/>
      <c r="AE68" s="129"/>
      <c r="AF68" s="515"/>
      <c r="AG68" s="504"/>
      <c r="AH68" s="504"/>
      <c r="AI68" s="486"/>
      <c r="AJ68" s="130"/>
      <c r="AK68" s="522"/>
    </row>
    <row r="69" spans="2:67" ht="12" customHeight="1">
      <c r="B69" s="493"/>
      <c r="C69" s="493"/>
      <c r="D69" s="493"/>
      <c r="E69" s="129"/>
      <c r="F69" s="128"/>
      <c r="G69" s="128"/>
      <c r="H69" s="128"/>
      <c r="I69" s="128"/>
      <c r="J69" s="128"/>
      <c r="K69" s="128"/>
      <c r="L69" s="128"/>
      <c r="M69" s="128"/>
      <c r="N69" s="128"/>
      <c r="O69" s="128"/>
      <c r="P69" s="128"/>
      <c r="Q69" s="128"/>
      <c r="R69" s="128"/>
      <c r="S69" s="128"/>
      <c r="T69" s="128"/>
      <c r="U69" s="128"/>
      <c r="V69" s="123"/>
      <c r="W69" s="123"/>
      <c r="X69" s="123"/>
      <c r="Y69" s="123"/>
      <c r="Z69" s="123"/>
      <c r="AA69" s="123"/>
      <c r="AB69" s="123"/>
      <c r="AC69" s="123"/>
      <c r="AD69" s="128"/>
      <c r="AE69" s="128"/>
      <c r="AF69" s="515"/>
      <c r="AG69" s="110"/>
      <c r="AH69" s="110"/>
      <c r="AI69" s="487"/>
      <c r="AJ69" s="128"/>
      <c r="AK69" s="514"/>
    </row>
    <row r="70" spans="2:67" ht="12" customHeight="1">
      <c r="B70" s="493"/>
      <c r="C70" s="493"/>
      <c r="D70" s="493"/>
      <c r="E70" s="128"/>
      <c r="F70" s="128"/>
      <c r="G70" s="128"/>
      <c r="H70" s="128"/>
      <c r="I70" s="128"/>
      <c r="J70" s="128"/>
      <c r="K70" s="128"/>
      <c r="L70" s="128"/>
      <c r="M70" s="128"/>
      <c r="N70" s="128"/>
      <c r="O70" s="128"/>
      <c r="P70" s="517"/>
      <c r="Q70" s="517"/>
      <c r="R70" s="517"/>
      <c r="S70" s="517"/>
      <c r="T70" s="517"/>
      <c r="U70" s="517"/>
      <c r="V70" s="523"/>
      <c r="W70" s="123"/>
      <c r="X70" s="123"/>
      <c r="Y70" s="123"/>
      <c r="Z70" s="123"/>
      <c r="AA70" s="123"/>
      <c r="AB70" s="123"/>
      <c r="AC70" s="123"/>
      <c r="AD70" s="129"/>
      <c r="AE70" s="129"/>
      <c r="AF70" s="515"/>
      <c r="AG70" s="110"/>
      <c r="AH70" s="110"/>
      <c r="AI70" s="487"/>
      <c r="AJ70" s="130"/>
      <c r="AK70" s="514"/>
    </row>
    <row r="71" spans="2:67" ht="12" customHeight="1">
      <c r="B71" s="493"/>
      <c r="C71" s="493"/>
      <c r="D71" s="493"/>
      <c r="E71" s="123"/>
      <c r="F71" s="128"/>
      <c r="G71" s="128"/>
      <c r="H71" s="128"/>
      <c r="I71" s="128"/>
      <c r="J71" s="128"/>
      <c r="K71" s="128"/>
      <c r="L71" s="128"/>
      <c r="M71" s="128"/>
      <c r="N71" s="128"/>
      <c r="O71" s="128"/>
      <c r="P71" s="128"/>
      <c r="Q71" s="128"/>
      <c r="R71" s="128"/>
      <c r="S71" s="128"/>
      <c r="T71" s="128"/>
      <c r="U71" s="128"/>
      <c r="V71" s="123"/>
      <c r="W71" s="123"/>
      <c r="X71" s="123"/>
      <c r="Y71" s="123"/>
      <c r="Z71" s="123"/>
      <c r="AA71" s="123"/>
      <c r="AB71" s="123"/>
      <c r="AC71" s="123"/>
      <c r="AD71" s="128"/>
      <c r="AE71" s="128"/>
      <c r="AF71" s="515"/>
      <c r="AG71" s="110"/>
      <c r="AH71" s="110"/>
      <c r="AI71" s="487"/>
      <c r="AJ71" s="130"/>
      <c r="AK71" s="514"/>
    </row>
    <row r="72" spans="2:67" ht="12" customHeight="1">
      <c r="B72" s="493"/>
      <c r="C72" s="493"/>
      <c r="D72" s="493"/>
      <c r="E72" s="491"/>
      <c r="F72" s="491"/>
      <c r="G72" s="491"/>
      <c r="H72" s="491"/>
      <c r="I72" s="491"/>
      <c r="J72" s="491"/>
      <c r="K72" s="491"/>
      <c r="L72" s="489"/>
      <c r="M72" s="489"/>
      <c r="N72" s="489"/>
      <c r="O72" s="489"/>
      <c r="P72" s="491"/>
      <c r="Q72" s="491"/>
      <c r="R72" s="491"/>
      <c r="S72" s="491"/>
      <c r="T72" s="491"/>
      <c r="U72" s="491"/>
      <c r="V72" s="489"/>
      <c r="W72" s="489"/>
      <c r="X72" s="489"/>
      <c r="Y72" s="489"/>
      <c r="Z72" s="489"/>
      <c r="AA72" s="489"/>
      <c r="AB72" s="489"/>
      <c r="AC72" s="489"/>
      <c r="AD72" s="489"/>
      <c r="AE72" s="489"/>
      <c r="AF72" s="515"/>
      <c r="AG72" s="515"/>
      <c r="AH72" s="515"/>
      <c r="AI72" s="515"/>
      <c r="AJ72" s="130"/>
      <c r="AK72" s="514"/>
    </row>
    <row r="73" spans="2:67" ht="12" customHeight="1">
      <c r="B73" s="493"/>
      <c r="C73" s="493"/>
      <c r="D73" s="493"/>
      <c r="E73" s="200"/>
      <c r="F73" s="200"/>
      <c r="G73" s="200"/>
      <c r="H73" s="200"/>
      <c r="I73" s="200"/>
      <c r="J73" s="200"/>
      <c r="K73" s="200"/>
      <c r="L73" s="200"/>
      <c r="M73" s="200"/>
      <c r="N73" s="200"/>
      <c r="O73" s="200"/>
      <c r="P73" s="128"/>
      <c r="Q73" s="128"/>
      <c r="R73" s="128"/>
      <c r="S73" s="128"/>
      <c r="T73" s="128"/>
      <c r="U73" s="128"/>
      <c r="V73" s="123"/>
      <c r="W73" s="123"/>
      <c r="X73" s="123"/>
      <c r="Y73" s="123"/>
      <c r="Z73" s="123"/>
      <c r="AA73" s="123"/>
      <c r="AB73" s="123"/>
      <c r="AC73" s="123"/>
      <c r="AD73" s="128"/>
      <c r="AE73" s="128"/>
      <c r="AF73" s="515"/>
      <c r="AG73" s="515"/>
      <c r="AH73" s="515"/>
      <c r="AI73" s="515"/>
      <c r="AJ73" s="130"/>
      <c r="AK73" s="514"/>
    </row>
    <row r="74" spans="2:67" ht="12" customHeight="1">
      <c r="B74" s="493"/>
      <c r="C74" s="493"/>
      <c r="D74" s="493"/>
      <c r="E74" s="200"/>
      <c r="F74" s="200"/>
      <c r="G74" s="200"/>
      <c r="H74" s="200"/>
      <c r="I74" s="200"/>
      <c r="J74" s="200"/>
      <c r="K74" s="200"/>
      <c r="L74" s="200"/>
      <c r="M74" s="200"/>
      <c r="N74" s="200"/>
      <c r="O74" s="200"/>
      <c r="P74" s="128"/>
      <c r="Q74" s="128"/>
      <c r="R74" s="128"/>
      <c r="S74" s="128"/>
      <c r="T74" s="128"/>
      <c r="U74" s="128"/>
      <c r="V74" s="123"/>
      <c r="W74" s="123"/>
      <c r="X74" s="123"/>
      <c r="Y74" s="123"/>
      <c r="Z74" s="123"/>
      <c r="AA74" s="123"/>
      <c r="AB74" s="123"/>
      <c r="AC74" s="123"/>
      <c r="AD74" s="128"/>
      <c r="AE74" s="128"/>
      <c r="AF74" s="515"/>
      <c r="AG74" s="515"/>
      <c r="AH74" s="515"/>
      <c r="AI74" s="515"/>
      <c r="AJ74" s="130"/>
      <c r="AK74" s="514"/>
    </row>
    <row r="75" spans="2:67" ht="12" customHeight="1">
      <c r="B75" s="493"/>
      <c r="C75" s="493"/>
      <c r="D75" s="493"/>
      <c r="E75" s="515"/>
      <c r="F75" s="515"/>
      <c r="G75" s="515"/>
      <c r="H75" s="515"/>
      <c r="I75" s="515"/>
      <c r="J75" s="515"/>
      <c r="K75" s="515"/>
      <c r="L75" s="515"/>
      <c r="M75" s="515"/>
      <c r="N75" s="515"/>
      <c r="O75" s="515"/>
      <c r="P75" s="130"/>
      <c r="Q75" s="130"/>
      <c r="R75" s="130"/>
      <c r="S75" s="130"/>
      <c r="T75" s="130"/>
      <c r="U75" s="130"/>
      <c r="V75" s="481"/>
      <c r="W75" s="481"/>
      <c r="X75" s="481"/>
      <c r="Y75" s="481"/>
      <c r="Z75" s="481"/>
      <c r="AA75" s="481"/>
      <c r="AB75" s="481"/>
      <c r="AC75" s="481"/>
      <c r="AD75" s="130"/>
      <c r="AE75" s="130"/>
      <c r="AF75" s="515"/>
      <c r="AG75" s="515"/>
      <c r="AH75" s="515"/>
      <c r="AI75" s="515"/>
      <c r="AJ75" s="130"/>
      <c r="AK75" s="514"/>
    </row>
    <row r="76" spans="2:67" ht="12" customHeight="1">
      <c r="B76" s="493"/>
      <c r="C76" s="493"/>
      <c r="D76" s="493"/>
      <c r="E76" s="524"/>
      <c r="F76" s="524"/>
      <c r="G76" s="524"/>
      <c r="H76" s="524"/>
      <c r="I76" s="524"/>
      <c r="J76" s="524"/>
      <c r="K76" s="517"/>
      <c r="L76" s="517"/>
      <c r="M76" s="517"/>
      <c r="N76" s="517"/>
      <c r="O76" s="517"/>
      <c r="P76" s="517"/>
      <c r="Q76" s="517"/>
      <c r="R76" s="517"/>
      <c r="S76" s="517"/>
      <c r="T76" s="517"/>
      <c r="U76" s="517"/>
      <c r="V76" s="523"/>
      <c r="W76" s="523"/>
      <c r="X76" s="523"/>
      <c r="Y76" s="523"/>
      <c r="Z76" s="523"/>
      <c r="AA76" s="523"/>
      <c r="AB76" s="523"/>
      <c r="AC76" s="523"/>
      <c r="AD76" s="517"/>
      <c r="AE76" s="517"/>
      <c r="AF76" s="515"/>
      <c r="AG76" s="515"/>
      <c r="AH76" s="515"/>
      <c r="AI76" s="515"/>
      <c r="AJ76" s="130"/>
      <c r="AK76" s="514"/>
      <c r="AL76" s="487"/>
      <c r="AT76" s="525"/>
      <c r="AU76" s="525"/>
      <c r="AV76" s="525"/>
      <c r="AW76" s="525"/>
      <c r="AX76" s="525"/>
      <c r="AY76" s="525"/>
      <c r="AZ76" s="525"/>
      <c r="BA76" s="525"/>
      <c r="BB76" s="525"/>
      <c r="BC76" s="525"/>
      <c r="BD76" s="525"/>
      <c r="BE76" s="525"/>
      <c r="BF76" s="525"/>
      <c r="BG76" s="525"/>
      <c r="BH76" s="525"/>
      <c r="BI76" s="525"/>
      <c r="BJ76" s="525"/>
      <c r="BK76" s="525"/>
      <c r="BL76" s="525"/>
      <c r="BM76" s="525"/>
      <c r="BN76" s="525"/>
      <c r="BO76" s="525"/>
    </row>
    <row r="77" spans="2:67" ht="12" customHeight="1">
      <c r="B77" s="493"/>
      <c r="C77" s="493"/>
      <c r="D77" s="493"/>
      <c r="E77" s="524"/>
      <c r="F77" s="524"/>
      <c r="G77" s="524"/>
      <c r="H77" s="524"/>
      <c r="I77" s="524"/>
      <c r="J77" s="524"/>
      <c r="K77" s="517"/>
      <c r="L77" s="517"/>
      <c r="M77" s="517"/>
      <c r="N77" s="517"/>
      <c r="O77" s="517"/>
      <c r="P77" s="517"/>
      <c r="Q77" s="517"/>
      <c r="R77" s="517"/>
      <c r="S77" s="517"/>
      <c r="T77" s="517"/>
      <c r="U77" s="517"/>
      <c r="V77" s="523"/>
      <c r="W77" s="523"/>
      <c r="X77" s="523"/>
      <c r="Y77" s="523"/>
      <c r="Z77" s="523"/>
      <c r="AA77" s="523"/>
      <c r="AB77" s="523"/>
      <c r="AC77" s="523"/>
      <c r="AD77" s="517"/>
      <c r="AE77" s="517"/>
      <c r="AF77" s="515"/>
      <c r="AG77" s="515"/>
      <c r="AH77" s="515"/>
      <c r="AI77" s="515"/>
      <c r="AJ77" s="130"/>
      <c r="AK77" s="514"/>
      <c r="AL77" s="487"/>
      <c r="AT77" s="509"/>
      <c r="AU77" s="509"/>
      <c r="AV77" s="509"/>
      <c r="AW77" s="509"/>
      <c r="AX77" s="509"/>
      <c r="AY77" s="509"/>
      <c r="AZ77" s="509"/>
      <c r="BA77" s="509"/>
      <c r="BB77" s="509"/>
      <c r="BC77" s="509"/>
      <c r="BD77" s="509"/>
    </row>
    <row r="78" spans="2:67" ht="12" customHeight="1">
      <c r="B78" s="493"/>
      <c r="C78" s="493"/>
      <c r="D78" s="493"/>
      <c r="E78" s="526"/>
      <c r="F78" s="526"/>
      <c r="G78" s="524"/>
      <c r="H78" s="524"/>
      <c r="I78" s="524"/>
      <c r="J78" s="524"/>
      <c r="K78" s="517"/>
      <c r="L78" s="517"/>
      <c r="M78" s="517"/>
      <c r="N78" s="517"/>
      <c r="O78" s="517"/>
      <c r="P78" s="517"/>
      <c r="Q78" s="517"/>
      <c r="R78" s="517"/>
      <c r="S78" s="517"/>
      <c r="T78" s="517"/>
      <c r="U78" s="517"/>
      <c r="V78" s="523"/>
      <c r="W78" s="523"/>
      <c r="X78" s="523"/>
      <c r="Y78" s="523"/>
      <c r="Z78" s="523"/>
      <c r="AA78" s="523"/>
      <c r="AB78" s="523"/>
      <c r="AC78" s="523"/>
      <c r="AD78" s="517"/>
      <c r="AE78" s="517"/>
      <c r="AF78" s="515"/>
      <c r="AG78" s="515"/>
      <c r="AH78" s="515"/>
      <c r="AI78" s="515"/>
      <c r="AJ78" s="130"/>
      <c r="AK78" s="514"/>
      <c r="AL78" s="487"/>
      <c r="AT78" s="129"/>
      <c r="AU78" s="129"/>
      <c r="AV78" s="129"/>
      <c r="AW78" s="129"/>
      <c r="AX78" s="527"/>
      <c r="AY78" s="527"/>
      <c r="AZ78" s="527"/>
      <c r="BA78" s="527"/>
      <c r="BB78" s="527"/>
      <c r="BC78" s="527"/>
      <c r="BD78" s="527"/>
    </row>
    <row r="79" spans="2:67" ht="12" customHeight="1">
      <c r="B79" s="493"/>
      <c r="C79" s="493"/>
      <c r="D79" s="493"/>
      <c r="E79" s="526"/>
      <c r="F79" s="526"/>
      <c r="G79" s="524"/>
      <c r="H79" s="524"/>
      <c r="I79" s="524"/>
      <c r="J79" s="524"/>
      <c r="K79" s="517"/>
      <c r="L79" s="517"/>
      <c r="M79" s="517"/>
      <c r="N79" s="517"/>
      <c r="O79" s="517"/>
      <c r="P79" s="517"/>
      <c r="Q79" s="517"/>
      <c r="R79" s="517"/>
      <c r="S79" s="517"/>
      <c r="T79" s="517"/>
      <c r="U79" s="517"/>
      <c r="V79" s="523"/>
      <c r="W79" s="523"/>
      <c r="X79" s="523"/>
      <c r="Y79" s="523"/>
      <c r="Z79" s="523"/>
      <c r="AA79" s="523"/>
      <c r="AB79" s="523"/>
      <c r="AC79" s="523"/>
      <c r="AD79" s="517"/>
      <c r="AE79" s="517"/>
      <c r="AF79" s="515"/>
      <c r="AG79" s="515"/>
      <c r="AH79" s="515"/>
      <c r="AI79" s="515"/>
      <c r="AJ79" s="130"/>
      <c r="AK79" s="514"/>
      <c r="AL79" s="487"/>
      <c r="AT79" s="128"/>
      <c r="AU79" s="128"/>
      <c r="AV79" s="128"/>
      <c r="AW79" s="128"/>
      <c r="AX79" s="128"/>
      <c r="AY79" s="128"/>
      <c r="AZ79" s="128"/>
      <c r="BA79" s="128"/>
      <c r="BB79" s="128"/>
      <c r="BC79" s="128"/>
      <c r="BD79" s="128"/>
    </row>
    <row r="80" spans="2:67" ht="12" customHeight="1">
      <c r="B80" s="493"/>
      <c r="C80" s="493"/>
      <c r="D80" s="493"/>
      <c r="E80" s="526"/>
      <c r="F80" s="526"/>
      <c r="G80" s="524"/>
      <c r="H80" s="524"/>
      <c r="I80" s="524"/>
      <c r="J80" s="524"/>
      <c r="K80" s="517"/>
      <c r="L80" s="517"/>
      <c r="M80" s="517"/>
      <c r="N80" s="517"/>
      <c r="O80" s="517"/>
      <c r="P80" s="517"/>
      <c r="Q80" s="517"/>
      <c r="R80" s="517"/>
      <c r="S80" s="517"/>
      <c r="T80" s="517"/>
      <c r="U80" s="517"/>
      <c r="V80" s="523"/>
      <c r="W80" s="523"/>
      <c r="X80" s="523"/>
      <c r="Y80" s="523"/>
      <c r="Z80" s="523"/>
      <c r="AA80" s="523"/>
      <c r="AB80" s="523"/>
      <c r="AC80" s="523"/>
      <c r="AD80" s="517"/>
      <c r="AE80" s="517"/>
      <c r="AF80" s="515"/>
      <c r="AG80" s="515"/>
      <c r="AH80" s="515"/>
      <c r="AI80" s="515"/>
      <c r="AJ80" s="487"/>
      <c r="AK80" s="514"/>
      <c r="AL80" s="487"/>
      <c r="AT80" s="129"/>
      <c r="AU80" s="129"/>
      <c r="AV80" s="129"/>
      <c r="AW80" s="129"/>
      <c r="AX80" s="129"/>
      <c r="AY80" s="129"/>
      <c r="AZ80" s="129"/>
      <c r="BA80" s="129"/>
      <c r="BB80" s="129"/>
      <c r="BC80" s="129"/>
      <c r="BD80" s="129"/>
    </row>
    <row r="81" spans="2:40" ht="12" customHeight="1">
      <c r="B81" s="493"/>
      <c r="C81" s="493"/>
      <c r="D81" s="493"/>
      <c r="E81" s="130"/>
      <c r="F81" s="130"/>
      <c r="G81" s="130"/>
      <c r="H81" s="130"/>
      <c r="I81" s="130"/>
      <c r="J81" s="130"/>
      <c r="K81" s="515"/>
      <c r="L81" s="515"/>
      <c r="M81" s="515"/>
      <c r="N81" s="515"/>
      <c r="O81" s="515"/>
      <c r="P81" s="515"/>
      <c r="Q81" s="515"/>
      <c r="R81" s="515"/>
      <c r="S81" s="515"/>
      <c r="T81" s="515"/>
      <c r="U81" s="515"/>
      <c r="V81" s="512"/>
      <c r="W81" s="512"/>
      <c r="X81" s="512"/>
      <c r="Y81" s="512"/>
      <c r="Z81" s="512"/>
      <c r="AA81" s="512"/>
      <c r="AB81" s="512"/>
      <c r="AC81" s="512"/>
      <c r="AD81" s="515"/>
      <c r="AE81" s="515"/>
      <c r="AF81" s="515"/>
      <c r="AG81" s="515"/>
      <c r="AH81" s="515"/>
      <c r="AI81" s="515"/>
      <c r="AJ81" s="487"/>
      <c r="AK81" s="514"/>
      <c r="AL81" s="487"/>
    </row>
    <row r="82" spans="2:40" ht="12" customHeight="1">
      <c r="B82" s="130"/>
      <c r="C82" s="130"/>
      <c r="D82" s="528"/>
      <c r="E82" s="529"/>
      <c r="F82" s="530"/>
      <c r="G82" s="530"/>
      <c r="H82" s="530"/>
      <c r="I82" s="530"/>
      <c r="J82" s="530"/>
      <c r="K82" s="530"/>
      <c r="L82" s="530"/>
      <c r="M82" s="530"/>
      <c r="N82" s="530"/>
      <c r="O82" s="530"/>
      <c r="P82" s="530"/>
      <c r="Q82" s="530"/>
      <c r="R82" s="530"/>
      <c r="S82" s="530"/>
      <c r="T82" s="530"/>
      <c r="U82" s="530"/>
      <c r="V82" s="530"/>
      <c r="W82" s="530"/>
      <c r="X82" s="530"/>
      <c r="Y82" s="530"/>
      <c r="Z82" s="530"/>
      <c r="AA82" s="530"/>
      <c r="AB82" s="530"/>
      <c r="AC82" s="530"/>
      <c r="AD82" s="530"/>
      <c r="AE82" s="530"/>
      <c r="AF82" s="515"/>
      <c r="AG82" s="515"/>
      <c r="AH82" s="515"/>
      <c r="AI82" s="515"/>
      <c r="AJ82" s="487"/>
      <c r="AK82" s="487"/>
      <c r="AL82" s="487"/>
    </row>
    <row r="83" spans="2:40" ht="12" customHeight="1">
      <c r="B83" s="528"/>
      <c r="C83" s="528"/>
      <c r="D83" s="528"/>
      <c r="E83" s="530"/>
      <c r="F83" s="530"/>
      <c r="G83" s="530"/>
      <c r="H83" s="530"/>
      <c r="I83" s="530"/>
      <c r="J83" s="530"/>
      <c r="K83" s="530"/>
      <c r="L83" s="530"/>
      <c r="M83" s="530"/>
      <c r="N83" s="530"/>
      <c r="O83" s="530"/>
      <c r="P83" s="530"/>
      <c r="Q83" s="530"/>
      <c r="R83" s="530"/>
      <c r="S83" s="530"/>
      <c r="T83" s="530"/>
      <c r="U83" s="530"/>
      <c r="V83" s="530"/>
      <c r="W83" s="530"/>
      <c r="X83" s="530"/>
      <c r="Y83" s="530"/>
      <c r="Z83" s="530"/>
      <c r="AA83" s="530"/>
      <c r="AB83" s="530"/>
      <c r="AC83" s="530"/>
      <c r="AD83" s="530"/>
      <c r="AE83" s="530"/>
      <c r="AF83" s="515"/>
      <c r="AG83" s="515"/>
      <c r="AH83" s="515"/>
      <c r="AI83" s="515"/>
      <c r="AJ83" s="487"/>
      <c r="AK83" s="487"/>
      <c r="AL83" s="487"/>
    </row>
    <row r="84" spans="2:40" ht="12" customHeight="1">
      <c r="B84" s="482"/>
      <c r="C84" s="482"/>
      <c r="D84" s="483"/>
      <c r="E84" s="531"/>
      <c r="F84" s="532"/>
      <c r="G84" s="532"/>
      <c r="H84" s="532"/>
      <c r="I84" s="532"/>
      <c r="J84" s="532"/>
      <c r="K84" s="533"/>
      <c r="L84" s="533"/>
      <c r="M84" s="531"/>
      <c r="N84" s="531"/>
      <c r="O84" s="534"/>
      <c r="P84" s="535"/>
      <c r="Q84" s="493"/>
      <c r="R84" s="493"/>
      <c r="S84" s="517"/>
      <c r="T84" s="200"/>
      <c r="U84" s="130"/>
      <c r="V84" s="481"/>
      <c r="W84" s="481"/>
      <c r="X84" s="536"/>
      <c r="Y84" s="537"/>
      <c r="Z84" s="538"/>
      <c r="AA84" s="539"/>
      <c r="AB84" s="539"/>
      <c r="AC84" s="539"/>
      <c r="AD84" s="540"/>
      <c r="AE84" s="540"/>
      <c r="AF84" s="515"/>
      <c r="AG84" s="515"/>
      <c r="AH84" s="515"/>
      <c r="AI84" s="515"/>
      <c r="AJ84" s="129"/>
      <c r="AK84" s="129"/>
      <c r="AL84" s="129"/>
      <c r="AM84" s="129"/>
      <c r="AN84" s="129"/>
    </row>
    <row r="85" spans="2:40" ht="12" customHeight="1">
      <c r="B85" s="482"/>
      <c r="C85" s="482"/>
      <c r="D85" s="483"/>
      <c r="E85" s="541"/>
      <c r="F85" s="541"/>
      <c r="G85" s="541"/>
      <c r="H85" s="541"/>
      <c r="I85" s="541"/>
      <c r="J85" s="541"/>
      <c r="K85" s="541"/>
      <c r="L85" s="541"/>
      <c r="M85" s="541"/>
      <c r="N85" s="541"/>
      <c r="O85" s="541"/>
      <c r="P85" s="541"/>
      <c r="Q85" s="541"/>
      <c r="R85" s="541"/>
      <c r="S85" s="541"/>
      <c r="T85" s="541"/>
      <c r="U85" s="541"/>
      <c r="V85" s="539"/>
      <c r="W85" s="539"/>
      <c r="X85" s="539"/>
      <c r="Y85" s="539"/>
      <c r="Z85" s="539"/>
      <c r="AA85" s="539"/>
      <c r="AB85" s="539"/>
      <c r="AC85" s="539"/>
      <c r="AD85" s="541"/>
      <c r="AE85" s="541"/>
      <c r="AF85" s="515"/>
      <c r="AG85" s="515"/>
      <c r="AH85" s="515"/>
      <c r="AI85" s="515"/>
      <c r="AJ85" s="487"/>
      <c r="AK85" s="487"/>
      <c r="AL85" s="487"/>
    </row>
    <row r="86" spans="2:40" ht="12" customHeight="1">
      <c r="B86" s="482"/>
      <c r="C86" s="482"/>
      <c r="D86" s="483"/>
      <c r="E86" s="542"/>
      <c r="F86" s="542"/>
      <c r="G86" s="542"/>
      <c r="H86" s="542"/>
      <c r="I86" s="542"/>
      <c r="J86" s="542"/>
      <c r="K86" s="542"/>
      <c r="L86" s="542"/>
      <c r="M86" s="543"/>
      <c r="N86" s="543"/>
      <c r="O86" s="543"/>
      <c r="P86" s="542"/>
      <c r="Q86" s="542"/>
      <c r="R86" s="542"/>
      <c r="S86" s="542"/>
      <c r="T86" s="544"/>
      <c r="U86" s="545"/>
      <c r="V86" s="546"/>
      <c r="W86" s="546"/>
      <c r="X86" s="547"/>
      <c r="Y86" s="547"/>
      <c r="Z86" s="547"/>
      <c r="AA86" s="547"/>
      <c r="AB86" s="547"/>
      <c r="AC86" s="547"/>
      <c r="AD86" s="543"/>
      <c r="AE86" s="543"/>
      <c r="AF86" s="515"/>
      <c r="AG86" s="504"/>
      <c r="AH86" s="504"/>
      <c r="AI86" s="486"/>
      <c r="AJ86" s="486"/>
      <c r="AK86" s="487"/>
      <c r="AL86" s="487"/>
    </row>
    <row r="87" spans="2:40" ht="12" customHeight="1">
      <c r="B87" s="488"/>
      <c r="C87" s="490"/>
      <c r="D87" s="490"/>
      <c r="E87" s="123"/>
      <c r="F87" s="515"/>
      <c r="G87" s="515"/>
      <c r="H87" s="515"/>
      <c r="I87" s="515"/>
      <c r="J87" s="515"/>
      <c r="K87" s="515"/>
      <c r="L87" s="515"/>
      <c r="M87" s="515"/>
      <c r="N87" s="515"/>
      <c r="O87" s="515"/>
      <c r="P87" s="516"/>
      <c r="Q87" s="516"/>
      <c r="R87" s="516"/>
      <c r="S87" s="516"/>
      <c r="T87" s="516"/>
      <c r="U87" s="516"/>
      <c r="V87" s="508"/>
      <c r="W87" s="508"/>
      <c r="X87" s="506"/>
      <c r="Y87" s="506"/>
      <c r="Z87" s="506"/>
      <c r="AA87" s="123"/>
      <c r="AB87" s="123"/>
      <c r="AC87" s="123"/>
      <c r="AD87" s="129"/>
      <c r="AE87" s="129"/>
      <c r="AF87" s="515"/>
      <c r="AG87" s="110"/>
      <c r="AH87" s="110"/>
      <c r="AI87" s="487"/>
      <c r="AJ87" s="487"/>
      <c r="AK87" s="487"/>
      <c r="AL87" s="487"/>
    </row>
    <row r="88" spans="2:40" ht="12" customHeight="1">
      <c r="B88" s="488"/>
      <c r="C88" s="490"/>
      <c r="D88" s="490"/>
      <c r="E88" s="123"/>
      <c r="F88" s="515"/>
      <c r="G88" s="515"/>
      <c r="H88" s="515"/>
      <c r="I88" s="515"/>
      <c r="J88" s="515"/>
      <c r="K88" s="515"/>
      <c r="L88" s="515"/>
      <c r="M88" s="515"/>
      <c r="N88" s="515"/>
      <c r="O88" s="515"/>
      <c r="P88" s="521"/>
      <c r="Q88" s="516"/>
      <c r="R88" s="516"/>
      <c r="S88" s="516"/>
      <c r="T88" s="516"/>
      <c r="U88" s="516"/>
      <c r="V88" s="508"/>
      <c r="W88" s="508"/>
      <c r="X88" s="506"/>
      <c r="Y88" s="506"/>
      <c r="Z88" s="506"/>
      <c r="AA88" s="123"/>
      <c r="AB88" s="123"/>
      <c r="AC88" s="123"/>
      <c r="AD88" s="129"/>
      <c r="AE88" s="129"/>
      <c r="AF88" s="515"/>
      <c r="AG88" s="110"/>
      <c r="AH88" s="110"/>
      <c r="AI88" s="487"/>
      <c r="AJ88" s="487"/>
      <c r="AK88" s="487"/>
      <c r="AL88" s="487"/>
    </row>
    <row r="89" spans="2:40" ht="12" customHeight="1">
      <c r="B89" s="488"/>
      <c r="C89" s="493"/>
      <c r="D89" s="493"/>
      <c r="E89" s="123"/>
      <c r="F89" s="515"/>
      <c r="G89" s="515"/>
      <c r="H89" s="515"/>
      <c r="I89" s="515"/>
      <c r="J89" s="515"/>
      <c r="K89" s="515"/>
      <c r="L89" s="515"/>
      <c r="M89" s="515"/>
      <c r="N89" s="515"/>
      <c r="O89" s="515"/>
      <c r="P89" s="516"/>
      <c r="Q89" s="516"/>
      <c r="R89" s="516"/>
      <c r="S89" s="516"/>
      <c r="T89" s="516"/>
      <c r="U89" s="516"/>
      <c r="V89" s="508"/>
      <c r="W89" s="508"/>
      <c r="X89" s="506"/>
      <c r="Y89" s="506"/>
      <c r="Z89" s="506"/>
      <c r="AA89" s="123"/>
      <c r="AB89" s="123"/>
      <c r="AC89" s="123"/>
      <c r="AD89" s="129"/>
      <c r="AE89" s="129"/>
      <c r="AF89" s="515"/>
      <c r="AG89" s="110"/>
      <c r="AH89" s="110"/>
      <c r="AI89" s="487"/>
      <c r="AJ89" s="487"/>
      <c r="AK89" s="487"/>
      <c r="AL89" s="487"/>
    </row>
    <row r="90" spans="2:40" ht="12" customHeight="1">
      <c r="B90" s="488"/>
      <c r="C90" s="493"/>
      <c r="D90" s="493"/>
      <c r="E90" s="548"/>
      <c r="F90" s="548"/>
      <c r="G90" s="548"/>
      <c r="H90" s="548"/>
      <c r="I90" s="548"/>
      <c r="J90" s="548"/>
      <c r="K90" s="548"/>
      <c r="L90" s="548"/>
      <c r="M90" s="548"/>
      <c r="N90" s="548"/>
      <c r="O90" s="548"/>
      <c r="P90" s="548"/>
      <c r="Q90" s="548"/>
      <c r="R90" s="548"/>
      <c r="S90" s="548"/>
      <c r="T90" s="548"/>
      <c r="U90" s="548"/>
      <c r="V90" s="549"/>
      <c r="W90" s="549"/>
      <c r="X90" s="549"/>
      <c r="Y90" s="549"/>
      <c r="Z90" s="549"/>
      <c r="AA90" s="549"/>
      <c r="AB90" s="549"/>
      <c r="AC90" s="549"/>
      <c r="AD90" s="548"/>
      <c r="AE90" s="548"/>
      <c r="AF90" s="515"/>
      <c r="AG90" s="515"/>
      <c r="AH90" s="515"/>
      <c r="AI90" s="515"/>
      <c r="AJ90" s="487"/>
      <c r="AK90" s="487"/>
      <c r="AL90" s="487"/>
    </row>
    <row r="91" spans="2:40" ht="12" customHeight="1">
      <c r="B91" s="488"/>
      <c r="C91" s="493"/>
      <c r="D91" s="493"/>
      <c r="E91" s="529"/>
      <c r="F91" s="530"/>
      <c r="G91" s="530"/>
      <c r="H91" s="530"/>
      <c r="I91" s="530"/>
      <c r="J91" s="530"/>
      <c r="K91" s="530"/>
      <c r="L91" s="530"/>
      <c r="M91" s="530"/>
      <c r="N91" s="530"/>
      <c r="O91" s="530"/>
      <c r="P91" s="530"/>
      <c r="Q91" s="530"/>
      <c r="R91" s="530"/>
      <c r="S91" s="530"/>
      <c r="T91" s="530"/>
      <c r="U91" s="530"/>
      <c r="V91" s="530"/>
      <c r="W91" s="530"/>
      <c r="X91" s="530"/>
      <c r="Y91" s="530"/>
      <c r="Z91" s="530"/>
      <c r="AA91" s="530"/>
      <c r="AB91" s="530"/>
      <c r="AC91" s="530"/>
      <c r="AD91" s="530"/>
      <c r="AE91" s="530"/>
      <c r="AF91" s="515"/>
      <c r="AG91" s="515"/>
      <c r="AH91" s="515"/>
      <c r="AI91" s="515"/>
      <c r="AJ91" s="487"/>
      <c r="AK91" s="487"/>
      <c r="AL91" s="487"/>
    </row>
    <row r="92" spans="2:40" ht="12" customHeight="1">
      <c r="B92" s="488"/>
      <c r="C92" s="493"/>
      <c r="D92" s="493"/>
      <c r="E92" s="542"/>
      <c r="F92" s="542"/>
      <c r="G92" s="542"/>
      <c r="H92" s="542"/>
      <c r="I92" s="542"/>
      <c r="J92" s="542"/>
      <c r="K92" s="542"/>
      <c r="L92" s="542"/>
      <c r="M92" s="542"/>
      <c r="N92" s="542"/>
      <c r="O92" s="542"/>
      <c r="P92" s="542"/>
      <c r="Q92" s="542"/>
      <c r="R92" s="542"/>
      <c r="S92" s="542"/>
      <c r="T92" s="544"/>
      <c r="U92" s="543"/>
      <c r="V92" s="547"/>
      <c r="W92" s="547"/>
      <c r="X92" s="547"/>
      <c r="Y92" s="547"/>
      <c r="Z92" s="547"/>
      <c r="AA92" s="547"/>
      <c r="AB92" s="547"/>
      <c r="AC92" s="547"/>
      <c r="AD92" s="543"/>
      <c r="AE92" s="543"/>
      <c r="AF92" s="515"/>
      <c r="AG92" s="515"/>
      <c r="AH92" s="515"/>
      <c r="AI92" s="515"/>
      <c r="AJ92" s="487"/>
      <c r="AK92" s="487"/>
      <c r="AL92" s="487"/>
    </row>
    <row r="93" spans="2:40" ht="12" customHeight="1">
      <c r="B93" s="488"/>
      <c r="C93" s="493"/>
      <c r="D93" s="493"/>
      <c r="E93" s="129"/>
      <c r="F93" s="129"/>
      <c r="G93" s="129"/>
      <c r="H93" s="129"/>
      <c r="I93" s="129"/>
      <c r="J93" s="129"/>
      <c r="K93" s="129"/>
      <c r="L93" s="129"/>
      <c r="M93" s="129"/>
      <c r="N93" s="129"/>
      <c r="O93" s="129"/>
      <c r="P93" s="516"/>
      <c r="Q93" s="516"/>
      <c r="R93" s="516"/>
      <c r="S93" s="516"/>
      <c r="T93" s="516"/>
      <c r="U93" s="516"/>
      <c r="V93" s="508"/>
      <c r="W93" s="508"/>
      <c r="X93" s="506"/>
      <c r="Y93" s="506"/>
      <c r="Z93" s="506"/>
      <c r="AA93" s="550"/>
      <c r="AB93" s="550"/>
      <c r="AC93" s="550"/>
      <c r="AD93" s="551"/>
      <c r="AE93" s="551"/>
      <c r="AF93" s="515"/>
      <c r="AG93" s="515"/>
      <c r="AH93" s="515"/>
      <c r="AI93" s="515"/>
      <c r="AJ93" s="487"/>
      <c r="AK93" s="487"/>
      <c r="AL93" s="487"/>
    </row>
    <row r="94" spans="2:40" ht="12" customHeight="1">
      <c r="B94" s="488"/>
      <c r="C94" s="493"/>
      <c r="D94" s="493"/>
      <c r="E94" s="129"/>
      <c r="F94" s="129"/>
      <c r="G94" s="129"/>
      <c r="H94" s="129"/>
      <c r="I94" s="129"/>
      <c r="J94" s="129"/>
      <c r="K94" s="129"/>
      <c r="L94" s="129"/>
      <c r="M94" s="129"/>
      <c r="N94" s="129"/>
      <c r="O94" s="129"/>
      <c r="P94" s="516"/>
      <c r="Q94" s="516"/>
      <c r="R94" s="516"/>
      <c r="S94" s="516"/>
      <c r="T94" s="516"/>
      <c r="U94" s="516"/>
      <c r="V94" s="508"/>
      <c r="W94" s="508"/>
      <c r="X94" s="506"/>
      <c r="Y94" s="506"/>
      <c r="Z94" s="506"/>
      <c r="AA94" s="123"/>
      <c r="AB94" s="123"/>
      <c r="AC94" s="123"/>
      <c r="AD94" s="129"/>
      <c r="AE94" s="129"/>
      <c r="AF94" s="515"/>
      <c r="AG94" s="515"/>
      <c r="AH94" s="515"/>
      <c r="AI94" s="515"/>
      <c r="AJ94" s="487"/>
      <c r="AK94" s="487"/>
      <c r="AL94" s="487"/>
    </row>
    <row r="95" spans="2:40" ht="12" customHeight="1">
      <c r="B95" s="488"/>
      <c r="C95" s="493"/>
      <c r="D95" s="493"/>
      <c r="E95" s="517"/>
      <c r="F95" s="517"/>
      <c r="G95" s="517"/>
      <c r="H95" s="517"/>
      <c r="I95" s="517"/>
      <c r="J95" s="517"/>
      <c r="K95" s="517"/>
      <c r="L95" s="517"/>
      <c r="M95" s="517"/>
      <c r="N95" s="517"/>
      <c r="O95" s="517"/>
      <c r="P95" s="516"/>
      <c r="Q95" s="516"/>
      <c r="R95" s="516"/>
      <c r="S95" s="516"/>
      <c r="T95" s="516"/>
      <c r="U95" s="516"/>
      <c r="V95" s="508"/>
      <c r="W95" s="508"/>
      <c r="X95" s="506"/>
      <c r="Y95" s="506"/>
      <c r="Z95" s="506"/>
      <c r="AA95" s="123"/>
      <c r="AB95" s="123"/>
      <c r="AC95" s="123"/>
      <c r="AD95" s="129"/>
      <c r="AE95" s="129"/>
      <c r="AF95" s="515"/>
      <c r="AG95" s="515"/>
      <c r="AH95" s="515"/>
      <c r="AI95" s="515"/>
      <c r="AJ95" s="487"/>
      <c r="AK95" s="487"/>
      <c r="AL95" s="487"/>
    </row>
    <row r="96" spans="2:40" ht="12" customHeight="1">
      <c r="B96" s="488"/>
      <c r="C96" s="493"/>
      <c r="D96" s="493"/>
      <c r="E96" s="542"/>
      <c r="F96" s="542"/>
      <c r="G96" s="542"/>
      <c r="H96" s="542"/>
      <c r="I96" s="542"/>
      <c r="J96" s="542"/>
      <c r="K96" s="542"/>
      <c r="L96" s="542"/>
      <c r="M96" s="542"/>
      <c r="N96" s="542"/>
      <c r="O96" s="542"/>
      <c r="P96" s="533"/>
      <c r="Q96" s="533"/>
      <c r="R96" s="533"/>
      <c r="S96" s="533"/>
      <c r="T96" s="533"/>
      <c r="U96" s="533"/>
      <c r="V96" s="552"/>
      <c r="W96" s="552"/>
      <c r="X96" s="552"/>
      <c r="Y96" s="552"/>
      <c r="Z96" s="552"/>
      <c r="AA96" s="552"/>
      <c r="AB96" s="552"/>
      <c r="AC96" s="552"/>
      <c r="AD96" s="533"/>
      <c r="AE96" s="533"/>
      <c r="AF96" s="515"/>
      <c r="AG96" s="515"/>
      <c r="AH96" s="515"/>
      <c r="AI96" s="515"/>
      <c r="AJ96" s="487"/>
      <c r="AK96" s="487"/>
      <c r="AL96" s="487"/>
    </row>
    <row r="97" spans="2:38" ht="12" customHeight="1">
      <c r="B97" s="487"/>
      <c r="C97" s="487"/>
      <c r="D97" s="130"/>
      <c r="E97" s="529"/>
      <c r="F97" s="530"/>
      <c r="G97" s="530"/>
      <c r="H97" s="530"/>
      <c r="I97" s="530"/>
      <c r="J97" s="530"/>
      <c r="K97" s="530"/>
      <c r="L97" s="530"/>
      <c r="M97" s="530"/>
      <c r="N97" s="530"/>
      <c r="O97" s="530"/>
      <c r="P97" s="530"/>
      <c r="Q97" s="530"/>
      <c r="R97" s="530"/>
      <c r="S97" s="530"/>
      <c r="T97" s="530"/>
      <c r="U97" s="530"/>
      <c r="V97" s="530"/>
      <c r="W97" s="530"/>
      <c r="X97" s="530"/>
      <c r="Y97" s="530"/>
      <c r="Z97" s="530"/>
      <c r="AA97" s="530"/>
      <c r="AB97" s="530"/>
      <c r="AC97" s="530"/>
      <c r="AD97" s="530"/>
      <c r="AE97" s="530"/>
      <c r="AF97" s="515"/>
      <c r="AG97" s="515"/>
      <c r="AH97" s="515"/>
      <c r="AI97" s="515"/>
      <c r="AJ97" s="130"/>
      <c r="AK97" s="487"/>
      <c r="AL97" s="487"/>
    </row>
    <row r="98" spans="2:38" ht="12" customHeight="1">
      <c r="B98" s="482"/>
      <c r="C98" s="482"/>
      <c r="D98" s="483"/>
      <c r="E98" s="543"/>
      <c r="F98" s="543"/>
      <c r="G98" s="543"/>
      <c r="H98" s="543"/>
      <c r="I98" s="543"/>
      <c r="J98" s="543"/>
      <c r="K98" s="543"/>
      <c r="L98" s="543"/>
      <c r="M98" s="543"/>
      <c r="N98" s="543"/>
      <c r="O98" s="543"/>
      <c r="P98" s="542"/>
      <c r="Q98" s="542"/>
      <c r="R98" s="542"/>
      <c r="S98" s="542"/>
      <c r="T98" s="544"/>
      <c r="U98" s="543"/>
      <c r="V98" s="547"/>
      <c r="W98" s="547"/>
      <c r="X98" s="547"/>
      <c r="Y98" s="547"/>
      <c r="Z98" s="547"/>
      <c r="AA98" s="547"/>
      <c r="AB98" s="547"/>
      <c r="AC98" s="547"/>
      <c r="AD98" s="543"/>
      <c r="AE98" s="543"/>
      <c r="AF98" s="515"/>
      <c r="AG98" s="518"/>
      <c r="AH98" s="518"/>
      <c r="AI98" s="486"/>
      <c r="AJ98" s="486"/>
      <c r="AK98" s="487"/>
      <c r="AL98" s="487"/>
    </row>
    <row r="99" spans="2:38" ht="12" customHeight="1">
      <c r="B99" s="482"/>
      <c r="C99" s="482"/>
      <c r="D99" s="483"/>
      <c r="E99" s="129"/>
      <c r="F99" s="129"/>
      <c r="G99" s="129"/>
      <c r="H99" s="129"/>
      <c r="I99" s="129"/>
      <c r="J99" s="129"/>
      <c r="K99" s="129"/>
      <c r="L99" s="129"/>
      <c r="M99" s="129"/>
      <c r="N99" s="129"/>
      <c r="O99" s="129"/>
      <c r="P99" s="516"/>
      <c r="Q99" s="516"/>
      <c r="R99" s="516"/>
      <c r="S99" s="516"/>
      <c r="T99" s="553"/>
      <c r="U99" s="516"/>
      <c r="V99" s="508"/>
      <c r="W99" s="508"/>
      <c r="X99" s="506"/>
      <c r="Y99" s="506"/>
      <c r="Z99" s="506"/>
      <c r="AA99" s="123"/>
      <c r="AB99" s="123"/>
      <c r="AC99" s="123"/>
      <c r="AD99" s="128"/>
      <c r="AE99" s="128"/>
      <c r="AF99" s="515"/>
      <c r="AG99" s="515"/>
      <c r="AH99" s="515"/>
      <c r="AI99" s="487"/>
      <c r="AJ99" s="486"/>
      <c r="AK99" s="487"/>
      <c r="AL99" s="487"/>
    </row>
    <row r="100" spans="2:38" ht="12" customHeight="1">
      <c r="B100" s="488"/>
      <c r="C100" s="490"/>
      <c r="D100" s="490"/>
      <c r="E100" s="129"/>
      <c r="F100" s="129"/>
      <c r="G100" s="129"/>
      <c r="H100" s="129"/>
      <c r="I100" s="129"/>
      <c r="J100" s="129"/>
      <c r="K100" s="129"/>
      <c r="L100" s="129"/>
      <c r="M100" s="129"/>
      <c r="N100" s="129"/>
      <c r="O100" s="129"/>
      <c r="P100" s="516"/>
      <c r="Q100" s="516"/>
      <c r="R100" s="516"/>
      <c r="S100" s="516"/>
      <c r="T100" s="553"/>
      <c r="U100" s="516"/>
      <c r="V100" s="508"/>
      <c r="W100" s="508"/>
      <c r="X100" s="506"/>
      <c r="Y100" s="506"/>
      <c r="Z100" s="506"/>
      <c r="AA100" s="123"/>
      <c r="AB100" s="123"/>
      <c r="AC100" s="123"/>
      <c r="AD100" s="128"/>
      <c r="AE100" s="128"/>
      <c r="AF100" s="515"/>
      <c r="AG100" s="515"/>
      <c r="AH100" s="515"/>
      <c r="AI100" s="487"/>
      <c r="AJ100" s="486"/>
      <c r="AK100" s="487"/>
      <c r="AL100" s="487"/>
    </row>
    <row r="101" spans="2:38" ht="12" customHeight="1">
      <c r="B101" s="488"/>
      <c r="C101" s="490"/>
      <c r="D101" s="490"/>
      <c r="E101" s="129"/>
      <c r="F101" s="129"/>
      <c r="G101" s="129"/>
      <c r="H101" s="129"/>
      <c r="I101" s="129"/>
      <c r="J101" s="129"/>
      <c r="K101" s="129"/>
      <c r="L101" s="129"/>
      <c r="M101" s="129"/>
      <c r="N101" s="129"/>
      <c r="O101" s="129"/>
      <c r="P101" s="516"/>
      <c r="Q101" s="516"/>
      <c r="R101" s="516"/>
      <c r="S101" s="516"/>
      <c r="T101" s="553"/>
      <c r="U101" s="516"/>
      <c r="V101" s="508"/>
      <c r="W101" s="508"/>
      <c r="X101" s="506"/>
      <c r="Y101" s="506"/>
      <c r="Z101" s="506"/>
      <c r="AA101" s="123"/>
      <c r="AB101" s="123"/>
      <c r="AC101" s="123"/>
      <c r="AD101" s="128"/>
      <c r="AE101" s="128"/>
      <c r="AF101" s="515"/>
      <c r="AG101" s="515"/>
      <c r="AH101" s="515"/>
      <c r="AI101" s="487"/>
      <c r="AJ101" s="486"/>
      <c r="AK101" s="110"/>
      <c r="AL101" s="487"/>
    </row>
    <row r="102" spans="2:38" ht="12" customHeight="1">
      <c r="B102" s="488"/>
      <c r="C102" s="130"/>
      <c r="D102" s="130"/>
      <c r="E102" s="129"/>
      <c r="F102" s="129"/>
      <c r="G102" s="129"/>
      <c r="H102" s="129"/>
      <c r="I102" s="129"/>
      <c r="J102" s="129"/>
      <c r="K102" s="129"/>
      <c r="L102" s="129"/>
      <c r="M102" s="129"/>
      <c r="N102" s="129"/>
      <c r="O102" s="129"/>
      <c r="P102" s="516"/>
      <c r="Q102" s="516"/>
      <c r="R102" s="516"/>
      <c r="S102" s="516"/>
      <c r="T102" s="553"/>
      <c r="U102" s="516"/>
      <c r="V102" s="508"/>
      <c r="W102" s="508"/>
      <c r="X102" s="506"/>
      <c r="Y102" s="506"/>
      <c r="Z102" s="506"/>
      <c r="AA102" s="123"/>
      <c r="AB102" s="123"/>
      <c r="AC102" s="123"/>
      <c r="AD102" s="128"/>
      <c r="AE102" s="128"/>
      <c r="AF102" s="515"/>
      <c r="AG102" s="515"/>
      <c r="AH102" s="515"/>
      <c r="AI102" s="487"/>
      <c r="AJ102" s="486"/>
      <c r="AK102" s="487"/>
      <c r="AL102" s="487"/>
    </row>
    <row r="103" spans="2:38" ht="12" customHeight="1">
      <c r="B103" s="488"/>
      <c r="C103" s="545"/>
      <c r="D103" s="545"/>
      <c r="E103" s="129"/>
      <c r="F103" s="129"/>
      <c r="G103" s="129"/>
      <c r="H103" s="129"/>
      <c r="I103" s="129"/>
      <c r="J103" s="129"/>
      <c r="K103" s="129"/>
      <c r="L103" s="129"/>
      <c r="M103" s="129"/>
      <c r="N103" s="129"/>
      <c r="O103" s="129"/>
      <c r="P103" s="516"/>
      <c r="Q103" s="516"/>
      <c r="R103" s="516"/>
      <c r="S103" s="516"/>
      <c r="T103" s="553"/>
      <c r="U103" s="516"/>
      <c r="V103" s="508"/>
      <c r="W103" s="508"/>
      <c r="X103" s="506"/>
      <c r="Y103" s="506"/>
      <c r="Z103" s="506"/>
      <c r="AA103" s="123"/>
      <c r="AB103" s="123"/>
      <c r="AC103" s="123"/>
      <c r="AD103" s="128"/>
      <c r="AE103" s="128"/>
      <c r="AF103" s="515"/>
      <c r="AG103" s="515"/>
      <c r="AH103" s="515"/>
      <c r="AI103" s="487"/>
      <c r="AJ103" s="486"/>
      <c r="AK103" s="487"/>
      <c r="AL103" s="487"/>
    </row>
    <row r="104" spans="2:38" ht="12" customHeight="1">
      <c r="B104" s="488"/>
      <c r="C104" s="554"/>
      <c r="D104" s="554"/>
      <c r="E104" s="129"/>
      <c r="F104" s="129"/>
      <c r="G104" s="129"/>
      <c r="H104" s="129"/>
      <c r="I104" s="129"/>
      <c r="J104" s="129"/>
      <c r="K104" s="129"/>
      <c r="L104" s="129"/>
      <c r="M104" s="129"/>
      <c r="N104" s="129"/>
      <c r="O104" s="129"/>
      <c r="P104" s="516"/>
      <c r="Q104" s="516"/>
      <c r="R104" s="516"/>
      <c r="S104" s="516"/>
      <c r="T104" s="553"/>
      <c r="U104" s="516"/>
      <c r="V104" s="508"/>
      <c r="W104" s="508"/>
      <c r="X104" s="506"/>
      <c r="Y104" s="506"/>
      <c r="Z104" s="506"/>
      <c r="AA104" s="123"/>
      <c r="AB104" s="123"/>
      <c r="AC104" s="123"/>
      <c r="AD104" s="128"/>
      <c r="AE104" s="128"/>
      <c r="AF104" s="515"/>
      <c r="AG104" s="515"/>
      <c r="AH104" s="515"/>
      <c r="AI104" s="487"/>
      <c r="AJ104" s="486"/>
      <c r="AK104" s="487"/>
      <c r="AL104" s="487"/>
    </row>
    <row r="105" spans="2:38" ht="12" customHeight="1">
      <c r="B105" s="488"/>
      <c r="C105" s="130"/>
      <c r="D105" s="130"/>
      <c r="E105" s="555"/>
      <c r="F105" s="555"/>
      <c r="G105" s="555"/>
      <c r="H105" s="555"/>
      <c r="I105" s="555"/>
      <c r="J105" s="555"/>
      <c r="K105" s="555"/>
      <c r="L105" s="555"/>
      <c r="M105" s="555"/>
      <c r="N105" s="555"/>
      <c r="O105" s="555"/>
      <c r="P105" s="555"/>
      <c r="Q105" s="555"/>
      <c r="R105" s="555"/>
      <c r="S105" s="555"/>
      <c r="T105" s="555"/>
      <c r="U105" s="555"/>
      <c r="V105" s="556"/>
      <c r="W105" s="556"/>
      <c r="X105" s="556"/>
      <c r="Y105" s="556"/>
      <c r="Z105" s="556"/>
      <c r="AA105" s="556"/>
      <c r="AB105" s="556"/>
      <c r="AC105" s="556"/>
      <c r="AD105" s="555"/>
      <c r="AE105" s="555"/>
      <c r="AF105" s="515"/>
      <c r="AG105" s="515"/>
      <c r="AH105" s="515"/>
      <c r="AI105" s="487"/>
      <c r="AJ105" s="486"/>
      <c r="AK105" s="487"/>
      <c r="AL105" s="487"/>
    </row>
    <row r="106" spans="2:38" ht="12" customHeight="1">
      <c r="B106" s="488"/>
      <c r="C106" s="130"/>
      <c r="D106" s="130"/>
      <c r="E106" s="529"/>
      <c r="F106" s="530"/>
      <c r="G106" s="530"/>
      <c r="H106" s="530"/>
      <c r="I106" s="530"/>
      <c r="J106" s="530"/>
      <c r="K106" s="530"/>
      <c r="L106" s="530"/>
      <c r="M106" s="530"/>
      <c r="N106" s="530"/>
      <c r="O106" s="530"/>
      <c r="P106" s="530"/>
      <c r="Q106" s="530"/>
      <c r="R106" s="530"/>
      <c r="S106" s="530"/>
      <c r="T106" s="530"/>
      <c r="U106" s="530"/>
      <c r="V106" s="530"/>
      <c r="W106" s="530"/>
      <c r="X106" s="530"/>
      <c r="Y106" s="530"/>
      <c r="Z106" s="530"/>
      <c r="AA106" s="530"/>
      <c r="AB106" s="530"/>
      <c r="AC106" s="530"/>
      <c r="AD106" s="530"/>
      <c r="AE106" s="530"/>
      <c r="AF106" s="515"/>
      <c r="AG106" s="515"/>
      <c r="AH106" s="515"/>
      <c r="AI106" s="487"/>
      <c r="AJ106" s="486"/>
      <c r="AK106" s="487"/>
      <c r="AL106" s="487"/>
    </row>
    <row r="107" spans="2:38" ht="12" customHeight="1">
      <c r="B107" s="557"/>
      <c r="C107" s="130"/>
      <c r="D107" s="558"/>
      <c r="E107" s="517"/>
      <c r="F107" s="517"/>
      <c r="G107" s="517"/>
      <c r="H107" s="517"/>
      <c r="I107" s="517"/>
      <c r="J107" s="517"/>
      <c r="K107" s="517"/>
      <c r="L107" s="517"/>
      <c r="M107" s="517"/>
      <c r="N107" s="517"/>
      <c r="O107" s="517"/>
      <c r="P107" s="517"/>
      <c r="Q107" s="517"/>
      <c r="R107" s="517"/>
      <c r="S107" s="517"/>
      <c r="T107" s="517"/>
      <c r="U107" s="517"/>
      <c r="V107" s="523"/>
      <c r="W107" s="523"/>
      <c r="X107" s="523"/>
      <c r="Y107" s="523"/>
      <c r="Z107" s="523"/>
      <c r="AA107" s="523"/>
      <c r="AB107" s="523"/>
      <c r="AC107" s="523"/>
      <c r="AD107" s="517"/>
      <c r="AE107" s="517"/>
      <c r="AF107" s="515"/>
      <c r="AG107" s="515"/>
      <c r="AH107" s="515"/>
      <c r="AI107" s="487"/>
      <c r="AJ107" s="486"/>
      <c r="AK107" s="130"/>
    </row>
    <row r="108" spans="2:38" ht="12" customHeight="1">
      <c r="B108" s="557"/>
      <c r="C108" s="130"/>
      <c r="D108" s="130"/>
      <c r="E108" s="541"/>
      <c r="F108" s="541"/>
      <c r="G108" s="559"/>
      <c r="H108" s="559"/>
      <c r="I108" s="130"/>
      <c r="J108" s="130"/>
      <c r="K108" s="130"/>
      <c r="L108" s="130"/>
      <c r="M108" s="130"/>
      <c r="N108" s="130"/>
      <c r="O108" s="130"/>
      <c r="P108" s="130"/>
      <c r="Q108" s="130"/>
      <c r="R108" s="130"/>
      <c r="S108" s="130"/>
      <c r="T108" s="130"/>
      <c r="U108" s="130"/>
      <c r="V108" s="481"/>
      <c r="W108" s="481"/>
      <c r="X108" s="481"/>
      <c r="Y108" s="481"/>
      <c r="Z108" s="481"/>
      <c r="AA108" s="481"/>
      <c r="AB108" s="481"/>
      <c r="AC108" s="481"/>
      <c r="AD108" s="130"/>
      <c r="AE108" s="130"/>
      <c r="AF108" s="515"/>
      <c r="AG108" s="515"/>
      <c r="AH108" s="515"/>
      <c r="AI108" s="487"/>
      <c r="AJ108" s="486"/>
      <c r="AK108" s="487"/>
      <c r="AL108" s="487"/>
    </row>
    <row r="109" spans="2:38" ht="12" customHeight="1">
      <c r="B109" s="557"/>
      <c r="C109" s="130"/>
      <c r="D109" s="130"/>
      <c r="E109" s="529"/>
      <c r="F109" s="530"/>
      <c r="G109" s="559"/>
      <c r="H109" s="559"/>
      <c r="I109" s="130"/>
      <c r="J109" s="130"/>
      <c r="K109" s="130"/>
      <c r="L109" s="130"/>
      <c r="M109" s="130"/>
      <c r="N109" s="130"/>
      <c r="O109" s="130"/>
      <c r="P109" s="130"/>
      <c r="Q109" s="130"/>
      <c r="R109" s="130"/>
      <c r="S109" s="130"/>
      <c r="T109" s="130"/>
      <c r="U109" s="130"/>
      <c r="V109" s="481"/>
      <c r="W109" s="481"/>
      <c r="X109" s="481"/>
      <c r="Y109" s="481"/>
      <c r="Z109" s="481"/>
      <c r="AA109" s="481"/>
      <c r="AB109" s="481"/>
      <c r="AC109" s="481"/>
      <c r="AD109" s="130"/>
      <c r="AE109" s="130"/>
      <c r="AF109" s="515"/>
      <c r="AG109" s="487"/>
      <c r="AH109" s="487"/>
      <c r="AI109" s="487"/>
      <c r="AJ109" s="486"/>
      <c r="AK109" s="487"/>
      <c r="AL109" s="487"/>
    </row>
    <row r="110" spans="2:38" ht="12" customHeight="1">
      <c r="B110" s="557"/>
      <c r="C110" s="130"/>
      <c r="D110" s="130"/>
      <c r="E110" s="517"/>
      <c r="F110" s="517"/>
      <c r="G110" s="517"/>
      <c r="H110" s="517"/>
      <c r="I110" s="517"/>
      <c r="J110" s="517"/>
      <c r="K110" s="517"/>
      <c r="L110" s="517"/>
      <c r="M110" s="517"/>
      <c r="N110" s="517"/>
      <c r="O110" s="517"/>
      <c r="P110" s="517"/>
      <c r="Q110" s="517"/>
      <c r="R110" s="517"/>
      <c r="S110" s="517"/>
      <c r="T110" s="517"/>
      <c r="U110" s="517"/>
      <c r="V110" s="523"/>
      <c r="W110" s="523"/>
      <c r="X110" s="523"/>
      <c r="Y110" s="523"/>
      <c r="Z110" s="523"/>
      <c r="AA110" s="523"/>
      <c r="AB110" s="523"/>
      <c r="AC110" s="523"/>
      <c r="AD110" s="517"/>
      <c r="AE110" s="517"/>
      <c r="AF110" s="515"/>
      <c r="AG110" s="560"/>
      <c r="AH110" s="560"/>
      <c r="AI110" s="560"/>
      <c r="AJ110" s="486"/>
      <c r="AK110" s="487"/>
    </row>
    <row r="111" spans="2:38" ht="12" customHeight="1">
      <c r="B111" s="493"/>
      <c r="C111" s="493"/>
      <c r="D111" s="493"/>
      <c r="E111" s="559"/>
      <c r="F111" s="559"/>
      <c r="G111" s="559"/>
      <c r="H111" s="559"/>
      <c r="I111" s="559"/>
      <c r="J111" s="559"/>
      <c r="K111" s="559"/>
      <c r="L111" s="559"/>
      <c r="M111" s="531"/>
      <c r="N111" s="531"/>
      <c r="O111" s="534"/>
      <c r="P111" s="534"/>
      <c r="Q111" s="534"/>
      <c r="R111" s="534"/>
      <c r="S111" s="534"/>
      <c r="T111" s="534"/>
      <c r="U111" s="534"/>
      <c r="V111" s="538"/>
      <c r="W111" s="538"/>
      <c r="X111" s="538"/>
      <c r="Y111" s="538"/>
      <c r="Z111" s="538"/>
      <c r="AA111" s="538"/>
      <c r="AB111" s="538"/>
      <c r="AC111" s="538"/>
      <c r="AD111" s="534"/>
      <c r="AE111" s="534"/>
      <c r="AF111" s="515"/>
      <c r="AG111" s="518"/>
      <c r="AH111" s="518"/>
      <c r="AI111" s="518"/>
      <c r="AJ111" s="487"/>
      <c r="AK111" s="487"/>
      <c r="AL111" s="487"/>
    </row>
    <row r="112" spans="2:38" ht="12" customHeight="1">
      <c r="B112" s="483"/>
      <c r="C112" s="483"/>
      <c r="D112" s="483"/>
      <c r="E112" s="529"/>
      <c r="F112" s="561"/>
      <c r="G112" s="561"/>
      <c r="H112" s="561"/>
      <c r="I112" s="561"/>
      <c r="J112" s="561"/>
      <c r="K112" s="561"/>
      <c r="L112" s="561"/>
      <c r="M112" s="561"/>
      <c r="N112" s="561"/>
      <c r="O112" s="561"/>
      <c r="P112" s="561"/>
      <c r="Q112" s="561"/>
      <c r="R112" s="561"/>
      <c r="S112" s="561"/>
      <c r="T112" s="561"/>
      <c r="U112" s="561"/>
      <c r="V112" s="561"/>
      <c r="W112" s="561"/>
      <c r="X112" s="561"/>
      <c r="Y112" s="561"/>
      <c r="Z112" s="561"/>
      <c r="AA112" s="561"/>
      <c r="AB112" s="561"/>
      <c r="AC112" s="530"/>
      <c r="AD112" s="530"/>
      <c r="AE112" s="530"/>
      <c r="AF112" s="515"/>
      <c r="AG112" s="518"/>
      <c r="AH112" s="518"/>
      <c r="AI112" s="518"/>
      <c r="AJ112" s="487"/>
      <c r="AK112" s="487"/>
      <c r="AL112" s="487"/>
    </row>
    <row r="113" spans="2:38" ht="12" customHeight="1">
      <c r="B113" s="562"/>
      <c r="C113" s="562"/>
      <c r="D113" s="483"/>
      <c r="E113" s="542"/>
      <c r="F113" s="542"/>
      <c r="G113" s="542"/>
      <c r="H113" s="542"/>
      <c r="I113" s="542"/>
      <c r="J113" s="542"/>
      <c r="K113" s="542"/>
      <c r="L113" s="542"/>
      <c r="M113" s="542"/>
      <c r="N113" s="542"/>
      <c r="O113" s="542"/>
      <c r="P113" s="542"/>
      <c r="Q113" s="542"/>
      <c r="R113" s="542"/>
      <c r="S113" s="542"/>
      <c r="T113" s="544"/>
      <c r="U113" s="543"/>
      <c r="V113" s="547"/>
      <c r="W113" s="547"/>
      <c r="X113" s="547"/>
      <c r="Y113" s="547"/>
      <c r="Z113" s="547"/>
      <c r="AA113" s="563"/>
      <c r="AB113" s="563"/>
      <c r="AC113" s="563"/>
      <c r="AD113" s="542"/>
      <c r="AE113" s="542"/>
      <c r="AF113" s="515"/>
      <c r="AG113" s="487"/>
      <c r="AH113" s="487"/>
      <c r="AI113" s="487"/>
      <c r="AJ113" s="487"/>
      <c r="AK113" s="487"/>
      <c r="AL113" s="487"/>
    </row>
    <row r="114" spans="2:38" ht="12" customHeight="1">
      <c r="B114" s="562"/>
      <c r="C114" s="562"/>
      <c r="D114" s="483"/>
      <c r="E114" s="129"/>
      <c r="F114" s="129"/>
      <c r="G114" s="129"/>
      <c r="H114" s="129"/>
      <c r="I114" s="129"/>
      <c r="J114" s="129"/>
      <c r="K114" s="129"/>
      <c r="L114" s="129"/>
      <c r="M114" s="129"/>
      <c r="N114" s="129"/>
      <c r="O114" s="129"/>
      <c r="P114" s="516"/>
      <c r="Q114" s="516"/>
      <c r="R114" s="516"/>
      <c r="S114" s="516"/>
      <c r="T114" s="553"/>
      <c r="U114" s="516"/>
      <c r="V114" s="508"/>
      <c r="W114" s="508"/>
      <c r="X114" s="506"/>
      <c r="Y114" s="506"/>
      <c r="Z114" s="506"/>
      <c r="AA114" s="564"/>
      <c r="AB114" s="564"/>
      <c r="AC114" s="564"/>
      <c r="AD114" s="565"/>
      <c r="AE114" s="565"/>
      <c r="AF114" s="515"/>
      <c r="AG114" s="487"/>
      <c r="AH114" s="487"/>
      <c r="AI114" s="487"/>
      <c r="AJ114" s="566"/>
      <c r="AK114" s="487"/>
      <c r="AL114" s="487"/>
    </row>
    <row r="115" spans="2:38" ht="12" customHeight="1">
      <c r="B115" s="562"/>
      <c r="C115" s="562"/>
      <c r="D115" s="490"/>
      <c r="E115" s="129"/>
      <c r="F115" s="129"/>
      <c r="G115" s="129"/>
      <c r="H115" s="129"/>
      <c r="I115" s="129"/>
      <c r="J115" s="129"/>
      <c r="K115" s="129"/>
      <c r="L115" s="129"/>
      <c r="M115" s="129"/>
      <c r="N115" s="129"/>
      <c r="O115" s="129"/>
      <c r="P115" s="516"/>
      <c r="Q115" s="516"/>
      <c r="R115" s="516"/>
      <c r="S115" s="516"/>
      <c r="T115" s="553"/>
      <c r="U115" s="516"/>
      <c r="V115" s="508"/>
      <c r="W115" s="508"/>
      <c r="X115" s="506"/>
      <c r="Y115" s="506"/>
      <c r="Z115" s="506"/>
      <c r="AA115" s="564"/>
      <c r="AB115" s="564"/>
      <c r="AC115" s="564"/>
      <c r="AD115" s="565"/>
      <c r="AE115" s="565"/>
      <c r="AF115" s="515"/>
      <c r="AG115" s="504"/>
      <c r="AH115" s="504"/>
      <c r="AI115" s="486"/>
      <c r="AJ115" s="130"/>
      <c r="AK115" s="487"/>
      <c r="AL115" s="487"/>
    </row>
    <row r="116" spans="2:38" ht="12" customHeight="1">
      <c r="B116" s="562"/>
      <c r="C116" s="562"/>
      <c r="D116" s="490"/>
      <c r="E116" s="129"/>
      <c r="F116" s="129"/>
      <c r="G116" s="129"/>
      <c r="H116" s="129"/>
      <c r="I116" s="129"/>
      <c r="J116" s="129"/>
      <c r="K116" s="129"/>
      <c r="L116" s="129"/>
      <c r="M116" s="129"/>
      <c r="N116" s="129"/>
      <c r="O116" s="129"/>
      <c r="P116" s="516"/>
      <c r="Q116" s="516"/>
      <c r="R116" s="516"/>
      <c r="S116" s="516"/>
      <c r="T116" s="553"/>
      <c r="U116" s="516"/>
      <c r="V116" s="508"/>
      <c r="W116" s="508"/>
      <c r="X116" s="506"/>
      <c r="Y116" s="506"/>
      <c r="Z116" s="506"/>
      <c r="AA116" s="564"/>
      <c r="AB116" s="564"/>
      <c r="AC116" s="564"/>
      <c r="AD116" s="565"/>
      <c r="AE116" s="565"/>
      <c r="AF116" s="515"/>
      <c r="AG116" s="110"/>
      <c r="AH116" s="110"/>
      <c r="AI116" s="487"/>
      <c r="AJ116" s="130"/>
      <c r="AK116" s="487"/>
      <c r="AL116" s="487"/>
    </row>
    <row r="117" spans="2:38" ht="12" customHeight="1">
      <c r="B117" s="488"/>
      <c r="C117" s="490"/>
      <c r="D117" s="490"/>
      <c r="E117" s="542"/>
      <c r="F117" s="542"/>
      <c r="G117" s="542"/>
      <c r="H117" s="542"/>
      <c r="I117" s="542"/>
      <c r="J117" s="542"/>
      <c r="K117" s="542"/>
      <c r="L117" s="542"/>
      <c r="M117" s="542"/>
      <c r="N117" s="542"/>
      <c r="O117" s="542"/>
      <c r="P117" s="542"/>
      <c r="Q117" s="542"/>
      <c r="R117" s="542"/>
      <c r="S117" s="542"/>
      <c r="T117" s="542"/>
      <c r="U117" s="542"/>
      <c r="V117" s="563"/>
      <c r="W117" s="563"/>
      <c r="X117" s="563"/>
      <c r="Y117" s="563"/>
      <c r="Z117" s="563"/>
      <c r="AA117" s="563"/>
      <c r="AB117" s="563"/>
      <c r="AC117" s="563"/>
      <c r="AD117" s="542"/>
      <c r="AE117" s="542"/>
      <c r="AF117" s="515"/>
      <c r="AG117" s="110"/>
      <c r="AH117" s="110"/>
      <c r="AI117" s="487"/>
      <c r="AJ117" s="130"/>
      <c r="AK117" s="487"/>
      <c r="AL117" s="487"/>
    </row>
    <row r="118" spans="2:38" ht="12" customHeight="1">
      <c r="B118" s="488"/>
      <c r="C118" s="487"/>
      <c r="D118" s="487"/>
      <c r="E118" s="529"/>
      <c r="F118" s="561"/>
      <c r="G118" s="561"/>
      <c r="H118" s="561"/>
      <c r="I118" s="561"/>
      <c r="J118" s="561"/>
      <c r="K118" s="561"/>
      <c r="L118" s="561"/>
      <c r="M118" s="561"/>
      <c r="N118" s="561"/>
      <c r="O118" s="561"/>
      <c r="P118" s="561"/>
      <c r="Q118" s="561"/>
      <c r="R118" s="561"/>
      <c r="S118" s="561"/>
      <c r="T118" s="561"/>
      <c r="U118" s="561"/>
      <c r="V118" s="561"/>
      <c r="W118" s="561"/>
      <c r="X118" s="561"/>
      <c r="Y118" s="561"/>
      <c r="Z118" s="561"/>
      <c r="AA118" s="561"/>
      <c r="AB118" s="561"/>
      <c r="AC118" s="530"/>
      <c r="AD118" s="530"/>
      <c r="AE118" s="530"/>
      <c r="AF118" s="515"/>
      <c r="AG118" s="110"/>
      <c r="AH118" s="110"/>
      <c r="AI118" s="487"/>
      <c r="AJ118" s="130"/>
      <c r="AK118" s="487"/>
      <c r="AL118" s="487"/>
    </row>
    <row r="119" spans="2:38" ht="12" customHeight="1">
      <c r="B119" s="488"/>
      <c r="C119" s="493"/>
      <c r="D119" s="493"/>
      <c r="E119" s="542"/>
      <c r="F119" s="542"/>
      <c r="G119" s="542"/>
      <c r="H119" s="542"/>
      <c r="I119" s="542"/>
      <c r="J119" s="542"/>
      <c r="K119" s="542"/>
      <c r="L119" s="542"/>
      <c r="M119" s="542"/>
      <c r="N119" s="542"/>
      <c r="O119" s="542"/>
      <c r="P119" s="542"/>
      <c r="Q119" s="542"/>
      <c r="R119" s="542"/>
      <c r="S119" s="542"/>
      <c r="T119" s="544"/>
      <c r="U119" s="543"/>
      <c r="V119" s="547"/>
      <c r="W119" s="547"/>
      <c r="X119" s="547"/>
      <c r="Y119" s="547"/>
      <c r="Z119" s="547"/>
      <c r="AA119" s="563"/>
      <c r="AB119" s="563"/>
      <c r="AC119" s="563"/>
      <c r="AD119" s="542"/>
      <c r="AE119" s="542"/>
      <c r="AF119" s="515"/>
      <c r="AG119" s="110"/>
      <c r="AH119" s="110"/>
      <c r="AI119" s="487"/>
      <c r="AJ119" s="504"/>
      <c r="AK119" s="130"/>
    </row>
    <row r="120" spans="2:38" ht="12" customHeight="1">
      <c r="B120" s="488"/>
      <c r="C120" s="493"/>
      <c r="D120" s="493"/>
      <c r="E120" s="129"/>
      <c r="F120" s="129"/>
      <c r="G120" s="129"/>
      <c r="H120" s="129"/>
      <c r="I120" s="129"/>
      <c r="J120" s="129"/>
      <c r="K120" s="129"/>
      <c r="L120" s="129"/>
      <c r="M120" s="129"/>
      <c r="N120" s="129"/>
      <c r="O120" s="129"/>
      <c r="P120" s="516"/>
      <c r="Q120" s="516"/>
      <c r="R120" s="516"/>
      <c r="S120" s="516"/>
      <c r="T120" s="553"/>
      <c r="U120" s="516"/>
      <c r="V120" s="508"/>
      <c r="W120" s="508"/>
      <c r="X120" s="506"/>
      <c r="Y120" s="506"/>
      <c r="Z120" s="506"/>
      <c r="AA120" s="564"/>
      <c r="AB120" s="564"/>
      <c r="AC120" s="564"/>
      <c r="AD120" s="565"/>
      <c r="AE120" s="565"/>
      <c r="AF120" s="515"/>
      <c r="AG120" s="110"/>
      <c r="AH120" s="110"/>
      <c r="AI120" s="487"/>
      <c r="AJ120" s="487"/>
      <c r="AK120" s="130"/>
    </row>
    <row r="121" spans="2:38" ht="12" customHeight="1">
      <c r="B121" s="488"/>
      <c r="C121" s="493"/>
      <c r="D121" s="493"/>
      <c r="E121" s="129"/>
      <c r="F121" s="129"/>
      <c r="G121" s="129"/>
      <c r="H121" s="129"/>
      <c r="I121" s="129"/>
      <c r="J121" s="129"/>
      <c r="K121" s="129"/>
      <c r="L121" s="129"/>
      <c r="M121" s="129"/>
      <c r="N121" s="129"/>
      <c r="O121" s="129"/>
      <c r="P121" s="516"/>
      <c r="Q121" s="516"/>
      <c r="R121" s="516"/>
      <c r="S121" s="516"/>
      <c r="T121" s="553"/>
      <c r="U121" s="516"/>
      <c r="V121" s="508"/>
      <c r="W121" s="508"/>
      <c r="X121" s="506"/>
      <c r="Y121" s="506"/>
      <c r="Z121" s="506"/>
      <c r="AA121" s="564"/>
      <c r="AB121" s="564"/>
      <c r="AC121" s="564"/>
      <c r="AD121" s="565"/>
      <c r="AE121" s="565"/>
      <c r="AF121" s="515"/>
      <c r="AG121" s="130"/>
      <c r="AH121" s="130"/>
      <c r="AI121" s="130"/>
      <c r="AJ121" s="487"/>
      <c r="AK121" s="130"/>
    </row>
    <row r="122" spans="2:38" ht="12" customHeight="1">
      <c r="B122" s="488"/>
      <c r="C122" s="493"/>
      <c r="D122" s="493"/>
      <c r="E122" s="129"/>
      <c r="F122" s="129"/>
      <c r="G122" s="129"/>
      <c r="H122" s="129"/>
      <c r="I122" s="129"/>
      <c r="J122" s="129"/>
      <c r="K122" s="129"/>
      <c r="L122" s="129"/>
      <c r="M122" s="129"/>
      <c r="N122" s="129"/>
      <c r="O122" s="129"/>
      <c r="P122" s="516"/>
      <c r="Q122" s="516"/>
      <c r="R122" s="516"/>
      <c r="S122" s="516"/>
      <c r="T122" s="553"/>
      <c r="U122" s="516"/>
      <c r="V122" s="508"/>
      <c r="W122" s="508"/>
      <c r="X122" s="506"/>
      <c r="Y122" s="506"/>
      <c r="Z122" s="506"/>
      <c r="AA122" s="564"/>
      <c r="AB122" s="564"/>
      <c r="AC122" s="564"/>
      <c r="AD122" s="565"/>
      <c r="AE122" s="565"/>
      <c r="AF122" s="515"/>
      <c r="AG122" s="130"/>
      <c r="AH122" s="130"/>
      <c r="AI122" s="130"/>
      <c r="AJ122" s="487"/>
      <c r="AK122" s="130"/>
    </row>
    <row r="123" spans="2:38" ht="12" customHeight="1">
      <c r="B123" s="488"/>
      <c r="C123" s="493"/>
      <c r="D123" s="493"/>
      <c r="E123" s="492"/>
      <c r="F123" s="492"/>
      <c r="G123" s="492"/>
      <c r="H123" s="492"/>
      <c r="I123" s="492"/>
      <c r="J123" s="492"/>
      <c r="K123" s="492"/>
      <c r="L123" s="492"/>
      <c r="M123" s="492"/>
      <c r="N123" s="492"/>
      <c r="O123" s="492"/>
      <c r="P123" s="553"/>
      <c r="Q123" s="553"/>
      <c r="R123" s="553"/>
      <c r="S123" s="553"/>
      <c r="T123" s="553"/>
      <c r="U123" s="553"/>
      <c r="V123" s="567"/>
      <c r="W123" s="567"/>
      <c r="X123" s="506"/>
      <c r="Y123" s="506"/>
      <c r="Z123" s="506"/>
      <c r="AA123" s="568"/>
      <c r="AB123" s="568"/>
      <c r="AC123" s="568"/>
      <c r="AD123" s="569"/>
      <c r="AE123" s="569"/>
      <c r="AF123" s="515"/>
      <c r="AG123" s="487"/>
      <c r="AH123" s="487"/>
      <c r="AI123" s="487"/>
      <c r="AJ123" s="487"/>
      <c r="AK123" s="487"/>
      <c r="AL123" s="487"/>
    </row>
    <row r="124" spans="2:38" ht="12" customHeight="1">
      <c r="B124" s="488"/>
      <c r="C124" s="493"/>
      <c r="D124" s="493"/>
      <c r="E124" s="492"/>
      <c r="F124" s="492"/>
      <c r="G124" s="492"/>
      <c r="H124" s="492"/>
      <c r="I124" s="492"/>
      <c r="J124" s="492"/>
      <c r="K124" s="492"/>
      <c r="L124" s="492"/>
      <c r="M124" s="492"/>
      <c r="N124" s="492"/>
      <c r="O124" s="492"/>
      <c r="P124" s="570"/>
      <c r="Q124" s="492"/>
      <c r="R124" s="492"/>
      <c r="S124" s="492"/>
      <c r="T124" s="553"/>
      <c r="U124" s="553"/>
      <c r="V124" s="567"/>
      <c r="W124" s="567"/>
      <c r="X124" s="506"/>
      <c r="Y124" s="506"/>
      <c r="Z124" s="506"/>
      <c r="AA124" s="506"/>
      <c r="AB124" s="506"/>
      <c r="AC124" s="506"/>
      <c r="AD124" s="492"/>
      <c r="AE124" s="492"/>
      <c r="AF124" s="515"/>
      <c r="AG124" s="487"/>
      <c r="AH124" s="487"/>
      <c r="AI124" s="487"/>
      <c r="AJ124" s="487"/>
      <c r="AK124" s="487"/>
      <c r="AL124" s="487"/>
    </row>
    <row r="125" spans="2:38" ht="12" customHeight="1">
      <c r="B125" s="488"/>
      <c r="C125" s="493"/>
      <c r="D125" s="493"/>
      <c r="E125" s="542"/>
      <c r="F125" s="542"/>
      <c r="G125" s="542"/>
      <c r="H125" s="542"/>
      <c r="I125" s="542"/>
      <c r="J125" s="542"/>
      <c r="K125" s="542"/>
      <c r="L125" s="542"/>
      <c r="M125" s="542"/>
      <c r="N125" s="542"/>
      <c r="O125" s="542"/>
      <c r="P125" s="542"/>
      <c r="Q125" s="542"/>
      <c r="R125" s="542"/>
      <c r="S125" s="542"/>
      <c r="T125" s="542"/>
      <c r="U125" s="542"/>
      <c r="V125" s="563"/>
      <c r="W125" s="563"/>
      <c r="X125" s="563"/>
      <c r="Y125" s="563"/>
      <c r="Z125" s="563"/>
      <c r="AA125" s="563"/>
      <c r="AB125" s="563"/>
      <c r="AC125" s="563"/>
      <c r="AD125" s="542"/>
      <c r="AE125" s="542"/>
      <c r="AF125" s="515"/>
      <c r="AG125" s="487"/>
      <c r="AH125" s="487"/>
      <c r="AI125" s="487"/>
      <c r="AJ125" s="487"/>
      <c r="AK125" s="487"/>
      <c r="AL125" s="487"/>
    </row>
    <row r="126" spans="2:38" ht="12" customHeight="1">
      <c r="B126" s="130"/>
      <c r="C126" s="493"/>
      <c r="D126" s="493"/>
      <c r="E126" s="529"/>
      <c r="F126" s="561"/>
      <c r="G126" s="561"/>
      <c r="H126" s="561"/>
      <c r="I126" s="561"/>
      <c r="J126" s="561"/>
      <c r="K126" s="561"/>
      <c r="L126" s="561"/>
      <c r="M126" s="561"/>
      <c r="N126" s="561"/>
      <c r="O126" s="561"/>
      <c r="P126" s="561"/>
      <c r="Q126" s="561"/>
      <c r="R126" s="561"/>
      <c r="S126" s="561"/>
      <c r="T126" s="561"/>
      <c r="U126" s="561"/>
      <c r="V126" s="561"/>
      <c r="W126" s="561"/>
      <c r="X126" s="561"/>
      <c r="Y126" s="561"/>
      <c r="Z126" s="561"/>
      <c r="AA126" s="561"/>
      <c r="AB126" s="561"/>
      <c r="AC126" s="530"/>
      <c r="AD126" s="530"/>
      <c r="AE126" s="530"/>
      <c r="AF126" s="515"/>
      <c r="AG126" s="487"/>
      <c r="AH126" s="487"/>
      <c r="AI126" s="487"/>
      <c r="AJ126" s="487"/>
      <c r="AK126" s="487"/>
      <c r="AL126" s="487"/>
    </row>
    <row r="127" spans="2:38" ht="12" customHeight="1">
      <c r="B127" s="482"/>
      <c r="C127" s="482"/>
      <c r="D127" s="493"/>
      <c r="E127" s="487"/>
      <c r="F127" s="487"/>
      <c r="G127" s="487"/>
      <c r="H127" s="487"/>
      <c r="I127" s="487"/>
      <c r="J127" s="487"/>
      <c r="K127" s="487"/>
      <c r="L127" s="487"/>
      <c r="M127" s="487"/>
      <c r="N127" s="487"/>
      <c r="O127" s="487"/>
      <c r="P127" s="542"/>
      <c r="Q127" s="542"/>
      <c r="R127" s="542"/>
      <c r="S127" s="542"/>
      <c r="T127" s="544"/>
      <c r="U127" s="543"/>
      <c r="V127" s="547"/>
      <c r="W127" s="547"/>
      <c r="X127" s="547"/>
      <c r="Y127" s="547"/>
      <c r="Z127" s="547"/>
      <c r="AA127" s="563"/>
      <c r="AB127" s="563"/>
      <c r="AC127" s="563"/>
      <c r="AD127" s="542"/>
      <c r="AE127" s="542"/>
      <c r="AF127" s="515"/>
      <c r="AG127" s="132"/>
      <c r="AH127" s="132"/>
      <c r="AI127" s="487"/>
      <c r="AJ127" s="487"/>
      <c r="AK127" s="110"/>
      <c r="AL127" s="487"/>
    </row>
    <row r="128" spans="2:38" ht="12" customHeight="1">
      <c r="B128" s="482"/>
      <c r="C128" s="482"/>
      <c r="D128" s="493"/>
      <c r="E128" s="129"/>
      <c r="F128" s="129"/>
      <c r="G128" s="129"/>
      <c r="H128" s="129"/>
      <c r="I128" s="129"/>
      <c r="J128" s="129"/>
      <c r="K128" s="129"/>
      <c r="L128" s="129"/>
      <c r="M128" s="129"/>
      <c r="N128" s="129"/>
      <c r="O128" s="129"/>
      <c r="P128" s="521"/>
      <c r="Q128" s="129"/>
      <c r="R128" s="129"/>
      <c r="S128" s="129"/>
      <c r="T128" s="553"/>
      <c r="U128" s="516"/>
      <c r="V128" s="508"/>
      <c r="W128" s="508"/>
      <c r="X128" s="506"/>
      <c r="Y128" s="506"/>
      <c r="Z128" s="506"/>
      <c r="AA128" s="123"/>
      <c r="AB128" s="123"/>
      <c r="AC128" s="123"/>
      <c r="AD128" s="129"/>
      <c r="AE128" s="129"/>
      <c r="AF128" s="515"/>
      <c r="AG128" s="132"/>
      <c r="AH128" s="132"/>
      <c r="AI128" s="487"/>
      <c r="AJ128" s="487"/>
      <c r="AK128" s="487"/>
      <c r="AL128" s="487"/>
    </row>
    <row r="129" spans="2:38" ht="12" customHeight="1">
      <c r="B129" s="488"/>
      <c r="C129" s="482"/>
      <c r="D129" s="493"/>
      <c r="E129" s="129"/>
      <c r="F129" s="129"/>
      <c r="G129" s="129"/>
      <c r="H129" s="129"/>
      <c r="I129" s="129"/>
      <c r="J129" s="129"/>
      <c r="K129" s="129"/>
      <c r="L129" s="129"/>
      <c r="M129" s="129"/>
      <c r="N129" s="129"/>
      <c r="O129" s="129"/>
      <c r="P129" s="521"/>
      <c r="Q129" s="129"/>
      <c r="R129" s="129"/>
      <c r="S129" s="129"/>
      <c r="T129" s="553"/>
      <c r="U129" s="516"/>
      <c r="V129" s="508"/>
      <c r="W129" s="508"/>
      <c r="X129" s="506"/>
      <c r="Y129" s="506"/>
      <c r="Z129" s="506"/>
      <c r="AA129" s="123"/>
      <c r="AB129" s="123"/>
      <c r="AC129" s="123"/>
      <c r="AD129" s="129"/>
      <c r="AE129" s="129"/>
      <c r="AF129" s="515"/>
      <c r="AG129" s="132"/>
      <c r="AH129" s="132"/>
      <c r="AI129" s="487"/>
      <c r="AJ129" s="487"/>
      <c r="AK129" s="487"/>
      <c r="AL129" s="487"/>
    </row>
    <row r="130" spans="2:38" ht="12" customHeight="1">
      <c r="B130" s="488"/>
      <c r="C130" s="482"/>
      <c r="D130" s="493"/>
      <c r="E130" s="129"/>
      <c r="F130" s="129"/>
      <c r="G130" s="129"/>
      <c r="H130" s="129"/>
      <c r="I130" s="129"/>
      <c r="J130" s="129"/>
      <c r="K130" s="129"/>
      <c r="L130" s="129"/>
      <c r="M130" s="129"/>
      <c r="N130" s="129"/>
      <c r="O130" s="129"/>
      <c r="P130" s="521"/>
      <c r="Q130" s="129"/>
      <c r="R130" s="129"/>
      <c r="S130" s="129"/>
      <c r="T130" s="553"/>
      <c r="U130" s="516"/>
      <c r="V130" s="508"/>
      <c r="W130" s="508"/>
      <c r="X130" s="506"/>
      <c r="Y130" s="506"/>
      <c r="Z130" s="506"/>
      <c r="AA130" s="123"/>
      <c r="AB130" s="123"/>
      <c r="AC130" s="123"/>
      <c r="AD130" s="129"/>
      <c r="AE130" s="129"/>
      <c r="AF130" s="515"/>
      <c r="AG130" s="132"/>
      <c r="AH130" s="132"/>
      <c r="AI130" s="487"/>
      <c r="AJ130" s="487"/>
      <c r="AK130" s="487"/>
      <c r="AL130" s="487"/>
    </row>
    <row r="131" spans="2:38" ht="12" customHeight="1">
      <c r="B131" s="488"/>
      <c r="C131" s="571"/>
      <c r="D131" s="493"/>
      <c r="E131" s="572"/>
      <c r="F131" s="572"/>
      <c r="G131" s="572"/>
      <c r="H131" s="572"/>
      <c r="I131" s="572"/>
      <c r="J131" s="572"/>
      <c r="K131" s="572"/>
      <c r="L131" s="572"/>
      <c r="M131" s="572"/>
      <c r="N131" s="572"/>
      <c r="O131" s="572"/>
      <c r="P131" s="572"/>
      <c r="Q131" s="572"/>
      <c r="R131" s="572"/>
      <c r="S131" s="133"/>
      <c r="T131" s="133"/>
      <c r="U131" s="133"/>
      <c r="V131" s="455"/>
      <c r="W131" s="455"/>
      <c r="X131" s="455"/>
      <c r="Y131" s="455"/>
      <c r="Z131" s="455"/>
      <c r="AA131" s="455"/>
      <c r="AB131" s="455"/>
      <c r="AC131" s="455"/>
      <c r="AD131" s="133"/>
      <c r="AE131" s="133"/>
      <c r="AF131" s="515"/>
      <c r="AG131" s="132"/>
      <c r="AH131" s="132"/>
      <c r="AI131" s="487"/>
      <c r="AJ131" s="487"/>
      <c r="AK131" s="487"/>
      <c r="AL131" s="487"/>
    </row>
    <row r="132" spans="2:38" ht="12" customHeight="1">
      <c r="B132" s="488"/>
      <c r="C132" s="493"/>
      <c r="D132" s="493"/>
      <c r="E132" s="517"/>
      <c r="F132" s="517"/>
      <c r="G132" s="517"/>
      <c r="H132" s="517"/>
      <c r="I132" s="517"/>
      <c r="J132" s="517"/>
      <c r="K132" s="517"/>
      <c r="L132" s="517"/>
      <c r="M132" s="517"/>
      <c r="N132" s="517"/>
      <c r="O132" s="517"/>
      <c r="P132" s="517"/>
      <c r="Q132" s="517"/>
      <c r="R132" s="517"/>
      <c r="S132" s="517"/>
      <c r="T132" s="200"/>
      <c r="U132" s="200"/>
      <c r="V132" s="523"/>
      <c r="W132" s="573"/>
      <c r="X132" s="573"/>
      <c r="Y132" s="573"/>
      <c r="Z132" s="573"/>
      <c r="AA132" s="573"/>
      <c r="AB132" s="573"/>
      <c r="AC132" s="123"/>
      <c r="AD132" s="129"/>
      <c r="AE132" s="128"/>
      <c r="AF132" s="515"/>
      <c r="AG132" s="132"/>
      <c r="AH132" s="132"/>
      <c r="AI132" s="487"/>
      <c r="AJ132" s="487"/>
      <c r="AK132" s="487"/>
      <c r="AL132" s="487"/>
    </row>
    <row r="133" spans="2:38" ht="12" customHeight="1">
      <c r="B133" s="488"/>
      <c r="C133" s="130"/>
      <c r="D133" s="483"/>
      <c r="E133" s="130"/>
      <c r="F133" s="130"/>
      <c r="G133" s="130"/>
      <c r="H133" s="130"/>
      <c r="I133" s="130"/>
      <c r="J133" s="130"/>
      <c r="K133" s="130"/>
      <c r="L133" s="130"/>
      <c r="M133" s="130"/>
      <c r="N133" s="130"/>
      <c r="O133" s="130"/>
      <c r="P133" s="130"/>
      <c r="Q133" s="130"/>
      <c r="R133" s="130"/>
      <c r="S133" s="130"/>
      <c r="T133" s="130"/>
      <c r="U133" s="130"/>
      <c r="V133" s="481"/>
      <c r="W133" s="481"/>
      <c r="X133" s="481"/>
      <c r="Y133" s="481"/>
      <c r="Z133" s="481"/>
      <c r="AA133" s="481"/>
      <c r="AB133" s="481"/>
      <c r="AC133" s="481"/>
      <c r="AD133" s="130"/>
      <c r="AE133" s="130"/>
      <c r="AF133" s="515"/>
      <c r="AG133" s="574"/>
      <c r="AH133" s="574"/>
      <c r="AI133" s="574"/>
      <c r="AJ133" s="487"/>
      <c r="AK133" s="487"/>
      <c r="AL133" s="487"/>
    </row>
    <row r="134" spans="2:38" ht="12" customHeight="1">
      <c r="B134" s="488"/>
      <c r="C134" s="490"/>
      <c r="D134" s="490"/>
      <c r="E134" s="529"/>
      <c r="F134" s="542"/>
      <c r="G134" s="542"/>
      <c r="H134" s="542"/>
      <c r="I134" s="542"/>
      <c r="J134" s="542"/>
      <c r="K134" s="542"/>
      <c r="L134" s="542"/>
      <c r="M134" s="542"/>
      <c r="N134" s="542"/>
      <c r="O134" s="542"/>
      <c r="P134" s="542"/>
      <c r="Q134" s="542"/>
      <c r="R134" s="542"/>
      <c r="S134" s="542"/>
      <c r="T134" s="542"/>
      <c r="U134" s="542"/>
      <c r="V134" s="563"/>
      <c r="W134" s="563"/>
      <c r="X134" s="563"/>
      <c r="Y134" s="563"/>
      <c r="Z134" s="563"/>
      <c r="AA134" s="563"/>
      <c r="AB134" s="563"/>
      <c r="AC134" s="563"/>
      <c r="AD134" s="542"/>
      <c r="AE134" s="542"/>
      <c r="AF134" s="515"/>
      <c r="AG134" s="574"/>
      <c r="AH134" s="574"/>
      <c r="AI134" s="574"/>
      <c r="AJ134" s="487"/>
      <c r="AK134" s="487"/>
      <c r="AL134" s="487"/>
    </row>
    <row r="135" spans="2:38" ht="12" customHeight="1">
      <c r="B135" s="488"/>
      <c r="C135" s="490"/>
      <c r="D135" s="490"/>
      <c r="E135" s="575"/>
      <c r="F135" s="575"/>
      <c r="G135" s="575"/>
      <c r="H135" s="575"/>
      <c r="I135" s="575"/>
      <c r="J135" s="575"/>
      <c r="K135" s="575"/>
      <c r="L135" s="575"/>
      <c r="M135" s="575"/>
      <c r="N135" s="575"/>
      <c r="O135" s="575"/>
      <c r="P135" s="575"/>
      <c r="Q135" s="575"/>
      <c r="R135" s="575"/>
      <c r="S135" s="487"/>
      <c r="T135" s="533"/>
      <c r="U135" s="533"/>
      <c r="V135" s="552"/>
      <c r="W135" s="552"/>
      <c r="X135" s="552"/>
      <c r="Y135" s="552"/>
      <c r="Z135" s="552"/>
      <c r="AA135" s="552"/>
      <c r="AB135" s="552"/>
      <c r="AC135" s="552"/>
      <c r="AD135" s="533"/>
      <c r="AE135" s="533"/>
      <c r="AF135" s="515"/>
      <c r="AG135" s="574"/>
      <c r="AH135" s="574"/>
      <c r="AI135" s="574"/>
      <c r="AJ135" s="487"/>
      <c r="AK135" s="487"/>
      <c r="AL135" s="487"/>
    </row>
    <row r="136" spans="2:38" ht="12" customHeight="1">
      <c r="B136" s="488"/>
      <c r="C136" s="576"/>
      <c r="D136" s="576"/>
      <c r="E136" s="575"/>
      <c r="F136" s="575"/>
      <c r="G136" s="575"/>
      <c r="H136" s="575"/>
      <c r="I136" s="575"/>
      <c r="J136" s="575"/>
      <c r="K136" s="575"/>
      <c r="L136" s="575"/>
      <c r="M136" s="575"/>
      <c r="N136" s="575"/>
      <c r="O136" s="575"/>
      <c r="P136" s="575"/>
      <c r="Q136" s="575"/>
      <c r="R136" s="575"/>
      <c r="S136" s="487"/>
      <c r="T136" s="533"/>
      <c r="U136" s="533"/>
      <c r="V136" s="552"/>
      <c r="W136" s="552"/>
      <c r="X136" s="552"/>
      <c r="Y136" s="552"/>
      <c r="Z136" s="552"/>
      <c r="AA136" s="552"/>
      <c r="AB136" s="552"/>
      <c r="AC136" s="552"/>
      <c r="AD136" s="533"/>
      <c r="AE136" s="533"/>
      <c r="AF136" s="515"/>
      <c r="AG136" s="574"/>
      <c r="AH136" s="574"/>
      <c r="AI136" s="574"/>
      <c r="AJ136" s="487"/>
      <c r="AK136" s="487"/>
      <c r="AL136" s="487"/>
    </row>
    <row r="137" spans="2:38" ht="12" customHeight="1">
      <c r="B137" s="577"/>
      <c r="C137" s="130"/>
      <c r="D137" s="130"/>
      <c r="E137" s="578"/>
      <c r="F137" s="578"/>
      <c r="G137" s="578"/>
      <c r="H137" s="578"/>
      <c r="I137" s="578"/>
      <c r="J137" s="578"/>
      <c r="K137" s="578"/>
      <c r="L137" s="578"/>
      <c r="M137" s="578"/>
      <c r="N137" s="578"/>
      <c r="O137" s="578"/>
      <c r="P137" s="578"/>
      <c r="Q137" s="578"/>
      <c r="R137" s="578"/>
      <c r="S137" s="578"/>
      <c r="T137" s="579"/>
      <c r="U137" s="579"/>
      <c r="V137" s="580"/>
      <c r="W137" s="580"/>
      <c r="X137" s="580"/>
      <c r="Y137" s="580"/>
      <c r="Z137" s="580"/>
      <c r="AA137" s="580"/>
      <c r="AB137" s="580"/>
      <c r="AC137" s="580"/>
      <c r="AD137" s="579"/>
      <c r="AE137" s="579"/>
      <c r="AF137" s="515"/>
      <c r="AG137" s="574"/>
      <c r="AH137" s="574"/>
      <c r="AI137" s="574"/>
      <c r="AJ137" s="487"/>
      <c r="AK137" s="487"/>
      <c r="AL137" s="487"/>
    </row>
    <row r="138" spans="2:38" ht="12" customHeight="1">
      <c r="B138" s="577"/>
      <c r="C138" s="130"/>
      <c r="D138" s="130"/>
      <c r="E138" s="578"/>
      <c r="F138" s="578"/>
      <c r="G138" s="578"/>
      <c r="H138" s="578"/>
      <c r="I138" s="578"/>
      <c r="J138" s="578"/>
      <c r="K138" s="578"/>
      <c r="L138" s="578"/>
      <c r="M138" s="578"/>
      <c r="N138" s="578"/>
      <c r="O138" s="578"/>
      <c r="P138" s="578"/>
      <c r="Q138" s="578"/>
      <c r="R138" s="578"/>
      <c r="S138" s="578"/>
      <c r="T138" s="579"/>
      <c r="U138" s="579"/>
      <c r="V138" s="580"/>
      <c r="W138" s="580"/>
      <c r="X138" s="580"/>
      <c r="Y138" s="580"/>
      <c r="Z138" s="580"/>
      <c r="AA138" s="580"/>
      <c r="AB138" s="580"/>
      <c r="AC138" s="580"/>
      <c r="AD138" s="579"/>
      <c r="AE138" s="579"/>
      <c r="AF138" s="515"/>
      <c r="AG138" s="574"/>
      <c r="AH138" s="574"/>
      <c r="AI138" s="574"/>
      <c r="AJ138" s="486"/>
      <c r="AK138" s="487"/>
      <c r="AL138" s="487"/>
    </row>
    <row r="139" spans="2:38" ht="12" customHeight="1">
      <c r="B139" s="577"/>
      <c r="C139" s="130"/>
      <c r="D139" s="130"/>
      <c r="E139" s="130"/>
      <c r="F139" s="130"/>
      <c r="G139" s="130"/>
      <c r="H139" s="130"/>
      <c r="I139" s="130"/>
      <c r="J139" s="130"/>
      <c r="K139" s="130"/>
      <c r="L139" s="130"/>
      <c r="M139" s="130"/>
      <c r="N139" s="130"/>
      <c r="O139" s="130"/>
      <c r="P139" s="130"/>
      <c r="Q139" s="130"/>
      <c r="R139" s="130"/>
      <c r="S139" s="130"/>
      <c r="T139" s="130"/>
      <c r="U139" s="130"/>
      <c r="V139" s="481"/>
      <c r="W139" s="481"/>
      <c r="X139" s="481"/>
      <c r="Y139" s="481"/>
      <c r="Z139" s="481"/>
      <c r="AA139" s="481"/>
      <c r="AB139" s="481"/>
      <c r="AC139" s="481"/>
      <c r="AD139" s="130"/>
      <c r="AE139" s="130"/>
      <c r="AF139" s="515"/>
      <c r="AG139" s="574"/>
      <c r="AH139" s="574"/>
      <c r="AI139" s="574"/>
      <c r="AJ139" s="486"/>
      <c r="AK139" s="487"/>
      <c r="AL139" s="487"/>
    </row>
    <row r="140" spans="2:38" ht="12" customHeight="1">
      <c r="B140" s="482"/>
      <c r="C140" s="130"/>
      <c r="D140" s="130"/>
      <c r="E140" s="134"/>
      <c r="F140" s="134"/>
      <c r="G140" s="134"/>
      <c r="H140" s="134"/>
      <c r="I140" s="134"/>
      <c r="J140" s="134"/>
      <c r="K140" s="134"/>
      <c r="L140" s="135"/>
      <c r="M140" s="135"/>
      <c r="N140" s="135"/>
      <c r="O140" s="135"/>
      <c r="P140" s="135"/>
      <c r="Q140" s="135"/>
      <c r="R140" s="135"/>
      <c r="S140" s="135"/>
      <c r="T140" s="135"/>
      <c r="U140" s="135"/>
      <c r="V140" s="135"/>
      <c r="W140" s="135"/>
      <c r="X140" s="135"/>
      <c r="Y140" s="135"/>
      <c r="Z140" s="135"/>
      <c r="AA140" s="135"/>
      <c r="AB140" s="135"/>
      <c r="AC140" s="135"/>
      <c r="AD140" s="135"/>
      <c r="AE140" s="135"/>
      <c r="AF140" s="515"/>
      <c r="AG140" s="504"/>
      <c r="AH140" s="504"/>
      <c r="AI140" s="504"/>
      <c r="AJ140" s="486"/>
      <c r="AK140" s="487"/>
      <c r="AL140" s="487"/>
    </row>
    <row r="141" spans="2:38" ht="12" customHeight="1">
      <c r="B141" s="482"/>
      <c r="C141" s="130"/>
      <c r="D141" s="130"/>
      <c r="E141" s="134"/>
      <c r="F141" s="134"/>
      <c r="G141" s="134"/>
      <c r="H141" s="134"/>
      <c r="I141" s="134"/>
      <c r="J141" s="134"/>
      <c r="K141" s="134"/>
      <c r="L141" s="135"/>
      <c r="M141" s="135"/>
      <c r="N141" s="135"/>
      <c r="O141" s="135"/>
      <c r="P141" s="135"/>
      <c r="Q141" s="135"/>
      <c r="R141" s="135"/>
      <c r="S141" s="135"/>
      <c r="T141" s="135"/>
      <c r="U141" s="135"/>
      <c r="V141" s="135"/>
      <c r="W141" s="135"/>
      <c r="X141" s="135"/>
      <c r="Y141" s="135"/>
      <c r="Z141" s="135"/>
      <c r="AA141" s="135"/>
      <c r="AB141" s="135"/>
      <c r="AC141" s="135"/>
      <c r="AD141" s="135"/>
      <c r="AE141" s="135"/>
      <c r="AF141" s="515"/>
      <c r="AG141" s="504"/>
      <c r="AH141" s="504"/>
      <c r="AI141" s="504"/>
      <c r="AJ141" s="486"/>
      <c r="AK141" s="581"/>
      <c r="AL141" s="487"/>
    </row>
    <row r="142" spans="2:38" ht="12" customHeight="1">
      <c r="B142" s="482"/>
      <c r="C142" s="130"/>
      <c r="D142" s="130"/>
      <c r="E142" s="134"/>
      <c r="F142" s="134"/>
      <c r="G142" s="134"/>
      <c r="H142" s="134"/>
      <c r="I142" s="134"/>
      <c r="J142" s="134"/>
      <c r="K142" s="134"/>
      <c r="L142" s="135"/>
      <c r="M142" s="135"/>
      <c r="N142" s="135"/>
      <c r="O142" s="135"/>
      <c r="P142" s="135"/>
      <c r="Q142" s="135"/>
      <c r="R142" s="135"/>
      <c r="S142" s="135"/>
      <c r="T142" s="135"/>
      <c r="U142" s="135"/>
      <c r="V142" s="135"/>
      <c r="W142" s="135"/>
      <c r="X142" s="135"/>
      <c r="Y142" s="135"/>
      <c r="Z142" s="135"/>
      <c r="AA142" s="135"/>
      <c r="AB142" s="135"/>
      <c r="AC142" s="135"/>
      <c r="AD142" s="135"/>
      <c r="AE142" s="135"/>
      <c r="AF142" s="515"/>
      <c r="AG142" s="504"/>
      <c r="AH142" s="504"/>
      <c r="AI142" s="504"/>
      <c r="AJ142" s="486"/>
      <c r="AK142" s="487"/>
      <c r="AL142" s="487"/>
    </row>
    <row r="143" spans="2:38" ht="12" customHeight="1">
      <c r="B143" s="482"/>
      <c r="C143" s="130"/>
      <c r="D143" s="130"/>
      <c r="E143" s="134"/>
      <c r="F143" s="134"/>
      <c r="G143" s="134"/>
      <c r="H143" s="134"/>
      <c r="I143" s="134"/>
      <c r="J143" s="134"/>
      <c r="K143" s="134"/>
      <c r="L143" s="135"/>
      <c r="M143" s="135"/>
      <c r="N143" s="135"/>
      <c r="O143" s="135"/>
      <c r="P143" s="135"/>
      <c r="Q143" s="135"/>
      <c r="R143" s="135"/>
      <c r="S143" s="135"/>
      <c r="T143" s="135"/>
      <c r="U143" s="135"/>
      <c r="V143" s="135"/>
      <c r="W143" s="135"/>
      <c r="X143" s="135"/>
      <c r="Y143" s="135"/>
      <c r="Z143" s="135"/>
      <c r="AA143" s="135"/>
      <c r="AB143" s="135"/>
      <c r="AC143" s="135"/>
      <c r="AD143" s="135"/>
      <c r="AE143" s="135"/>
      <c r="AF143" s="515"/>
      <c r="AG143" s="582"/>
      <c r="AH143" s="582"/>
      <c r="AI143" s="487"/>
      <c r="AJ143" s="486"/>
      <c r="AK143" s="487"/>
      <c r="AL143" s="487"/>
    </row>
    <row r="144" spans="2:38" ht="12" customHeight="1">
      <c r="B144" s="482"/>
      <c r="C144" s="130"/>
      <c r="D144" s="130"/>
      <c r="E144" s="134"/>
      <c r="F144" s="134"/>
      <c r="G144" s="134"/>
      <c r="H144" s="134"/>
      <c r="I144" s="134"/>
      <c r="J144" s="134"/>
      <c r="K144" s="134"/>
      <c r="L144" s="135"/>
      <c r="M144" s="135"/>
      <c r="N144" s="135"/>
      <c r="O144" s="135"/>
      <c r="P144" s="135"/>
      <c r="Q144" s="135"/>
      <c r="R144" s="135"/>
      <c r="S144" s="135"/>
      <c r="T144" s="135"/>
      <c r="U144" s="135"/>
      <c r="V144" s="135"/>
      <c r="W144" s="135"/>
      <c r="X144" s="135"/>
      <c r="Y144" s="135"/>
      <c r="Z144" s="135"/>
      <c r="AA144" s="135"/>
      <c r="AB144" s="135"/>
      <c r="AC144" s="135"/>
      <c r="AD144" s="135"/>
      <c r="AE144" s="135"/>
      <c r="AF144" s="515"/>
      <c r="AG144" s="582"/>
      <c r="AH144" s="582"/>
      <c r="AI144" s="487"/>
      <c r="AJ144" s="486"/>
      <c r="AK144" s="487"/>
      <c r="AL144" s="487"/>
    </row>
    <row r="145" spans="2:38" ht="12" customHeight="1">
      <c r="B145" s="482"/>
      <c r="C145" s="130"/>
      <c r="D145" s="130"/>
      <c r="E145" s="134"/>
      <c r="F145" s="134"/>
      <c r="G145" s="134"/>
      <c r="H145" s="134"/>
      <c r="I145" s="134"/>
      <c r="J145" s="134"/>
      <c r="K145" s="134"/>
      <c r="L145" s="135"/>
      <c r="M145" s="135"/>
      <c r="N145" s="135"/>
      <c r="O145" s="135"/>
      <c r="P145" s="135"/>
      <c r="Q145" s="135"/>
      <c r="R145" s="135"/>
      <c r="S145" s="135"/>
      <c r="T145" s="135"/>
      <c r="U145" s="135"/>
      <c r="V145" s="135"/>
      <c r="W145" s="135"/>
      <c r="X145" s="135"/>
      <c r="Y145" s="135"/>
      <c r="Z145" s="135"/>
      <c r="AA145" s="135"/>
      <c r="AB145" s="135"/>
      <c r="AC145" s="135"/>
      <c r="AD145" s="135"/>
      <c r="AE145" s="135"/>
      <c r="AF145" s="515"/>
      <c r="AG145" s="487"/>
      <c r="AH145" s="487"/>
      <c r="AI145" s="487"/>
      <c r="AJ145" s="582"/>
      <c r="AK145" s="582"/>
      <c r="AL145" s="582"/>
    </row>
    <row r="146" spans="2:38" ht="12" customHeight="1">
      <c r="B146" s="488"/>
      <c r="C146" s="130"/>
      <c r="D146" s="130"/>
      <c r="E146" s="134"/>
      <c r="F146" s="134"/>
      <c r="G146" s="134"/>
      <c r="H146" s="134"/>
      <c r="I146" s="134"/>
      <c r="J146" s="134"/>
      <c r="K146" s="134"/>
      <c r="L146" s="135"/>
      <c r="M146" s="135"/>
      <c r="N146" s="135"/>
      <c r="O146" s="135"/>
      <c r="P146" s="135"/>
      <c r="Q146" s="135"/>
      <c r="R146" s="135"/>
      <c r="S146" s="135"/>
      <c r="T146" s="135"/>
      <c r="U146" s="135"/>
      <c r="V146" s="135"/>
      <c r="W146" s="135"/>
      <c r="X146" s="135"/>
      <c r="Y146" s="135"/>
      <c r="Z146" s="135"/>
      <c r="AA146" s="135"/>
      <c r="AB146" s="135"/>
      <c r="AC146" s="135"/>
      <c r="AD146" s="135"/>
      <c r="AE146" s="135"/>
      <c r="AF146" s="515"/>
      <c r="AG146" s="487"/>
      <c r="AH146" s="487"/>
      <c r="AI146" s="487"/>
      <c r="AJ146" s="582"/>
      <c r="AK146" s="582"/>
      <c r="AL146" s="582"/>
    </row>
    <row r="147" spans="2:38" ht="12" customHeight="1">
      <c r="B147" s="488"/>
      <c r="C147" s="130"/>
      <c r="D147" s="130"/>
      <c r="E147" s="130"/>
      <c r="F147" s="130"/>
      <c r="G147" s="130"/>
      <c r="H147" s="130"/>
      <c r="I147" s="130"/>
      <c r="J147" s="130"/>
      <c r="K147" s="130"/>
      <c r="L147" s="130"/>
      <c r="M147" s="130"/>
      <c r="N147" s="130"/>
      <c r="O147" s="130"/>
      <c r="P147" s="130"/>
      <c r="Q147" s="130"/>
      <c r="R147" s="130"/>
      <c r="S147" s="130"/>
      <c r="T147" s="130"/>
      <c r="U147" s="130"/>
      <c r="V147" s="481"/>
      <c r="W147" s="481"/>
      <c r="X147" s="481"/>
      <c r="Y147" s="481"/>
      <c r="Z147" s="481"/>
      <c r="AA147" s="481"/>
      <c r="AB147" s="481"/>
      <c r="AC147" s="481"/>
      <c r="AD147" s="130"/>
      <c r="AE147" s="130"/>
      <c r="AF147" s="515"/>
      <c r="AG147" s="487"/>
      <c r="AH147" s="487"/>
      <c r="AI147" s="487"/>
      <c r="AJ147" s="486"/>
      <c r="AK147" s="487"/>
      <c r="AL147" s="487"/>
    </row>
    <row r="148" spans="2:38" ht="12" customHeight="1">
      <c r="B148" s="488"/>
      <c r="C148" s="130"/>
      <c r="D148" s="130"/>
      <c r="E148" s="583"/>
      <c r="F148" s="584"/>
      <c r="G148" s="584"/>
      <c r="H148" s="584"/>
      <c r="I148" s="584"/>
      <c r="J148" s="584"/>
      <c r="K148" s="584"/>
      <c r="L148" s="584"/>
      <c r="M148" s="584"/>
      <c r="N148" s="584"/>
      <c r="O148" s="584"/>
      <c r="P148" s="584"/>
      <c r="Q148" s="584"/>
      <c r="R148" s="584"/>
      <c r="S148" s="584"/>
      <c r="T148" s="584"/>
      <c r="U148" s="584"/>
      <c r="V148" s="583"/>
      <c r="W148" s="583"/>
      <c r="X148" s="583"/>
      <c r="Y148" s="583"/>
      <c r="Z148" s="583"/>
      <c r="AA148" s="583"/>
      <c r="AB148" s="583"/>
      <c r="AC148" s="583"/>
      <c r="AD148" s="584"/>
      <c r="AE148" s="584"/>
      <c r="AF148" s="515"/>
      <c r="AG148" s="487"/>
      <c r="AH148" s="487"/>
      <c r="AI148" s="487"/>
      <c r="AJ148" s="130"/>
      <c r="AK148" s="487"/>
      <c r="AL148" s="487"/>
    </row>
    <row r="149" spans="2:38" ht="12" customHeight="1">
      <c r="B149" s="488"/>
      <c r="C149" s="130"/>
      <c r="D149" s="130"/>
      <c r="E149" s="584"/>
      <c r="F149" s="584"/>
      <c r="G149" s="584"/>
      <c r="H149" s="584"/>
      <c r="I149" s="584"/>
      <c r="J149" s="584"/>
      <c r="K149" s="584"/>
      <c r="L149" s="584"/>
      <c r="M149" s="584"/>
      <c r="N149" s="584"/>
      <c r="O149" s="584"/>
      <c r="P149" s="584"/>
      <c r="Q149" s="584"/>
      <c r="R149" s="584"/>
      <c r="S149" s="584"/>
      <c r="T149" s="584"/>
      <c r="U149" s="584"/>
      <c r="V149" s="583"/>
      <c r="W149" s="583"/>
      <c r="X149" s="583"/>
      <c r="Y149" s="583"/>
      <c r="Z149" s="583"/>
      <c r="AA149" s="583"/>
      <c r="AB149" s="583"/>
      <c r="AC149" s="583"/>
      <c r="AD149" s="584"/>
      <c r="AE149" s="584"/>
      <c r="AF149" s="515"/>
      <c r="AG149" s="130"/>
      <c r="AH149" s="130"/>
      <c r="AI149" s="130"/>
      <c r="AJ149" s="585"/>
      <c r="AK149" s="487"/>
      <c r="AL149" s="487"/>
    </row>
    <row r="150" spans="2:38" ht="12" customHeight="1">
      <c r="B150" s="488"/>
      <c r="C150" s="586"/>
      <c r="D150" s="586"/>
      <c r="E150" s="584"/>
      <c r="F150" s="584"/>
      <c r="G150" s="584"/>
      <c r="H150" s="584"/>
      <c r="I150" s="584"/>
      <c r="J150" s="584"/>
      <c r="K150" s="584"/>
      <c r="L150" s="584"/>
      <c r="M150" s="584"/>
      <c r="N150" s="584"/>
      <c r="O150" s="584"/>
      <c r="P150" s="584"/>
      <c r="Q150" s="584"/>
      <c r="R150" s="584"/>
      <c r="S150" s="584"/>
      <c r="T150" s="584"/>
      <c r="U150" s="584"/>
      <c r="V150" s="583"/>
      <c r="W150" s="583"/>
      <c r="X150" s="583"/>
      <c r="Y150" s="583"/>
      <c r="Z150" s="583"/>
      <c r="AA150" s="583"/>
      <c r="AB150" s="583"/>
      <c r="AC150" s="583"/>
      <c r="AD150" s="584"/>
      <c r="AE150" s="584"/>
      <c r="AF150" s="515"/>
      <c r="AG150" s="554"/>
      <c r="AH150" s="554"/>
      <c r="AI150" s="554"/>
      <c r="AJ150" s="585"/>
      <c r="AK150" s="487"/>
      <c r="AL150" s="487"/>
    </row>
    <row r="151" spans="2:38" s="587" customFormat="1" ht="12" customHeight="1">
      <c r="B151" s="488"/>
      <c r="C151" s="588"/>
      <c r="D151" s="588"/>
      <c r="E151" s="584"/>
      <c r="F151" s="584"/>
      <c r="G151" s="584"/>
      <c r="H151" s="584"/>
      <c r="I151" s="584"/>
      <c r="J151" s="584"/>
      <c r="K151" s="584"/>
      <c r="L151" s="584"/>
      <c r="M151" s="584"/>
      <c r="N151" s="584"/>
      <c r="O151" s="584"/>
      <c r="P151" s="584"/>
      <c r="Q151" s="584"/>
      <c r="R151" s="584"/>
      <c r="S151" s="584"/>
      <c r="T151" s="584"/>
      <c r="U151" s="584"/>
      <c r="V151" s="583"/>
      <c r="W151" s="583"/>
      <c r="X151" s="583"/>
      <c r="Y151" s="583"/>
      <c r="Z151" s="583"/>
      <c r="AA151" s="583"/>
      <c r="AB151" s="583"/>
      <c r="AC151" s="583"/>
      <c r="AD151" s="584"/>
      <c r="AE151" s="584"/>
      <c r="AF151" s="515"/>
      <c r="AG151" s="554"/>
      <c r="AH151" s="554"/>
      <c r="AI151" s="554"/>
      <c r="AJ151" s="588"/>
    </row>
    <row r="152" spans="2:38" ht="12" customHeight="1">
      <c r="B152" s="130"/>
      <c r="C152" s="130"/>
      <c r="D152" s="589"/>
      <c r="E152" s="515"/>
      <c r="F152" s="515"/>
      <c r="G152" s="515"/>
      <c r="H152" s="515"/>
      <c r="I152" s="515"/>
      <c r="J152" s="515"/>
      <c r="K152" s="515"/>
      <c r="L152" s="515"/>
      <c r="M152" s="515"/>
      <c r="N152" s="515"/>
      <c r="O152" s="515"/>
      <c r="P152" s="515"/>
      <c r="Q152" s="515"/>
      <c r="R152" s="515"/>
      <c r="S152" s="515"/>
      <c r="T152" s="515"/>
      <c r="U152" s="515"/>
      <c r="V152" s="512"/>
      <c r="W152" s="512"/>
      <c r="X152" s="512"/>
      <c r="Y152" s="512"/>
      <c r="Z152" s="512"/>
      <c r="AA152" s="512"/>
      <c r="AB152" s="512"/>
      <c r="AC152" s="512"/>
      <c r="AD152" s="515"/>
      <c r="AE152" s="515"/>
      <c r="AF152" s="515"/>
      <c r="AG152" s="130"/>
      <c r="AH152" s="130"/>
      <c r="AI152" s="130"/>
      <c r="AJ152" s="130"/>
    </row>
    <row r="153" spans="2:38" ht="12" customHeight="1">
      <c r="B153" s="130"/>
      <c r="C153" s="130"/>
      <c r="D153" s="130"/>
      <c r="E153" s="130"/>
      <c r="F153" s="130"/>
      <c r="G153" s="130"/>
      <c r="H153" s="130"/>
      <c r="I153" s="130"/>
      <c r="J153" s="130"/>
      <c r="K153" s="130"/>
      <c r="L153" s="130"/>
      <c r="M153" s="130"/>
      <c r="N153" s="130"/>
      <c r="O153" s="130"/>
      <c r="P153" s="130"/>
      <c r="Q153" s="130"/>
      <c r="R153" s="130"/>
      <c r="S153" s="130"/>
      <c r="T153" s="130"/>
      <c r="U153" s="130"/>
      <c r="V153" s="481"/>
      <c r="W153" s="481"/>
      <c r="X153" s="481"/>
      <c r="Y153" s="481"/>
      <c r="Z153" s="481"/>
      <c r="AA153" s="481"/>
      <c r="AB153" s="481"/>
      <c r="AC153" s="481"/>
      <c r="AD153" s="130"/>
      <c r="AE153" s="130"/>
      <c r="AF153" s="130"/>
      <c r="AG153" s="130"/>
      <c r="AH153" s="130"/>
      <c r="AI153" s="130"/>
      <c r="AJ153" s="130"/>
    </row>
    <row r="154" spans="2:38" ht="12" customHeight="1">
      <c r="B154" s="130"/>
      <c r="C154" s="130"/>
      <c r="D154" s="130"/>
      <c r="E154" s="130"/>
      <c r="F154" s="130"/>
      <c r="G154" s="130"/>
      <c r="H154" s="130"/>
      <c r="I154" s="130"/>
      <c r="J154" s="130"/>
      <c r="K154" s="130"/>
      <c r="L154" s="130"/>
      <c r="M154" s="130"/>
      <c r="N154" s="130"/>
      <c r="O154" s="130"/>
      <c r="P154" s="130"/>
      <c r="Q154" s="130"/>
      <c r="R154" s="130"/>
      <c r="S154" s="130"/>
      <c r="T154" s="130"/>
      <c r="U154" s="130"/>
      <c r="V154" s="481"/>
      <c r="W154" s="481"/>
      <c r="X154" s="481"/>
      <c r="Y154" s="481"/>
      <c r="Z154" s="481"/>
      <c r="AA154" s="481"/>
      <c r="AB154" s="481"/>
      <c r="AC154" s="481"/>
      <c r="AD154" s="130"/>
      <c r="AE154" s="130"/>
      <c r="AF154" s="130"/>
      <c r="AG154" s="130"/>
      <c r="AH154" s="130"/>
      <c r="AI154" s="130"/>
      <c r="AJ154" s="130"/>
    </row>
    <row r="155" spans="2:38" ht="12" customHeight="1">
      <c r="B155" s="130"/>
      <c r="C155" s="130"/>
      <c r="D155" s="130"/>
      <c r="E155" s="130"/>
      <c r="F155" s="130"/>
      <c r="G155" s="130"/>
      <c r="H155" s="130"/>
      <c r="I155" s="130"/>
      <c r="J155" s="130"/>
      <c r="K155" s="130"/>
      <c r="L155" s="130"/>
      <c r="M155" s="590"/>
      <c r="N155" s="590"/>
      <c r="O155" s="130"/>
      <c r="P155" s="130"/>
      <c r="Q155" s="130"/>
      <c r="R155" s="130"/>
      <c r="S155" s="130"/>
      <c r="T155" s="130"/>
      <c r="U155" s="130"/>
      <c r="V155" s="481"/>
      <c r="W155" s="481"/>
      <c r="X155" s="481"/>
      <c r="Y155" s="481"/>
      <c r="Z155" s="481"/>
      <c r="AA155" s="481"/>
      <c r="AB155" s="481"/>
      <c r="AC155" s="481"/>
      <c r="AD155" s="130"/>
      <c r="AE155" s="130"/>
      <c r="AF155" s="130"/>
      <c r="AG155" s="130"/>
      <c r="AH155" s="130"/>
      <c r="AI155" s="130"/>
      <c r="AJ155" s="130"/>
    </row>
    <row r="156" spans="2:38" ht="12" customHeight="1">
      <c r="B156" s="130"/>
      <c r="C156" s="130"/>
      <c r="D156" s="130"/>
      <c r="E156" s="130"/>
      <c r="F156" s="130"/>
      <c r="G156" s="130"/>
      <c r="H156" s="130"/>
      <c r="I156" s="130"/>
      <c r="J156" s="130"/>
      <c r="K156" s="130"/>
      <c r="L156" s="130"/>
      <c r="M156" s="130"/>
      <c r="N156" s="130"/>
      <c r="O156" s="130"/>
      <c r="P156" s="130"/>
      <c r="Q156" s="130"/>
      <c r="R156" s="130"/>
      <c r="S156" s="130"/>
      <c r="T156" s="130"/>
      <c r="U156" s="130"/>
      <c r="V156" s="481"/>
      <c r="W156" s="481"/>
      <c r="X156" s="481"/>
      <c r="Y156" s="481"/>
      <c r="Z156" s="481"/>
      <c r="AA156" s="481"/>
      <c r="AB156" s="481"/>
      <c r="AC156" s="481"/>
      <c r="AD156" s="130"/>
      <c r="AE156" s="130"/>
      <c r="AF156" s="130"/>
      <c r="AG156" s="130"/>
      <c r="AH156" s="130"/>
      <c r="AI156" s="130"/>
      <c r="AJ156" s="130"/>
    </row>
    <row r="157" spans="2:38" ht="12" customHeight="1">
      <c r="B157" s="130"/>
      <c r="C157" s="130"/>
      <c r="D157" s="130"/>
      <c r="E157" s="130"/>
      <c r="F157" s="130"/>
      <c r="G157" s="130"/>
      <c r="H157" s="130"/>
      <c r="I157" s="130"/>
      <c r="J157" s="130"/>
      <c r="K157" s="130"/>
      <c r="L157" s="130"/>
      <c r="M157" s="130"/>
      <c r="N157" s="130"/>
      <c r="O157" s="130"/>
      <c r="P157" s="130"/>
      <c r="Q157" s="130"/>
      <c r="R157" s="130"/>
      <c r="S157" s="130"/>
      <c r="T157" s="130"/>
      <c r="U157" s="130"/>
      <c r="V157" s="481"/>
      <c r="W157" s="481"/>
      <c r="X157" s="481"/>
      <c r="Y157" s="481"/>
      <c r="Z157" s="481"/>
      <c r="AA157" s="481"/>
      <c r="AB157" s="481"/>
      <c r="AC157" s="481"/>
      <c r="AD157" s="130"/>
      <c r="AE157" s="130"/>
      <c r="AF157" s="130"/>
      <c r="AG157" s="130"/>
      <c r="AH157" s="130"/>
      <c r="AI157" s="130"/>
      <c r="AJ157" s="130"/>
    </row>
    <row r="158" spans="2:38" ht="12" customHeight="1">
      <c r="B158" s="130"/>
      <c r="C158" s="130"/>
      <c r="D158" s="130"/>
      <c r="E158" s="130"/>
      <c r="F158" s="130"/>
      <c r="G158" s="130"/>
      <c r="H158" s="130"/>
      <c r="I158" s="130"/>
      <c r="J158" s="130"/>
      <c r="K158" s="130"/>
      <c r="L158" s="130"/>
      <c r="M158" s="130"/>
      <c r="N158" s="130"/>
      <c r="O158" s="130"/>
      <c r="P158" s="130"/>
      <c r="Q158" s="130"/>
      <c r="R158" s="130"/>
      <c r="S158" s="130"/>
      <c r="T158" s="130"/>
      <c r="U158" s="130"/>
      <c r="V158" s="481"/>
      <c r="W158" s="481"/>
      <c r="X158" s="481"/>
      <c r="Y158" s="481"/>
      <c r="Z158" s="481"/>
      <c r="AA158" s="481"/>
      <c r="AB158" s="481"/>
      <c r="AC158" s="481"/>
      <c r="AD158" s="130"/>
      <c r="AE158" s="130"/>
      <c r="AF158" s="130"/>
      <c r="AG158" s="130"/>
      <c r="AH158" s="130"/>
      <c r="AI158" s="130"/>
      <c r="AJ158" s="130"/>
    </row>
    <row r="159" spans="2:38" ht="12" customHeight="1">
      <c r="B159" s="130"/>
      <c r="C159" s="130"/>
      <c r="D159" s="130"/>
      <c r="E159" s="130"/>
      <c r="F159" s="130"/>
      <c r="G159" s="130"/>
      <c r="H159" s="130"/>
      <c r="I159" s="130"/>
      <c r="J159" s="130"/>
      <c r="K159" s="130"/>
      <c r="L159" s="130"/>
      <c r="M159" s="130"/>
      <c r="N159" s="130"/>
      <c r="O159" s="130"/>
      <c r="P159" s="130"/>
      <c r="Q159" s="130"/>
      <c r="R159" s="130"/>
      <c r="S159" s="130"/>
      <c r="T159" s="130"/>
      <c r="U159" s="130"/>
      <c r="V159" s="481"/>
      <c r="W159" s="481"/>
      <c r="X159" s="481"/>
      <c r="Y159" s="481"/>
      <c r="Z159" s="481"/>
      <c r="AA159" s="481"/>
      <c r="AB159" s="481"/>
      <c r="AC159" s="481"/>
      <c r="AD159" s="130"/>
      <c r="AE159" s="130"/>
      <c r="AF159" s="130"/>
      <c r="AG159" s="130"/>
      <c r="AH159" s="130"/>
      <c r="AI159" s="130"/>
      <c r="AJ159" s="130"/>
    </row>
    <row r="160" spans="2:38" ht="12" customHeight="1">
      <c r="B160" s="130"/>
      <c r="C160" s="130"/>
      <c r="D160" s="130"/>
      <c r="E160" s="130"/>
      <c r="F160" s="130"/>
      <c r="G160" s="130"/>
      <c r="H160" s="130"/>
      <c r="I160" s="130"/>
      <c r="J160" s="130"/>
      <c r="K160" s="130"/>
      <c r="L160" s="130"/>
      <c r="M160" s="130"/>
      <c r="N160" s="130"/>
      <c r="O160" s="130"/>
      <c r="P160" s="130"/>
      <c r="Q160" s="130"/>
      <c r="R160" s="130"/>
      <c r="S160" s="130"/>
      <c r="T160" s="130"/>
      <c r="U160" s="130"/>
      <c r="V160" s="481"/>
      <c r="W160" s="481"/>
      <c r="X160" s="481"/>
      <c r="Y160" s="481"/>
      <c r="Z160" s="481"/>
      <c r="AA160" s="481"/>
      <c r="AB160" s="481"/>
      <c r="AC160" s="481"/>
      <c r="AD160" s="130"/>
      <c r="AE160" s="130"/>
      <c r="AF160" s="130"/>
      <c r="AG160" s="130"/>
      <c r="AH160" s="130"/>
      <c r="AI160" s="130"/>
      <c r="AJ160" s="130"/>
    </row>
    <row r="161" spans="4:33" ht="12" customHeight="1">
      <c r="D161" s="130"/>
      <c r="E161" s="130"/>
      <c r="F161" s="130"/>
      <c r="G161" s="130"/>
      <c r="H161" s="130"/>
      <c r="I161" s="130"/>
      <c r="J161" s="130"/>
      <c r="K161" s="130"/>
      <c r="L161" s="130"/>
      <c r="M161" s="130"/>
      <c r="N161" s="130"/>
      <c r="O161" s="130"/>
      <c r="P161" s="130"/>
      <c r="Q161" s="130"/>
      <c r="R161" s="130"/>
      <c r="S161" s="130"/>
      <c r="T161" s="130"/>
      <c r="U161" s="130"/>
      <c r="V161" s="481"/>
      <c r="W161" s="481"/>
      <c r="X161" s="481"/>
      <c r="Y161" s="481"/>
      <c r="Z161" s="481"/>
      <c r="AA161" s="481"/>
      <c r="AB161" s="481"/>
      <c r="AC161" s="481"/>
      <c r="AD161" s="130"/>
      <c r="AE161" s="130"/>
      <c r="AF161" s="130"/>
      <c r="AG161" s="130"/>
    </row>
    <row r="162" spans="4:33" ht="12" customHeight="1">
      <c r="D162" s="130"/>
      <c r="E162" s="130"/>
      <c r="F162" s="130"/>
      <c r="G162" s="130"/>
      <c r="H162" s="130"/>
      <c r="I162" s="130"/>
      <c r="J162" s="130"/>
      <c r="K162" s="130"/>
      <c r="L162" s="130"/>
      <c r="M162" s="130"/>
      <c r="N162" s="130"/>
      <c r="O162" s="130"/>
      <c r="P162" s="130"/>
      <c r="Q162" s="130"/>
      <c r="R162" s="130"/>
      <c r="S162" s="130"/>
      <c r="T162" s="130"/>
      <c r="U162" s="130"/>
      <c r="V162" s="481"/>
      <c r="W162" s="481"/>
      <c r="X162" s="481"/>
      <c r="Y162" s="481"/>
      <c r="Z162" s="481"/>
      <c r="AA162" s="481"/>
      <c r="AB162" s="481"/>
      <c r="AC162" s="481"/>
      <c r="AD162" s="130"/>
      <c r="AE162" s="130"/>
      <c r="AF162" s="130"/>
      <c r="AG162" s="130"/>
    </row>
    <row r="163" spans="4:33" ht="12" customHeight="1">
      <c r="D163" s="130"/>
      <c r="E163" s="130"/>
      <c r="F163" s="130"/>
      <c r="G163" s="130"/>
      <c r="H163" s="130"/>
      <c r="I163" s="130"/>
      <c r="J163" s="130"/>
      <c r="K163" s="130"/>
      <c r="L163" s="130"/>
      <c r="M163" s="130"/>
      <c r="N163" s="130"/>
      <c r="O163" s="130"/>
      <c r="P163" s="130"/>
      <c r="Q163" s="130"/>
      <c r="R163" s="130"/>
      <c r="S163" s="130"/>
      <c r="T163" s="130"/>
      <c r="U163" s="130"/>
      <c r="V163" s="481"/>
      <c r="W163" s="481"/>
      <c r="X163" s="481"/>
      <c r="Y163" s="481"/>
      <c r="Z163" s="481"/>
      <c r="AA163" s="481"/>
      <c r="AB163" s="481"/>
      <c r="AC163" s="481"/>
      <c r="AD163" s="130"/>
      <c r="AE163" s="130"/>
      <c r="AF163" s="130"/>
      <c r="AG163" s="130"/>
    </row>
    <row r="164" spans="4:33" ht="12" customHeight="1">
      <c r="D164" s="130"/>
      <c r="E164" s="130"/>
      <c r="F164" s="130"/>
      <c r="G164" s="130"/>
      <c r="H164" s="130"/>
      <c r="I164" s="130"/>
      <c r="J164" s="130"/>
      <c r="K164" s="130"/>
      <c r="L164" s="130"/>
      <c r="M164" s="130"/>
      <c r="N164" s="130"/>
      <c r="O164" s="130"/>
      <c r="P164" s="130"/>
      <c r="Q164" s="130"/>
      <c r="R164" s="130"/>
      <c r="S164" s="130"/>
      <c r="T164" s="130"/>
      <c r="U164" s="130"/>
      <c r="V164" s="481"/>
      <c r="W164" s="481"/>
      <c r="X164" s="481"/>
      <c r="Y164" s="481"/>
      <c r="Z164" s="481"/>
      <c r="AA164" s="481"/>
      <c r="AB164" s="481"/>
      <c r="AC164" s="481"/>
      <c r="AD164" s="130"/>
      <c r="AE164" s="130"/>
      <c r="AF164" s="130"/>
      <c r="AG164" s="130"/>
    </row>
    <row r="165" spans="4:33" ht="12" customHeight="1">
      <c r="D165" s="130"/>
      <c r="E165" s="130"/>
      <c r="F165" s="130"/>
      <c r="G165" s="130"/>
      <c r="H165" s="130"/>
      <c r="I165" s="130"/>
      <c r="J165" s="130"/>
      <c r="K165" s="130"/>
      <c r="L165" s="130"/>
      <c r="M165" s="130"/>
      <c r="N165" s="130"/>
      <c r="O165" s="130"/>
      <c r="P165" s="130"/>
      <c r="Q165" s="130"/>
      <c r="R165" s="130"/>
      <c r="S165" s="130"/>
      <c r="T165" s="130"/>
      <c r="U165" s="130"/>
      <c r="V165" s="481"/>
      <c r="W165" s="481"/>
      <c r="X165" s="481"/>
      <c r="Y165" s="481"/>
      <c r="Z165" s="481"/>
      <c r="AA165" s="481"/>
      <c r="AB165" s="481"/>
      <c r="AC165" s="481"/>
      <c r="AD165" s="130"/>
      <c r="AE165" s="130"/>
      <c r="AF165" s="130"/>
      <c r="AG165" s="130"/>
    </row>
    <row r="166" spans="4:33" ht="12" customHeight="1">
      <c r="D166" s="130"/>
      <c r="E166" s="130"/>
      <c r="F166" s="130"/>
      <c r="G166" s="130"/>
      <c r="H166" s="130"/>
      <c r="I166" s="130"/>
      <c r="J166" s="130"/>
      <c r="K166" s="130"/>
      <c r="L166" s="130"/>
      <c r="M166" s="130"/>
      <c r="N166" s="130"/>
      <c r="O166" s="130"/>
      <c r="P166" s="130"/>
      <c r="Q166" s="130"/>
      <c r="R166" s="130"/>
      <c r="S166" s="130"/>
      <c r="T166" s="130"/>
      <c r="U166" s="130"/>
      <c r="V166" s="481"/>
      <c r="W166" s="481"/>
      <c r="X166" s="481"/>
      <c r="Y166" s="481"/>
      <c r="Z166" s="481"/>
      <c r="AA166" s="481"/>
      <c r="AB166" s="481"/>
      <c r="AC166" s="481"/>
      <c r="AD166" s="130"/>
      <c r="AE166" s="130"/>
      <c r="AF166" s="130"/>
      <c r="AG166" s="130"/>
    </row>
    <row r="167" spans="4:33" ht="12" customHeight="1">
      <c r="D167" s="130"/>
      <c r="E167" s="130"/>
      <c r="F167" s="130"/>
      <c r="G167" s="130"/>
      <c r="H167" s="130"/>
      <c r="I167" s="130"/>
      <c r="J167" s="130"/>
      <c r="K167" s="130"/>
      <c r="L167" s="130"/>
      <c r="M167" s="130"/>
      <c r="N167" s="130"/>
      <c r="O167" s="130"/>
      <c r="P167" s="130"/>
      <c r="Q167" s="130"/>
      <c r="R167" s="130"/>
      <c r="S167" s="130"/>
      <c r="T167" s="130"/>
      <c r="U167" s="130"/>
      <c r="V167" s="481"/>
      <c r="W167" s="481"/>
      <c r="X167" s="481"/>
      <c r="Y167" s="481"/>
      <c r="Z167" s="481"/>
      <c r="AA167" s="481"/>
      <c r="AB167" s="481"/>
      <c r="AC167" s="481"/>
      <c r="AD167" s="130"/>
      <c r="AE167" s="130"/>
      <c r="AF167" s="130"/>
      <c r="AG167" s="130"/>
    </row>
    <row r="168" spans="4:33" ht="12" customHeight="1"/>
    <row r="169" spans="4:33" ht="12" customHeight="1"/>
    <row r="170" spans="4:33" ht="12" customHeight="1"/>
    <row r="171" spans="4:33" ht="12" customHeight="1"/>
    <row r="172" spans="4:33" ht="12" customHeight="1"/>
    <row r="173" spans="4:33" ht="12" customHeight="1"/>
    <row r="174" spans="4:33" ht="12" customHeight="1"/>
    <row r="175" spans="4:33" ht="12" customHeight="1"/>
    <row r="176" spans="4:33"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sheetData>
  <sheetProtection algorithmName="SHA-512" hashValue="s2L0ZsJLGk4XpXrbMWlQDSepSrc2Esa/gL9+GwIyhysr7d9iAeOMQK+tsOIYBX86ameVEzaDlzkuPR0bySSqSg==" saltValue="jrusrakDPwAqmzAcMPVRqQ==" spinCount="100000" sheet="1" selectLockedCells="1"/>
  <mergeCells count="15">
    <mergeCell ref="AL18:AL20"/>
    <mergeCell ref="AK8:AL8"/>
    <mergeCell ref="K29:U29"/>
    <mergeCell ref="K8:U8"/>
    <mergeCell ref="K9:U16"/>
    <mergeCell ref="AK18:AK20"/>
    <mergeCell ref="K30:U37"/>
    <mergeCell ref="K17:U17"/>
    <mergeCell ref="B1:U1"/>
    <mergeCell ref="E4:F4"/>
    <mergeCell ref="K4:U4"/>
    <mergeCell ref="S2:U2"/>
    <mergeCell ref="K5:U7"/>
    <mergeCell ref="K22:U28"/>
    <mergeCell ref="K18:U21"/>
  </mergeCells>
  <dataValidations count="1">
    <dataValidation type="list" allowBlank="1" showInputMessage="1" showErrorMessage="1" sqref="E4:F4" xr:uid="{00000000-0002-0000-0000-000001000000}">
      <formula1>"English,Deutsch"</formula1>
    </dataValidation>
  </dataValidations>
  <pageMargins left="0.70866141732283472" right="0.70866141732283472" top="0.86614173228346458" bottom="0.86614173228346458" header="0.23622047244094491" footer="0.23622047244094491"/>
  <pageSetup paperSize="9" scale="52"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1" manualBreakCount="1">
    <brk id="81" min="1" max="27" man="1"/>
  </rowBreaks>
  <drawing r:id="rId2"/>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1">
    <tabColor rgb="FF92D050"/>
    <pageSetUpPr fitToPage="1"/>
  </sheetPr>
  <dimension ref="A1:EU304"/>
  <sheetViews>
    <sheetView showGridLines="0" tabSelected="1" zoomScaleNormal="100" zoomScaleSheetLayoutView="85" workbookViewId="0">
      <pane ySplit="1" topLeftCell="A2" activePane="bottomLeft" state="frozen"/>
      <selection activeCell="D3" sqref="D3"/>
      <selection pane="bottomLeft" activeCell="D3" sqref="D3"/>
    </sheetView>
  </sheetViews>
  <sheetFormatPr baseColWidth="10" defaultColWidth="1.875" defaultRowHeight="12.75" outlineLevelRow="1"/>
  <cols>
    <col min="1" max="1" width="1.875" style="408"/>
    <col min="82" max="84" width="1.875" style="337"/>
    <col min="85" max="85" width="1.875" style="337" customWidth="1"/>
    <col min="86" max="98" width="1.875" style="337"/>
    <col min="111" max="117" width="1.875" style="6"/>
  </cols>
  <sheetData>
    <row r="1" spans="2:137" ht="33.75" customHeight="1">
      <c r="B1" s="827" t="str">
        <f>VLOOKUP(2000,Languages!$A$5:$C$1032,Languages!$A$2,FALSE)</f>
        <v>8D - Report</v>
      </c>
      <c r="C1" s="827"/>
      <c r="D1" s="827"/>
      <c r="E1" s="827"/>
      <c r="F1" s="827"/>
      <c r="G1" s="827"/>
      <c r="H1" s="827"/>
      <c r="I1" s="827"/>
      <c r="J1" s="827"/>
      <c r="K1" s="827"/>
      <c r="L1" s="827"/>
      <c r="M1" s="827"/>
      <c r="N1" s="827"/>
      <c r="O1" s="827"/>
      <c r="P1" s="827"/>
      <c r="Q1" s="827"/>
      <c r="R1" s="827"/>
      <c r="S1" s="827"/>
      <c r="T1" s="827"/>
      <c r="U1" s="827"/>
      <c r="V1" s="827"/>
      <c r="W1" s="827"/>
      <c r="X1" s="827"/>
      <c r="Y1" s="827"/>
      <c r="Z1" s="827"/>
      <c r="AA1" s="827"/>
      <c r="AB1" s="827"/>
      <c r="AC1" s="827"/>
      <c r="AD1" s="827"/>
      <c r="AE1" s="827"/>
      <c r="AF1" s="827"/>
      <c r="AG1" s="827"/>
      <c r="AH1" s="827"/>
      <c r="AI1" s="827"/>
      <c r="AJ1" s="827"/>
      <c r="AK1" s="827"/>
      <c r="AL1" s="827"/>
      <c r="AM1" s="827"/>
      <c r="AN1" s="827"/>
      <c r="AO1" s="827"/>
      <c r="AP1" s="827"/>
      <c r="AQ1" s="827"/>
      <c r="AR1" s="827"/>
      <c r="AS1" s="827"/>
      <c r="AT1" s="827"/>
      <c r="AU1" s="827"/>
      <c r="AV1" s="827"/>
      <c r="AW1" s="827"/>
      <c r="AX1" s="827"/>
      <c r="AY1" s="827"/>
      <c r="AZ1" s="827"/>
      <c r="BA1" s="827"/>
      <c r="BB1" s="827"/>
      <c r="BC1" s="827"/>
      <c r="BD1" s="827"/>
      <c r="BE1" s="827"/>
      <c r="BF1" s="827"/>
      <c r="BG1" s="827"/>
      <c r="BH1" s="827"/>
      <c r="BI1" s="827"/>
      <c r="BJ1" s="827"/>
      <c r="BK1" s="827"/>
      <c r="BL1" s="827"/>
      <c r="BM1" s="827"/>
      <c r="BN1" s="827"/>
      <c r="BO1" s="827"/>
      <c r="BP1" s="827"/>
      <c r="BQ1" s="827"/>
      <c r="BR1" s="827"/>
      <c r="BS1" s="827"/>
      <c r="BT1" s="827"/>
      <c r="BU1" s="827"/>
      <c r="BV1" s="827"/>
      <c r="BW1" s="827"/>
      <c r="BX1" s="827"/>
      <c r="BY1" s="827"/>
      <c r="BZ1" s="827"/>
      <c r="CA1" s="827"/>
      <c r="CB1" s="827"/>
      <c r="CC1" s="112"/>
      <c r="CD1" s="691" t="s">
        <v>442</v>
      </c>
      <c r="CE1" s="691"/>
      <c r="CF1" s="690" t="str">
        <f>VLOOKUP(2001,Languages!$A$5:$C$1032,Languages!$A$2,FALSE)</f>
        <v>Tools / Hints</v>
      </c>
      <c r="CG1" s="690"/>
      <c r="CH1" s="690"/>
      <c r="CI1" s="690"/>
      <c r="CJ1" s="690"/>
      <c r="CK1" s="690"/>
      <c r="CL1" s="690"/>
      <c r="CM1" s="690"/>
      <c r="CN1" s="690"/>
      <c r="CO1" s="690"/>
      <c r="CP1" s="690"/>
      <c r="CQ1" s="690"/>
      <c r="CR1" s="690"/>
      <c r="CS1" s="691" t="s">
        <v>442</v>
      </c>
      <c r="CT1" s="691"/>
      <c r="CU1" s="112"/>
      <c r="CV1" s="112"/>
      <c r="CW1" s="112"/>
      <c r="CX1" s="112"/>
      <c r="CY1" s="112"/>
      <c r="CZ1" s="112"/>
      <c r="DA1" s="112"/>
      <c r="DB1" s="112"/>
      <c r="DC1" s="112"/>
      <c r="DD1" s="112"/>
      <c r="DE1" s="112"/>
      <c r="DF1" s="112"/>
      <c r="DG1" s="112"/>
      <c r="DH1" s="112"/>
      <c r="DI1" s="112"/>
      <c r="DJ1" s="112"/>
      <c r="DK1" s="112"/>
      <c r="DL1" s="112"/>
      <c r="DM1" s="112"/>
      <c r="DN1" s="38"/>
      <c r="DO1" s="38"/>
      <c r="DP1" s="1"/>
      <c r="DQ1" s="1"/>
      <c r="DR1" s="1"/>
      <c r="DS1" s="1"/>
      <c r="DT1" s="1"/>
      <c r="DU1" s="1"/>
      <c r="DV1" s="1"/>
      <c r="DW1" s="1"/>
      <c r="DX1" s="1"/>
      <c r="DY1" s="1"/>
      <c r="DZ1" s="1"/>
      <c r="EA1" s="1"/>
      <c r="EB1" s="1"/>
      <c r="EC1" s="1"/>
      <c r="ED1" s="1"/>
      <c r="EE1" s="1"/>
      <c r="EF1" s="1"/>
      <c r="EG1" s="1"/>
    </row>
    <row r="2" spans="2:137" ht="11.25" customHeight="1">
      <c r="CD2" s="387"/>
      <c r="CE2" s="387"/>
      <c r="CF2" s="387"/>
      <c r="CG2" s="387"/>
      <c r="CH2" s="387"/>
      <c r="CI2" s="387"/>
      <c r="CJ2" s="387"/>
      <c r="CK2" s="387"/>
      <c r="CL2" s="387"/>
      <c r="CM2" s="387"/>
      <c r="CN2" s="387"/>
      <c r="CO2" s="387"/>
      <c r="CP2" s="387"/>
      <c r="CQ2" s="387"/>
      <c r="CR2" s="387"/>
      <c r="CS2" s="387"/>
      <c r="CT2" s="387"/>
      <c r="CU2" s="386"/>
      <c r="CV2" s="386"/>
      <c r="CW2" s="386"/>
      <c r="CX2" s="386"/>
      <c r="CY2" s="386"/>
      <c r="CZ2" s="386"/>
      <c r="DA2" s="386"/>
      <c r="DB2" s="386"/>
      <c r="DC2" s="386"/>
      <c r="DD2" s="386"/>
      <c r="DE2" s="386"/>
      <c r="DF2" s="386"/>
      <c r="DG2" s="2"/>
      <c r="DH2" s="2"/>
      <c r="DI2" s="2"/>
      <c r="DJ2" s="2"/>
      <c r="DK2" s="2"/>
      <c r="DL2" s="2"/>
      <c r="DM2" s="2"/>
      <c r="DN2" s="2"/>
      <c r="DO2" s="2"/>
      <c r="DP2" s="2"/>
      <c r="DQ2" s="2"/>
      <c r="DR2" s="3"/>
      <c r="DS2" s="3"/>
      <c r="DT2" s="4"/>
      <c r="DU2" s="4"/>
      <c r="DV2" s="4"/>
      <c r="DW2" s="3"/>
      <c r="DX2" s="3"/>
      <c r="DY2" s="3"/>
      <c r="DZ2" s="5"/>
      <c r="EA2" s="5"/>
      <c r="EB2" s="5"/>
      <c r="EC2" s="5"/>
      <c r="ED2" s="5"/>
      <c r="EE2" s="5"/>
      <c r="EF2" s="5"/>
      <c r="EG2" s="5"/>
    </row>
    <row r="3" spans="2:137" ht="22.5" customHeight="1">
      <c r="C3" s="746"/>
      <c r="D3" s="746"/>
      <c r="E3" s="746"/>
      <c r="F3" s="746"/>
      <c r="G3" s="746"/>
      <c r="H3" s="746"/>
      <c r="I3" s="746"/>
      <c r="J3" s="746"/>
      <c r="K3" s="746"/>
      <c r="L3" s="746"/>
      <c r="M3" s="746"/>
      <c r="N3" s="746"/>
      <c r="O3" s="746"/>
      <c r="P3" s="746"/>
      <c r="Q3" s="746"/>
      <c r="R3" s="746"/>
      <c r="S3" s="746"/>
      <c r="T3" s="746"/>
      <c r="U3" s="746"/>
      <c r="V3" s="746"/>
      <c r="W3" s="746"/>
      <c r="X3" s="746"/>
      <c r="Y3" s="746"/>
      <c r="Z3" s="746"/>
      <c r="AA3" s="746"/>
      <c r="AB3" s="746"/>
      <c r="AC3" s="746"/>
      <c r="AD3" s="746"/>
      <c r="AE3" s="746"/>
      <c r="AF3" s="746"/>
      <c r="AG3" s="746"/>
      <c r="AH3" s="746"/>
      <c r="AI3" s="746"/>
      <c r="AJ3" s="746"/>
      <c r="AK3" s="746"/>
      <c r="AL3" s="746"/>
      <c r="AM3" s="746"/>
      <c r="AN3" s="746"/>
      <c r="AO3" s="746"/>
      <c r="AP3" s="746"/>
      <c r="AQ3" s="746"/>
      <c r="AR3" s="746"/>
      <c r="AS3" s="746"/>
      <c r="AT3" s="746"/>
      <c r="AU3" s="746"/>
      <c r="AV3" s="746"/>
      <c r="AW3" s="746"/>
      <c r="AX3" s="746"/>
      <c r="AY3" s="746"/>
      <c r="AZ3" s="746"/>
      <c r="BA3" s="746"/>
      <c r="BB3" s="746"/>
      <c r="BC3" s="746"/>
      <c r="BD3" s="746"/>
      <c r="BE3" s="746"/>
      <c r="BF3" s="746"/>
      <c r="BG3" s="746"/>
      <c r="BH3" s="746"/>
      <c r="BI3" s="746"/>
      <c r="BJ3" s="746"/>
      <c r="BK3" s="746"/>
      <c r="BL3" s="746"/>
      <c r="BM3" s="746"/>
      <c r="BN3" s="746"/>
      <c r="BO3" s="746"/>
      <c r="BP3" s="746"/>
      <c r="BQ3" s="746"/>
      <c r="BR3" s="746"/>
      <c r="BS3" s="746"/>
      <c r="BT3" s="746"/>
      <c r="BU3" s="746"/>
      <c r="BV3" s="746"/>
      <c r="BW3" s="746"/>
      <c r="BX3" s="746"/>
      <c r="BY3" s="746"/>
      <c r="BZ3" s="746"/>
      <c r="CA3" s="746"/>
      <c r="CB3" s="746"/>
      <c r="CD3" s="382"/>
      <c r="CE3" s="382"/>
      <c r="CF3" s="382"/>
      <c r="CG3" s="382"/>
      <c r="CH3" s="382"/>
      <c r="CI3" s="382"/>
      <c r="CJ3" s="382"/>
      <c r="CK3" s="382"/>
      <c r="CL3" s="382"/>
      <c r="CM3" s="382"/>
      <c r="CN3" s="382"/>
      <c r="CO3" s="382"/>
      <c r="CP3" s="382"/>
      <c r="CQ3" s="382"/>
      <c r="CR3" s="382"/>
      <c r="CS3" s="382"/>
      <c r="CT3" s="382"/>
      <c r="CU3" s="277"/>
      <c r="CV3" s="277"/>
      <c r="CW3" s="277"/>
      <c r="CX3" s="277"/>
      <c r="CY3" s="277"/>
      <c r="CZ3" s="277"/>
      <c r="DA3" s="277"/>
      <c r="DB3" s="277"/>
      <c r="DC3" s="277"/>
      <c r="DD3" s="277"/>
      <c r="DE3" s="277"/>
      <c r="DF3" s="277"/>
      <c r="DG3" s="2"/>
      <c r="DH3" s="2"/>
      <c r="DI3" s="2"/>
      <c r="DJ3" s="2"/>
      <c r="DK3" s="2"/>
      <c r="DL3" s="2"/>
      <c r="DM3" s="2"/>
      <c r="DN3" s="2"/>
      <c r="DO3" s="2"/>
      <c r="DP3" s="2"/>
      <c r="DQ3" s="2"/>
      <c r="DR3" s="3"/>
      <c r="DS3" s="3"/>
      <c r="DT3" s="4"/>
      <c r="DU3" s="4"/>
      <c r="DV3" s="4"/>
      <c r="DW3" s="3"/>
      <c r="DX3" s="3"/>
      <c r="DY3" s="3"/>
      <c r="DZ3" s="5"/>
      <c r="EA3" s="5"/>
      <c r="EB3" s="5"/>
      <c r="EC3" s="5"/>
      <c r="ED3" s="5"/>
      <c r="EE3" s="5"/>
      <c r="EF3" s="5"/>
      <c r="EG3" s="5"/>
    </row>
    <row r="4" spans="2:137" ht="11.25" customHeight="1">
      <c r="C4" s="745"/>
      <c r="D4" s="745"/>
      <c r="E4" s="745"/>
      <c r="F4" s="745"/>
      <c r="G4" s="745"/>
      <c r="H4" s="745"/>
      <c r="I4" s="745"/>
      <c r="J4" s="745"/>
      <c r="K4" s="745"/>
      <c r="L4" s="745"/>
      <c r="M4" s="745"/>
      <c r="N4" s="745"/>
      <c r="O4" s="745"/>
      <c r="P4" s="745"/>
      <c r="Q4" s="745"/>
      <c r="R4" s="745"/>
      <c r="S4" s="745"/>
      <c r="T4" s="745"/>
      <c r="U4" s="745"/>
      <c r="V4" s="745"/>
      <c r="W4" s="745"/>
      <c r="X4" s="745"/>
      <c r="Y4" s="745"/>
      <c r="Z4" s="745"/>
      <c r="AA4" s="745"/>
      <c r="AB4" s="745"/>
      <c r="AC4" s="745"/>
      <c r="AD4" s="745"/>
      <c r="AE4" s="745"/>
      <c r="AF4" s="745"/>
      <c r="AG4" s="745"/>
      <c r="AH4" s="745"/>
      <c r="AI4" s="745"/>
      <c r="AJ4" s="745"/>
      <c r="AK4" s="745"/>
      <c r="AL4" s="745"/>
      <c r="AM4" s="745"/>
      <c r="AN4" s="745"/>
      <c r="AO4" s="745"/>
      <c r="AP4" s="745"/>
      <c r="AQ4" s="745"/>
      <c r="AR4" s="745"/>
      <c r="AS4" s="745"/>
      <c r="AT4" s="745"/>
      <c r="AU4" s="745"/>
      <c r="AV4" s="745"/>
      <c r="AW4" s="745"/>
      <c r="AX4" s="745"/>
      <c r="AY4" s="745"/>
      <c r="AZ4" s="745"/>
      <c r="BA4" s="745"/>
      <c r="BB4" s="745"/>
      <c r="BC4" s="745"/>
      <c r="BD4" s="745"/>
      <c r="BE4" s="745"/>
      <c r="BF4" s="745"/>
      <c r="BG4" s="745"/>
      <c r="BH4" s="745"/>
      <c r="BI4" s="745"/>
      <c r="BJ4" s="745"/>
      <c r="BK4" s="745"/>
      <c r="BL4" s="745"/>
      <c r="BM4" s="745"/>
      <c r="BN4" s="745"/>
      <c r="BO4" s="745"/>
      <c r="BP4" s="745"/>
      <c r="BQ4" s="745"/>
      <c r="BR4" s="745"/>
      <c r="BS4" s="745"/>
      <c r="BT4" s="745"/>
      <c r="BU4" s="745"/>
      <c r="BV4" s="745"/>
      <c r="BW4" s="745"/>
      <c r="BX4" s="745"/>
      <c r="BY4" s="745"/>
      <c r="BZ4" s="745"/>
      <c r="CA4" s="745"/>
      <c r="CB4" s="745"/>
      <c r="CD4" s="382"/>
      <c r="CE4" s="382"/>
      <c r="CF4" s="382"/>
      <c r="CG4" s="382"/>
      <c r="CH4" s="382"/>
      <c r="CI4" s="382"/>
      <c r="CJ4" s="382"/>
      <c r="CK4" s="382"/>
      <c r="CL4" s="382"/>
      <c r="CM4" s="382"/>
      <c r="CN4" s="382"/>
      <c r="CO4" s="382"/>
      <c r="CP4" s="382"/>
      <c r="CQ4" s="382"/>
      <c r="CR4" s="382"/>
      <c r="CS4" s="382"/>
      <c r="CT4" s="382"/>
      <c r="CU4" s="277"/>
      <c r="CV4" s="277"/>
      <c r="CW4" s="277"/>
      <c r="CX4" s="277"/>
      <c r="CY4" s="277"/>
      <c r="CZ4" s="277"/>
      <c r="DA4" s="277"/>
      <c r="DB4" s="277"/>
      <c r="DC4" s="277"/>
      <c r="DD4" s="277"/>
      <c r="DE4" s="277"/>
      <c r="DF4" s="277"/>
      <c r="DG4" s="2"/>
      <c r="DH4" s="2"/>
      <c r="DI4" s="2"/>
      <c r="DJ4" s="2"/>
      <c r="DK4" s="2"/>
      <c r="DL4" s="2"/>
      <c r="DM4" s="2"/>
      <c r="DN4" s="2"/>
      <c r="DO4" s="2"/>
      <c r="DP4" s="2"/>
      <c r="DQ4" s="2"/>
      <c r="DR4" s="3"/>
      <c r="DS4" s="3"/>
      <c r="DT4" s="4"/>
      <c r="DU4" s="4"/>
      <c r="DV4" s="4"/>
      <c r="DW4" s="3"/>
      <c r="DX4" s="3"/>
      <c r="DY4" s="3"/>
      <c r="DZ4" s="5"/>
      <c r="EA4" s="5"/>
      <c r="EB4" s="5"/>
      <c r="EC4" s="5"/>
      <c r="ED4" s="5"/>
      <c r="EE4" s="5"/>
      <c r="EF4" s="5"/>
      <c r="EG4" s="5"/>
    </row>
    <row r="5" spans="2:137" ht="11.25" customHeight="1">
      <c r="C5" s="655" t="s">
        <v>101</v>
      </c>
      <c r="D5" s="656"/>
      <c r="E5" s="656"/>
      <c r="F5" s="656"/>
      <c r="G5" s="656"/>
      <c r="H5" s="656"/>
      <c r="I5" s="656"/>
      <c r="J5" s="656"/>
      <c r="K5" s="656"/>
      <c r="L5" s="656"/>
      <c r="M5" s="656"/>
      <c r="N5" s="656"/>
      <c r="O5" s="656"/>
      <c r="P5" s="656"/>
      <c r="Q5" s="656"/>
      <c r="R5" s="661" t="str">
        <f>VLOOKUP(2100,Languages!$A$5:$C$1032,Languages!$A$2,FALSE)</f>
        <v>Problem Statement</v>
      </c>
      <c r="S5" s="661"/>
      <c r="T5" s="661"/>
      <c r="U5" s="661"/>
      <c r="V5" s="661"/>
      <c r="W5" s="661"/>
      <c r="X5" s="661"/>
      <c r="Y5" s="661"/>
      <c r="Z5" s="661"/>
      <c r="AA5" s="661"/>
      <c r="AB5" s="661"/>
      <c r="AC5" s="661"/>
      <c r="AD5" s="661"/>
      <c r="AE5" s="661"/>
      <c r="AF5" s="661"/>
      <c r="AG5" s="661"/>
      <c r="AH5" s="661"/>
      <c r="AI5" s="661"/>
      <c r="AJ5" s="661"/>
      <c r="AK5" s="661"/>
      <c r="AL5" s="661"/>
      <c r="AM5" s="661"/>
      <c r="AN5" s="661"/>
      <c r="AO5" s="661"/>
      <c r="AP5" s="661"/>
      <c r="AQ5" s="661"/>
      <c r="AR5" s="661"/>
      <c r="AS5" s="661"/>
      <c r="AT5" s="661"/>
      <c r="AU5" s="661"/>
      <c r="AV5" s="661"/>
      <c r="AW5" s="661"/>
      <c r="AX5" s="661"/>
      <c r="AY5" s="661"/>
      <c r="AZ5" s="661"/>
      <c r="BA5" s="661"/>
      <c r="BB5" s="661"/>
      <c r="BC5" s="661"/>
      <c r="BD5" s="661"/>
      <c r="BE5" s="661"/>
      <c r="BF5" s="661"/>
      <c r="BG5" s="661"/>
      <c r="BH5" s="661"/>
      <c r="BI5" s="661"/>
      <c r="BJ5" s="661"/>
      <c r="BK5" s="661"/>
      <c r="BL5" s="661"/>
      <c r="BM5" s="661"/>
      <c r="BN5" s="661"/>
      <c r="BO5" s="661"/>
      <c r="BP5" s="661"/>
      <c r="BQ5" s="661"/>
      <c r="BR5" s="661"/>
      <c r="BS5" s="661"/>
      <c r="BT5" s="661"/>
      <c r="BU5" s="661"/>
      <c r="BV5" s="661"/>
      <c r="BW5" s="661"/>
      <c r="BX5" s="661"/>
      <c r="BY5" s="661"/>
      <c r="BZ5" s="661"/>
      <c r="CA5" s="661"/>
      <c r="CB5" s="662"/>
      <c r="CD5" s="382"/>
      <c r="CE5" s="382"/>
      <c r="CF5" s="382"/>
      <c r="CG5" s="382"/>
      <c r="CH5" s="382"/>
      <c r="CI5" s="382"/>
      <c r="CJ5" s="382"/>
      <c r="CK5" s="382"/>
      <c r="CL5" s="382"/>
      <c r="CM5" s="382"/>
      <c r="CN5" s="382"/>
      <c r="CO5" s="382"/>
      <c r="CP5" s="382"/>
      <c r="CQ5" s="382"/>
      <c r="CR5" s="382"/>
      <c r="CS5" s="382"/>
      <c r="CT5" s="382"/>
      <c r="CU5" s="277"/>
      <c r="CV5" s="277"/>
      <c r="CW5" s="277"/>
      <c r="CX5" s="277"/>
      <c r="CY5" s="277"/>
      <c r="CZ5" s="277"/>
      <c r="DA5" s="277"/>
      <c r="DB5" s="277"/>
      <c r="DC5" s="277"/>
      <c r="DD5" s="277"/>
      <c r="DE5" s="277"/>
      <c r="DF5" s="277"/>
      <c r="DG5" s="2"/>
      <c r="DH5" s="2"/>
      <c r="DI5" s="2"/>
      <c r="DJ5" s="2"/>
      <c r="DK5" s="2"/>
      <c r="DL5" s="2"/>
      <c r="DM5" s="2"/>
      <c r="DN5" s="2"/>
      <c r="DO5" s="2"/>
      <c r="DP5" s="2"/>
      <c r="DQ5" s="2"/>
      <c r="DR5" s="3"/>
      <c r="DS5" s="3"/>
      <c r="DT5" s="4"/>
      <c r="DU5" s="4"/>
      <c r="DV5" s="4"/>
      <c r="DW5" s="3"/>
      <c r="DX5" s="3"/>
      <c r="DY5" s="3"/>
      <c r="DZ5" s="5"/>
      <c r="EA5" s="5"/>
      <c r="EB5" s="5"/>
      <c r="EC5" s="5"/>
      <c r="ED5" s="5"/>
      <c r="EE5" s="5"/>
      <c r="EF5" s="5"/>
      <c r="EG5" s="5"/>
    </row>
    <row r="6" spans="2:137" ht="11.25" customHeight="1">
      <c r="C6" s="657"/>
      <c r="D6" s="658"/>
      <c r="E6" s="658"/>
      <c r="F6" s="658"/>
      <c r="G6" s="658"/>
      <c r="H6" s="658"/>
      <c r="I6" s="658"/>
      <c r="J6" s="658"/>
      <c r="K6" s="658"/>
      <c r="L6" s="658"/>
      <c r="M6" s="658"/>
      <c r="N6" s="658"/>
      <c r="O6" s="658"/>
      <c r="P6" s="658"/>
      <c r="Q6" s="658"/>
      <c r="R6" s="663"/>
      <c r="S6" s="663"/>
      <c r="T6" s="663"/>
      <c r="U6" s="663"/>
      <c r="V6" s="663"/>
      <c r="W6" s="663"/>
      <c r="X6" s="663"/>
      <c r="Y6" s="663"/>
      <c r="Z6" s="663"/>
      <c r="AA6" s="663"/>
      <c r="AB6" s="663"/>
      <c r="AC6" s="663"/>
      <c r="AD6" s="663"/>
      <c r="AE6" s="663"/>
      <c r="AF6" s="663"/>
      <c r="AG6" s="663"/>
      <c r="AH6" s="663"/>
      <c r="AI6" s="663"/>
      <c r="AJ6" s="663"/>
      <c r="AK6" s="663"/>
      <c r="AL6" s="663"/>
      <c r="AM6" s="663"/>
      <c r="AN6" s="663"/>
      <c r="AO6" s="663"/>
      <c r="AP6" s="663"/>
      <c r="AQ6" s="663"/>
      <c r="AR6" s="663"/>
      <c r="AS6" s="663"/>
      <c r="AT6" s="663"/>
      <c r="AU6" s="663"/>
      <c r="AV6" s="663"/>
      <c r="AW6" s="663"/>
      <c r="AX6" s="663"/>
      <c r="AY6" s="663"/>
      <c r="AZ6" s="663"/>
      <c r="BA6" s="663"/>
      <c r="BB6" s="663"/>
      <c r="BC6" s="663"/>
      <c r="BD6" s="663"/>
      <c r="BE6" s="663"/>
      <c r="BF6" s="663"/>
      <c r="BG6" s="663"/>
      <c r="BH6" s="663"/>
      <c r="BI6" s="663"/>
      <c r="BJ6" s="663"/>
      <c r="BK6" s="663"/>
      <c r="BL6" s="663"/>
      <c r="BM6" s="663"/>
      <c r="BN6" s="663"/>
      <c r="BO6" s="663"/>
      <c r="BP6" s="663"/>
      <c r="BQ6" s="663"/>
      <c r="BR6" s="663"/>
      <c r="BS6" s="663"/>
      <c r="BT6" s="663"/>
      <c r="BU6" s="663"/>
      <c r="BV6" s="663"/>
      <c r="BW6" s="663"/>
      <c r="BX6" s="663"/>
      <c r="BY6" s="663"/>
      <c r="BZ6" s="663"/>
      <c r="CA6" s="663"/>
      <c r="CB6" s="664"/>
      <c r="CD6" s="382"/>
      <c r="CE6" s="382"/>
      <c r="CF6" s="382"/>
      <c r="CG6" s="382"/>
      <c r="CH6" s="382"/>
      <c r="CI6" s="382"/>
      <c r="CJ6" s="382"/>
      <c r="CK6" s="382"/>
      <c r="CL6" s="382"/>
      <c r="CM6" s="382"/>
      <c r="CN6" s="382"/>
      <c r="CO6" s="382"/>
      <c r="CP6" s="382"/>
      <c r="CQ6" s="382"/>
      <c r="CR6" s="382"/>
      <c r="CS6" s="382"/>
      <c r="CT6" s="382"/>
      <c r="CU6" s="277"/>
      <c r="CV6" s="277"/>
      <c r="CW6" s="277"/>
      <c r="CX6" s="277"/>
      <c r="CY6" s="277"/>
      <c r="CZ6" s="277"/>
      <c r="DA6" s="277"/>
      <c r="DB6" s="277"/>
      <c r="DC6" s="277"/>
      <c r="DD6" s="277"/>
      <c r="DE6" s="277"/>
      <c r="DF6" s="277"/>
      <c r="DG6" s="2"/>
      <c r="DH6" s="2"/>
      <c r="DI6" s="2"/>
      <c r="DJ6" s="2"/>
      <c r="DK6" s="2"/>
      <c r="DL6" s="2"/>
      <c r="DM6" s="2"/>
      <c r="DN6" s="2"/>
      <c r="DO6" s="2"/>
      <c r="DP6" s="2"/>
      <c r="DQ6" s="2"/>
      <c r="DR6" s="3"/>
      <c r="DS6" s="3"/>
      <c r="DT6" s="4"/>
      <c r="DU6" s="4"/>
      <c r="DV6" s="4"/>
      <c r="DW6" s="3"/>
      <c r="DX6" s="3"/>
      <c r="DY6" s="3"/>
      <c r="DZ6" s="5"/>
      <c r="EA6" s="5"/>
      <c r="EB6" s="5"/>
      <c r="EC6" s="5"/>
      <c r="ED6" s="5"/>
      <c r="EE6" s="5"/>
      <c r="EF6" s="5"/>
      <c r="EG6" s="5"/>
    </row>
    <row r="7" spans="2:137" ht="11.25" customHeight="1">
      <c r="C7" s="659"/>
      <c r="D7" s="660"/>
      <c r="E7" s="660"/>
      <c r="F7" s="660"/>
      <c r="G7" s="660"/>
      <c r="H7" s="660"/>
      <c r="I7" s="660"/>
      <c r="J7" s="660"/>
      <c r="K7" s="660"/>
      <c r="L7" s="660"/>
      <c r="M7" s="660"/>
      <c r="N7" s="660"/>
      <c r="O7" s="660"/>
      <c r="P7" s="660"/>
      <c r="Q7" s="660"/>
      <c r="R7" s="665"/>
      <c r="S7" s="665"/>
      <c r="T7" s="665"/>
      <c r="U7" s="665"/>
      <c r="V7" s="665"/>
      <c r="W7" s="665"/>
      <c r="X7" s="665"/>
      <c r="Y7" s="665"/>
      <c r="Z7" s="665"/>
      <c r="AA7" s="665"/>
      <c r="AB7" s="665"/>
      <c r="AC7" s="665"/>
      <c r="AD7" s="665"/>
      <c r="AE7" s="665"/>
      <c r="AF7" s="665"/>
      <c r="AG7" s="665"/>
      <c r="AH7" s="665"/>
      <c r="AI7" s="665"/>
      <c r="AJ7" s="665"/>
      <c r="AK7" s="665"/>
      <c r="AL7" s="665"/>
      <c r="AM7" s="665"/>
      <c r="AN7" s="665"/>
      <c r="AO7" s="665"/>
      <c r="AP7" s="665"/>
      <c r="AQ7" s="665"/>
      <c r="AR7" s="665"/>
      <c r="AS7" s="665"/>
      <c r="AT7" s="665"/>
      <c r="AU7" s="665"/>
      <c r="AV7" s="665"/>
      <c r="AW7" s="665"/>
      <c r="AX7" s="665"/>
      <c r="AY7" s="665"/>
      <c r="AZ7" s="665"/>
      <c r="BA7" s="665"/>
      <c r="BB7" s="665"/>
      <c r="BC7" s="665"/>
      <c r="BD7" s="665"/>
      <c r="BE7" s="665"/>
      <c r="BF7" s="665"/>
      <c r="BG7" s="665"/>
      <c r="BH7" s="665"/>
      <c r="BI7" s="665"/>
      <c r="BJ7" s="665"/>
      <c r="BK7" s="665"/>
      <c r="BL7" s="665"/>
      <c r="BM7" s="665"/>
      <c r="BN7" s="665"/>
      <c r="BO7" s="665"/>
      <c r="BP7" s="665"/>
      <c r="BQ7" s="665"/>
      <c r="BR7" s="665"/>
      <c r="BS7" s="665"/>
      <c r="BT7" s="665"/>
      <c r="BU7" s="665"/>
      <c r="BV7" s="665"/>
      <c r="BW7" s="665"/>
      <c r="BX7" s="665"/>
      <c r="BY7" s="665"/>
      <c r="BZ7" s="665"/>
      <c r="CA7" s="665"/>
      <c r="CB7" s="666"/>
      <c r="CD7" s="382"/>
      <c r="CE7" s="382"/>
      <c r="CF7" s="382"/>
      <c r="CG7" s="382"/>
      <c r="CH7" s="382"/>
      <c r="CI7" s="382"/>
      <c r="CJ7" s="382"/>
      <c r="CK7" s="382"/>
      <c r="CL7" s="382"/>
      <c r="CM7" s="382"/>
      <c r="CN7" s="382"/>
      <c r="CO7" s="382"/>
      <c r="CP7" s="382"/>
      <c r="CQ7" s="382"/>
      <c r="CR7" s="382"/>
      <c r="CS7" s="382"/>
      <c r="CT7" s="382"/>
      <c r="CU7" s="277"/>
      <c r="CV7" s="277"/>
      <c r="CW7" s="277"/>
      <c r="CX7" s="277"/>
      <c r="CY7" s="277"/>
      <c r="CZ7" s="277"/>
      <c r="DA7" s="277"/>
      <c r="DB7" s="277"/>
      <c r="DC7" s="277"/>
      <c r="DD7" s="277"/>
      <c r="DE7" s="277"/>
      <c r="DF7" s="277"/>
      <c r="DG7" s="2"/>
      <c r="DH7" s="2"/>
      <c r="DI7" s="2"/>
      <c r="DJ7" s="2"/>
      <c r="DK7" s="2"/>
      <c r="DL7" s="2"/>
      <c r="DM7" s="2"/>
      <c r="DN7" s="2"/>
      <c r="DO7" s="2"/>
      <c r="DP7" s="2"/>
      <c r="DQ7" s="2"/>
      <c r="DR7" s="3"/>
      <c r="DS7" s="3"/>
      <c r="DT7" s="4"/>
      <c r="DU7" s="4"/>
      <c r="DV7" s="4"/>
      <c r="DW7" s="3"/>
      <c r="DX7" s="3"/>
      <c r="DY7" s="3"/>
      <c r="DZ7" s="5"/>
      <c r="EA7" s="5"/>
      <c r="EB7" s="5"/>
      <c r="EC7" s="5"/>
      <c r="ED7" s="5"/>
      <c r="EE7" s="5"/>
      <c r="EF7" s="5"/>
      <c r="EG7" s="5"/>
    </row>
    <row r="8" spans="2:137" ht="11.25" customHeight="1">
      <c r="C8" s="723" t="str">
        <f>VLOOKUP(2101,Languages!$A$5:$C$1032,Languages!$A$2,FALSE)</f>
        <v>Is-Situation</v>
      </c>
      <c r="D8" s="724"/>
      <c r="E8" s="724"/>
      <c r="F8" s="724"/>
      <c r="G8" s="724"/>
      <c r="H8" s="724"/>
      <c r="I8" s="724"/>
      <c r="J8" s="724"/>
      <c r="K8" s="724"/>
      <c r="L8" s="724"/>
      <c r="M8" s="724"/>
      <c r="N8" s="724"/>
      <c r="O8" s="724"/>
      <c r="P8" s="724"/>
      <c r="Q8" s="725"/>
      <c r="R8" s="759"/>
      <c r="S8" s="760"/>
      <c r="T8" s="760"/>
      <c r="U8" s="760"/>
      <c r="V8" s="760"/>
      <c r="W8" s="760"/>
      <c r="X8" s="760"/>
      <c r="Y8" s="760"/>
      <c r="Z8" s="760"/>
      <c r="AA8" s="760"/>
      <c r="AB8" s="760"/>
      <c r="AC8" s="760"/>
      <c r="AD8" s="760"/>
      <c r="AE8" s="760"/>
      <c r="AF8" s="760"/>
      <c r="AG8" s="760"/>
      <c r="AH8" s="760"/>
      <c r="AI8" s="760"/>
      <c r="AJ8" s="760"/>
      <c r="AK8" s="760"/>
      <c r="AL8" s="760"/>
      <c r="AM8" s="760"/>
      <c r="AN8" s="760"/>
      <c r="AO8" s="760"/>
      <c r="AP8" s="760"/>
      <c r="AQ8" s="760"/>
      <c r="AR8" s="760"/>
      <c r="AS8" s="760"/>
      <c r="AT8" s="760"/>
      <c r="AU8" s="760"/>
      <c r="AV8" s="760"/>
      <c r="AW8" s="760"/>
      <c r="AX8" s="760"/>
      <c r="AY8" s="760"/>
      <c r="AZ8" s="760"/>
      <c r="BA8" s="760"/>
      <c r="BB8" s="760"/>
      <c r="BC8" s="760"/>
      <c r="BD8" s="760"/>
      <c r="BE8" s="760"/>
      <c r="BF8" s="760"/>
      <c r="BG8" s="760"/>
      <c r="BH8" s="760"/>
      <c r="BI8" s="760"/>
      <c r="BJ8" s="760"/>
      <c r="BK8" s="760"/>
      <c r="BL8" s="760"/>
      <c r="BM8" s="760"/>
      <c r="BN8" s="760"/>
      <c r="BO8" s="760"/>
      <c r="BP8" s="760"/>
      <c r="BQ8" s="760"/>
      <c r="BR8" s="760"/>
      <c r="BS8" s="760"/>
      <c r="BT8" s="760"/>
      <c r="BU8" s="760"/>
      <c r="BV8" s="760"/>
      <c r="BW8" s="760"/>
      <c r="BX8" s="760"/>
      <c r="BY8" s="760"/>
      <c r="BZ8" s="760"/>
      <c r="CA8" s="760"/>
      <c r="CB8" s="761"/>
      <c r="CD8" s="382"/>
      <c r="CE8" s="382"/>
      <c r="CF8" s="382"/>
      <c r="CG8" s="382"/>
      <c r="CH8" s="382"/>
      <c r="CI8" s="382"/>
      <c r="CJ8" s="382"/>
      <c r="CK8" s="382"/>
      <c r="CL8" s="382"/>
      <c r="CM8" s="382"/>
      <c r="CN8" s="382"/>
      <c r="CO8" s="382"/>
      <c r="CP8" s="382"/>
      <c r="CQ8" s="382"/>
      <c r="CR8" s="382"/>
      <c r="CS8" s="382"/>
      <c r="CT8" s="382"/>
      <c r="CU8" s="277"/>
      <c r="CV8" s="277"/>
      <c r="CW8" s="277"/>
      <c r="CX8" s="277"/>
      <c r="CY8" s="277"/>
      <c r="CZ8" s="277"/>
      <c r="DA8" s="277"/>
      <c r="DB8" s="277"/>
      <c r="DC8" s="277"/>
      <c r="DD8" s="277"/>
      <c r="DE8" s="277"/>
      <c r="DF8" s="277"/>
      <c r="DG8" s="2"/>
      <c r="DH8" s="2"/>
      <c r="DI8" s="2"/>
      <c r="DJ8" s="2"/>
      <c r="DK8" s="2"/>
      <c r="DL8" s="2"/>
      <c r="DM8" s="2"/>
      <c r="DN8" s="2"/>
      <c r="DO8" s="2"/>
      <c r="DP8" s="2"/>
      <c r="DQ8" s="2"/>
      <c r="DR8" s="3"/>
      <c r="DS8" s="3"/>
      <c r="DT8" s="4"/>
      <c r="DU8" s="4"/>
      <c r="DV8" s="4"/>
      <c r="DW8" s="3"/>
      <c r="DX8" s="3"/>
      <c r="DY8" s="3"/>
      <c r="DZ8" s="5"/>
      <c r="EA8" s="5"/>
      <c r="EB8" s="5"/>
      <c r="EC8" s="5"/>
      <c r="ED8" s="5"/>
      <c r="EE8" s="5"/>
      <c r="EF8" s="5"/>
      <c r="EG8" s="5"/>
    </row>
    <row r="9" spans="2:137" ht="11.25" customHeight="1">
      <c r="C9" s="726"/>
      <c r="D9" s="727"/>
      <c r="E9" s="727"/>
      <c r="F9" s="727"/>
      <c r="G9" s="727"/>
      <c r="H9" s="727"/>
      <c r="I9" s="727"/>
      <c r="J9" s="727"/>
      <c r="K9" s="727"/>
      <c r="L9" s="727"/>
      <c r="M9" s="727"/>
      <c r="N9" s="727"/>
      <c r="O9" s="727"/>
      <c r="P9" s="727"/>
      <c r="Q9" s="728"/>
      <c r="R9" s="762"/>
      <c r="S9" s="763"/>
      <c r="T9" s="763"/>
      <c r="U9" s="763"/>
      <c r="V9" s="763"/>
      <c r="W9" s="763"/>
      <c r="X9" s="763"/>
      <c r="Y9" s="763"/>
      <c r="Z9" s="763"/>
      <c r="AA9" s="763"/>
      <c r="AB9" s="763"/>
      <c r="AC9" s="763"/>
      <c r="AD9" s="763"/>
      <c r="AE9" s="763"/>
      <c r="AF9" s="763"/>
      <c r="AG9" s="763"/>
      <c r="AH9" s="763"/>
      <c r="AI9" s="763"/>
      <c r="AJ9" s="763"/>
      <c r="AK9" s="763"/>
      <c r="AL9" s="763"/>
      <c r="AM9" s="763"/>
      <c r="AN9" s="763"/>
      <c r="AO9" s="763"/>
      <c r="AP9" s="763"/>
      <c r="AQ9" s="763"/>
      <c r="AR9" s="763"/>
      <c r="AS9" s="763"/>
      <c r="AT9" s="763"/>
      <c r="AU9" s="763"/>
      <c r="AV9" s="763"/>
      <c r="AW9" s="763"/>
      <c r="AX9" s="763"/>
      <c r="AY9" s="763"/>
      <c r="AZ9" s="763"/>
      <c r="BA9" s="763"/>
      <c r="BB9" s="763"/>
      <c r="BC9" s="763"/>
      <c r="BD9" s="763"/>
      <c r="BE9" s="763"/>
      <c r="BF9" s="763"/>
      <c r="BG9" s="763"/>
      <c r="BH9" s="763"/>
      <c r="BI9" s="763"/>
      <c r="BJ9" s="763"/>
      <c r="BK9" s="763"/>
      <c r="BL9" s="763"/>
      <c r="BM9" s="763"/>
      <c r="BN9" s="763"/>
      <c r="BO9" s="763"/>
      <c r="BP9" s="763"/>
      <c r="BQ9" s="763"/>
      <c r="BR9" s="763"/>
      <c r="BS9" s="763"/>
      <c r="BT9" s="763"/>
      <c r="BU9" s="763"/>
      <c r="BV9" s="763"/>
      <c r="BW9" s="763"/>
      <c r="BX9" s="763"/>
      <c r="BY9" s="763"/>
      <c r="BZ9" s="763"/>
      <c r="CA9" s="763"/>
      <c r="CB9" s="764"/>
      <c r="CD9" s="382"/>
      <c r="CE9" s="382"/>
      <c r="CF9" s="382"/>
      <c r="CG9" s="382"/>
      <c r="CH9" s="382"/>
      <c r="CI9" s="382"/>
      <c r="CJ9" s="382"/>
      <c r="CK9" s="382"/>
      <c r="CL9" s="382"/>
      <c r="CM9" s="382"/>
      <c r="CN9" s="382"/>
      <c r="CO9" s="382"/>
      <c r="CP9" s="382"/>
      <c r="CQ9" s="382"/>
      <c r="CR9" s="382"/>
      <c r="CS9" s="382"/>
      <c r="CT9" s="382"/>
      <c r="CU9" s="277"/>
      <c r="CV9" s="277"/>
      <c r="CW9" s="277"/>
      <c r="CX9" s="277"/>
      <c r="CY9" s="277"/>
      <c r="CZ9" s="277"/>
      <c r="DA9" s="277"/>
      <c r="DB9" s="277"/>
      <c r="DC9" s="277"/>
      <c r="DD9" s="277"/>
      <c r="DE9" s="277"/>
      <c r="DF9" s="277"/>
      <c r="DG9" s="2"/>
      <c r="DH9" s="2"/>
      <c r="DI9" s="2"/>
      <c r="DJ9" s="2"/>
      <c r="DK9" s="2"/>
      <c r="DL9" s="2"/>
      <c r="DM9" s="2"/>
      <c r="DN9" s="2"/>
      <c r="DO9" s="2"/>
      <c r="DP9" s="2"/>
      <c r="DQ9" s="2"/>
      <c r="DR9" s="3"/>
      <c r="DS9" s="3"/>
      <c r="DT9" s="4"/>
      <c r="DU9" s="4"/>
      <c r="DV9" s="4"/>
      <c r="DW9" s="3"/>
      <c r="DX9" s="3"/>
      <c r="DY9" s="3"/>
      <c r="DZ9" s="5"/>
      <c r="EA9" s="5"/>
      <c r="EB9" s="5"/>
      <c r="EC9" s="5"/>
      <c r="ED9" s="5"/>
      <c r="EE9" s="5"/>
      <c r="EF9" s="5"/>
      <c r="EG9" s="5"/>
    </row>
    <row r="10" spans="2:137" ht="11.25" customHeight="1">
      <c r="C10" s="726"/>
      <c r="D10" s="727"/>
      <c r="E10" s="727"/>
      <c r="F10" s="727"/>
      <c r="G10" s="727"/>
      <c r="H10" s="727"/>
      <c r="I10" s="727"/>
      <c r="J10" s="727"/>
      <c r="K10" s="727"/>
      <c r="L10" s="727"/>
      <c r="M10" s="727"/>
      <c r="N10" s="727"/>
      <c r="O10" s="727"/>
      <c r="P10" s="727"/>
      <c r="Q10" s="728"/>
      <c r="R10" s="762"/>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3"/>
      <c r="AY10" s="763"/>
      <c r="AZ10" s="763"/>
      <c r="BA10" s="763"/>
      <c r="BB10" s="763"/>
      <c r="BC10" s="763"/>
      <c r="BD10" s="763"/>
      <c r="BE10" s="763"/>
      <c r="BF10" s="763"/>
      <c r="BG10" s="763"/>
      <c r="BH10" s="763"/>
      <c r="BI10" s="763"/>
      <c r="BJ10" s="763"/>
      <c r="BK10" s="763"/>
      <c r="BL10" s="763"/>
      <c r="BM10" s="763"/>
      <c r="BN10" s="763"/>
      <c r="BO10" s="763"/>
      <c r="BP10" s="763"/>
      <c r="BQ10" s="763"/>
      <c r="BR10" s="763"/>
      <c r="BS10" s="763"/>
      <c r="BT10" s="763"/>
      <c r="BU10" s="763"/>
      <c r="BV10" s="763"/>
      <c r="BW10" s="763"/>
      <c r="BX10" s="763"/>
      <c r="BY10" s="763"/>
      <c r="BZ10" s="763"/>
      <c r="CA10" s="763"/>
      <c r="CB10" s="764"/>
      <c r="CD10" s="382"/>
      <c r="CE10" s="382"/>
      <c r="CF10" s="382"/>
      <c r="CG10" s="382"/>
      <c r="CH10" s="382"/>
      <c r="CI10" s="382"/>
      <c r="CJ10" s="382"/>
      <c r="CK10" s="382"/>
      <c r="CL10" s="382"/>
      <c r="CM10" s="382"/>
      <c r="CN10" s="382"/>
      <c r="CO10" s="382"/>
      <c r="CP10" s="382"/>
      <c r="CQ10" s="382"/>
      <c r="CR10" s="382"/>
      <c r="CS10" s="382"/>
      <c r="CT10" s="382"/>
      <c r="CU10" s="277"/>
      <c r="CV10" s="277"/>
      <c r="CW10" s="277"/>
      <c r="CX10" s="277"/>
      <c r="CY10" s="277"/>
      <c r="CZ10" s="277"/>
      <c r="DA10" s="277"/>
      <c r="DB10" s="277"/>
      <c r="DC10" s="277"/>
      <c r="DD10" s="277"/>
      <c r="DE10" s="277"/>
      <c r="DF10" s="277"/>
      <c r="DG10" s="2"/>
      <c r="DH10" s="2"/>
      <c r="DI10" s="2"/>
      <c r="DJ10" s="2"/>
      <c r="DK10" s="2"/>
      <c r="DL10" s="2"/>
      <c r="DM10" s="2"/>
      <c r="DN10" s="2"/>
      <c r="DO10" s="2"/>
      <c r="DP10" s="2"/>
      <c r="DQ10" s="2"/>
      <c r="DR10" s="3"/>
      <c r="DS10" s="3"/>
      <c r="DT10" s="4"/>
      <c r="DU10" s="4"/>
      <c r="DV10" s="4"/>
      <c r="DW10" s="3"/>
      <c r="DX10" s="3"/>
      <c r="DY10" s="3"/>
      <c r="DZ10" s="5"/>
      <c r="EA10" s="5"/>
      <c r="EB10" s="5"/>
      <c r="EC10" s="5"/>
      <c r="ED10" s="5"/>
      <c r="EE10" s="5"/>
      <c r="EF10" s="5"/>
      <c r="EG10" s="5"/>
    </row>
    <row r="11" spans="2:137" ht="11.25" customHeight="1">
      <c r="C11" s="726"/>
      <c r="D11" s="727"/>
      <c r="E11" s="727"/>
      <c r="F11" s="727"/>
      <c r="G11" s="727"/>
      <c r="H11" s="727"/>
      <c r="I11" s="727"/>
      <c r="J11" s="727"/>
      <c r="K11" s="727"/>
      <c r="L11" s="727"/>
      <c r="M11" s="727"/>
      <c r="N11" s="727"/>
      <c r="O11" s="727"/>
      <c r="P11" s="727"/>
      <c r="Q11" s="728"/>
      <c r="R11" s="762"/>
      <c r="S11" s="763"/>
      <c r="T11" s="763"/>
      <c r="U11" s="763"/>
      <c r="V11" s="763"/>
      <c r="W11" s="763"/>
      <c r="X11" s="763"/>
      <c r="Y11" s="763"/>
      <c r="Z11" s="763"/>
      <c r="AA11" s="763"/>
      <c r="AB11" s="763"/>
      <c r="AC11" s="763"/>
      <c r="AD11" s="763"/>
      <c r="AE11" s="763"/>
      <c r="AF11" s="763"/>
      <c r="AG11" s="763"/>
      <c r="AH11" s="763"/>
      <c r="AI11" s="763"/>
      <c r="AJ11" s="763"/>
      <c r="AK11" s="763"/>
      <c r="AL11" s="763"/>
      <c r="AM11" s="763"/>
      <c r="AN11" s="763"/>
      <c r="AO11" s="763"/>
      <c r="AP11" s="763"/>
      <c r="AQ11" s="763"/>
      <c r="AR11" s="763"/>
      <c r="AS11" s="763"/>
      <c r="AT11" s="763"/>
      <c r="AU11" s="763"/>
      <c r="AV11" s="763"/>
      <c r="AW11" s="763"/>
      <c r="AX11" s="763"/>
      <c r="AY11" s="763"/>
      <c r="AZ11" s="763"/>
      <c r="BA11" s="763"/>
      <c r="BB11" s="763"/>
      <c r="BC11" s="763"/>
      <c r="BD11" s="763"/>
      <c r="BE11" s="763"/>
      <c r="BF11" s="763"/>
      <c r="BG11" s="763"/>
      <c r="BH11" s="763"/>
      <c r="BI11" s="763"/>
      <c r="BJ11" s="763"/>
      <c r="BK11" s="763"/>
      <c r="BL11" s="763"/>
      <c r="BM11" s="763"/>
      <c r="BN11" s="763"/>
      <c r="BO11" s="763"/>
      <c r="BP11" s="763"/>
      <c r="BQ11" s="763"/>
      <c r="BR11" s="763"/>
      <c r="BS11" s="763"/>
      <c r="BT11" s="763"/>
      <c r="BU11" s="763"/>
      <c r="BV11" s="763"/>
      <c r="BW11" s="763"/>
      <c r="BX11" s="763"/>
      <c r="BY11" s="763"/>
      <c r="BZ11" s="763"/>
      <c r="CA11" s="763"/>
      <c r="CB11" s="764"/>
      <c r="CD11" s="382"/>
      <c r="CE11" s="382"/>
      <c r="CF11" s="382"/>
      <c r="CG11" s="382"/>
      <c r="CH11" s="382"/>
      <c r="CI11" s="382"/>
      <c r="CJ11" s="382"/>
      <c r="CK11" s="382"/>
      <c r="CL11" s="382"/>
      <c r="CM11" s="382"/>
      <c r="CN11" s="382"/>
      <c r="CO11" s="382"/>
      <c r="CP11" s="382"/>
      <c r="CQ11" s="382"/>
      <c r="CR11" s="382"/>
      <c r="CS11" s="382"/>
      <c r="CT11" s="382"/>
      <c r="CU11" s="277"/>
      <c r="CV11" s="277"/>
      <c r="CW11" s="277"/>
      <c r="CX11" s="277"/>
      <c r="CY11" s="277"/>
      <c r="CZ11" s="277"/>
      <c r="DA11" s="277"/>
      <c r="DB11" s="277"/>
      <c r="DC11" s="277"/>
      <c r="DD11" s="277"/>
      <c r="DE11" s="277"/>
      <c r="DF11" s="277"/>
      <c r="DG11" s="2"/>
      <c r="DH11" s="2"/>
      <c r="DI11" s="2"/>
      <c r="DJ11" s="2"/>
      <c r="DK11" s="2"/>
      <c r="DL11" s="2"/>
      <c r="DM11" s="2"/>
      <c r="DN11" s="2"/>
      <c r="DO11" s="2"/>
      <c r="DP11" s="2"/>
      <c r="DQ11" s="2"/>
      <c r="DR11" s="3"/>
      <c r="DS11" s="3"/>
      <c r="DT11" s="4"/>
      <c r="DU11" s="4"/>
      <c r="DV11" s="4"/>
      <c r="DW11" s="3"/>
      <c r="DX11" s="3"/>
      <c r="DY11" s="3"/>
      <c r="DZ11" s="5"/>
      <c r="EA11" s="5"/>
      <c r="EB11" s="5"/>
      <c r="EC11" s="5"/>
      <c r="ED11" s="5"/>
      <c r="EE11" s="5"/>
      <c r="EF11" s="5"/>
      <c r="EG11" s="5"/>
    </row>
    <row r="12" spans="2:137" ht="11.25" customHeight="1">
      <c r="C12" s="729"/>
      <c r="D12" s="730"/>
      <c r="E12" s="730"/>
      <c r="F12" s="730"/>
      <c r="G12" s="730"/>
      <c r="H12" s="730"/>
      <c r="I12" s="730"/>
      <c r="J12" s="730"/>
      <c r="K12" s="730"/>
      <c r="L12" s="730"/>
      <c r="M12" s="730"/>
      <c r="N12" s="730"/>
      <c r="O12" s="730"/>
      <c r="P12" s="730"/>
      <c r="Q12" s="731"/>
      <c r="R12" s="765"/>
      <c r="S12" s="766"/>
      <c r="T12" s="766"/>
      <c r="U12" s="766"/>
      <c r="V12" s="766"/>
      <c r="W12" s="766"/>
      <c r="X12" s="766"/>
      <c r="Y12" s="766"/>
      <c r="Z12" s="766"/>
      <c r="AA12" s="766"/>
      <c r="AB12" s="766"/>
      <c r="AC12" s="766"/>
      <c r="AD12" s="766"/>
      <c r="AE12" s="766"/>
      <c r="AF12" s="766"/>
      <c r="AG12" s="766"/>
      <c r="AH12" s="766"/>
      <c r="AI12" s="766"/>
      <c r="AJ12" s="766"/>
      <c r="AK12" s="766"/>
      <c r="AL12" s="766"/>
      <c r="AM12" s="766"/>
      <c r="AN12" s="766"/>
      <c r="AO12" s="766"/>
      <c r="AP12" s="766"/>
      <c r="AQ12" s="766"/>
      <c r="AR12" s="766"/>
      <c r="AS12" s="766"/>
      <c r="AT12" s="766"/>
      <c r="AU12" s="766"/>
      <c r="AV12" s="766"/>
      <c r="AW12" s="766"/>
      <c r="AX12" s="766"/>
      <c r="AY12" s="766"/>
      <c r="AZ12" s="766"/>
      <c r="BA12" s="766"/>
      <c r="BB12" s="766"/>
      <c r="BC12" s="766"/>
      <c r="BD12" s="766"/>
      <c r="BE12" s="766"/>
      <c r="BF12" s="766"/>
      <c r="BG12" s="766"/>
      <c r="BH12" s="766"/>
      <c r="BI12" s="766"/>
      <c r="BJ12" s="766"/>
      <c r="BK12" s="766"/>
      <c r="BL12" s="766"/>
      <c r="BM12" s="766"/>
      <c r="BN12" s="766"/>
      <c r="BO12" s="766"/>
      <c r="BP12" s="766"/>
      <c r="BQ12" s="766"/>
      <c r="BR12" s="766"/>
      <c r="BS12" s="766"/>
      <c r="BT12" s="766"/>
      <c r="BU12" s="766"/>
      <c r="BV12" s="766"/>
      <c r="BW12" s="766"/>
      <c r="BX12" s="766"/>
      <c r="BY12" s="766"/>
      <c r="BZ12" s="766"/>
      <c r="CA12" s="766"/>
      <c r="CB12" s="767"/>
      <c r="CD12" s="382"/>
      <c r="CE12" s="382"/>
      <c r="CF12" s="382"/>
      <c r="CG12" s="382"/>
      <c r="CH12" s="382"/>
      <c r="CI12" s="382"/>
      <c r="CJ12" s="382"/>
      <c r="CK12" s="382"/>
      <c r="CL12" s="382"/>
      <c r="CM12" s="382"/>
      <c r="CN12" s="382"/>
      <c r="CO12" s="382"/>
      <c r="CP12" s="382"/>
      <c r="CQ12" s="382"/>
      <c r="CR12" s="382"/>
      <c r="CS12" s="382"/>
      <c r="CT12" s="382"/>
      <c r="CU12" s="277"/>
      <c r="CV12" s="277"/>
      <c r="CW12" s="277"/>
      <c r="CX12" s="277"/>
      <c r="CY12" s="277"/>
      <c r="CZ12" s="277"/>
      <c r="DA12" s="277"/>
      <c r="DB12" s="277"/>
      <c r="DC12" s="277"/>
      <c r="DD12" s="277"/>
      <c r="DE12" s="277"/>
      <c r="DF12" s="277"/>
      <c r="DG12" s="2"/>
      <c r="DH12" s="2"/>
      <c r="DI12" s="2"/>
      <c r="DJ12" s="2"/>
      <c r="DK12" s="2"/>
      <c r="DL12" s="2"/>
      <c r="DM12" s="2"/>
      <c r="DN12" s="2"/>
      <c r="DO12" s="2"/>
      <c r="DP12" s="2"/>
      <c r="DQ12" s="2"/>
      <c r="DR12" s="3"/>
      <c r="DS12" s="3"/>
      <c r="DT12" s="4"/>
      <c r="DU12" s="4"/>
      <c r="DV12" s="4"/>
      <c r="DW12" s="3"/>
      <c r="DX12" s="3"/>
      <c r="DY12" s="3"/>
      <c r="DZ12" s="5"/>
      <c r="EA12" s="5"/>
      <c r="EB12" s="5"/>
      <c r="EC12" s="5"/>
      <c r="ED12" s="5"/>
      <c r="EE12" s="5"/>
      <c r="EF12" s="5"/>
      <c r="EG12" s="5"/>
    </row>
    <row r="13" spans="2:137" ht="11.25" customHeight="1">
      <c r="C13" s="723" t="str">
        <f>VLOOKUP(2102,Languages!$A$5:$C$1032,Languages!$A$2,FALSE)</f>
        <v>Target-Situation</v>
      </c>
      <c r="D13" s="724"/>
      <c r="E13" s="724"/>
      <c r="F13" s="724"/>
      <c r="G13" s="724"/>
      <c r="H13" s="724"/>
      <c r="I13" s="724"/>
      <c r="J13" s="724"/>
      <c r="K13" s="724"/>
      <c r="L13" s="724"/>
      <c r="M13" s="724"/>
      <c r="N13" s="724"/>
      <c r="O13" s="724"/>
      <c r="P13" s="724"/>
      <c r="Q13" s="725"/>
      <c r="R13" s="759"/>
      <c r="S13" s="760"/>
      <c r="T13" s="760"/>
      <c r="U13" s="760"/>
      <c r="V13" s="760"/>
      <c r="W13" s="760"/>
      <c r="X13" s="760"/>
      <c r="Y13" s="760"/>
      <c r="Z13" s="760"/>
      <c r="AA13" s="760"/>
      <c r="AB13" s="760"/>
      <c r="AC13" s="760"/>
      <c r="AD13" s="760"/>
      <c r="AE13" s="760"/>
      <c r="AF13" s="760"/>
      <c r="AG13" s="760"/>
      <c r="AH13" s="760"/>
      <c r="AI13" s="760"/>
      <c r="AJ13" s="760"/>
      <c r="AK13" s="760"/>
      <c r="AL13" s="760"/>
      <c r="AM13" s="760"/>
      <c r="AN13" s="760"/>
      <c r="AO13" s="760"/>
      <c r="AP13" s="760"/>
      <c r="AQ13" s="760"/>
      <c r="AR13" s="760"/>
      <c r="AS13" s="760"/>
      <c r="AT13" s="760"/>
      <c r="AU13" s="760"/>
      <c r="AV13" s="760"/>
      <c r="AW13" s="760"/>
      <c r="AX13" s="760"/>
      <c r="AY13" s="760"/>
      <c r="AZ13" s="760"/>
      <c r="BA13" s="760"/>
      <c r="BB13" s="760"/>
      <c r="BC13" s="760"/>
      <c r="BD13" s="760"/>
      <c r="BE13" s="760"/>
      <c r="BF13" s="760"/>
      <c r="BG13" s="760"/>
      <c r="BH13" s="760"/>
      <c r="BI13" s="760"/>
      <c r="BJ13" s="760"/>
      <c r="BK13" s="760"/>
      <c r="BL13" s="760"/>
      <c r="BM13" s="760"/>
      <c r="BN13" s="760"/>
      <c r="BO13" s="760"/>
      <c r="BP13" s="760"/>
      <c r="BQ13" s="760"/>
      <c r="BR13" s="760"/>
      <c r="BS13" s="760"/>
      <c r="BT13" s="760"/>
      <c r="BU13" s="760"/>
      <c r="BV13" s="760"/>
      <c r="BW13" s="760"/>
      <c r="BX13" s="760"/>
      <c r="BY13" s="760"/>
      <c r="BZ13" s="760"/>
      <c r="CA13" s="760"/>
      <c r="CB13" s="761"/>
      <c r="CD13" s="382"/>
      <c r="CE13" s="382"/>
      <c r="CF13" s="382"/>
      <c r="CG13" s="382"/>
      <c r="CH13" s="382"/>
      <c r="CI13" s="382"/>
      <c r="CJ13" s="382"/>
      <c r="CK13" s="382"/>
      <c r="CL13" s="382"/>
      <c r="CM13" s="382"/>
      <c r="CN13" s="382"/>
      <c r="CO13" s="382"/>
      <c r="CP13" s="382"/>
      <c r="CQ13" s="382"/>
      <c r="CR13" s="382"/>
      <c r="CS13" s="382"/>
      <c r="CT13" s="382"/>
      <c r="CU13" s="277"/>
      <c r="CV13" s="277"/>
      <c r="CW13" s="277"/>
      <c r="CX13" s="277"/>
      <c r="CY13" s="277"/>
      <c r="CZ13" s="277"/>
      <c r="DA13" s="277"/>
      <c r="DB13" s="277"/>
      <c r="DC13" s="277"/>
      <c r="DD13" s="277"/>
      <c r="DE13" s="277"/>
      <c r="DF13" s="277"/>
      <c r="DG13" s="2"/>
      <c r="DH13" s="2"/>
      <c r="DI13" s="2"/>
      <c r="DJ13" s="2"/>
      <c r="DK13" s="2"/>
      <c r="DL13" s="2"/>
      <c r="DM13" s="2"/>
      <c r="DN13" s="2"/>
      <c r="DO13" s="2"/>
      <c r="DP13" s="2"/>
      <c r="DQ13" s="2"/>
      <c r="DR13" s="3"/>
      <c r="DS13" s="3"/>
      <c r="DT13" s="4"/>
      <c r="DU13" s="4"/>
      <c r="DV13" s="4"/>
      <c r="DW13" s="3"/>
      <c r="DX13" s="3"/>
      <c r="DY13" s="3"/>
      <c r="DZ13" s="5"/>
      <c r="EA13" s="5"/>
      <c r="EB13" s="5"/>
      <c r="EC13" s="5"/>
      <c r="ED13" s="5"/>
      <c r="EE13" s="5"/>
      <c r="EF13" s="5"/>
      <c r="EG13" s="5"/>
    </row>
    <row r="14" spans="2:137" ht="11.25" customHeight="1">
      <c r="C14" s="726"/>
      <c r="D14" s="727"/>
      <c r="E14" s="727"/>
      <c r="F14" s="727"/>
      <c r="G14" s="727"/>
      <c r="H14" s="727"/>
      <c r="I14" s="727"/>
      <c r="J14" s="727"/>
      <c r="K14" s="727"/>
      <c r="L14" s="727"/>
      <c r="M14" s="727"/>
      <c r="N14" s="727"/>
      <c r="O14" s="727"/>
      <c r="P14" s="727"/>
      <c r="Q14" s="728"/>
      <c r="R14" s="762"/>
      <c r="S14" s="763"/>
      <c r="T14" s="763"/>
      <c r="U14" s="763"/>
      <c r="V14" s="763"/>
      <c r="W14" s="763"/>
      <c r="X14" s="763"/>
      <c r="Y14" s="763"/>
      <c r="Z14" s="763"/>
      <c r="AA14" s="763"/>
      <c r="AB14" s="763"/>
      <c r="AC14" s="763"/>
      <c r="AD14" s="763"/>
      <c r="AE14" s="763"/>
      <c r="AF14" s="763"/>
      <c r="AG14" s="763"/>
      <c r="AH14" s="763"/>
      <c r="AI14" s="763"/>
      <c r="AJ14" s="763"/>
      <c r="AK14" s="763"/>
      <c r="AL14" s="763"/>
      <c r="AM14" s="763"/>
      <c r="AN14" s="763"/>
      <c r="AO14" s="763"/>
      <c r="AP14" s="763"/>
      <c r="AQ14" s="763"/>
      <c r="AR14" s="763"/>
      <c r="AS14" s="763"/>
      <c r="AT14" s="763"/>
      <c r="AU14" s="763"/>
      <c r="AV14" s="763"/>
      <c r="AW14" s="763"/>
      <c r="AX14" s="763"/>
      <c r="AY14" s="763"/>
      <c r="AZ14" s="763"/>
      <c r="BA14" s="763"/>
      <c r="BB14" s="763"/>
      <c r="BC14" s="763"/>
      <c r="BD14" s="763"/>
      <c r="BE14" s="763"/>
      <c r="BF14" s="763"/>
      <c r="BG14" s="763"/>
      <c r="BH14" s="763"/>
      <c r="BI14" s="763"/>
      <c r="BJ14" s="763"/>
      <c r="BK14" s="763"/>
      <c r="BL14" s="763"/>
      <c r="BM14" s="763"/>
      <c r="BN14" s="763"/>
      <c r="BO14" s="763"/>
      <c r="BP14" s="763"/>
      <c r="BQ14" s="763"/>
      <c r="BR14" s="763"/>
      <c r="BS14" s="763"/>
      <c r="BT14" s="763"/>
      <c r="BU14" s="763"/>
      <c r="BV14" s="763"/>
      <c r="BW14" s="763"/>
      <c r="BX14" s="763"/>
      <c r="BY14" s="763"/>
      <c r="BZ14" s="763"/>
      <c r="CA14" s="763"/>
      <c r="CB14" s="764"/>
      <c r="CD14" s="382"/>
      <c r="CE14" s="382"/>
      <c r="CF14" s="382"/>
      <c r="CG14" s="382"/>
      <c r="CH14" s="382"/>
      <c r="CI14" s="382"/>
      <c r="CJ14" s="382"/>
      <c r="CK14" s="382"/>
      <c r="CL14" s="382"/>
      <c r="CM14" s="382"/>
      <c r="CN14" s="382"/>
      <c r="CO14" s="382"/>
      <c r="CP14" s="382"/>
      <c r="CQ14" s="382"/>
      <c r="CR14" s="382"/>
      <c r="CS14" s="382"/>
      <c r="CT14" s="382"/>
      <c r="CU14" s="277"/>
      <c r="CV14" s="277"/>
      <c r="CW14" s="277"/>
      <c r="CX14" s="277"/>
      <c r="CY14" s="277"/>
      <c r="CZ14" s="277"/>
      <c r="DA14" s="277"/>
      <c r="DB14" s="277"/>
      <c r="DC14" s="277"/>
      <c r="DD14" s="277"/>
      <c r="DE14" s="277"/>
      <c r="DF14" s="277"/>
      <c r="DG14" s="2"/>
      <c r="DH14" s="2"/>
      <c r="DI14" s="2"/>
      <c r="DJ14" s="2"/>
      <c r="DK14" s="2"/>
      <c r="DL14" s="2"/>
      <c r="DM14" s="2"/>
      <c r="DN14" s="2"/>
      <c r="DO14" s="2"/>
      <c r="DP14" s="2"/>
      <c r="DQ14" s="2"/>
      <c r="DR14" s="3"/>
      <c r="DS14" s="3"/>
      <c r="DT14" s="4"/>
      <c r="DU14" s="4"/>
      <c r="DV14" s="4"/>
      <c r="DW14" s="3"/>
      <c r="DX14" s="3"/>
      <c r="DY14" s="3"/>
      <c r="DZ14" s="5"/>
      <c r="EA14" s="5"/>
      <c r="EB14" s="5"/>
      <c r="EC14" s="5"/>
      <c r="ED14" s="5"/>
      <c r="EE14" s="5"/>
      <c r="EF14" s="5"/>
      <c r="EG14" s="5"/>
    </row>
    <row r="15" spans="2:137" ht="11.25" customHeight="1">
      <c r="C15" s="726"/>
      <c r="D15" s="727"/>
      <c r="E15" s="727"/>
      <c r="F15" s="727"/>
      <c r="G15" s="727"/>
      <c r="H15" s="727"/>
      <c r="I15" s="727"/>
      <c r="J15" s="727"/>
      <c r="K15" s="727"/>
      <c r="L15" s="727"/>
      <c r="M15" s="727"/>
      <c r="N15" s="727"/>
      <c r="O15" s="727"/>
      <c r="P15" s="727"/>
      <c r="Q15" s="728"/>
      <c r="R15" s="762"/>
      <c r="S15" s="763"/>
      <c r="T15" s="763"/>
      <c r="U15" s="763"/>
      <c r="V15" s="763"/>
      <c r="W15" s="763"/>
      <c r="X15" s="763"/>
      <c r="Y15" s="763"/>
      <c r="Z15" s="763"/>
      <c r="AA15" s="763"/>
      <c r="AB15" s="763"/>
      <c r="AC15" s="763"/>
      <c r="AD15" s="763"/>
      <c r="AE15" s="763"/>
      <c r="AF15" s="763"/>
      <c r="AG15" s="763"/>
      <c r="AH15" s="763"/>
      <c r="AI15" s="763"/>
      <c r="AJ15" s="763"/>
      <c r="AK15" s="763"/>
      <c r="AL15" s="763"/>
      <c r="AM15" s="763"/>
      <c r="AN15" s="763"/>
      <c r="AO15" s="763"/>
      <c r="AP15" s="763"/>
      <c r="AQ15" s="763"/>
      <c r="AR15" s="763"/>
      <c r="AS15" s="763"/>
      <c r="AT15" s="763"/>
      <c r="AU15" s="763"/>
      <c r="AV15" s="763"/>
      <c r="AW15" s="763"/>
      <c r="AX15" s="763"/>
      <c r="AY15" s="763"/>
      <c r="AZ15" s="763"/>
      <c r="BA15" s="763"/>
      <c r="BB15" s="763"/>
      <c r="BC15" s="763"/>
      <c r="BD15" s="763"/>
      <c r="BE15" s="763"/>
      <c r="BF15" s="763"/>
      <c r="BG15" s="763"/>
      <c r="BH15" s="763"/>
      <c r="BI15" s="763"/>
      <c r="BJ15" s="763"/>
      <c r="BK15" s="763"/>
      <c r="BL15" s="763"/>
      <c r="BM15" s="763"/>
      <c r="BN15" s="763"/>
      <c r="BO15" s="763"/>
      <c r="BP15" s="763"/>
      <c r="BQ15" s="763"/>
      <c r="BR15" s="763"/>
      <c r="BS15" s="763"/>
      <c r="BT15" s="763"/>
      <c r="BU15" s="763"/>
      <c r="BV15" s="763"/>
      <c r="BW15" s="763"/>
      <c r="BX15" s="763"/>
      <c r="BY15" s="763"/>
      <c r="BZ15" s="763"/>
      <c r="CA15" s="763"/>
      <c r="CB15" s="764"/>
      <c r="CD15" s="382"/>
      <c r="CE15" s="382"/>
      <c r="CF15" s="382"/>
      <c r="CG15" s="382"/>
      <c r="CH15" s="382"/>
      <c r="CI15" s="382"/>
      <c r="CJ15" s="382"/>
      <c r="CK15" s="382"/>
      <c r="CL15" s="382"/>
      <c r="CM15" s="382"/>
      <c r="CN15" s="382"/>
      <c r="CO15" s="382"/>
      <c r="CP15" s="382"/>
      <c r="CQ15" s="382"/>
      <c r="CR15" s="382"/>
      <c r="CS15" s="382"/>
      <c r="CT15" s="382"/>
      <c r="CU15" s="277"/>
      <c r="CV15" s="277"/>
      <c r="CW15" s="277"/>
      <c r="CX15" s="277"/>
      <c r="CY15" s="277"/>
      <c r="CZ15" s="277"/>
      <c r="DA15" s="277"/>
      <c r="DB15" s="277"/>
      <c r="DC15" s="277"/>
      <c r="DD15" s="277"/>
      <c r="DE15" s="277"/>
      <c r="DF15" s="277"/>
      <c r="DG15" s="2"/>
      <c r="DH15" s="2"/>
      <c r="DI15" s="2"/>
      <c r="DJ15" s="2"/>
      <c r="DK15" s="2"/>
      <c r="DL15" s="2"/>
      <c r="DM15" s="2"/>
      <c r="DN15" s="2"/>
      <c r="DO15" s="2"/>
      <c r="DP15" s="2"/>
      <c r="DQ15" s="2"/>
      <c r="DR15" s="3"/>
      <c r="DS15" s="3"/>
      <c r="DT15" s="4"/>
      <c r="DU15" s="4"/>
      <c r="DV15" s="4"/>
      <c r="DW15" s="3"/>
      <c r="DX15" s="3"/>
      <c r="DY15" s="3"/>
      <c r="DZ15" s="5"/>
      <c r="EA15" s="5"/>
      <c r="EB15" s="5"/>
      <c r="EC15" s="5"/>
      <c r="ED15" s="5"/>
      <c r="EE15" s="5"/>
      <c r="EF15" s="5"/>
      <c r="EG15" s="5"/>
    </row>
    <row r="16" spans="2:137" ht="11.25" customHeight="1">
      <c r="C16" s="726"/>
      <c r="D16" s="727"/>
      <c r="E16" s="727"/>
      <c r="F16" s="727"/>
      <c r="G16" s="727"/>
      <c r="H16" s="727"/>
      <c r="I16" s="727"/>
      <c r="J16" s="727"/>
      <c r="K16" s="727"/>
      <c r="L16" s="727"/>
      <c r="M16" s="727"/>
      <c r="N16" s="727"/>
      <c r="O16" s="727"/>
      <c r="P16" s="727"/>
      <c r="Q16" s="728"/>
      <c r="R16" s="762"/>
      <c r="S16" s="763"/>
      <c r="T16" s="763"/>
      <c r="U16" s="763"/>
      <c r="V16" s="763"/>
      <c r="W16" s="763"/>
      <c r="X16" s="763"/>
      <c r="Y16" s="763"/>
      <c r="Z16" s="763"/>
      <c r="AA16" s="763"/>
      <c r="AB16" s="763"/>
      <c r="AC16" s="763"/>
      <c r="AD16" s="763"/>
      <c r="AE16" s="763"/>
      <c r="AF16" s="763"/>
      <c r="AG16" s="763"/>
      <c r="AH16" s="763"/>
      <c r="AI16" s="763"/>
      <c r="AJ16" s="763"/>
      <c r="AK16" s="763"/>
      <c r="AL16" s="763"/>
      <c r="AM16" s="763"/>
      <c r="AN16" s="763"/>
      <c r="AO16" s="763"/>
      <c r="AP16" s="763"/>
      <c r="AQ16" s="763"/>
      <c r="AR16" s="763"/>
      <c r="AS16" s="763"/>
      <c r="AT16" s="763"/>
      <c r="AU16" s="763"/>
      <c r="AV16" s="763"/>
      <c r="AW16" s="763"/>
      <c r="AX16" s="763"/>
      <c r="AY16" s="763"/>
      <c r="AZ16" s="763"/>
      <c r="BA16" s="763"/>
      <c r="BB16" s="763"/>
      <c r="BC16" s="763"/>
      <c r="BD16" s="763"/>
      <c r="BE16" s="763"/>
      <c r="BF16" s="763"/>
      <c r="BG16" s="763"/>
      <c r="BH16" s="763"/>
      <c r="BI16" s="763"/>
      <c r="BJ16" s="763"/>
      <c r="BK16" s="763"/>
      <c r="BL16" s="763"/>
      <c r="BM16" s="763"/>
      <c r="BN16" s="763"/>
      <c r="BO16" s="763"/>
      <c r="BP16" s="763"/>
      <c r="BQ16" s="763"/>
      <c r="BR16" s="763"/>
      <c r="BS16" s="763"/>
      <c r="BT16" s="763"/>
      <c r="BU16" s="763"/>
      <c r="BV16" s="763"/>
      <c r="BW16" s="763"/>
      <c r="BX16" s="763"/>
      <c r="BY16" s="763"/>
      <c r="BZ16" s="763"/>
      <c r="CA16" s="763"/>
      <c r="CB16" s="764"/>
      <c r="CD16" s="382"/>
      <c r="CE16" s="382"/>
      <c r="CF16" s="382"/>
      <c r="CG16" s="382"/>
      <c r="CH16" s="382"/>
      <c r="CI16" s="382"/>
      <c r="CJ16" s="382"/>
      <c r="CK16" s="382"/>
      <c r="CL16" s="382"/>
      <c r="CM16" s="382"/>
      <c r="CN16" s="382"/>
      <c r="CO16" s="382"/>
      <c r="CP16" s="382"/>
      <c r="CQ16" s="382"/>
      <c r="CR16" s="382"/>
      <c r="CS16" s="382"/>
      <c r="CT16" s="382"/>
      <c r="CU16" s="277"/>
      <c r="CV16" s="277"/>
      <c r="CW16" s="277"/>
      <c r="CX16" s="277"/>
      <c r="CY16" s="277"/>
      <c r="CZ16" s="277"/>
      <c r="DA16" s="277"/>
      <c r="DB16" s="277"/>
      <c r="DC16" s="277"/>
      <c r="DD16" s="277"/>
      <c r="DE16" s="277"/>
      <c r="DF16" s="277"/>
      <c r="DG16" s="2"/>
      <c r="DH16" s="2"/>
      <c r="DI16" s="2"/>
      <c r="DJ16" s="2"/>
      <c r="DK16" s="2"/>
      <c r="DL16" s="2"/>
      <c r="DM16" s="2"/>
      <c r="DN16" s="2"/>
      <c r="DO16" s="2"/>
      <c r="DP16" s="2"/>
      <c r="DQ16" s="2"/>
      <c r="DR16" s="3"/>
      <c r="DS16" s="3"/>
      <c r="DT16" s="4"/>
      <c r="DU16" s="4"/>
      <c r="DV16" s="4"/>
      <c r="DW16" s="3"/>
      <c r="DX16" s="3"/>
      <c r="DY16" s="3"/>
      <c r="DZ16" s="5"/>
      <c r="EA16" s="5"/>
      <c r="EB16" s="5"/>
      <c r="EC16" s="5"/>
      <c r="ED16" s="5"/>
      <c r="EE16" s="5"/>
      <c r="EF16" s="5"/>
      <c r="EG16" s="5"/>
    </row>
    <row r="17" spans="3:151" ht="11.25" customHeight="1">
      <c r="C17" s="729"/>
      <c r="D17" s="730"/>
      <c r="E17" s="730"/>
      <c r="F17" s="730"/>
      <c r="G17" s="730"/>
      <c r="H17" s="730"/>
      <c r="I17" s="730"/>
      <c r="J17" s="730"/>
      <c r="K17" s="730"/>
      <c r="L17" s="730"/>
      <c r="M17" s="730"/>
      <c r="N17" s="730"/>
      <c r="O17" s="730"/>
      <c r="P17" s="730"/>
      <c r="Q17" s="731"/>
      <c r="R17" s="765"/>
      <c r="S17" s="766"/>
      <c r="T17" s="766"/>
      <c r="U17" s="766"/>
      <c r="V17" s="766"/>
      <c r="W17" s="766"/>
      <c r="X17" s="766"/>
      <c r="Y17" s="766"/>
      <c r="Z17" s="766"/>
      <c r="AA17" s="766"/>
      <c r="AB17" s="766"/>
      <c r="AC17" s="766"/>
      <c r="AD17" s="766"/>
      <c r="AE17" s="766"/>
      <c r="AF17" s="766"/>
      <c r="AG17" s="766"/>
      <c r="AH17" s="766"/>
      <c r="AI17" s="766"/>
      <c r="AJ17" s="766"/>
      <c r="AK17" s="766"/>
      <c r="AL17" s="766"/>
      <c r="AM17" s="766"/>
      <c r="AN17" s="766"/>
      <c r="AO17" s="766"/>
      <c r="AP17" s="766"/>
      <c r="AQ17" s="766"/>
      <c r="AR17" s="766"/>
      <c r="AS17" s="766"/>
      <c r="AT17" s="766"/>
      <c r="AU17" s="766"/>
      <c r="AV17" s="766"/>
      <c r="AW17" s="766"/>
      <c r="AX17" s="766"/>
      <c r="AY17" s="766"/>
      <c r="AZ17" s="766"/>
      <c r="BA17" s="766"/>
      <c r="BB17" s="766"/>
      <c r="BC17" s="766"/>
      <c r="BD17" s="766"/>
      <c r="BE17" s="766"/>
      <c r="BF17" s="766"/>
      <c r="BG17" s="766"/>
      <c r="BH17" s="766"/>
      <c r="BI17" s="766"/>
      <c r="BJ17" s="766"/>
      <c r="BK17" s="766"/>
      <c r="BL17" s="766"/>
      <c r="BM17" s="766"/>
      <c r="BN17" s="766"/>
      <c r="BO17" s="766"/>
      <c r="BP17" s="766"/>
      <c r="BQ17" s="766"/>
      <c r="BR17" s="766"/>
      <c r="BS17" s="766"/>
      <c r="BT17" s="766"/>
      <c r="BU17" s="766"/>
      <c r="BV17" s="766"/>
      <c r="BW17" s="766"/>
      <c r="BX17" s="766"/>
      <c r="BY17" s="766"/>
      <c r="BZ17" s="766"/>
      <c r="CA17" s="766"/>
      <c r="CB17" s="767"/>
      <c r="CD17" s="382"/>
      <c r="CE17" s="382"/>
      <c r="CF17" s="382"/>
      <c r="CG17" s="382"/>
      <c r="CH17" s="382"/>
      <c r="CI17" s="382"/>
      <c r="CJ17" s="382"/>
      <c r="CK17" s="382"/>
      <c r="CL17" s="382"/>
      <c r="CM17" s="382"/>
      <c r="CN17" s="382"/>
      <c r="CO17" s="382"/>
      <c r="CP17" s="382"/>
      <c r="CQ17" s="382"/>
      <c r="CR17" s="382"/>
      <c r="CS17" s="382"/>
      <c r="CT17" s="382"/>
      <c r="CU17" s="380"/>
      <c r="CV17" s="380"/>
      <c r="CW17" s="380"/>
      <c r="CX17" s="277"/>
      <c r="CY17" s="277"/>
      <c r="CZ17" s="277"/>
      <c r="DA17" s="277"/>
      <c r="DB17" s="277"/>
      <c r="DC17" s="277"/>
      <c r="DD17" s="277"/>
      <c r="DE17" s="277"/>
      <c r="DF17" s="277"/>
      <c r="DG17" s="2"/>
      <c r="DH17" s="2"/>
      <c r="DI17" s="2"/>
      <c r="DJ17" s="2"/>
      <c r="DK17" s="2"/>
      <c r="DL17" s="2"/>
      <c r="DM17" s="2"/>
      <c r="DN17" s="2"/>
      <c r="DO17" s="2"/>
      <c r="DP17" s="2"/>
      <c r="DQ17" s="2"/>
      <c r="DR17" s="3"/>
      <c r="DS17" s="3"/>
      <c r="DT17" s="4"/>
      <c r="DU17" s="4"/>
      <c r="DV17" s="4"/>
      <c r="DW17" s="3"/>
      <c r="DX17" s="3"/>
      <c r="DY17" s="3"/>
      <c r="DZ17" s="5"/>
      <c r="EA17" s="5"/>
      <c r="EB17" s="5"/>
      <c r="EC17" s="5"/>
      <c r="ED17" s="5"/>
      <c r="EE17" s="5"/>
      <c r="EF17" s="5"/>
      <c r="EG17" s="5"/>
    </row>
    <row r="18" spans="3:151" ht="11.25" customHeight="1">
      <c r="C18" s="769"/>
      <c r="D18" s="769"/>
      <c r="E18" s="769"/>
      <c r="F18" s="769"/>
      <c r="G18" s="769"/>
      <c r="H18" s="769"/>
      <c r="I18" s="769"/>
      <c r="J18" s="769"/>
      <c r="K18" s="769"/>
      <c r="L18" s="769"/>
      <c r="M18" s="769"/>
      <c r="N18" s="769"/>
      <c r="O18" s="769"/>
      <c r="P18" s="769"/>
      <c r="Q18" s="769"/>
      <c r="R18" s="769"/>
      <c r="S18" s="769"/>
      <c r="T18" s="769"/>
      <c r="U18" s="769"/>
      <c r="V18" s="769"/>
      <c r="W18" s="769"/>
      <c r="X18" s="769"/>
      <c r="Y18" s="769"/>
      <c r="Z18" s="769"/>
      <c r="AA18" s="769"/>
      <c r="AB18" s="769"/>
      <c r="AC18" s="769"/>
      <c r="AD18" s="769"/>
      <c r="AE18" s="769"/>
      <c r="AF18" s="769"/>
      <c r="AG18" s="769"/>
      <c r="AH18" s="769"/>
      <c r="AI18" s="769"/>
      <c r="AJ18" s="769"/>
      <c r="AK18" s="769"/>
      <c r="AL18" s="769"/>
      <c r="AM18" s="769"/>
      <c r="AN18" s="769"/>
      <c r="AO18" s="769"/>
      <c r="AP18" s="769"/>
      <c r="AQ18" s="769"/>
      <c r="AR18" s="769"/>
      <c r="AS18" s="769"/>
      <c r="AT18" s="769"/>
      <c r="AU18" s="769"/>
      <c r="AV18" s="769"/>
      <c r="AW18" s="769"/>
      <c r="AX18" s="769"/>
      <c r="AY18" s="769"/>
      <c r="AZ18" s="769"/>
      <c r="BA18" s="769"/>
      <c r="BB18" s="769"/>
      <c r="BC18" s="769"/>
      <c r="BD18" s="769"/>
      <c r="BE18" s="769"/>
      <c r="BF18" s="769"/>
      <c r="BG18" s="769"/>
      <c r="BH18" s="769"/>
      <c r="BI18" s="769"/>
      <c r="BJ18" s="769"/>
      <c r="BK18" s="769"/>
      <c r="BL18" s="769"/>
      <c r="BM18" s="769"/>
      <c r="BN18" s="769"/>
      <c r="BO18" s="769"/>
      <c r="BP18" s="769"/>
      <c r="BQ18" s="769"/>
      <c r="BR18" s="769"/>
      <c r="BS18" s="769"/>
      <c r="BT18" s="769"/>
      <c r="BU18" s="769"/>
      <c r="BV18" s="769"/>
      <c r="BW18" s="769"/>
      <c r="BX18" s="769"/>
      <c r="BY18" s="769"/>
      <c r="BZ18" s="769"/>
      <c r="CA18" s="769"/>
      <c r="CB18" s="769"/>
      <c r="CD18" s="382"/>
      <c r="CE18" s="382"/>
      <c r="CF18" s="382"/>
      <c r="CG18" s="382"/>
      <c r="CH18" s="382"/>
      <c r="CI18" s="382"/>
      <c r="CJ18" s="382"/>
      <c r="CK18" s="382"/>
      <c r="CL18" s="382"/>
      <c r="CM18" s="382"/>
      <c r="CN18" s="382"/>
      <c r="CO18" s="382"/>
      <c r="CP18" s="382"/>
      <c r="CQ18" s="382"/>
      <c r="CR18" s="382"/>
      <c r="CS18" s="382"/>
      <c r="CT18" s="382"/>
      <c r="CU18" s="380"/>
      <c r="CV18" s="380"/>
      <c r="CW18" s="380"/>
      <c r="CX18" s="277"/>
      <c r="CY18" s="277"/>
      <c r="CZ18" s="277"/>
      <c r="DA18" s="277"/>
      <c r="DB18" s="277"/>
      <c r="DC18" s="277"/>
      <c r="DD18" s="277"/>
      <c r="DE18" s="277"/>
      <c r="DF18" s="277"/>
      <c r="DG18" s="2"/>
      <c r="DH18" s="2"/>
      <c r="DI18" s="2"/>
      <c r="DJ18" s="2"/>
      <c r="DK18" s="2"/>
      <c r="DL18" s="2"/>
      <c r="DM18" s="2"/>
      <c r="DN18" s="2"/>
      <c r="DO18" s="2"/>
      <c r="DP18" s="2"/>
      <c r="DQ18" s="2"/>
      <c r="DR18" s="3"/>
      <c r="DS18" s="3"/>
      <c r="DT18" s="4"/>
      <c r="DU18" s="4"/>
      <c r="DV18" s="4"/>
      <c r="DW18" s="3"/>
      <c r="DX18" s="3"/>
      <c r="DY18" s="3"/>
      <c r="DZ18" s="5"/>
      <c r="EA18" s="5"/>
      <c r="EB18" s="5"/>
      <c r="EC18" s="5"/>
      <c r="ED18" s="5"/>
      <c r="EE18" s="5"/>
      <c r="EF18" s="5"/>
      <c r="EG18" s="5"/>
    </row>
    <row r="19" spans="3:151" ht="11.25" customHeight="1">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c r="AH19" s="768"/>
      <c r="AI19" s="768"/>
      <c r="AJ19" s="768"/>
      <c r="AK19" s="768"/>
      <c r="AL19" s="768"/>
      <c r="AM19" s="768"/>
      <c r="AN19" s="768"/>
      <c r="AO19" s="768"/>
      <c r="AP19" s="768"/>
      <c r="AQ19" s="768"/>
      <c r="AR19" s="768"/>
      <c r="AS19" s="768"/>
      <c r="AT19" s="768"/>
      <c r="AU19" s="768"/>
      <c r="AV19" s="768"/>
      <c r="AW19" s="768"/>
      <c r="AX19" s="768"/>
      <c r="AY19" s="768"/>
      <c r="AZ19" s="768"/>
      <c r="BA19" s="768"/>
      <c r="BB19" s="768"/>
      <c r="BC19" s="768"/>
      <c r="BD19" s="768"/>
      <c r="BE19" s="768"/>
      <c r="BF19" s="768"/>
      <c r="BG19" s="768"/>
      <c r="BH19" s="768"/>
      <c r="BI19" s="768"/>
      <c r="BJ19" s="768"/>
      <c r="BK19" s="768"/>
      <c r="BL19" s="768"/>
      <c r="BM19" s="768"/>
      <c r="BN19" s="768"/>
      <c r="BO19" s="768"/>
      <c r="BP19" s="768"/>
      <c r="BQ19" s="768"/>
      <c r="BR19" s="768"/>
      <c r="BS19" s="768"/>
      <c r="BT19" s="768"/>
      <c r="BU19" s="768"/>
      <c r="BV19" s="768"/>
      <c r="BW19" s="768"/>
      <c r="BX19" s="768"/>
      <c r="BY19" s="768"/>
      <c r="BZ19" s="768"/>
      <c r="CA19" s="768"/>
      <c r="CB19" s="768"/>
      <c r="CD19" s="382"/>
      <c r="CE19" s="382"/>
      <c r="CF19" s="382"/>
      <c r="CG19" s="382"/>
      <c r="CH19" s="382"/>
      <c r="CI19" s="382"/>
      <c r="CJ19" s="382"/>
      <c r="CK19" s="382"/>
      <c r="CL19" s="382"/>
      <c r="CM19" s="382"/>
      <c r="CN19" s="382"/>
      <c r="CO19" s="382"/>
      <c r="CP19" s="382"/>
      <c r="CQ19" s="382"/>
      <c r="CR19" s="382"/>
      <c r="CS19" s="382"/>
      <c r="CT19" s="382"/>
      <c r="CU19" s="380"/>
      <c r="CV19" s="380"/>
      <c r="CW19" s="380"/>
      <c r="CX19" s="277"/>
      <c r="CY19" s="277"/>
      <c r="CZ19" s="277"/>
      <c r="DA19" s="277"/>
      <c r="DB19" s="277"/>
      <c r="DC19" s="277"/>
      <c r="DD19" s="277"/>
      <c r="DE19" s="277"/>
      <c r="DF19" s="277"/>
      <c r="DG19" s="2"/>
      <c r="DH19" s="2"/>
      <c r="DI19" s="2"/>
      <c r="DJ19" s="2"/>
      <c r="DK19" s="2"/>
      <c r="DL19" s="2"/>
      <c r="DM19" s="2"/>
      <c r="DN19" s="2"/>
      <c r="DO19" s="2"/>
      <c r="DP19" s="2"/>
      <c r="DQ19" s="2"/>
      <c r="DR19" s="3"/>
      <c r="DS19" s="3"/>
      <c r="DT19" s="4"/>
      <c r="DU19" s="4"/>
      <c r="DV19" s="4"/>
      <c r="DW19" s="3"/>
      <c r="DX19" s="3"/>
      <c r="DY19" s="3"/>
      <c r="DZ19" s="5"/>
      <c r="EA19" s="5"/>
      <c r="EB19" s="5"/>
      <c r="EC19" s="5"/>
      <c r="ED19" s="5"/>
      <c r="EE19" s="5"/>
      <c r="EF19" s="5"/>
      <c r="EG19" s="5"/>
    </row>
    <row r="20" spans="3:151" ht="11.25" customHeight="1">
      <c r="C20" s="655" t="s">
        <v>0</v>
      </c>
      <c r="D20" s="656"/>
      <c r="E20" s="656"/>
      <c r="F20" s="656"/>
      <c r="G20" s="656"/>
      <c r="H20" s="656"/>
      <c r="I20" s="656"/>
      <c r="J20" s="656"/>
      <c r="K20" s="656"/>
      <c r="L20" s="656"/>
      <c r="M20" s="656"/>
      <c r="N20" s="656"/>
      <c r="O20" s="656"/>
      <c r="P20" s="656"/>
      <c r="Q20" s="656"/>
      <c r="R20" s="661" t="str">
        <f>VLOOKUP(2200,Languages!$A$5:$C$1032,Languages!$A$2,FALSE)</f>
        <v>Header / Problem solving team</v>
      </c>
      <c r="S20" s="661"/>
      <c r="T20" s="661"/>
      <c r="U20" s="661"/>
      <c r="V20" s="661"/>
      <c r="W20" s="661"/>
      <c r="X20" s="661"/>
      <c r="Y20" s="661"/>
      <c r="Z20" s="661"/>
      <c r="AA20" s="661"/>
      <c r="AB20" s="661"/>
      <c r="AC20" s="661"/>
      <c r="AD20" s="661"/>
      <c r="AE20" s="661"/>
      <c r="AF20" s="661"/>
      <c r="AG20" s="661"/>
      <c r="AH20" s="661"/>
      <c r="AI20" s="661"/>
      <c r="AJ20" s="661"/>
      <c r="AK20" s="661"/>
      <c r="AL20" s="661"/>
      <c r="AM20" s="661"/>
      <c r="AN20" s="661"/>
      <c r="AO20" s="661"/>
      <c r="AP20" s="661"/>
      <c r="AQ20" s="661"/>
      <c r="AR20" s="661"/>
      <c r="AS20" s="661"/>
      <c r="AT20" s="661"/>
      <c r="AU20" s="661"/>
      <c r="AV20" s="661"/>
      <c r="AW20" s="661"/>
      <c r="AX20" s="661"/>
      <c r="AY20" s="661"/>
      <c r="AZ20" s="661"/>
      <c r="BA20" s="661"/>
      <c r="BB20" s="661"/>
      <c r="BC20" s="661"/>
      <c r="BD20" s="661"/>
      <c r="BE20" s="661"/>
      <c r="BF20" s="661"/>
      <c r="BG20" s="661"/>
      <c r="BH20" s="661"/>
      <c r="BI20" s="661"/>
      <c r="BJ20" s="661"/>
      <c r="BK20" s="661"/>
      <c r="BL20" s="661"/>
      <c r="BM20" s="661"/>
      <c r="BN20" s="661"/>
      <c r="BO20" s="661"/>
      <c r="BP20" s="661"/>
      <c r="BQ20" s="661"/>
      <c r="BR20" s="661"/>
      <c r="BS20" s="661"/>
      <c r="BT20" s="661"/>
      <c r="BU20" s="661"/>
      <c r="BV20" s="661"/>
      <c r="BW20" s="661"/>
      <c r="BX20" s="661"/>
      <c r="BY20" s="661"/>
      <c r="BZ20" s="661"/>
      <c r="CA20" s="661"/>
      <c r="CB20" s="662"/>
      <c r="CD20" s="382"/>
      <c r="CT20" s="382"/>
      <c r="CU20" s="380"/>
      <c r="CV20" s="380"/>
      <c r="CW20" s="380"/>
      <c r="CX20" s="277"/>
      <c r="CY20" s="277"/>
      <c r="CZ20" s="277"/>
      <c r="DA20" s="277"/>
      <c r="DB20" s="277"/>
      <c r="DC20" s="277"/>
      <c r="DD20" s="277"/>
      <c r="DE20" s="277"/>
      <c r="DF20" s="277"/>
      <c r="DG20" s="2"/>
      <c r="DH20" s="2"/>
      <c r="DI20" s="2"/>
      <c r="DJ20" s="2"/>
      <c r="DK20" s="2"/>
      <c r="DL20" s="2"/>
      <c r="DM20" s="2"/>
      <c r="DN20" s="2"/>
      <c r="DO20" s="2"/>
      <c r="DP20" s="2"/>
      <c r="DQ20" s="2"/>
      <c r="DR20" s="3"/>
      <c r="DS20" s="3"/>
      <c r="DT20" s="4"/>
      <c r="DU20" s="4"/>
      <c r="DV20" s="4"/>
      <c r="DW20" s="3"/>
      <c r="DX20" s="3"/>
      <c r="DY20" s="3"/>
      <c r="DZ20" s="5"/>
      <c r="EA20" s="5"/>
      <c r="EB20" s="5"/>
      <c r="EC20" s="5"/>
      <c r="ED20" s="5"/>
      <c r="EE20" s="5"/>
      <c r="EF20" s="5"/>
      <c r="EG20" s="5"/>
    </row>
    <row r="21" spans="3:151" ht="11.25" customHeight="1">
      <c r="C21" s="657"/>
      <c r="D21" s="658"/>
      <c r="E21" s="658"/>
      <c r="F21" s="658"/>
      <c r="G21" s="658"/>
      <c r="H21" s="658"/>
      <c r="I21" s="658"/>
      <c r="J21" s="658"/>
      <c r="K21" s="658"/>
      <c r="L21" s="658"/>
      <c r="M21" s="658"/>
      <c r="N21" s="658"/>
      <c r="O21" s="658"/>
      <c r="P21" s="658"/>
      <c r="Q21" s="658"/>
      <c r="R21" s="663"/>
      <c r="S21" s="663"/>
      <c r="T21" s="663"/>
      <c r="U21" s="663"/>
      <c r="V21" s="663"/>
      <c r="W21" s="663"/>
      <c r="X21" s="663"/>
      <c r="Y21" s="663"/>
      <c r="Z21" s="663"/>
      <c r="AA21" s="663"/>
      <c r="AB21" s="663"/>
      <c r="AC21" s="663"/>
      <c r="AD21" s="663"/>
      <c r="AE21" s="663"/>
      <c r="AF21" s="663"/>
      <c r="AG21" s="663"/>
      <c r="AH21" s="663"/>
      <c r="AI21" s="663"/>
      <c r="AJ21" s="663"/>
      <c r="AK21" s="663"/>
      <c r="AL21" s="663"/>
      <c r="AM21" s="663"/>
      <c r="AN21" s="663"/>
      <c r="AO21" s="663"/>
      <c r="AP21" s="663"/>
      <c r="AQ21" s="663"/>
      <c r="AR21" s="663"/>
      <c r="AS21" s="663"/>
      <c r="AT21" s="663"/>
      <c r="AU21" s="663"/>
      <c r="AV21" s="663"/>
      <c r="AW21" s="663"/>
      <c r="AX21" s="663"/>
      <c r="AY21" s="663"/>
      <c r="AZ21" s="663"/>
      <c r="BA21" s="663"/>
      <c r="BB21" s="663"/>
      <c r="BC21" s="663"/>
      <c r="BD21" s="663"/>
      <c r="BE21" s="663"/>
      <c r="BF21" s="663"/>
      <c r="BG21" s="663"/>
      <c r="BH21" s="663"/>
      <c r="BI21" s="663"/>
      <c r="BJ21" s="663"/>
      <c r="BK21" s="663"/>
      <c r="BL21" s="663"/>
      <c r="BM21" s="663"/>
      <c r="BN21" s="663"/>
      <c r="BO21" s="663"/>
      <c r="BP21" s="663"/>
      <c r="BQ21" s="663"/>
      <c r="BR21" s="663"/>
      <c r="BS21" s="663"/>
      <c r="BT21" s="663"/>
      <c r="BU21" s="663"/>
      <c r="BV21" s="663"/>
      <c r="BW21" s="663"/>
      <c r="BX21" s="663"/>
      <c r="BY21" s="663"/>
      <c r="BZ21" s="663"/>
      <c r="CA21" s="663"/>
      <c r="CB21" s="664"/>
      <c r="CD21" s="382"/>
      <c r="CT21" s="382"/>
      <c r="CU21" s="380"/>
      <c r="CV21" s="380"/>
      <c r="CW21" s="380"/>
      <c r="CX21" s="277"/>
      <c r="CY21" s="277"/>
      <c r="CZ21" s="277"/>
      <c r="DA21" s="277"/>
      <c r="DB21" s="277"/>
      <c r="DC21" s="277"/>
      <c r="DD21" s="277"/>
      <c r="DE21" s="277"/>
      <c r="DF21" s="277"/>
      <c r="DG21" s="2"/>
      <c r="DH21" s="2"/>
      <c r="DI21" s="2"/>
      <c r="DJ21" s="2"/>
      <c r="DK21" s="2"/>
      <c r="DL21" s="2"/>
      <c r="DM21" s="2"/>
      <c r="DN21" s="2"/>
      <c r="DO21" s="2"/>
      <c r="DP21" s="2"/>
      <c r="DQ21" s="2"/>
      <c r="DR21" s="3"/>
      <c r="DS21" s="3"/>
      <c r="DT21" s="4"/>
      <c r="DU21" s="4"/>
      <c r="DV21" s="4"/>
      <c r="DW21" s="3"/>
      <c r="DX21" s="3"/>
      <c r="DY21" s="3"/>
      <c r="DZ21" s="5"/>
      <c r="EA21" s="5"/>
      <c r="EB21" s="5"/>
      <c r="EC21" s="5"/>
      <c r="ED21" s="5"/>
      <c r="EE21" s="5"/>
      <c r="EF21" s="5"/>
      <c r="EG21" s="5"/>
    </row>
    <row r="22" spans="3:151" ht="11.25" customHeight="1">
      <c r="C22" s="659"/>
      <c r="D22" s="660"/>
      <c r="E22" s="660"/>
      <c r="F22" s="660"/>
      <c r="G22" s="660"/>
      <c r="H22" s="660"/>
      <c r="I22" s="660"/>
      <c r="J22" s="660"/>
      <c r="K22" s="660"/>
      <c r="L22" s="660"/>
      <c r="M22" s="660"/>
      <c r="N22" s="660"/>
      <c r="O22" s="660"/>
      <c r="P22" s="660"/>
      <c r="Q22" s="660"/>
      <c r="R22" s="665"/>
      <c r="S22" s="665"/>
      <c r="T22" s="665"/>
      <c r="U22" s="665"/>
      <c r="V22" s="665"/>
      <c r="W22" s="665"/>
      <c r="X22" s="665"/>
      <c r="Y22" s="665"/>
      <c r="Z22" s="665"/>
      <c r="AA22" s="665"/>
      <c r="AB22" s="665"/>
      <c r="AC22" s="665"/>
      <c r="AD22" s="665"/>
      <c r="AE22" s="665"/>
      <c r="AF22" s="665"/>
      <c r="AG22" s="665"/>
      <c r="AH22" s="665"/>
      <c r="AI22" s="665"/>
      <c r="AJ22" s="665"/>
      <c r="AK22" s="665"/>
      <c r="AL22" s="665"/>
      <c r="AM22" s="665"/>
      <c r="AN22" s="665"/>
      <c r="AO22" s="665"/>
      <c r="AP22" s="665"/>
      <c r="AQ22" s="665"/>
      <c r="AR22" s="665"/>
      <c r="AS22" s="665"/>
      <c r="AT22" s="665"/>
      <c r="AU22" s="665"/>
      <c r="AV22" s="665"/>
      <c r="AW22" s="665"/>
      <c r="AX22" s="665"/>
      <c r="AY22" s="665"/>
      <c r="AZ22" s="665"/>
      <c r="BA22" s="665"/>
      <c r="BB22" s="665"/>
      <c r="BC22" s="665"/>
      <c r="BD22" s="665"/>
      <c r="BE22" s="665"/>
      <c r="BF22" s="665"/>
      <c r="BG22" s="665"/>
      <c r="BH22" s="665"/>
      <c r="BI22" s="665"/>
      <c r="BJ22" s="665"/>
      <c r="BK22" s="665"/>
      <c r="BL22" s="665"/>
      <c r="BM22" s="665"/>
      <c r="BN22" s="665"/>
      <c r="BO22" s="665"/>
      <c r="BP22" s="665"/>
      <c r="BQ22" s="665"/>
      <c r="BR22" s="665"/>
      <c r="BS22" s="665"/>
      <c r="BT22" s="665"/>
      <c r="BU22" s="665"/>
      <c r="BV22" s="665"/>
      <c r="BW22" s="665"/>
      <c r="BX22" s="665"/>
      <c r="BY22" s="665"/>
      <c r="BZ22" s="665"/>
      <c r="CA22" s="665"/>
      <c r="CB22" s="666"/>
      <c r="CD22" s="382"/>
      <c r="CT22" s="382"/>
      <c r="CU22" s="380"/>
      <c r="CV22" s="380"/>
      <c r="CW22" s="380"/>
      <c r="CX22" s="277"/>
      <c r="CY22" s="277"/>
      <c r="CZ22" s="277"/>
      <c r="DA22" s="277"/>
      <c r="DB22" s="277"/>
      <c r="DC22" s="277"/>
      <c r="DD22" s="277"/>
      <c r="DE22" s="277"/>
      <c r="DF22" s="277"/>
      <c r="DG22" s="2"/>
      <c r="DH22" s="2"/>
      <c r="DI22" s="2"/>
      <c r="DJ22" s="2"/>
      <c r="DK22" s="2"/>
      <c r="DL22" s="2"/>
      <c r="DM22" s="2"/>
      <c r="DN22" s="2"/>
      <c r="DO22" s="2"/>
      <c r="DP22" s="2"/>
      <c r="DQ22" s="2"/>
      <c r="DR22" s="3"/>
      <c r="DS22" s="3"/>
      <c r="DT22" s="4"/>
      <c r="DU22" s="4"/>
      <c r="DV22" s="4"/>
      <c r="DW22" s="3"/>
      <c r="DX22" s="3"/>
      <c r="DY22" s="3"/>
      <c r="DZ22" s="5"/>
      <c r="EA22" s="5"/>
      <c r="EB22" s="5"/>
      <c r="EC22" s="5"/>
      <c r="ED22" s="5"/>
      <c r="EE22" s="5"/>
      <c r="EF22" s="5"/>
      <c r="EG22" s="5"/>
    </row>
    <row r="23" spans="3:151" ht="11.25" customHeight="1">
      <c r="C23" s="723" t="str">
        <f>VLOOKUP(2201,Languages!$A$5:$C$1032,Languages!$A$2,FALSE)</f>
        <v>Brose plant (Customer)</v>
      </c>
      <c r="D23" s="724"/>
      <c r="E23" s="724"/>
      <c r="F23" s="724"/>
      <c r="G23" s="724"/>
      <c r="H23" s="724"/>
      <c r="I23" s="724"/>
      <c r="J23" s="724"/>
      <c r="K23" s="724"/>
      <c r="L23" s="724"/>
      <c r="M23" s="724"/>
      <c r="N23" s="724"/>
      <c r="O23" s="724"/>
      <c r="P23" s="724"/>
      <c r="Q23" s="725"/>
      <c r="R23" s="710"/>
      <c r="S23" s="711"/>
      <c r="T23" s="711"/>
      <c r="U23" s="711"/>
      <c r="V23" s="711"/>
      <c r="W23" s="711"/>
      <c r="X23" s="711"/>
      <c r="Y23" s="711"/>
      <c r="Z23" s="711"/>
      <c r="AA23" s="711"/>
      <c r="AB23" s="711"/>
      <c r="AC23" s="711"/>
      <c r="AD23" s="711"/>
      <c r="AE23" s="711"/>
      <c r="AF23" s="711"/>
      <c r="AG23" s="711"/>
      <c r="AH23" s="711"/>
      <c r="AI23" s="711"/>
      <c r="AJ23" s="711"/>
      <c r="AK23" s="711"/>
      <c r="AL23" s="711"/>
      <c r="AM23" s="711"/>
      <c r="AN23" s="711"/>
      <c r="AO23" s="712"/>
      <c r="AP23" s="723" t="str">
        <f>VLOOKUP(2219,Languages!$A$5:$C$1032,Languages!$A$2,FALSE)</f>
        <v>Supplier 
[complete name and address]</v>
      </c>
      <c r="AQ23" s="724"/>
      <c r="AR23" s="724"/>
      <c r="AS23" s="724"/>
      <c r="AT23" s="724"/>
      <c r="AU23" s="724"/>
      <c r="AV23" s="724"/>
      <c r="AW23" s="724"/>
      <c r="AX23" s="724"/>
      <c r="AY23" s="724"/>
      <c r="AZ23" s="724"/>
      <c r="BA23" s="724"/>
      <c r="BB23" s="724"/>
      <c r="BC23" s="724"/>
      <c r="BD23" s="725"/>
      <c r="BE23" s="710"/>
      <c r="BF23" s="711"/>
      <c r="BG23" s="711"/>
      <c r="BH23" s="711"/>
      <c r="BI23" s="711"/>
      <c r="BJ23" s="711"/>
      <c r="BK23" s="711"/>
      <c r="BL23" s="711"/>
      <c r="BM23" s="711"/>
      <c r="BN23" s="711"/>
      <c r="BO23" s="711"/>
      <c r="BP23" s="711"/>
      <c r="BQ23" s="711"/>
      <c r="BR23" s="711"/>
      <c r="BS23" s="711"/>
      <c r="BT23" s="711"/>
      <c r="BU23" s="711"/>
      <c r="BV23" s="711"/>
      <c r="BW23" s="711"/>
      <c r="BX23" s="711"/>
      <c r="BY23" s="711"/>
      <c r="BZ23" s="711"/>
      <c r="CA23" s="711"/>
      <c r="CB23" s="712"/>
      <c r="CD23" s="382"/>
      <c r="CT23" s="382"/>
      <c r="CU23" s="380"/>
      <c r="CV23" s="380"/>
      <c r="CW23" s="380"/>
      <c r="EC23" s="5"/>
      <c r="ED23" s="5"/>
      <c r="EE23" s="5"/>
      <c r="EF23" s="5"/>
      <c r="EG23" s="5"/>
    </row>
    <row r="24" spans="3:151" ht="11.25" customHeight="1">
      <c r="C24" s="726"/>
      <c r="D24" s="727"/>
      <c r="E24" s="727"/>
      <c r="F24" s="727"/>
      <c r="G24" s="727"/>
      <c r="H24" s="727"/>
      <c r="I24" s="727"/>
      <c r="J24" s="727"/>
      <c r="K24" s="727"/>
      <c r="L24" s="727"/>
      <c r="M24" s="727"/>
      <c r="N24" s="727"/>
      <c r="O24" s="727"/>
      <c r="P24" s="727"/>
      <c r="Q24" s="728"/>
      <c r="R24" s="713"/>
      <c r="S24" s="714"/>
      <c r="T24" s="714"/>
      <c r="U24" s="714"/>
      <c r="V24" s="714"/>
      <c r="W24" s="714"/>
      <c r="X24" s="714"/>
      <c r="Y24" s="714"/>
      <c r="Z24" s="714"/>
      <c r="AA24" s="714"/>
      <c r="AB24" s="714"/>
      <c r="AC24" s="714"/>
      <c r="AD24" s="714"/>
      <c r="AE24" s="714"/>
      <c r="AF24" s="714"/>
      <c r="AG24" s="714"/>
      <c r="AH24" s="714"/>
      <c r="AI24" s="714"/>
      <c r="AJ24" s="714"/>
      <c r="AK24" s="714"/>
      <c r="AL24" s="714"/>
      <c r="AM24" s="714"/>
      <c r="AN24" s="714"/>
      <c r="AO24" s="715"/>
      <c r="AP24" s="726"/>
      <c r="AQ24" s="727"/>
      <c r="AR24" s="727"/>
      <c r="AS24" s="727"/>
      <c r="AT24" s="727"/>
      <c r="AU24" s="727"/>
      <c r="AV24" s="727"/>
      <c r="AW24" s="727"/>
      <c r="AX24" s="727"/>
      <c r="AY24" s="727"/>
      <c r="AZ24" s="727"/>
      <c r="BA24" s="727"/>
      <c r="BB24" s="727"/>
      <c r="BC24" s="727"/>
      <c r="BD24" s="728"/>
      <c r="BE24" s="713"/>
      <c r="BF24" s="714"/>
      <c r="BG24" s="714"/>
      <c r="BH24" s="714"/>
      <c r="BI24" s="714"/>
      <c r="BJ24" s="714"/>
      <c r="BK24" s="714"/>
      <c r="BL24" s="714"/>
      <c r="BM24" s="714"/>
      <c r="BN24" s="714"/>
      <c r="BO24" s="714"/>
      <c r="BP24" s="714"/>
      <c r="BQ24" s="714"/>
      <c r="BR24" s="714"/>
      <c r="BS24" s="714"/>
      <c r="BT24" s="714"/>
      <c r="BU24" s="714"/>
      <c r="BV24" s="714"/>
      <c r="BW24" s="714"/>
      <c r="BX24" s="714"/>
      <c r="BY24" s="714"/>
      <c r="BZ24" s="714"/>
      <c r="CA24" s="714"/>
      <c r="CB24" s="715"/>
      <c r="CD24" s="382"/>
      <c r="CT24" s="382"/>
      <c r="CU24" s="380"/>
      <c r="CV24" s="380"/>
      <c r="CW24" s="380"/>
      <c r="EC24" s="5"/>
      <c r="ED24" s="5"/>
      <c r="EE24" s="5"/>
      <c r="EF24" s="5"/>
      <c r="EG24" s="5"/>
    </row>
    <row r="25" spans="3:151" ht="11.25" customHeight="1">
      <c r="C25" s="729"/>
      <c r="D25" s="730"/>
      <c r="E25" s="730"/>
      <c r="F25" s="730"/>
      <c r="G25" s="730"/>
      <c r="H25" s="730"/>
      <c r="I25" s="730"/>
      <c r="J25" s="730"/>
      <c r="K25" s="730"/>
      <c r="L25" s="730"/>
      <c r="M25" s="730"/>
      <c r="N25" s="730"/>
      <c r="O25" s="730"/>
      <c r="P25" s="730"/>
      <c r="Q25" s="731"/>
      <c r="R25" s="716"/>
      <c r="S25" s="717"/>
      <c r="T25" s="717"/>
      <c r="U25" s="717"/>
      <c r="V25" s="717"/>
      <c r="W25" s="717"/>
      <c r="X25" s="717"/>
      <c r="Y25" s="717"/>
      <c r="Z25" s="717"/>
      <c r="AA25" s="717"/>
      <c r="AB25" s="717"/>
      <c r="AC25" s="717"/>
      <c r="AD25" s="717"/>
      <c r="AE25" s="717"/>
      <c r="AF25" s="717"/>
      <c r="AG25" s="717"/>
      <c r="AH25" s="717"/>
      <c r="AI25" s="717"/>
      <c r="AJ25" s="717"/>
      <c r="AK25" s="717"/>
      <c r="AL25" s="717"/>
      <c r="AM25" s="717"/>
      <c r="AN25" s="717"/>
      <c r="AO25" s="718"/>
      <c r="AP25" s="729"/>
      <c r="AQ25" s="730"/>
      <c r="AR25" s="730"/>
      <c r="AS25" s="730"/>
      <c r="AT25" s="730"/>
      <c r="AU25" s="730"/>
      <c r="AV25" s="730"/>
      <c r="AW25" s="730"/>
      <c r="AX25" s="730"/>
      <c r="AY25" s="730"/>
      <c r="AZ25" s="730"/>
      <c r="BA25" s="730"/>
      <c r="BB25" s="730"/>
      <c r="BC25" s="730"/>
      <c r="BD25" s="731"/>
      <c r="BE25" s="716"/>
      <c r="BF25" s="717"/>
      <c r="BG25" s="717"/>
      <c r="BH25" s="717"/>
      <c r="BI25" s="717"/>
      <c r="BJ25" s="717"/>
      <c r="BK25" s="717"/>
      <c r="BL25" s="717"/>
      <c r="BM25" s="717"/>
      <c r="BN25" s="717"/>
      <c r="BO25" s="717"/>
      <c r="BP25" s="717"/>
      <c r="BQ25" s="717"/>
      <c r="BR25" s="717"/>
      <c r="BS25" s="717"/>
      <c r="BT25" s="717"/>
      <c r="BU25" s="717"/>
      <c r="BV25" s="717"/>
      <c r="BW25" s="717"/>
      <c r="BX25" s="717"/>
      <c r="BY25" s="717"/>
      <c r="BZ25" s="717"/>
      <c r="CA25" s="717"/>
      <c r="CB25" s="718"/>
      <c r="CD25" s="382"/>
      <c r="CT25" s="382"/>
      <c r="CU25" s="380"/>
      <c r="CV25" s="380"/>
      <c r="CW25" s="380"/>
      <c r="EC25" s="5"/>
      <c r="ED25" s="5"/>
      <c r="EE25" s="5"/>
      <c r="EF25" s="5"/>
      <c r="EG25" s="5"/>
    </row>
    <row r="26" spans="3:151" ht="11.25" customHeight="1">
      <c r="C26" s="723" t="str">
        <f>VLOOKUP(2202,Languages!$A$5:$C$1032,Languages!$A$2,FALSE)</f>
        <v>End-customer (OEM/Tier1)</v>
      </c>
      <c r="D26" s="724"/>
      <c r="E26" s="724"/>
      <c r="F26" s="724"/>
      <c r="G26" s="724"/>
      <c r="H26" s="724"/>
      <c r="I26" s="724"/>
      <c r="J26" s="724"/>
      <c r="K26" s="724"/>
      <c r="L26" s="724"/>
      <c r="M26" s="724"/>
      <c r="N26" s="724"/>
      <c r="O26" s="724"/>
      <c r="P26" s="724"/>
      <c r="Q26" s="725"/>
      <c r="R26" s="710"/>
      <c r="S26" s="711"/>
      <c r="T26" s="711"/>
      <c r="U26" s="711"/>
      <c r="V26" s="711"/>
      <c r="W26" s="711"/>
      <c r="X26" s="711"/>
      <c r="Y26" s="711"/>
      <c r="Z26" s="711"/>
      <c r="AA26" s="711"/>
      <c r="AB26" s="711"/>
      <c r="AC26" s="711"/>
      <c r="AD26" s="711"/>
      <c r="AE26" s="711"/>
      <c r="AF26" s="711"/>
      <c r="AG26" s="711"/>
      <c r="AH26" s="711"/>
      <c r="AI26" s="711"/>
      <c r="AJ26" s="711"/>
      <c r="AK26" s="711"/>
      <c r="AL26" s="711"/>
      <c r="AM26" s="711"/>
      <c r="AN26" s="711"/>
      <c r="AO26" s="712"/>
      <c r="AP26" s="723" t="str">
        <f>VLOOKUP(2220,Languages!$A$5:$C$1032,Languages!$A$2,FALSE)</f>
        <v>Supplier number
[Brose SAP Supplier number]</v>
      </c>
      <c r="AQ26" s="724"/>
      <c r="AR26" s="724"/>
      <c r="AS26" s="724"/>
      <c r="AT26" s="724"/>
      <c r="AU26" s="724"/>
      <c r="AV26" s="724"/>
      <c r="AW26" s="724"/>
      <c r="AX26" s="724"/>
      <c r="AY26" s="724"/>
      <c r="AZ26" s="724"/>
      <c r="BA26" s="724"/>
      <c r="BB26" s="724"/>
      <c r="BC26" s="724"/>
      <c r="BD26" s="725"/>
      <c r="BE26" s="735"/>
      <c r="BF26" s="711"/>
      <c r="BG26" s="711"/>
      <c r="BH26" s="711"/>
      <c r="BI26" s="711"/>
      <c r="BJ26" s="711"/>
      <c r="BK26" s="711"/>
      <c r="BL26" s="711"/>
      <c r="BM26" s="711"/>
      <c r="BN26" s="711"/>
      <c r="BO26" s="711"/>
      <c r="BP26" s="711"/>
      <c r="BQ26" s="711"/>
      <c r="BR26" s="711"/>
      <c r="BS26" s="711"/>
      <c r="BT26" s="711"/>
      <c r="BU26" s="711"/>
      <c r="BV26" s="711"/>
      <c r="BW26" s="711"/>
      <c r="BX26" s="711"/>
      <c r="BY26" s="711"/>
      <c r="BZ26" s="711"/>
      <c r="CA26" s="711"/>
      <c r="CB26" s="712"/>
      <c r="CD26" s="382"/>
      <c r="CE26" s="382"/>
      <c r="CF26" s="382"/>
      <c r="CG26" s="382"/>
      <c r="CH26" s="382"/>
      <c r="CI26" s="382"/>
      <c r="CJ26" s="382"/>
      <c r="CK26" s="382"/>
      <c r="CL26" s="382"/>
      <c r="CM26" s="382"/>
      <c r="CN26" s="382"/>
      <c r="CO26" s="382"/>
      <c r="CP26" s="382"/>
      <c r="CQ26" s="382"/>
      <c r="CR26" s="382"/>
      <c r="CS26" s="382"/>
      <c r="CT26" s="382"/>
      <c r="CU26" s="380"/>
      <c r="CV26" s="380"/>
      <c r="CW26" s="380"/>
      <c r="EC26" s="5"/>
      <c r="ED26" s="5"/>
      <c r="EE26" s="5"/>
      <c r="EF26" s="5"/>
      <c r="EG26" s="5"/>
    </row>
    <row r="27" spans="3:151" ht="11.25" customHeight="1">
      <c r="C27" s="726"/>
      <c r="D27" s="727"/>
      <c r="E27" s="727"/>
      <c r="F27" s="727"/>
      <c r="G27" s="727"/>
      <c r="H27" s="727"/>
      <c r="I27" s="727"/>
      <c r="J27" s="727"/>
      <c r="K27" s="727"/>
      <c r="L27" s="727"/>
      <c r="M27" s="727"/>
      <c r="N27" s="727"/>
      <c r="O27" s="727"/>
      <c r="P27" s="727"/>
      <c r="Q27" s="728"/>
      <c r="R27" s="713"/>
      <c r="S27" s="714"/>
      <c r="T27" s="714"/>
      <c r="U27" s="714"/>
      <c r="V27" s="714"/>
      <c r="W27" s="714"/>
      <c r="X27" s="714"/>
      <c r="Y27" s="714"/>
      <c r="Z27" s="714"/>
      <c r="AA27" s="714"/>
      <c r="AB27" s="714"/>
      <c r="AC27" s="714"/>
      <c r="AD27" s="714"/>
      <c r="AE27" s="714"/>
      <c r="AF27" s="714"/>
      <c r="AG27" s="714"/>
      <c r="AH27" s="714"/>
      <c r="AI27" s="714"/>
      <c r="AJ27" s="714"/>
      <c r="AK27" s="714"/>
      <c r="AL27" s="714"/>
      <c r="AM27" s="714"/>
      <c r="AN27" s="714"/>
      <c r="AO27" s="715"/>
      <c r="AP27" s="726"/>
      <c r="AQ27" s="727"/>
      <c r="AR27" s="727"/>
      <c r="AS27" s="727"/>
      <c r="AT27" s="727"/>
      <c r="AU27" s="727"/>
      <c r="AV27" s="727"/>
      <c r="AW27" s="727"/>
      <c r="AX27" s="727"/>
      <c r="AY27" s="727"/>
      <c r="AZ27" s="727"/>
      <c r="BA27" s="727"/>
      <c r="BB27" s="727"/>
      <c r="BC27" s="727"/>
      <c r="BD27" s="728"/>
      <c r="BE27" s="713"/>
      <c r="BF27" s="714"/>
      <c r="BG27" s="714"/>
      <c r="BH27" s="714"/>
      <c r="BI27" s="714"/>
      <c r="BJ27" s="714"/>
      <c r="BK27" s="714"/>
      <c r="BL27" s="714"/>
      <c r="BM27" s="714"/>
      <c r="BN27" s="714"/>
      <c r="BO27" s="714"/>
      <c r="BP27" s="714"/>
      <c r="BQ27" s="714"/>
      <c r="BR27" s="714"/>
      <c r="BS27" s="714"/>
      <c r="BT27" s="714"/>
      <c r="BU27" s="714"/>
      <c r="BV27" s="714"/>
      <c r="BW27" s="714"/>
      <c r="BX27" s="714"/>
      <c r="BY27" s="714"/>
      <c r="BZ27" s="714"/>
      <c r="CA27" s="714"/>
      <c r="CB27" s="715"/>
      <c r="CD27" s="382"/>
      <c r="CE27" s="382"/>
      <c r="CF27" s="382"/>
      <c r="CG27" s="382"/>
      <c r="CH27" s="382"/>
      <c r="CI27" s="382"/>
      <c r="CJ27" s="382"/>
      <c r="CK27" s="382"/>
      <c r="CL27" s="382"/>
      <c r="CM27" s="382"/>
      <c r="CN27" s="382"/>
      <c r="CO27" s="382"/>
      <c r="CP27" s="382"/>
      <c r="CQ27" s="382"/>
      <c r="CR27" s="382"/>
      <c r="CS27" s="382"/>
      <c r="CT27" s="382"/>
      <c r="CU27" s="380"/>
      <c r="CV27" s="380"/>
      <c r="CW27" s="380"/>
      <c r="EC27" s="5"/>
      <c r="ED27" s="5"/>
      <c r="EE27" s="5"/>
      <c r="EF27" s="5"/>
      <c r="EG27" s="5"/>
    </row>
    <row r="28" spans="3:151" ht="11.25" customHeight="1">
      <c r="C28" s="729"/>
      <c r="D28" s="730"/>
      <c r="E28" s="730"/>
      <c r="F28" s="730"/>
      <c r="G28" s="730"/>
      <c r="H28" s="730"/>
      <c r="I28" s="730"/>
      <c r="J28" s="730"/>
      <c r="K28" s="730"/>
      <c r="L28" s="730"/>
      <c r="M28" s="730"/>
      <c r="N28" s="730"/>
      <c r="O28" s="730"/>
      <c r="P28" s="730"/>
      <c r="Q28" s="731"/>
      <c r="R28" s="716"/>
      <c r="S28" s="717"/>
      <c r="T28" s="717"/>
      <c r="U28" s="717"/>
      <c r="V28" s="717"/>
      <c r="W28" s="717"/>
      <c r="X28" s="717"/>
      <c r="Y28" s="717"/>
      <c r="Z28" s="717"/>
      <c r="AA28" s="717"/>
      <c r="AB28" s="717"/>
      <c r="AC28" s="717"/>
      <c r="AD28" s="717"/>
      <c r="AE28" s="717"/>
      <c r="AF28" s="717"/>
      <c r="AG28" s="717"/>
      <c r="AH28" s="717"/>
      <c r="AI28" s="717"/>
      <c r="AJ28" s="717"/>
      <c r="AK28" s="717"/>
      <c r="AL28" s="717"/>
      <c r="AM28" s="717"/>
      <c r="AN28" s="717"/>
      <c r="AO28" s="718"/>
      <c r="AP28" s="729"/>
      <c r="AQ28" s="730"/>
      <c r="AR28" s="730"/>
      <c r="AS28" s="730"/>
      <c r="AT28" s="730"/>
      <c r="AU28" s="730"/>
      <c r="AV28" s="730"/>
      <c r="AW28" s="730"/>
      <c r="AX28" s="730"/>
      <c r="AY28" s="730"/>
      <c r="AZ28" s="730"/>
      <c r="BA28" s="730"/>
      <c r="BB28" s="730"/>
      <c r="BC28" s="730"/>
      <c r="BD28" s="731"/>
      <c r="BE28" s="716"/>
      <c r="BF28" s="717"/>
      <c r="BG28" s="717"/>
      <c r="BH28" s="717"/>
      <c r="BI28" s="717"/>
      <c r="BJ28" s="717"/>
      <c r="BK28" s="717"/>
      <c r="BL28" s="717"/>
      <c r="BM28" s="717"/>
      <c r="BN28" s="717"/>
      <c r="BO28" s="717"/>
      <c r="BP28" s="717"/>
      <c r="BQ28" s="717"/>
      <c r="BR28" s="717"/>
      <c r="BS28" s="717"/>
      <c r="BT28" s="717"/>
      <c r="BU28" s="717"/>
      <c r="BV28" s="717"/>
      <c r="BW28" s="717"/>
      <c r="BX28" s="717"/>
      <c r="BY28" s="717"/>
      <c r="BZ28" s="717"/>
      <c r="CA28" s="717"/>
      <c r="CB28" s="718"/>
      <c r="CD28" s="382"/>
      <c r="CE28" s="382"/>
      <c r="CF28" s="382"/>
      <c r="CG28" s="382"/>
      <c r="CH28" s="382"/>
      <c r="CI28" s="382"/>
      <c r="CJ28" s="382"/>
      <c r="CK28" s="382"/>
      <c r="CL28" s="382"/>
      <c r="CM28" s="382"/>
      <c r="CN28" s="382"/>
      <c r="CO28" s="382"/>
      <c r="CP28" s="382"/>
      <c r="CQ28" s="382"/>
      <c r="CR28" s="382"/>
      <c r="CS28" s="382"/>
      <c r="CT28" s="382"/>
      <c r="CU28" s="380"/>
      <c r="CV28" s="380"/>
      <c r="CW28" s="380"/>
      <c r="DN28" s="408"/>
      <c r="DO28" s="408"/>
      <c r="DP28" s="408"/>
      <c r="DQ28" s="408"/>
      <c r="DR28" s="408"/>
      <c r="DS28" s="408"/>
      <c r="DT28" s="408"/>
      <c r="DU28" s="408"/>
      <c r="DV28" s="408"/>
      <c r="DW28" s="408"/>
      <c r="DX28" s="408"/>
      <c r="DY28" s="408"/>
      <c r="DZ28" s="408"/>
      <c r="EA28" s="408"/>
      <c r="EB28" s="408"/>
      <c r="EC28" s="5"/>
      <c r="ED28" s="5"/>
      <c r="EE28" s="5"/>
      <c r="EF28" s="5"/>
      <c r="EG28" s="5"/>
      <c r="EH28" s="408"/>
      <c r="EI28" s="408"/>
      <c r="EJ28" s="408"/>
      <c r="EK28" s="408"/>
      <c r="EL28" s="408"/>
      <c r="EM28" s="408"/>
      <c r="EN28" s="408"/>
      <c r="EO28" s="408"/>
      <c r="EP28" s="408"/>
      <c r="EQ28" s="408"/>
      <c r="ER28" s="408"/>
      <c r="ES28" s="408"/>
      <c r="ET28" s="408"/>
      <c r="EU28" s="408"/>
    </row>
    <row r="29" spans="3:151" ht="11.25" customHeight="1">
      <c r="C29" s="723" t="str">
        <f>VLOOKUP(2203,Languages!$A$5:$C$1032,Languages!$A$2,FALSE)</f>
        <v>Contact person (Brose)</v>
      </c>
      <c r="D29" s="724"/>
      <c r="E29" s="724"/>
      <c r="F29" s="724"/>
      <c r="G29" s="724"/>
      <c r="H29" s="724"/>
      <c r="I29" s="724"/>
      <c r="J29" s="724"/>
      <c r="K29" s="724"/>
      <c r="L29" s="724"/>
      <c r="M29" s="724"/>
      <c r="N29" s="724"/>
      <c r="O29" s="724"/>
      <c r="P29" s="724"/>
      <c r="Q29" s="725"/>
      <c r="R29" s="735"/>
      <c r="S29" s="711"/>
      <c r="T29" s="711"/>
      <c r="U29" s="711"/>
      <c r="V29" s="711"/>
      <c r="W29" s="711"/>
      <c r="X29" s="711"/>
      <c r="Y29" s="711"/>
      <c r="Z29" s="711"/>
      <c r="AA29" s="711"/>
      <c r="AB29" s="711"/>
      <c r="AC29" s="711"/>
      <c r="AD29" s="711"/>
      <c r="AE29" s="711"/>
      <c r="AF29" s="711"/>
      <c r="AG29" s="711"/>
      <c r="AH29" s="711"/>
      <c r="AI29" s="711"/>
      <c r="AJ29" s="711"/>
      <c r="AK29" s="711"/>
      <c r="AL29" s="711"/>
      <c r="AM29" s="711"/>
      <c r="AN29" s="711"/>
      <c r="AO29" s="712"/>
      <c r="AP29" s="723" t="str">
        <f>VLOOKUP(2221,Languages!$A$5:$C$1032,Languages!$A$2,FALSE)</f>
        <v>Contact person (Supplier)</v>
      </c>
      <c r="AQ29" s="724"/>
      <c r="AR29" s="724"/>
      <c r="AS29" s="724"/>
      <c r="AT29" s="724"/>
      <c r="AU29" s="724"/>
      <c r="AV29" s="724"/>
      <c r="AW29" s="724"/>
      <c r="AX29" s="724"/>
      <c r="AY29" s="724"/>
      <c r="AZ29" s="724"/>
      <c r="BA29" s="724"/>
      <c r="BB29" s="724"/>
      <c r="BC29" s="724"/>
      <c r="BD29" s="725"/>
      <c r="BE29" s="710"/>
      <c r="BF29" s="711"/>
      <c r="BG29" s="711"/>
      <c r="BH29" s="711"/>
      <c r="BI29" s="711"/>
      <c r="BJ29" s="711"/>
      <c r="BK29" s="711"/>
      <c r="BL29" s="711"/>
      <c r="BM29" s="711"/>
      <c r="BN29" s="711"/>
      <c r="BO29" s="711"/>
      <c r="BP29" s="711"/>
      <c r="BQ29" s="711"/>
      <c r="BR29" s="711"/>
      <c r="BS29" s="711"/>
      <c r="BT29" s="711"/>
      <c r="BU29" s="711"/>
      <c r="BV29" s="711"/>
      <c r="BW29" s="711"/>
      <c r="BX29" s="711"/>
      <c r="BY29" s="711"/>
      <c r="BZ29" s="711"/>
      <c r="CA29" s="711"/>
      <c r="CB29" s="712"/>
      <c r="CD29" s="382"/>
      <c r="CE29" s="382"/>
      <c r="CF29" s="382"/>
      <c r="CG29" s="382"/>
      <c r="CH29" s="382"/>
      <c r="CI29" s="382"/>
      <c r="CJ29" s="382"/>
      <c r="CK29" s="382"/>
      <c r="CL29" s="382"/>
      <c r="CM29" s="382"/>
      <c r="CN29" s="382"/>
      <c r="CO29" s="382"/>
      <c r="CP29" s="382"/>
      <c r="CQ29" s="382"/>
      <c r="CR29" s="382"/>
      <c r="CS29" s="382"/>
      <c r="CT29" s="382"/>
      <c r="CU29" s="380"/>
      <c r="CV29" s="380"/>
      <c r="CW29" s="380"/>
      <c r="DN29" s="408"/>
      <c r="DO29" s="408"/>
      <c r="DP29" s="408"/>
      <c r="DQ29" s="408"/>
      <c r="DR29" s="408"/>
      <c r="DS29" s="408"/>
      <c r="DT29" s="408"/>
      <c r="DU29" s="408"/>
      <c r="DV29" s="408"/>
      <c r="DW29" s="408"/>
      <c r="DX29" s="408"/>
      <c r="DY29" s="408"/>
      <c r="DZ29" s="408"/>
      <c r="EA29" s="408"/>
      <c r="EB29" s="408"/>
      <c r="EC29" s="5"/>
      <c r="ED29" s="5"/>
      <c r="EE29" s="5"/>
      <c r="EF29" s="5"/>
      <c r="EG29" s="5"/>
      <c r="EH29" s="408"/>
      <c r="EI29" s="408"/>
      <c r="EJ29" s="408"/>
      <c r="EK29" s="408"/>
      <c r="EL29" s="408"/>
      <c r="EM29" s="408"/>
      <c r="EN29" s="408"/>
      <c r="EO29" s="408"/>
      <c r="EP29" s="408"/>
      <c r="EQ29" s="408"/>
      <c r="ER29" s="408"/>
      <c r="ES29" s="408"/>
      <c r="ET29" s="408"/>
      <c r="EU29" s="408"/>
    </row>
    <row r="30" spans="3:151" ht="11.25" customHeight="1">
      <c r="C30" s="726"/>
      <c r="D30" s="727"/>
      <c r="E30" s="727"/>
      <c r="F30" s="727"/>
      <c r="G30" s="727"/>
      <c r="H30" s="727"/>
      <c r="I30" s="727"/>
      <c r="J30" s="727"/>
      <c r="K30" s="727"/>
      <c r="L30" s="727"/>
      <c r="M30" s="727"/>
      <c r="N30" s="727"/>
      <c r="O30" s="727"/>
      <c r="P30" s="727"/>
      <c r="Q30" s="728"/>
      <c r="R30" s="713"/>
      <c r="S30" s="714"/>
      <c r="T30" s="714"/>
      <c r="U30" s="714"/>
      <c r="V30" s="714"/>
      <c r="W30" s="714"/>
      <c r="X30" s="714"/>
      <c r="Y30" s="714"/>
      <c r="Z30" s="714"/>
      <c r="AA30" s="714"/>
      <c r="AB30" s="714"/>
      <c r="AC30" s="714"/>
      <c r="AD30" s="714"/>
      <c r="AE30" s="714"/>
      <c r="AF30" s="714"/>
      <c r="AG30" s="714"/>
      <c r="AH30" s="714"/>
      <c r="AI30" s="714"/>
      <c r="AJ30" s="714"/>
      <c r="AK30" s="714"/>
      <c r="AL30" s="714"/>
      <c r="AM30" s="714"/>
      <c r="AN30" s="714"/>
      <c r="AO30" s="715"/>
      <c r="AP30" s="726"/>
      <c r="AQ30" s="727"/>
      <c r="AR30" s="727"/>
      <c r="AS30" s="727"/>
      <c r="AT30" s="727"/>
      <c r="AU30" s="727"/>
      <c r="AV30" s="727"/>
      <c r="AW30" s="727"/>
      <c r="AX30" s="727"/>
      <c r="AY30" s="727"/>
      <c r="AZ30" s="727"/>
      <c r="BA30" s="727"/>
      <c r="BB30" s="727"/>
      <c r="BC30" s="727"/>
      <c r="BD30" s="728"/>
      <c r="BE30" s="713"/>
      <c r="BF30" s="714"/>
      <c r="BG30" s="714"/>
      <c r="BH30" s="714"/>
      <c r="BI30" s="714"/>
      <c r="BJ30" s="714"/>
      <c r="BK30" s="714"/>
      <c r="BL30" s="714"/>
      <c r="BM30" s="714"/>
      <c r="BN30" s="714"/>
      <c r="BO30" s="714"/>
      <c r="BP30" s="714"/>
      <c r="BQ30" s="714"/>
      <c r="BR30" s="714"/>
      <c r="BS30" s="714"/>
      <c r="BT30" s="714"/>
      <c r="BU30" s="714"/>
      <c r="BV30" s="714"/>
      <c r="BW30" s="714"/>
      <c r="BX30" s="714"/>
      <c r="BY30" s="714"/>
      <c r="BZ30" s="714"/>
      <c r="CA30" s="714"/>
      <c r="CB30" s="715"/>
      <c r="CD30" s="382"/>
      <c r="CE30" s="382"/>
      <c r="CF30" s="382"/>
      <c r="CG30" s="382"/>
      <c r="CH30" s="382"/>
      <c r="CI30" s="382"/>
      <c r="CJ30" s="382"/>
      <c r="CK30" s="382"/>
      <c r="CL30" s="382"/>
      <c r="CM30" s="382"/>
      <c r="CN30" s="382"/>
      <c r="CO30" s="382"/>
      <c r="CP30" s="382"/>
      <c r="CQ30" s="382"/>
      <c r="CR30" s="382"/>
      <c r="CS30" s="382"/>
      <c r="CT30" s="382"/>
      <c r="CU30" s="380"/>
      <c r="CV30" s="380"/>
      <c r="CW30" s="380"/>
      <c r="DN30" s="408"/>
      <c r="DO30" s="408"/>
      <c r="DP30" s="408"/>
      <c r="DQ30" s="408"/>
      <c r="DR30" s="408"/>
      <c r="DS30" s="408"/>
      <c r="DT30" s="408"/>
      <c r="DU30" s="408"/>
      <c r="DV30" s="408"/>
      <c r="DW30" s="408"/>
      <c r="DX30" s="408"/>
      <c r="DY30" s="408"/>
      <c r="DZ30" s="408"/>
      <c r="EA30" s="408"/>
      <c r="EB30" s="408"/>
      <c r="EC30" s="5"/>
      <c r="ED30" s="5"/>
      <c r="EE30" s="5"/>
      <c r="EF30" s="5"/>
      <c r="EG30" s="5"/>
      <c r="EH30" s="408"/>
      <c r="EI30" s="408"/>
      <c r="EJ30" s="408"/>
      <c r="EK30" s="408"/>
      <c r="EL30" s="408"/>
      <c r="EM30" s="408"/>
      <c r="EN30" s="408"/>
      <c r="EO30" s="408"/>
      <c r="EP30" s="408"/>
      <c r="EQ30" s="408"/>
      <c r="ER30" s="408"/>
      <c r="ES30" s="408"/>
      <c r="ET30" s="408"/>
      <c r="EU30" s="408"/>
    </row>
    <row r="31" spans="3:151" ht="11.25" customHeight="1">
      <c r="C31" s="729"/>
      <c r="D31" s="730"/>
      <c r="E31" s="730"/>
      <c r="F31" s="730"/>
      <c r="G31" s="730"/>
      <c r="H31" s="730"/>
      <c r="I31" s="730"/>
      <c r="J31" s="730"/>
      <c r="K31" s="730"/>
      <c r="L31" s="730"/>
      <c r="M31" s="730"/>
      <c r="N31" s="730"/>
      <c r="O31" s="730"/>
      <c r="P31" s="730"/>
      <c r="Q31" s="731"/>
      <c r="R31" s="716"/>
      <c r="S31" s="717"/>
      <c r="T31" s="717"/>
      <c r="U31" s="717"/>
      <c r="V31" s="717"/>
      <c r="W31" s="717"/>
      <c r="X31" s="717"/>
      <c r="Y31" s="717"/>
      <c r="Z31" s="717"/>
      <c r="AA31" s="717"/>
      <c r="AB31" s="717"/>
      <c r="AC31" s="717"/>
      <c r="AD31" s="717"/>
      <c r="AE31" s="717"/>
      <c r="AF31" s="717"/>
      <c r="AG31" s="717"/>
      <c r="AH31" s="717"/>
      <c r="AI31" s="717"/>
      <c r="AJ31" s="717"/>
      <c r="AK31" s="717"/>
      <c r="AL31" s="717"/>
      <c r="AM31" s="717"/>
      <c r="AN31" s="717"/>
      <c r="AO31" s="718"/>
      <c r="AP31" s="729"/>
      <c r="AQ31" s="730"/>
      <c r="AR31" s="730"/>
      <c r="AS31" s="730"/>
      <c r="AT31" s="730"/>
      <c r="AU31" s="730"/>
      <c r="AV31" s="730"/>
      <c r="AW31" s="730"/>
      <c r="AX31" s="730"/>
      <c r="AY31" s="730"/>
      <c r="AZ31" s="730"/>
      <c r="BA31" s="730"/>
      <c r="BB31" s="730"/>
      <c r="BC31" s="730"/>
      <c r="BD31" s="731"/>
      <c r="BE31" s="716"/>
      <c r="BF31" s="717"/>
      <c r="BG31" s="717"/>
      <c r="BH31" s="717"/>
      <c r="BI31" s="717"/>
      <c r="BJ31" s="717"/>
      <c r="BK31" s="717"/>
      <c r="BL31" s="717"/>
      <c r="BM31" s="717"/>
      <c r="BN31" s="717"/>
      <c r="BO31" s="717"/>
      <c r="BP31" s="717"/>
      <c r="BQ31" s="717"/>
      <c r="BR31" s="717"/>
      <c r="BS31" s="717"/>
      <c r="BT31" s="717"/>
      <c r="BU31" s="717"/>
      <c r="BV31" s="717"/>
      <c r="BW31" s="717"/>
      <c r="BX31" s="717"/>
      <c r="BY31" s="717"/>
      <c r="BZ31" s="717"/>
      <c r="CA31" s="717"/>
      <c r="CB31" s="718"/>
      <c r="CD31" s="382"/>
      <c r="CE31" s="382"/>
      <c r="CF31" s="382"/>
      <c r="CG31" s="382"/>
      <c r="CH31" s="382"/>
      <c r="CI31" s="382"/>
      <c r="CJ31" s="382"/>
      <c r="CK31" s="382"/>
      <c r="CL31" s="382"/>
      <c r="CM31" s="382"/>
      <c r="CN31" s="382"/>
      <c r="CO31" s="382"/>
      <c r="CP31" s="382"/>
      <c r="CQ31" s="382"/>
      <c r="CR31" s="382"/>
      <c r="CS31" s="382"/>
      <c r="CT31" s="382"/>
      <c r="CU31" s="380"/>
      <c r="CV31" s="380"/>
      <c r="CW31" s="380"/>
      <c r="DN31" s="408"/>
      <c r="DO31" s="408"/>
      <c r="DP31" s="408"/>
      <c r="DQ31" s="408"/>
      <c r="DR31" s="408"/>
      <c r="DS31" s="408"/>
      <c r="DT31" s="408"/>
      <c r="DU31" s="408"/>
      <c r="DV31" s="408"/>
      <c r="DW31" s="408"/>
      <c r="DX31" s="408"/>
      <c r="DY31" s="408"/>
      <c r="DZ31" s="408"/>
      <c r="EA31" s="408"/>
      <c r="EB31" s="408"/>
      <c r="EC31" s="5"/>
      <c r="ED31" s="5"/>
      <c r="EE31" s="5"/>
      <c r="EF31" s="5"/>
      <c r="EG31" s="5"/>
      <c r="EH31" s="408"/>
      <c r="EI31" s="408"/>
      <c r="EJ31" s="408"/>
      <c r="EK31" s="408"/>
      <c r="EL31" s="408"/>
      <c r="EM31" s="408"/>
      <c r="EN31" s="408"/>
      <c r="EO31" s="408"/>
      <c r="EP31" s="408"/>
      <c r="EQ31" s="408"/>
      <c r="ER31" s="408"/>
      <c r="ES31" s="408"/>
      <c r="ET31" s="408"/>
      <c r="EU31" s="408"/>
    </row>
    <row r="32" spans="3:151" ht="11.25" customHeight="1">
      <c r="C32" s="723" t="str">
        <f>VLOOKUP(2204,Languages!$A$5:$C$1032,Languages!$A$2,FALSE)</f>
        <v>Contact information for contact person (Brose) [phone / E-Mail]</v>
      </c>
      <c r="D32" s="724"/>
      <c r="E32" s="724"/>
      <c r="F32" s="724"/>
      <c r="G32" s="724"/>
      <c r="H32" s="724"/>
      <c r="I32" s="724"/>
      <c r="J32" s="724"/>
      <c r="K32" s="724"/>
      <c r="L32" s="724"/>
      <c r="M32" s="724"/>
      <c r="N32" s="724"/>
      <c r="O32" s="724"/>
      <c r="P32" s="724"/>
      <c r="Q32" s="725"/>
      <c r="R32" s="710"/>
      <c r="S32" s="711"/>
      <c r="T32" s="711"/>
      <c r="U32" s="711"/>
      <c r="V32" s="711"/>
      <c r="W32" s="711"/>
      <c r="X32" s="711"/>
      <c r="Y32" s="711"/>
      <c r="Z32" s="711"/>
      <c r="AA32" s="711"/>
      <c r="AB32" s="711"/>
      <c r="AC32" s="711"/>
      <c r="AD32" s="711"/>
      <c r="AE32" s="711"/>
      <c r="AF32" s="711"/>
      <c r="AG32" s="711"/>
      <c r="AH32" s="711"/>
      <c r="AI32" s="711"/>
      <c r="AJ32" s="711"/>
      <c r="AK32" s="711"/>
      <c r="AL32" s="711"/>
      <c r="AM32" s="711"/>
      <c r="AN32" s="711"/>
      <c r="AO32" s="712"/>
      <c r="AP32" s="723" t="str">
        <f>VLOOKUP(2222,Languages!$A$5:$C$1032,Languages!$A$2,FALSE)</f>
        <v>Contact information for contact person (supplier) [phone / E-Mail]</v>
      </c>
      <c r="AQ32" s="724"/>
      <c r="AR32" s="724"/>
      <c r="AS32" s="724"/>
      <c r="AT32" s="724"/>
      <c r="AU32" s="724"/>
      <c r="AV32" s="724"/>
      <c r="AW32" s="724"/>
      <c r="AX32" s="724"/>
      <c r="AY32" s="724"/>
      <c r="AZ32" s="724"/>
      <c r="BA32" s="724"/>
      <c r="BB32" s="724"/>
      <c r="BC32" s="724"/>
      <c r="BD32" s="725"/>
      <c r="BE32" s="710"/>
      <c r="BF32" s="711"/>
      <c r="BG32" s="711"/>
      <c r="BH32" s="711"/>
      <c r="BI32" s="711"/>
      <c r="BJ32" s="711"/>
      <c r="BK32" s="711"/>
      <c r="BL32" s="711"/>
      <c r="BM32" s="711"/>
      <c r="BN32" s="711"/>
      <c r="BO32" s="711"/>
      <c r="BP32" s="711"/>
      <c r="BQ32" s="711"/>
      <c r="BR32" s="711"/>
      <c r="BS32" s="711"/>
      <c r="BT32" s="711"/>
      <c r="BU32" s="711"/>
      <c r="BV32" s="711"/>
      <c r="BW32" s="711"/>
      <c r="BX32" s="711"/>
      <c r="BY32" s="711"/>
      <c r="BZ32" s="711"/>
      <c r="CA32" s="711"/>
      <c r="CB32" s="712"/>
      <c r="CD32" s="382"/>
      <c r="CE32" s="382"/>
      <c r="CF32" s="382"/>
      <c r="CG32" s="382"/>
      <c r="CH32" s="382"/>
      <c r="CI32" s="382"/>
      <c r="CJ32" s="382"/>
      <c r="CK32" s="382"/>
      <c r="CL32" s="382"/>
      <c r="CM32" s="382"/>
      <c r="CN32" s="382"/>
      <c r="CO32" s="382"/>
      <c r="CP32" s="382"/>
      <c r="CQ32" s="382"/>
      <c r="CR32" s="382"/>
      <c r="CS32" s="382"/>
      <c r="CT32" s="382"/>
      <c r="CU32" s="380"/>
      <c r="CV32" s="380"/>
      <c r="CW32" s="380"/>
      <c r="DN32" s="408"/>
      <c r="DO32" s="408"/>
      <c r="DP32" s="408"/>
      <c r="DQ32" s="408"/>
      <c r="DR32" s="408"/>
      <c r="DS32" s="408"/>
      <c r="DT32" s="408"/>
      <c r="DU32" s="408"/>
      <c r="DV32" s="408"/>
      <c r="DW32" s="408"/>
      <c r="DX32" s="408"/>
      <c r="DY32" s="408"/>
      <c r="DZ32" s="408"/>
      <c r="EA32" s="408"/>
      <c r="EB32" s="408"/>
      <c r="EC32" s="5"/>
      <c r="ED32" s="5"/>
      <c r="EE32" s="5"/>
      <c r="EF32" s="5"/>
      <c r="EG32" s="5"/>
      <c r="EH32" s="408"/>
      <c r="EI32" s="408"/>
      <c r="EJ32" s="408"/>
      <c r="EK32" s="408"/>
      <c r="EL32" s="408"/>
      <c r="EM32" s="408"/>
      <c r="EN32" s="408"/>
      <c r="EO32" s="408"/>
      <c r="EP32" s="408"/>
      <c r="EQ32" s="408"/>
      <c r="ER32" s="408"/>
      <c r="ES32" s="408"/>
      <c r="ET32" s="408"/>
      <c r="EU32" s="408"/>
    </row>
    <row r="33" spans="2:151" ht="11.25" customHeight="1">
      <c r="C33" s="726"/>
      <c r="D33" s="727"/>
      <c r="E33" s="727"/>
      <c r="F33" s="727"/>
      <c r="G33" s="727"/>
      <c r="H33" s="727"/>
      <c r="I33" s="727"/>
      <c r="J33" s="727"/>
      <c r="K33" s="727"/>
      <c r="L33" s="727"/>
      <c r="M33" s="727"/>
      <c r="N33" s="727"/>
      <c r="O33" s="727"/>
      <c r="P33" s="727"/>
      <c r="Q33" s="728"/>
      <c r="R33" s="713"/>
      <c r="S33" s="714"/>
      <c r="T33" s="714"/>
      <c r="U33" s="714"/>
      <c r="V33" s="714"/>
      <c r="W33" s="714"/>
      <c r="X33" s="714"/>
      <c r="Y33" s="714"/>
      <c r="Z33" s="714"/>
      <c r="AA33" s="714"/>
      <c r="AB33" s="714"/>
      <c r="AC33" s="714"/>
      <c r="AD33" s="714"/>
      <c r="AE33" s="714"/>
      <c r="AF33" s="714"/>
      <c r="AG33" s="714"/>
      <c r="AH33" s="714"/>
      <c r="AI33" s="714"/>
      <c r="AJ33" s="714"/>
      <c r="AK33" s="714"/>
      <c r="AL33" s="714"/>
      <c r="AM33" s="714"/>
      <c r="AN33" s="714"/>
      <c r="AO33" s="715"/>
      <c r="AP33" s="726"/>
      <c r="AQ33" s="727"/>
      <c r="AR33" s="727"/>
      <c r="AS33" s="727"/>
      <c r="AT33" s="727"/>
      <c r="AU33" s="727"/>
      <c r="AV33" s="727"/>
      <c r="AW33" s="727"/>
      <c r="AX33" s="727"/>
      <c r="AY33" s="727"/>
      <c r="AZ33" s="727"/>
      <c r="BA33" s="727"/>
      <c r="BB33" s="727"/>
      <c r="BC33" s="727"/>
      <c r="BD33" s="728"/>
      <c r="BE33" s="713"/>
      <c r="BF33" s="714"/>
      <c r="BG33" s="714"/>
      <c r="BH33" s="714"/>
      <c r="BI33" s="714"/>
      <c r="BJ33" s="714"/>
      <c r="BK33" s="714"/>
      <c r="BL33" s="714"/>
      <c r="BM33" s="714"/>
      <c r="BN33" s="714"/>
      <c r="BO33" s="714"/>
      <c r="BP33" s="714"/>
      <c r="BQ33" s="714"/>
      <c r="BR33" s="714"/>
      <c r="BS33" s="714"/>
      <c r="BT33" s="714"/>
      <c r="BU33" s="714"/>
      <c r="BV33" s="714"/>
      <c r="BW33" s="714"/>
      <c r="BX33" s="714"/>
      <c r="BY33" s="714"/>
      <c r="BZ33" s="714"/>
      <c r="CA33" s="714"/>
      <c r="CB33" s="715"/>
      <c r="CD33" s="382"/>
      <c r="CE33" s="382"/>
      <c r="CF33" s="382"/>
      <c r="CG33" s="382"/>
      <c r="CH33" s="382"/>
      <c r="CI33" s="382"/>
      <c r="CJ33" s="382"/>
      <c r="CK33" s="382"/>
      <c r="CL33" s="382"/>
      <c r="CM33" s="382"/>
      <c r="CN33" s="382"/>
      <c r="CO33" s="382"/>
      <c r="CP33" s="382"/>
      <c r="CQ33" s="382"/>
      <c r="CR33" s="382"/>
      <c r="CS33" s="382"/>
      <c r="CT33" s="382"/>
      <c r="CU33" s="380"/>
      <c r="CV33" s="380"/>
      <c r="CW33" s="380"/>
      <c r="DN33" s="408"/>
      <c r="DO33" s="408"/>
      <c r="DP33" s="408"/>
      <c r="DQ33" s="408"/>
      <c r="DR33" s="408"/>
      <c r="DS33" s="408"/>
      <c r="DT33" s="408"/>
      <c r="DU33" s="408"/>
      <c r="DV33" s="408"/>
      <c r="DW33" s="408"/>
      <c r="DX33" s="408"/>
      <c r="DY33" s="408"/>
      <c r="DZ33" s="408"/>
      <c r="EA33" s="408"/>
      <c r="EB33" s="408"/>
      <c r="EC33" s="5"/>
      <c r="ED33" s="5"/>
      <c r="EE33" s="5"/>
      <c r="EF33" s="5"/>
      <c r="EG33" s="5"/>
      <c r="EH33" s="408"/>
      <c r="EI33" s="408"/>
      <c r="EJ33" s="408"/>
      <c r="EK33" s="408"/>
      <c r="EL33" s="408"/>
      <c r="EM33" s="408"/>
      <c r="EN33" s="408"/>
      <c r="EO33" s="408"/>
      <c r="EP33" s="408"/>
      <c r="EQ33" s="408"/>
      <c r="ER33" s="408"/>
      <c r="ES33" s="408"/>
      <c r="ET33" s="408"/>
      <c r="EU33" s="408"/>
    </row>
    <row r="34" spans="2:151" ht="11.25" customHeight="1">
      <c r="C34" s="729"/>
      <c r="D34" s="730"/>
      <c r="E34" s="730"/>
      <c r="F34" s="730"/>
      <c r="G34" s="730"/>
      <c r="H34" s="730"/>
      <c r="I34" s="730"/>
      <c r="J34" s="730"/>
      <c r="K34" s="730"/>
      <c r="L34" s="730"/>
      <c r="M34" s="730"/>
      <c r="N34" s="730"/>
      <c r="O34" s="730"/>
      <c r="P34" s="730"/>
      <c r="Q34" s="731"/>
      <c r="R34" s="716"/>
      <c r="S34" s="717"/>
      <c r="T34" s="717"/>
      <c r="U34" s="717"/>
      <c r="V34" s="717"/>
      <c r="W34" s="717"/>
      <c r="X34" s="717"/>
      <c r="Y34" s="717"/>
      <c r="Z34" s="717"/>
      <c r="AA34" s="717"/>
      <c r="AB34" s="717"/>
      <c r="AC34" s="717"/>
      <c r="AD34" s="717"/>
      <c r="AE34" s="717"/>
      <c r="AF34" s="717"/>
      <c r="AG34" s="717"/>
      <c r="AH34" s="717"/>
      <c r="AI34" s="717"/>
      <c r="AJ34" s="717"/>
      <c r="AK34" s="717"/>
      <c r="AL34" s="717"/>
      <c r="AM34" s="717"/>
      <c r="AN34" s="717"/>
      <c r="AO34" s="718"/>
      <c r="AP34" s="729"/>
      <c r="AQ34" s="730"/>
      <c r="AR34" s="730"/>
      <c r="AS34" s="730"/>
      <c r="AT34" s="730"/>
      <c r="AU34" s="730"/>
      <c r="AV34" s="730"/>
      <c r="AW34" s="730"/>
      <c r="AX34" s="730"/>
      <c r="AY34" s="730"/>
      <c r="AZ34" s="730"/>
      <c r="BA34" s="730"/>
      <c r="BB34" s="730"/>
      <c r="BC34" s="730"/>
      <c r="BD34" s="731"/>
      <c r="BE34" s="716"/>
      <c r="BF34" s="717"/>
      <c r="BG34" s="717"/>
      <c r="BH34" s="717"/>
      <c r="BI34" s="717"/>
      <c r="BJ34" s="717"/>
      <c r="BK34" s="717"/>
      <c r="BL34" s="717"/>
      <c r="BM34" s="717"/>
      <c r="BN34" s="717"/>
      <c r="BO34" s="717"/>
      <c r="BP34" s="717"/>
      <c r="BQ34" s="717"/>
      <c r="BR34" s="717"/>
      <c r="BS34" s="717"/>
      <c r="BT34" s="717"/>
      <c r="BU34" s="717"/>
      <c r="BV34" s="717"/>
      <c r="BW34" s="717"/>
      <c r="BX34" s="717"/>
      <c r="BY34" s="717"/>
      <c r="BZ34" s="717"/>
      <c r="CA34" s="717"/>
      <c r="CB34" s="718"/>
      <c r="CD34" s="382"/>
      <c r="CE34" s="382"/>
      <c r="CF34" s="382"/>
      <c r="CG34" s="382"/>
      <c r="CH34" s="382"/>
      <c r="CI34" s="382"/>
      <c r="CJ34" s="382"/>
      <c r="CK34" s="382"/>
      <c r="CL34" s="382"/>
      <c r="CM34" s="382"/>
      <c r="CN34" s="382"/>
      <c r="CO34" s="382"/>
      <c r="CP34" s="382"/>
      <c r="CQ34" s="382"/>
      <c r="CR34" s="382"/>
      <c r="CS34" s="382"/>
      <c r="CT34" s="382"/>
      <c r="CU34" s="380"/>
      <c r="CV34" s="380"/>
      <c r="CW34" s="380"/>
      <c r="DN34" s="408"/>
      <c r="DO34" s="408"/>
      <c r="DP34" s="408"/>
      <c r="DQ34" s="408"/>
      <c r="DR34" s="408"/>
      <c r="DS34" s="408"/>
      <c r="DT34" s="408"/>
      <c r="DU34" s="408"/>
      <c r="DV34" s="408"/>
      <c r="DW34" s="408"/>
      <c r="DX34" s="408"/>
      <c r="DY34" s="408"/>
      <c r="DZ34" s="408"/>
      <c r="EA34" s="408"/>
      <c r="EB34" s="408"/>
      <c r="EC34" s="5"/>
      <c r="ED34" s="5"/>
      <c r="EE34" s="5"/>
      <c r="EF34" s="5"/>
      <c r="EG34" s="5"/>
      <c r="EH34" s="408"/>
      <c r="EI34" s="408"/>
      <c r="EJ34" s="408"/>
      <c r="EK34" s="408"/>
      <c r="EL34" s="408"/>
      <c r="EM34" s="408"/>
      <c r="EN34" s="408"/>
      <c r="EO34" s="408"/>
      <c r="EP34" s="408"/>
      <c r="EQ34" s="408"/>
      <c r="ER34" s="408"/>
      <c r="ES34" s="408"/>
      <c r="ET34" s="408"/>
      <c r="EU34" s="408"/>
    </row>
    <row r="35" spans="2:151" ht="11.25" customHeight="1">
      <c r="C35" s="723" t="str">
        <f>VLOOKUP(2205,Languages!$A$5:$C$1032,Languages!$A$2,FALSE)</f>
        <v>Claim reference number / inspection report number (Brose)</v>
      </c>
      <c r="D35" s="724"/>
      <c r="E35" s="724"/>
      <c r="F35" s="724"/>
      <c r="G35" s="724"/>
      <c r="H35" s="724"/>
      <c r="I35" s="724"/>
      <c r="J35" s="724"/>
      <c r="K35" s="724"/>
      <c r="L35" s="724"/>
      <c r="M35" s="724"/>
      <c r="N35" s="724"/>
      <c r="O35" s="724"/>
      <c r="P35" s="724"/>
      <c r="Q35" s="725"/>
      <c r="R35" s="710"/>
      <c r="S35" s="711"/>
      <c r="T35" s="711"/>
      <c r="U35" s="711"/>
      <c r="V35" s="711"/>
      <c r="W35" s="711"/>
      <c r="X35" s="711"/>
      <c r="Y35" s="711"/>
      <c r="Z35" s="711"/>
      <c r="AA35" s="711"/>
      <c r="AB35" s="711"/>
      <c r="AC35" s="711"/>
      <c r="AD35" s="711"/>
      <c r="AE35" s="711"/>
      <c r="AF35" s="711"/>
      <c r="AG35" s="711"/>
      <c r="AH35" s="711"/>
      <c r="AI35" s="711"/>
      <c r="AJ35" s="711"/>
      <c r="AK35" s="711"/>
      <c r="AL35" s="711"/>
      <c r="AM35" s="711"/>
      <c r="AN35" s="711"/>
      <c r="AO35" s="712"/>
      <c r="AP35" s="857" t="str">
        <f>VLOOKUP(2223,Languages!$A$5:$C$1032,Languages!$A$2,FALSE)</f>
        <v>Problem solving team</v>
      </c>
      <c r="AQ35" s="858"/>
      <c r="AR35" s="858"/>
      <c r="AS35" s="897" t="str">
        <f>CONCATENATE(VLOOKUP(2224,Languages!$A$5:$C$1032,Languages!$A$2,FALSE),":")</f>
        <v>Leader:</v>
      </c>
      <c r="AT35" s="897"/>
      <c r="AU35" s="897"/>
      <c r="AV35" s="897"/>
      <c r="AW35" s="897"/>
      <c r="AX35" s="897"/>
      <c r="AY35" s="897"/>
      <c r="AZ35" s="897"/>
      <c r="BA35" s="897"/>
      <c r="BB35" s="897"/>
      <c r="BC35" s="897"/>
      <c r="BD35" s="898"/>
      <c r="BE35" s="710"/>
      <c r="BF35" s="711"/>
      <c r="BG35" s="711"/>
      <c r="BH35" s="711"/>
      <c r="BI35" s="711"/>
      <c r="BJ35" s="711"/>
      <c r="BK35" s="711"/>
      <c r="BL35" s="711"/>
      <c r="BM35" s="711"/>
      <c r="BN35" s="711"/>
      <c r="BO35" s="711"/>
      <c r="BP35" s="711"/>
      <c r="BQ35" s="711"/>
      <c r="BR35" s="711"/>
      <c r="BS35" s="711"/>
      <c r="BT35" s="711"/>
      <c r="BU35" s="711"/>
      <c r="BV35" s="711"/>
      <c r="BW35" s="711"/>
      <c r="BX35" s="711"/>
      <c r="BY35" s="711"/>
      <c r="BZ35" s="711"/>
      <c r="CA35" s="711"/>
      <c r="CB35" s="712"/>
      <c r="CD35" s="382"/>
      <c r="CE35" s="382"/>
      <c r="CF35" s="382"/>
      <c r="CG35" s="382"/>
      <c r="CH35" s="382"/>
      <c r="CI35" s="382"/>
      <c r="CJ35" s="382"/>
      <c r="CK35" s="382"/>
      <c r="CL35" s="382"/>
      <c r="CM35" s="382"/>
      <c r="CN35" s="382"/>
      <c r="CO35" s="382"/>
      <c r="CP35" s="382"/>
      <c r="CQ35" s="382"/>
      <c r="CR35" s="382"/>
      <c r="CS35" s="382"/>
      <c r="CT35" s="382"/>
      <c r="CU35" s="380"/>
      <c r="CV35" s="380"/>
      <c r="CW35" s="380"/>
      <c r="DN35" s="408"/>
      <c r="DO35" s="408"/>
      <c r="DP35" s="408"/>
      <c r="DQ35" s="408"/>
      <c r="DR35" s="408"/>
      <c r="DS35" s="408"/>
      <c r="DT35" s="408"/>
      <c r="DU35" s="408"/>
      <c r="DV35" s="408"/>
      <c r="DW35" s="408"/>
      <c r="DX35" s="408"/>
      <c r="DY35" s="408"/>
      <c r="DZ35" s="408"/>
      <c r="EA35" s="408"/>
      <c r="EB35" s="408"/>
      <c r="EC35" s="5"/>
      <c r="ED35" s="5"/>
      <c r="EE35" s="5"/>
      <c r="EF35" s="5"/>
      <c r="EG35" s="5"/>
      <c r="EH35" s="408"/>
      <c r="EI35" s="408"/>
      <c r="EJ35" s="408"/>
      <c r="EK35" s="408"/>
      <c r="EL35" s="408"/>
      <c r="EM35" s="408"/>
      <c r="EN35" s="408"/>
      <c r="EO35" s="408"/>
      <c r="EP35" s="408"/>
      <c r="EQ35" s="408"/>
      <c r="ER35" s="408"/>
      <c r="ES35" s="408"/>
      <c r="ET35" s="408"/>
      <c r="EU35" s="408"/>
    </row>
    <row r="36" spans="2:151" ht="11.25" customHeight="1">
      <c r="C36" s="726"/>
      <c r="D36" s="727"/>
      <c r="E36" s="727"/>
      <c r="F36" s="727"/>
      <c r="G36" s="727"/>
      <c r="H36" s="727"/>
      <c r="I36" s="727"/>
      <c r="J36" s="727"/>
      <c r="K36" s="727"/>
      <c r="L36" s="727"/>
      <c r="M36" s="727"/>
      <c r="N36" s="727"/>
      <c r="O36" s="727"/>
      <c r="P36" s="727"/>
      <c r="Q36" s="728"/>
      <c r="R36" s="713"/>
      <c r="S36" s="714"/>
      <c r="T36" s="714"/>
      <c r="U36" s="714"/>
      <c r="V36" s="714"/>
      <c r="W36" s="714"/>
      <c r="X36" s="714"/>
      <c r="Y36" s="714"/>
      <c r="Z36" s="714"/>
      <c r="AA36" s="714"/>
      <c r="AB36" s="714"/>
      <c r="AC36" s="714"/>
      <c r="AD36" s="714"/>
      <c r="AE36" s="714"/>
      <c r="AF36" s="714"/>
      <c r="AG36" s="714"/>
      <c r="AH36" s="714"/>
      <c r="AI36" s="714"/>
      <c r="AJ36" s="714"/>
      <c r="AK36" s="714"/>
      <c r="AL36" s="714"/>
      <c r="AM36" s="714"/>
      <c r="AN36" s="714"/>
      <c r="AO36" s="715"/>
      <c r="AP36" s="859"/>
      <c r="AQ36" s="860"/>
      <c r="AR36" s="860"/>
      <c r="AS36" s="899"/>
      <c r="AT36" s="899"/>
      <c r="AU36" s="899"/>
      <c r="AV36" s="899"/>
      <c r="AW36" s="899"/>
      <c r="AX36" s="899"/>
      <c r="AY36" s="899"/>
      <c r="AZ36" s="899"/>
      <c r="BA36" s="899"/>
      <c r="BB36" s="899"/>
      <c r="BC36" s="899"/>
      <c r="BD36" s="900"/>
      <c r="BE36" s="713"/>
      <c r="BF36" s="714"/>
      <c r="BG36" s="714"/>
      <c r="BH36" s="714"/>
      <c r="BI36" s="714"/>
      <c r="BJ36" s="714"/>
      <c r="BK36" s="714"/>
      <c r="BL36" s="714"/>
      <c r="BM36" s="714"/>
      <c r="BN36" s="714"/>
      <c r="BO36" s="714"/>
      <c r="BP36" s="714"/>
      <c r="BQ36" s="714"/>
      <c r="BR36" s="714"/>
      <c r="BS36" s="714"/>
      <c r="BT36" s="714"/>
      <c r="BU36" s="714"/>
      <c r="BV36" s="714"/>
      <c r="BW36" s="714"/>
      <c r="BX36" s="714"/>
      <c r="BY36" s="714"/>
      <c r="BZ36" s="714"/>
      <c r="CA36" s="714"/>
      <c r="CB36" s="715"/>
      <c r="CD36" s="382"/>
      <c r="CE36" s="382"/>
      <c r="CF36" s="382"/>
      <c r="CG36" s="382"/>
      <c r="CH36" s="382"/>
      <c r="CI36" s="382"/>
      <c r="CJ36" s="382"/>
      <c r="CK36" s="382"/>
      <c r="CL36" s="382"/>
      <c r="CM36" s="382"/>
      <c r="CN36" s="382"/>
      <c r="CO36" s="382"/>
      <c r="CP36" s="382"/>
      <c r="CQ36" s="382"/>
      <c r="CR36" s="382"/>
      <c r="CS36" s="382"/>
      <c r="CT36" s="382"/>
      <c r="CU36" s="380"/>
      <c r="CV36" s="380"/>
      <c r="CW36" s="380"/>
      <c r="DN36" s="408"/>
      <c r="DO36" s="408"/>
      <c r="DP36" s="408"/>
      <c r="DQ36" s="408"/>
      <c r="DR36" s="408"/>
      <c r="DS36" s="408"/>
      <c r="DT36" s="408"/>
      <c r="DU36" s="408"/>
      <c r="DV36" s="408"/>
      <c r="DW36" s="408"/>
      <c r="DX36" s="408"/>
      <c r="DY36" s="408"/>
      <c r="DZ36" s="408"/>
      <c r="EA36" s="408"/>
      <c r="EB36" s="408"/>
      <c r="EC36" s="5"/>
      <c r="ED36" s="5"/>
      <c r="EE36" s="5"/>
      <c r="EF36" s="5"/>
      <c r="EG36" s="5"/>
      <c r="EH36" s="408"/>
      <c r="EI36" s="408"/>
      <c r="EJ36" s="408"/>
      <c r="EK36" s="408"/>
      <c r="EL36" s="408"/>
      <c r="EM36" s="408"/>
      <c r="EN36" s="408"/>
      <c r="EO36" s="408"/>
      <c r="EP36" s="408"/>
      <c r="EQ36" s="408"/>
      <c r="ER36" s="408"/>
      <c r="ES36" s="408"/>
      <c r="ET36" s="408"/>
      <c r="EU36" s="408"/>
    </row>
    <row r="37" spans="2:151" ht="11.25" customHeight="1">
      <c r="C37" s="729"/>
      <c r="D37" s="730"/>
      <c r="E37" s="730"/>
      <c r="F37" s="730"/>
      <c r="G37" s="730"/>
      <c r="H37" s="730"/>
      <c r="I37" s="730"/>
      <c r="J37" s="730"/>
      <c r="K37" s="730"/>
      <c r="L37" s="730"/>
      <c r="M37" s="730"/>
      <c r="N37" s="730"/>
      <c r="O37" s="730"/>
      <c r="P37" s="730"/>
      <c r="Q37" s="731"/>
      <c r="R37" s="716"/>
      <c r="S37" s="717"/>
      <c r="T37" s="717"/>
      <c r="U37" s="717"/>
      <c r="V37" s="717"/>
      <c r="W37" s="717"/>
      <c r="X37" s="717"/>
      <c r="Y37" s="717"/>
      <c r="Z37" s="717"/>
      <c r="AA37" s="717"/>
      <c r="AB37" s="717"/>
      <c r="AC37" s="717"/>
      <c r="AD37" s="717"/>
      <c r="AE37" s="717"/>
      <c r="AF37" s="717"/>
      <c r="AG37" s="717"/>
      <c r="AH37" s="717"/>
      <c r="AI37" s="717"/>
      <c r="AJ37" s="717"/>
      <c r="AK37" s="717"/>
      <c r="AL37" s="717"/>
      <c r="AM37" s="717"/>
      <c r="AN37" s="717"/>
      <c r="AO37" s="718"/>
      <c r="AP37" s="859"/>
      <c r="AQ37" s="860"/>
      <c r="AR37" s="860"/>
      <c r="AS37" s="899"/>
      <c r="AT37" s="899"/>
      <c r="AU37" s="899"/>
      <c r="AV37" s="899"/>
      <c r="AW37" s="899"/>
      <c r="AX37" s="899"/>
      <c r="AY37" s="899"/>
      <c r="AZ37" s="899"/>
      <c r="BA37" s="899"/>
      <c r="BB37" s="899"/>
      <c r="BC37" s="899"/>
      <c r="BD37" s="900"/>
      <c r="BE37" s="732"/>
      <c r="BF37" s="733"/>
      <c r="BG37" s="733"/>
      <c r="BH37" s="733"/>
      <c r="BI37" s="733"/>
      <c r="BJ37" s="733"/>
      <c r="BK37" s="733"/>
      <c r="BL37" s="733"/>
      <c r="BM37" s="733"/>
      <c r="BN37" s="733"/>
      <c r="BO37" s="733"/>
      <c r="BP37" s="733"/>
      <c r="BQ37" s="733"/>
      <c r="BR37" s="733"/>
      <c r="BS37" s="733"/>
      <c r="BT37" s="733"/>
      <c r="BU37" s="733"/>
      <c r="BV37" s="733"/>
      <c r="BW37" s="733"/>
      <c r="BX37" s="733"/>
      <c r="BY37" s="733"/>
      <c r="BZ37" s="733"/>
      <c r="CA37" s="733"/>
      <c r="CB37" s="734"/>
      <c r="CD37" s="382"/>
      <c r="CE37" s="382"/>
      <c r="CF37" s="382"/>
      <c r="CG37" s="382"/>
      <c r="CH37" s="382"/>
      <c r="CI37" s="382"/>
      <c r="CJ37" s="382"/>
      <c r="CK37" s="382"/>
      <c r="CL37" s="382"/>
      <c r="CM37" s="382"/>
      <c r="CN37" s="382"/>
      <c r="CO37" s="382"/>
      <c r="CP37" s="382"/>
      <c r="CQ37" s="382"/>
      <c r="CR37" s="382"/>
      <c r="CS37" s="382"/>
      <c r="CT37" s="382"/>
      <c r="CU37" s="380"/>
      <c r="CV37" s="380"/>
      <c r="CW37" s="380"/>
      <c r="DN37" s="408"/>
      <c r="DO37" s="408"/>
      <c r="DP37" s="408"/>
      <c r="DQ37" s="408"/>
      <c r="DR37" s="408"/>
      <c r="DS37" s="408"/>
      <c r="DT37" s="408"/>
      <c r="DU37" s="408"/>
      <c r="DV37" s="408"/>
      <c r="DW37" s="408"/>
      <c r="DX37" s="408"/>
      <c r="DY37" s="408"/>
      <c r="DZ37" s="408"/>
      <c r="EA37" s="408"/>
      <c r="EB37" s="408"/>
      <c r="EC37" s="5"/>
      <c r="ED37" s="5"/>
      <c r="EE37" s="5"/>
      <c r="EF37" s="5"/>
      <c r="EG37" s="5"/>
      <c r="EH37" s="408"/>
      <c r="EI37" s="408"/>
      <c r="EJ37" s="408"/>
      <c r="EK37" s="408"/>
      <c r="EL37" s="408"/>
      <c r="EM37" s="408"/>
      <c r="EN37" s="408"/>
      <c r="EO37" s="408"/>
      <c r="EP37" s="408"/>
      <c r="EQ37" s="408"/>
      <c r="ER37" s="408"/>
      <c r="ES37" s="408"/>
      <c r="ET37" s="408"/>
      <c r="EU37" s="408"/>
    </row>
    <row r="38" spans="2:151" ht="11.25" customHeight="1">
      <c r="C38" s="723" t="str">
        <f>VLOOKUP(2207,Languages!$A$5:$C$1032,Languages!$A$2,FALSE)</f>
        <v>Failure location 
[please tick a box]</v>
      </c>
      <c r="D38" s="724"/>
      <c r="E38" s="724"/>
      <c r="F38" s="724"/>
      <c r="G38" s="724"/>
      <c r="H38" s="724"/>
      <c r="I38" s="724"/>
      <c r="J38" s="724"/>
      <c r="K38" s="724"/>
      <c r="L38" s="724"/>
      <c r="M38" s="724"/>
      <c r="N38" s="724"/>
      <c r="O38" s="724"/>
      <c r="P38" s="724"/>
      <c r="Q38" s="725"/>
      <c r="R38" s="256"/>
      <c r="S38" s="251"/>
      <c r="T38" s="257"/>
      <c r="U38" s="257"/>
      <c r="V38" s="650" t="str">
        <f>VLOOKUP(2208,Languages!$A$5:$C$1032,Languages!$A$2,FALSE)</f>
        <v>Internal</v>
      </c>
      <c r="W38" s="650"/>
      <c r="X38" s="650"/>
      <c r="Y38" s="650"/>
      <c r="Z38" s="650"/>
      <c r="AA38" s="257"/>
      <c r="AB38" s="257"/>
      <c r="AC38" s="650" t="str">
        <f>VLOOKUP(2209,Languages!$A$5:$C$1032,Languages!$A$2,FALSE)</f>
        <v>At Brose</v>
      </c>
      <c r="AD38" s="650"/>
      <c r="AE38" s="650"/>
      <c r="AF38" s="650"/>
      <c r="AG38" s="650"/>
      <c r="AH38" s="257"/>
      <c r="AI38" s="257"/>
      <c r="AJ38" s="650" t="str">
        <f>VLOOKUP(2210,Languages!$A$5:$C$1032,Languages!$A$2,FALSE)</f>
        <v>At OEM/tier1</v>
      </c>
      <c r="AK38" s="650"/>
      <c r="AL38" s="650"/>
      <c r="AM38" s="650"/>
      <c r="AN38" s="650"/>
      <c r="AO38" s="399"/>
      <c r="AP38" s="859"/>
      <c r="AQ38" s="860"/>
      <c r="AR38" s="860"/>
      <c r="AS38" s="899" t="str">
        <f>VLOOKUP(2225,Languages!$A$5:$C$1032,Languages!$A$2,FALSE)</f>
        <v>Further 
team members:</v>
      </c>
      <c r="AT38" s="899"/>
      <c r="AU38" s="899"/>
      <c r="AV38" s="899"/>
      <c r="AW38" s="899"/>
      <c r="AX38" s="899"/>
      <c r="AY38" s="899"/>
      <c r="AZ38" s="899"/>
      <c r="BA38" s="899"/>
      <c r="BB38" s="899"/>
      <c r="BC38" s="899"/>
      <c r="BD38" s="900"/>
      <c r="BE38" s="894"/>
      <c r="BF38" s="895"/>
      <c r="BG38" s="895"/>
      <c r="BH38" s="895"/>
      <c r="BI38" s="895"/>
      <c r="BJ38" s="895"/>
      <c r="BK38" s="895"/>
      <c r="BL38" s="895"/>
      <c r="BM38" s="895"/>
      <c r="BN38" s="895"/>
      <c r="BO38" s="895"/>
      <c r="BP38" s="895"/>
      <c r="BQ38" s="895"/>
      <c r="BR38" s="895"/>
      <c r="BS38" s="895"/>
      <c r="BT38" s="895"/>
      <c r="BU38" s="895"/>
      <c r="BV38" s="895"/>
      <c r="BW38" s="895"/>
      <c r="BX38" s="895"/>
      <c r="BY38" s="895"/>
      <c r="BZ38" s="895"/>
      <c r="CA38" s="895"/>
      <c r="CB38" s="896"/>
      <c r="CD38" s="382"/>
      <c r="CE38" s="382"/>
      <c r="CF38" s="382"/>
      <c r="CG38" s="382"/>
      <c r="CH38" s="382"/>
      <c r="CI38" s="382"/>
      <c r="CJ38" s="382"/>
      <c r="CK38" s="382"/>
      <c r="CL38" s="382"/>
      <c r="CM38" s="382"/>
      <c r="CN38" s="382"/>
      <c r="CO38" s="382"/>
      <c r="CP38" s="382"/>
      <c r="CQ38" s="382"/>
      <c r="CR38" s="382"/>
      <c r="CS38" s="382"/>
      <c r="CT38" s="382"/>
      <c r="CU38" s="380"/>
      <c r="CV38" s="380"/>
      <c r="CW38" s="380"/>
      <c r="DN38" s="408"/>
      <c r="DO38" s="408"/>
      <c r="DP38" s="408"/>
      <c r="DQ38" s="408"/>
      <c r="DR38" s="408"/>
      <c r="DS38" s="408"/>
      <c r="DT38" s="408"/>
      <c r="DU38" s="408"/>
      <c r="DV38" s="408"/>
      <c r="DW38" s="408"/>
      <c r="DX38" s="408"/>
      <c r="DY38" s="408"/>
      <c r="DZ38" s="408"/>
      <c r="EA38" s="408"/>
      <c r="EB38" s="408"/>
      <c r="EC38" s="5"/>
      <c r="ED38" s="5"/>
      <c r="EE38" s="5"/>
      <c r="EF38" s="5"/>
      <c r="EG38" s="5"/>
      <c r="EH38" s="408"/>
      <c r="EI38" s="408"/>
      <c r="EJ38" s="408"/>
      <c r="EK38" s="408"/>
      <c r="EL38" s="408"/>
      <c r="EM38" s="408"/>
      <c r="EN38" s="408"/>
      <c r="EO38" s="408"/>
      <c r="EP38" s="408"/>
      <c r="EQ38" s="408"/>
      <c r="ER38" s="408"/>
      <c r="ES38" s="408"/>
      <c r="ET38" s="408"/>
      <c r="EU38" s="408"/>
    </row>
    <row r="39" spans="2:151" ht="11.25" customHeight="1">
      <c r="C39" s="726"/>
      <c r="D39" s="727"/>
      <c r="E39" s="727"/>
      <c r="F39" s="727"/>
      <c r="G39" s="727"/>
      <c r="H39" s="727"/>
      <c r="I39" s="727"/>
      <c r="J39" s="727"/>
      <c r="K39" s="727"/>
      <c r="L39" s="727"/>
      <c r="M39" s="727"/>
      <c r="N39" s="727"/>
      <c r="O39" s="727"/>
      <c r="P39" s="727"/>
      <c r="Q39" s="728"/>
      <c r="R39" s="259"/>
      <c r="S39" s="260"/>
      <c r="T39" s="719"/>
      <c r="U39" s="720"/>
      <c r="V39" s="651"/>
      <c r="W39" s="651"/>
      <c r="X39" s="651"/>
      <c r="Y39" s="651"/>
      <c r="Z39" s="651"/>
      <c r="AA39" s="719"/>
      <c r="AB39" s="720"/>
      <c r="AC39" s="651"/>
      <c r="AD39" s="651"/>
      <c r="AE39" s="651"/>
      <c r="AF39" s="651"/>
      <c r="AG39" s="651"/>
      <c r="AH39" s="719"/>
      <c r="AI39" s="720"/>
      <c r="AJ39" s="651"/>
      <c r="AK39" s="651"/>
      <c r="AL39" s="651"/>
      <c r="AM39" s="651"/>
      <c r="AN39" s="651"/>
      <c r="AO39" s="398"/>
      <c r="AP39" s="859"/>
      <c r="AQ39" s="860"/>
      <c r="AR39" s="860"/>
      <c r="AS39" s="899"/>
      <c r="AT39" s="899"/>
      <c r="AU39" s="899"/>
      <c r="AV39" s="899"/>
      <c r="AW39" s="899"/>
      <c r="AX39" s="899"/>
      <c r="AY39" s="899"/>
      <c r="AZ39" s="899"/>
      <c r="BA39" s="899"/>
      <c r="BB39" s="899"/>
      <c r="BC39" s="899"/>
      <c r="BD39" s="900"/>
      <c r="BE39" s="713"/>
      <c r="BF39" s="714"/>
      <c r="BG39" s="714"/>
      <c r="BH39" s="714"/>
      <c r="BI39" s="714"/>
      <c r="BJ39" s="714"/>
      <c r="BK39" s="714"/>
      <c r="BL39" s="714"/>
      <c r="BM39" s="714"/>
      <c r="BN39" s="714"/>
      <c r="BO39" s="714"/>
      <c r="BP39" s="714"/>
      <c r="BQ39" s="714"/>
      <c r="BR39" s="714"/>
      <c r="BS39" s="714"/>
      <c r="BT39" s="714"/>
      <c r="BU39" s="714"/>
      <c r="BV39" s="714"/>
      <c r="BW39" s="714"/>
      <c r="BX39" s="714"/>
      <c r="BY39" s="714"/>
      <c r="BZ39" s="714"/>
      <c r="CA39" s="714"/>
      <c r="CB39" s="715"/>
      <c r="CD39" s="382"/>
      <c r="CE39" s="382"/>
      <c r="CF39" s="382"/>
      <c r="CG39" s="382"/>
      <c r="CH39" s="382"/>
      <c r="CI39" s="382"/>
      <c r="CJ39" s="382"/>
      <c r="CK39" s="382"/>
      <c r="CL39" s="382"/>
      <c r="CM39" s="382"/>
      <c r="CN39" s="382"/>
      <c r="CO39" s="382"/>
      <c r="CP39" s="382"/>
      <c r="CQ39" s="382"/>
      <c r="CR39" s="382"/>
      <c r="CS39" s="382"/>
      <c r="CT39" s="382"/>
      <c r="CU39" s="380"/>
      <c r="CV39" s="380"/>
      <c r="CW39" s="380"/>
      <c r="DN39" s="408"/>
      <c r="DO39" s="408"/>
      <c r="DP39" s="408"/>
      <c r="DQ39" s="408"/>
      <c r="DR39" s="408"/>
      <c r="DS39" s="408"/>
      <c r="DT39" s="408"/>
      <c r="DU39" s="408"/>
      <c r="DV39" s="408"/>
      <c r="DW39" s="408"/>
      <c r="DX39" s="408"/>
      <c r="DY39" s="408"/>
      <c r="DZ39" s="408"/>
      <c r="EA39" s="408"/>
      <c r="EB39" s="408"/>
      <c r="EC39" s="5"/>
      <c r="ED39" s="5"/>
      <c r="EE39" s="5"/>
      <c r="EF39" s="5"/>
      <c r="EG39" s="5"/>
      <c r="EH39" s="408"/>
      <c r="EI39" s="408"/>
      <c r="EJ39" s="408"/>
      <c r="EK39" s="408"/>
      <c r="EL39" s="408"/>
      <c r="EM39" s="408"/>
      <c r="EN39" s="408"/>
      <c r="EO39" s="408"/>
      <c r="EP39" s="408"/>
      <c r="EQ39" s="408"/>
      <c r="ER39" s="408"/>
      <c r="ES39" s="408"/>
      <c r="ET39" s="408"/>
      <c r="EU39" s="408"/>
    </row>
    <row r="40" spans="2:151" ht="11.25" customHeight="1">
      <c r="C40" s="729"/>
      <c r="D40" s="730"/>
      <c r="E40" s="730"/>
      <c r="F40" s="730"/>
      <c r="G40" s="730"/>
      <c r="H40" s="730"/>
      <c r="I40" s="730"/>
      <c r="J40" s="730"/>
      <c r="K40" s="730"/>
      <c r="L40" s="730"/>
      <c r="M40" s="730"/>
      <c r="N40" s="730"/>
      <c r="O40" s="730"/>
      <c r="P40" s="730"/>
      <c r="Q40" s="731"/>
      <c r="R40" s="262"/>
      <c r="S40" s="263"/>
      <c r="T40" s="263"/>
      <c r="U40" s="263"/>
      <c r="V40" s="652"/>
      <c r="W40" s="652"/>
      <c r="X40" s="652"/>
      <c r="Y40" s="652"/>
      <c r="Z40" s="652"/>
      <c r="AA40" s="263"/>
      <c r="AB40" s="263"/>
      <c r="AC40" s="652"/>
      <c r="AD40" s="652"/>
      <c r="AE40" s="652"/>
      <c r="AF40" s="652"/>
      <c r="AG40" s="652"/>
      <c r="AH40" s="263"/>
      <c r="AI40" s="263"/>
      <c r="AJ40" s="652"/>
      <c r="AK40" s="652"/>
      <c r="AL40" s="652"/>
      <c r="AM40" s="652"/>
      <c r="AN40" s="652"/>
      <c r="AO40" s="400"/>
      <c r="AP40" s="859"/>
      <c r="AQ40" s="860"/>
      <c r="AR40" s="860"/>
      <c r="AS40" s="899"/>
      <c r="AT40" s="899"/>
      <c r="AU40" s="899"/>
      <c r="AV40" s="899"/>
      <c r="AW40" s="899"/>
      <c r="AX40" s="899"/>
      <c r="AY40" s="899"/>
      <c r="AZ40" s="899"/>
      <c r="BA40" s="899"/>
      <c r="BB40" s="899"/>
      <c r="BC40" s="899"/>
      <c r="BD40" s="900"/>
      <c r="BE40" s="713"/>
      <c r="BF40" s="714"/>
      <c r="BG40" s="714"/>
      <c r="BH40" s="714"/>
      <c r="BI40" s="714"/>
      <c r="BJ40" s="714"/>
      <c r="BK40" s="714"/>
      <c r="BL40" s="714"/>
      <c r="BM40" s="714"/>
      <c r="BN40" s="714"/>
      <c r="BO40" s="714"/>
      <c r="BP40" s="714"/>
      <c r="BQ40" s="714"/>
      <c r="BR40" s="714"/>
      <c r="BS40" s="714"/>
      <c r="BT40" s="714"/>
      <c r="BU40" s="714"/>
      <c r="BV40" s="714"/>
      <c r="BW40" s="714"/>
      <c r="BX40" s="714"/>
      <c r="BY40" s="714"/>
      <c r="BZ40" s="714"/>
      <c r="CA40" s="714"/>
      <c r="CB40" s="715"/>
      <c r="CD40" s="382"/>
      <c r="CE40" s="382"/>
      <c r="CF40" s="382"/>
      <c r="CG40" s="382"/>
      <c r="CH40" s="382"/>
      <c r="CI40" s="382"/>
      <c r="CJ40" s="382"/>
      <c r="CK40" s="382"/>
      <c r="CL40" s="382"/>
      <c r="CM40" s="382"/>
      <c r="CN40" s="382"/>
      <c r="CO40" s="382"/>
      <c r="CP40" s="382"/>
      <c r="CQ40" s="382"/>
      <c r="CR40" s="382"/>
      <c r="CS40" s="382"/>
      <c r="CT40" s="382"/>
      <c r="CU40" s="380"/>
      <c r="CV40" s="380"/>
      <c r="CW40" s="380"/>
      <c r="DN40" s="408"/>
      <c r="DO40" s="408"/>
      <c r="DP40" s="408"/>
      <c r="DQ40" s="408"/>
      <c r="DR40" s="408"/>
      <c r="DS40" s="408"/>
      <c r="DT40" s="408"/>
      <c r="DU40" s="408"/>
      <c r="DV40" s="408"/>
      <c r="DW40" s="408"/>
      <c r="DX40" s="408"/>
      <c r="DY40" s="408"/>
      <c r="DZ40" s="408"/>
      <c r="EA40" s="408"/>
      <c r="EB40" s="408"/>
      <c r="EC40" s="5"/>
      <c r="ED40" s="5"/>
      <c r="EE40" s="5"/>
      <c r="EF40" s="5"/>
      <c r="EG40" s="5"/>
      <c r="EH40" s="408"/>
      <c r="EI40" s="408"/>
      <c r="EJ40" s="408"/>
      <c r="EK40" s="408"/>
      <c r="EL40" s="408"/>
      <c r="EM40" s="408"/>
      <c r="EN40" s="408"/>
      <c r="EO40" s="408"/>
      <c r="EP40" s="408"/>
      <c r="EQ40" s="408"/>
      <c r="ER40" s="408"/>
      <c r="ES40" s="408"/>
      <c r="ET40" s="408"/>
      <c r="EU40" s="408"/>
    </row>
    <row r="41" spans="2:151" ht="11.25" customHeight="1">
      <c r="B41" s="122"/>
      <c r="C41" s="723" t="str">
        <f>VLOOKUP(2211,Languages!$A$5:$C$1032,Languages!$A$2,FALSE)</f>
        <v>Repeat failure 
[please tick a box]</v>
      </c>
      <c r="D41" s="724"/>
      <c r="E41" s="724"/>
      <c r="F41" s="724"/>
      <c r="G41" s="724"/>
      <c r="H41" s="724"/>
      <c r="I41" s="724"/>
      <c r="J41" s="724"/>
      <c r="K41" s="724"/>
      <c r="L41" s="724"/>
      <c r="M41" s="724"/>
      <c r="N41" s="724"/>
      <c r="O41" s="724"/>
      <c r="P41" s="724"/>
      <c r="Q41" s="725"/>
      <c r="R41" s="256"/>
      <c r="S41" s="257"/>
      <c r="T41" s="257"/>
      <c r="U41" s="257"/>
      <c r="V41" s="721" t="str">
        <f>VLOOKUP(2212,Languages!$A$5:$C$1006,Languages!$A$2,FALSE)</f>
        <v>Yes</v>
      </c>
      <c r="W41" s="721"/>
      <c r="X41" s="721"/>
      <c r="Y41" s="721"/>
      <c r="Z41" s="721"/>
      <c r="AA41" s="257"/>
      <c r="AB41" s="257"/>
      <c r="AC41" s="721" t="str">
        <f>VLOOKUP(2213,Languages!$A$5:$C$1006,Languages!$A$2,FALSE)</f>
        <v>No</v>
      </c>
      <c r="AD41" s="721"/>
      <c r="AE41" s="721"/>
      <c r="AF41" s="721"/>
      <c r="AG41" s="721"/>
      <c r="AH41" s="257"/>
      <c r="AI41" s="257"/>
      <c r="AJ41" s="257"/>
      <c r="AK41" s="257"/>
      <c r="AL41" s="257"/>
      <c r="AM41" s="257"/>
      <c r="AN41" s="257"/>
      <c r="AO41" s="258"/>
      <c r="AP41" s="859"/>
      <c r="AQ41" s="860"/>
      <c r="AR41" s="860"/>
      <c r="AS41" s="899"/>
      <c r="AT41" s="899"/>
      <c r="AU41" s="899"/>
      <c r="AV41" s="899"/>
      <c r="AW41" s="899"/>
      <c r="AX41" s="899"/>
      <c r="AY41" s="899"/>
      <c r="AZ41" s="899"/>
      <c r="BA41" s="899"/>
      <c r="BB41" s="899"/>
      <c r="BC41" s="899"/>
      <c r="BD41" s="900"/>
      <c r="BE41" s="713"/>
      <c r="BF41" s="714"/>
      <c r="BG41" s="714"/>
      <c r="BH41" s="714"/>
      <c r="BI41" s="714"/>
      <c r="BJ41" s="714"/>
      <c r="BK41" s="714"/>
      <c r="BL41" s="714"/>
      <c r="BM41" s="714"/>
      <c r="BN41" s="714"/>
      <c r="BO41" s="714"/>
      <c r="BP41" s="714"/>
      <c r="BQ41" s="714"/>
      <c r="BR41" s="714"/>
      <c r="BS41" s="714"/>
      <c r="BT41" s="714"/>
      <c r="BU41" s="714"/>
      <c r="BV41" s="714"/>
      <c r="BW41" s="714"/>
      <c r="BX41" s="714"/>
      <c r="BY41" s="714"/>
      <c r="BZ41" s="714"/>
      <c r="CA41" s="714"/>
      <c r="CB41" s="715"/>
      <c r="CC41" s="122"/>
      <c r="CD41" s="382"/>
      <c r="CE41" s="382"/>
      <c r="CF41" s="382"/>
      <c r="CG41" s="382"/>
      <c r="CH41" s="382"/>
      <c r="CI41" s="382"/>
      <c r="CJ41" s="382"/>
      <c r="CK41" s="382"/>
      <c r="CL41" s="382"/>
      <c r="CM41" s="382"/>
      <c r="CN41" s="382"/>
      <c r="CO41" s="382"/>
      <c r="CP41" s="382"/>
      <c r="CQ41" s="382"/>
      <c r="CR41" s="382"/>
      <c r="CS41" s="382"/>
      <c r="CT41" s="382"/>
      <c r="CU41" s="380"/>
      <c r="CV41" s="380"/>
      <c r="CW41" s="380"/>
      <c r="DN41" s="408"/>
      <c r="DO41" s="408"/>
      <c r="DP41" s="408"/>
      <c r="DQ41" s="408"/>
      <c r="DR41" s="408"/>
      <c r="DS41" s="408"/>
      <c r="DT41" s="408"/>
      <c r="DU41" s="408"/>
      <c r="DV41" s="408"/>
      <c r="DW41" s="408"/>
      <c r="DX41" s="408"/>
      <c r="DY41" s="408"/>
      <c r="DZ41" s="408"/>
      <c r="EA41" s="408"/>
      <c r="EB41" s="408"/>
      <c r="EC41" s="5"/>
      <c r="ED41" s="5"/>
      <c r="EE41" s="5"/>
      <c r="EF41" s="5"/>
      <c r="EG41" s="5"/>
      <c r="EH41" s="408"/>
      <c r="EI41" s="408"/>
      <c r="EJ41" s="408"/>
      <c r="EK41" s="408"/>
      <c r="EL41" s="408"/>
      <c r="EM41" s="408"/>
      <c r="EN41" s="408"/>
      <c r="EO41" s="408"/>
      <c r="EP41" s="408"/>
      <c r="EQ41" s="408"/>
      <c r="ER41" s="408"/>
      <c r="ES41" s="408"/>
      <c r="ET41" s="408"/>
      <c r="EU41" s="408"/>
    </row>
    <row r="42" spans="2:151" ht="11.25" customHeight="1">
      <c r="B42" s="122"/>
      <c r="C42" s="726"/>
      <c r="D42" s="727"/>
      <c r="E42" s="727"/>
      <c r="F42" s="727"/>
      <c r="G42" s="727"/>
      <c r="H42" s="727"/>
      <c r="I42" s="727"/>
      <c r="J42" s="727"/>
      <c r="K42" s="727"/>
      <c r="L42" s="727"/>
      <c r="M42" s="727"/>
      <c r="N42" s="727"/>
      <c r="O42" s="727"/>
      <c r="P42" s="727"/>
      <c r="Q42" s="728"/>
      <c r="R42" s="259"/>
      <c r="S42" s="260"/>
      <c r="T42" s="719"/>
      <c r="U42" s="720"/>
      <c r="V42" s="722"/>
      <c r="W42" s="722"/>
      <c r="X42" s="722"/>
      <c r="Y42" s="722"/>
      <c r="Z42" s="722"/>
      <c r="AA42" s="719"/>
      <c r="AB42" s="720"/>
      <c r="AC42" s="722"/>
      <c r="AD42" s="722"/>
      <c r="AE42" s="722"/>
      <c r="AF42" s="722"/>
      <c r="AG42" s="722"/>
      <c r="AH42" s="260"/>
      <c r="AI42" s="260"/>
      <c r="AJ42" s="260"/>
      <c r="AK42" s="260"/>
      <c r="AL42" s="260"/>
      <c r="AM42" s="260"/>
      <c r="AN42" s="260"/>
      <c r="AO42" s="261"/>
      <c r="AP42" s="859"/>
      <c r="AQ42" s="860"/>
      <c r="AR42" s="860"/>
      <c r="AS42" s="899"/>
      <c r="AT42" s="899"/>
      <c r="AU42" s="899"/>
      <c r="AV42" s="899"/>
      <c r="AW42" s="899"/>
      <c r="AX42" s="899"/>
      <c r="AY42" s="899"/>
      <c r="AZ42" s="899"/>
      <c r="BA42" s="899"/>
      <c r="BB42" s="899"/>
      <c r="BC42" s="899"/>
      <c r="BD42" s="900"/>
      <c r="BE42" s="713"/>
      <c r="BF42" s="714"/>
      <c r="BG42" s="714"/>
      <c r="BH42" s="714"/>
      <c r="BI42" s="714"/>
      <c r="BJ42" s="714"/>
      <c r="BK42" s="714"/>
      <c r="BL42" s="714"/>
      <c r="BM42" s="714"/>
      <c r="BN42" s="714"/>
      <c r="BO42" s="714"/>
      <c r="BP42" s="714"/>
      <c r="BQ42" s="714"/>
      <c r="BR42" s="714"/>
      <c r="BS42" s="714"/>
      <c r="BT42" s="714"/>
      <c r="BU42" s="714"/>
      <c r="BV42" s="714"/>
      <c r="BW42" s="714"/>
      <c r="BX42" s="714"/>
      <c r="BY42" s="714"/>
      <c r="BZ42" s="714"/>
      <c r="CA42" s="714"/>
      <c r="CB42" s="715"/>
      <c r="CC42" s="122"/>
      <c r="CD42" s="382"/>
      <c r="CE42" s="382"/>
      <c r="CF42" s="382"/>
      <c r="CG42" s="382"/>
      <c r="CH42" s="382"/>
      <c r="CI42" s="382"/>
      <c r="CJ42" s="382"/>
      <c r="CK42" s="382"/>
      <c r="CL42" s="382"/>
      <c r="CM42" s="382"/>
      <c r="CN42" s="382"/>
      <c r="CO42" s="382"/>
      <c r="CP42" s="382"/>
      <c r="CQ42" s="382"/>
      <c r="CR42" s="382"/>
      <c r="CS42" s="382"/>
      <c r="CT42" s="382"/>
      <c r="CU42" s="380"/>
      <c r="CV42" s="380"/>
      <c r="CW42" s="380"/>
      <c r="DF42" s="277"/>
      <c r="DN42" s="408"/>
      <c r="DO42" s="408"/>
      <c r="DP42" s="408"/>
      <c r="DQ42" s="408"/>
      <c r="DR42" s="408"/>
      <c r="DS42" s="408"/>
      <c r="DT42" s="408"/>
      <c r="DU42" s="408"/>
      <c r="DV42" s="408"/>
      <c r="DW42" s="408"/>
      <c r="DX42" s="408"/>
      <c r="DY42" s="408"/>
      <c r="DZ42" s="408"/>
      <c r="EA42" s="408"/>
      <c r="EB42" s="408"/>
      <c r="EC42" s="5"/>
      <c r="ED42" s="5"/>
      <c r="EE42" s="5"/>
      <c r="EF42" s="5"/>
      <c r="EG42" s="5"/>
      <c r="EH42" s="408"/>
      <c r="EI42" s="408"/>
      <c r="EJ42" s="408"/>
      <c r="EK42" s="408"/>
      <c r="EL42" s="408"/>
      <c r="EM42" s="408"/>
      <c r="EN42" s="408"/>
      <c r="EO42" s="408"/>
      <c r="EP42" s="408"/>
      <c r="EQ42" s="408"/>
      <c r="ER42" s="408"/>
      <c r="ES42" s="408"/>
      <c r="ET42" s="408"/>
      <c r="EU42" s="408"/>
    </row>
    <row r="43" spans="2:151" ht="11.25" customHeight="1">
      <c r="B43" s="122"/>
      <c r="C43" s="726"/>
      <c r="D43" s="727"/>
      <c r="E43" s="727"/>
      <c r="F43" s="727"/>
      <c r="G43" s="727"/>
      <c r="H43" s="727"/>
      <c r="I43" s="727"/>
      <c r="J43" s="727"/>
      <c r="K43" s="727"/>
      <c r="L43" s="727"/>
      <c r="M43" s="727"/>
      <c r="N43" s="727"/>
      <c r="O43" s="727"/>
      <c r="P43" s="727"/>
      <c r="Q43" s="728"/>
      <c r="R43" s="259"/>
      <c r="S43" s="260"/>
      <c r="T43" s="260"/>
      <c r="U43" s="260"/>
      <c r="V43" s="722"/>
      <c r="W43" s="722"/>
      <c r="X43" s="722"/>
      <c r="Y43" s="722"/>
      <c r="Z43" s="722"/>
      <c r="AA43" s="260"/>
      <c r="AB43" s="260"/>
      <c r="AC43" s="722"/>
      <c r="AD43" s="722"/>
      <c r="AE43" s="722"/>
      <c r="AF43" s="722"/>
      <c r="AG43" s="722"/>
      <c r="AH43" s="260"/>
      <c r="AI43" s="260"/>
      <c r="AJ43" s="260"/>
      <c r="AK43" s="260"/>
      <c r="AL43" s="260"/>
      <c r="AM43" s="260"/>
      <c r="AN43" s="260"/>
      <c r="AO43" s="261"/>
      <c r="AP43" s="859"/>
      <c r="AQ43" s="860"/>
      <c r="AR43" s="860"/>
      <c r="AS43" s="899"/>
      <c r="AT43" s="899"/>
      <c r="AU43" s="899"/>
      <c r="AV43" s="899"/>
      <c r="AW43" s="899"/>
      <c r="AX43" s="899"/>
      <c r="AY43" s="899"/>
      <c r="AZ43" s="899"/>
      <c r="BA43" s="899"/>
      <c r="BB43" s="899"/>
      <c r="BC43" s="899"/>
      <c r="BD43" s="900"/>
      <c r="BE43" s="713"/>
      <c r="BF43" s="714"/>
      <c r="BG43" s="714"/>
      <c r="BH43" s="714"/>
      <c r="BI43" s="714"/>
      <c r="BJ43" s="714"/>
      <c r="BK43" s="714"/>
      <c r="BL43" s="714"/>
      <c r="BM43" s="714"/>
      <c r="BN43" s="714"/>
      <c r="BO43" s="714"/>
      <c r="BP43" s="714"/>
      <c r="BQ43" s="714"/>
      <c r="BR43" s="714"/>
      <c r="BS43" s="714"/>
      <c r="BT43" s="714"/>
      <c r="BU43" s="714"/>
      <c r="BV43" s="714"/>
      <c r="BW43" s="714"/>
      <c r="BX43" s="714"/>
      <c r="BY43" s="714"/>
      <c r="BZ43" s="714"/>
      <c r="CA43" s="714"/>
      <c r="CB43" s="715"/>
      <c r="CC43" s="122"/>
      <c r="CD43" s="382"/>
      <c r="CE43" s="382"/>
      <c r="CF43" s="382"/>
      <c r="CG43" s="382"/>
      <c r="CH43" s="382"/>
      <c r="CI43" s="382"/>
      <c r="CJ43" s="382"/>
      <c r="CK43" s="382"/>
      <c r="CL43" s="382"/>
      <c r="CM43" s="382"/>
      <c r="CN43" s="382"/>
      <c r="CO43" s="382"/>
      <c r="CP43" s="382"/>
      <c r="CQ43" s="382"/>
      <c r="CR43" s="382"/>
      <c r="CS43" s="382"/>
      <c r="CT43" s="382"/>
      <c r="CU43" s="380"/>
      <c r="CV43" s="380"/>
      <c r="CW43" s="380"/>
      <c r="DF43" s="277"/>
      <c r="DN43" s="408"/>
      <c r="DO43" s="408"/>
      <c r="DP43" s="408"/>
      <c r="DQ43" s="408"/>
      <c r="DR43" s="408"/>
      <c r="DS43" s="408"/>
      <c r="DT43" s="408"/>
      <c r="DU43" s="408"/>
      <c r="DV43" s="408"/>
      <c r="DW43" s="408"/>
      <c r="DX43" s="408"/>
      <c r="DY43" s="408"/>
      <c r="DZ43" s="408"/>
      <c r="EA43" s="408"/>
      <c r="EB43" s="408"/>
      <c r="EC43" s="5"/>
      <c r="ED43" s="5"/>
      <c r="EE43" s="5"/>
      <c r="EF43" s="5"/>
      <c r="EG43" s="5"/>
      <c r="EH43" s="408"/>
      <c r="EI43" s="408"/>
      <c r="EJ43" s="408"/>
      <c r="EK43" s="408"/>
      <c r="EL43" s="408"/>
      <c r="EM43" s="408"/>
      <c r="EN43" s="408"/>
      <c r="EO43" s="408"/>
      <c r="EP43" s="408"/>
      <c r="EQ43" s="408"/>
      <c r="ER43" s="408"/>
      <c r="ES43" s="408"/>
      <c r="ET43" s="408"/>
      <c r="EU43" s="408"/>
    </row>
    <row r="44" spans="2:151" ht="11.25" customHeight="1">
      <c r="B44" s="122"/>
      <c r="C44" s="726"/>
      <c r="D44" s="727"/>
      <c r="E44" s="727"/>
      <c r="F44" s="727"/>
      <c r="G44" s="727"/>
      <c r="H44" s="727"/>
      <c r="I44" s="727"/>
      <c r="J44" s="727"/>
      <c r="K44" s="727"/>
      <c r="L44" s="727"/>
      <c r="M44" s="727"/>
      <c r="N44" s="727"/>
      <c r="O44" s="727"/>
      <c r="P44" s="727"/>
      <c r="Q44" s="728"/>
      <c r="R44" s="888" t="str">
        <f>VLOOKUP(2214,Languages!$A$5:$C$1032,Languages!$A$2,FALSE)</f>
        <v>If the answer is yes: further actions have to be defined in cooperation with Brose (e.g. additional 100%-control at the supplier or, for the second occurrence, an additional 100%-control at Brose by a third party)</v>
      </c>
      <c r="S44" s="889"/>
      <c r="T44" s="889"/>
      <c r="U44" s="889"/>
      <c r="V44" s="889"/>
      <c r="W44" s="889"/>
      <c r="X44" s="889"/>
      <c r="Y44" s="889"/>
      <c r="Z44" s="889"/>
      <c r="AA44" s="889"/>
      <c r="AB44" s="889"/>
      <c r="AC44" s="889"/>
      <c r="AD44" s="889"/>
      <c r="AE44" s="889"/>
      <c r="AF44" s="889"/>
      <c r="AG44" s="889"/>
      <c r="AH44" s="889"/>
      <c r="AI44" s="889"/>
      <c r="AJ44" s="889"/>
      <c r="AK44" s="889"/>
      <c r="AL44" s="889"/>
      <c r="AM44" s="889"/>
      <c r="AN44" s="889"/>
      <c r="AO44" s="890"/>
      <c r="AP44" s="859"/>
      <c r="AQ44" s="860"/>
      <c r="AR44" s="860"/>
      <c r="AS44" s="899"/>
      <c r="AT44" s="899"/>
      <c r="AU44" s="899"/>
      <c r="AV44" s="899"/>
      <c r="AW44" s="899"/>
      <c r="AX44" s="899"/>
      <c r="AY44" s="899"/>
      <c r="AZ44" s="899"/>
      <c r="BA44" s="899"/>
      <c r="BB44" s="899"/>
      <c r="BC44" s="899"/>
      <c r="BD44" s="900"/>
      <c r="BE44" s="713"/>
      <c r="BF44" s="714"/>
      <c r="BG44" s="714"/>
      <c r="BH44" s="714"/>
      <c r="BI44" s="714"/>
      <c r="BJ44" s="714"/>
      <c r="BK44" s="714"/>
      <c r="BL44" s="714"/>
      <c r="BM44" s="714"/>
      <c r="BN44" s="714"/>
      <c r="BO44" s="714"/>
      <c r="BP44" s="714"/>
      <c r="BQ44" s="714"/>
      <c r="BR44" s="714"/>
      <c r="BS44" s="714"/>
      <c r="BT44" s="714"/>
      <c r="BU44" s="714"/>
      <c r="BV44" s="714"/>
      <c r="BW44" s="714"/>
      <c r="BX44" s="714"/>
      <c r="BY44" s="714"/>
      <c r="BZ44" s="714"/>
      <c r="CA44" s="714"/>
      <c r="CB44" s="715"/>
      <c r="CC44" s="122"/>
      <c r="CD44" s="382"/>
      <c r="CE44" s="382"/>
      <c r="CF44" s="382"/>
      <c r="CG44" s="382"/>
      <c r="CH44" s="382"/>
      <c r="CI44" s="382"/>
      <c r="CJ44" s="382"/>
      <c r="CK44" s="382"/>
      <c r="CL44" s="382"/>
      <c r="CM44" s="382"/>
      <c r="CN44" s="382"/>
      <c r="CO44" s="382"/>
      <c r="CP44" s="382"/>
      <c r="CQ44" s="382"/>
      <c r="CR44" s="382"/>
      <c r="CS44" s="382"/>
      <c r="CT44" s="382"/>
      <c r="CU44" s="380"/>
      <c r="CV44" s="380"/>
      <c r="CW44" s="380"/>
      <c r="DF44" s="277"/>
      <c r="DN44" s="408"/>
      <c r="DO44" s="408"/>
      <c r="DP44" s="408"/>
      <c r="DQ44" s="408"/>
      <c r="DR44" s="408"/>
      <c r="DS44" s="408"/>
      <c r="DT44" s="408"/>
      <c r="DU44" s="408"/>
      <c r="DV44" s="408"/>
      <c r="DW44" s="408"/>
      <c r="DX44" s="408"/>
      <c r="DY44" s="408"/>
      <c r="DZ44" s="408"/>
      <c r="EA44" s="408"/>
      <c r="EB44" s="408"/>
      <c r="EC44" s="5"/>
      <c r="ED44" s="5"/>
      <c r="EE44" s="5"/>
      <c r="EF44" s="5"/>
      <c r="EG44" s="5"/>
      <c r="EH44" s="408"/>
      <c r="EI44" s="408"/>
      <c r="EJ44" s="408"/>
      <c r="EK44" s="408"/>
      <c r="EL44" s="408"/>
      <c r="EM44" s="408"/>
      <c r="EN44" s="408"/>
      <c r="EO44" s="408"/>
      <c r="EP44" s="408"/>
      <c r="EQ44" s="408"/>
      <c r="ER44" s="408"/>
      <c r="ES44" s="408"/>
      <c r="ET44" s="408"/>
      <c r="EU44" s="408"/>
    </row>
    <row r="45" spans="2:151" ht="11.25" customHeight="1">
      <c r="B45" s="122"/>
      <c r="C45" s="726"/>
      <c r="D45" s="727"/>
      <c r="E45" s="727"/>
      <c r="F45" s="727"/>
      <c r="G45" s="727"/>
      <c r="H45" s="727"/>
      <c r="I45" s="727"/>
      <c r="J45" s="727"/>
      <c r="K45" s="727"/>
      <c r="L45" s="727"/>
      <c r="M45" s="727"/>
      <c r="N45" s="727"/>
      <c r="O45" s="727"/>
      <c r="P45" s="727"/>
      <c r="Q45" s="728"/>
      <c r="R45" s="888"/>
      <c r="S45" s="889"/>
      <c r="T45" s="889"/>
      <c r="U45" s="889"/>
      <c r="V45" s="889"/>
      <c r="W45" s="889"/>
      <c r="X45" s="889"/>
      <c r="Y45" s="889"/>
      <c r="Z45" s="889"/>
      <c r="AA45" s="889"/>
      <c r="AB45" s="889"/>
      <c r="AC45" s="889"/>
      <c r="AD45" s="889"/>
      <c r="AE45" s="889"/>
      <c r="AF45" s="889"/>
      <c r="AG45" s="889"/>
      <c r="AH45" s="889"/>
      <c r="AI45" s="889"/>
      <c r="AJ45" s="889"/>
      <c r="AK45" s="889"/>
      <c r="AL45" s="889"/>
      <c r="AM45" s="889"/>
      <c r="AN45" s="889"/>
      <c r="AO45" s="890"/>
      <c r="AP45" s="859"/>
      <c r="AQ45" s="860"/>
      <c r="AR45" s="860"/>
      <c r="AS45" s="899"/>
      <c r="AT45" s="899"/>
      <c r="AU45" s="899"/>
      <c r="AV45" s="899"/>
      <c r="AW45" s="899"/>
      <c r="AX45" s="899"/>
      <c r="AY45" s="899"/>
      <c r="AZ45" s="899"/>
      <c r="BA45" s="899"/>
      <c r="BB45" s="899"/>
      <c r="BC45" s="899"/>
      <c r="BD45" s="900"/>
      <c r="BE45" s="713"/>
      <c r="BF45" s="714"/>
      <c r="BG45" s="714"/>
      <c r="BH45" s="714"/>
      <c r="BI45" s="714"/>
      <c r="BJ45" s="714"/>
      <c r="BK45" s="714"/>
      <c r="BL45" s="714"/>
      <c r="BM45" s="714"/>
      <c r="BN45" s="714"/>
      <c r="BO45" s="714"/>
      <c r="BP45" s="714"/>
      <c r="BQ45" s="714"/>
      <c r="BR45" s="714"/>
      <c r="BS45" s="714"/>
      <c r="BT45" s="714"/>
      <c r="BU45" s="714"/>
      <c r="BV45" s="714"/>
      <c r="BW45" s="714"/>
      <c r="BX45" s="714"/>
      <c r="BY45" s="714"/>
      <c r="BZ45" s="714"/>
      <c r="CA45" s="714"/>
      <c r="CB45" s="715"/>
      <c r="CC45" s="122"/>
      <c r="CD45" s="382"/>
      <c r="CE45" s="382"/>
      <c r="CF45" s="382"/>
      <c r="CG45" s="382"/>
      <c r="CH45" s="382"/>
      <c r="CI45" s="382"/>
      <c r="CJ45" s="382"/>
      <c r="CK45" s="382"/>
      <c r="CL45" s="382"/>
      <c r="CM45" s="382"/>
      <c r="CN45" s="382"/>
      <c r="CO45" s="382"/>
      <c r="CP45" s="382"/>
      <c r="CQ45" s="382"/>
      <c r="CR45" s="382"/>
      <c r="CS45" s="382"/>
      <c r="CT45" s="382"/>
      <c r="CU45" s="380"/>
      <c r="CV45" s="380"/>
      <c r="CW45" s="380"/>
      <c r="DN45" s="408"/>
      <c r="DO45" s="408"/>
      <c r="DP45" s="408"/>
      <c r="DQ45" s="408"/>
      <c r="DR45" s="408"/>
      <c r="DS45" s="408"/>
      <c r="DT45" s="408"/>
      <c r="DU45" s="408"/>
      <c r="DV45" s="408"/>
      <c r="DW45" s="408"/>
      <c r="DX45" s="408"/>
      <c r="DY45" s="408"/>
      <c r="DZ45" s="408"/>
      <c r="EA45" s="408"/>
      <c r="EB45" s="408"/>
      <c r="EC45" s="5"/>
      <c r="ED45" s="5"/>
      <c r="EE45" s="5"/>
      <c r="EF45" s="5"/>
      <c r="EG45" s="5"/>
      <c r="EH45" s="408"/>
      <c r="EI45" s="408"/>
      <c r="EJ45" s="408"/>
      <c r="EK45" s="408"/>
      <c r="EL45" s="408"/>
      <c r="EM45" s="408"/>
      <c r="EN45" s="408"/>
      <c r="EO45" s="408"/>
      <c r="EP45" s="408"/>
      <c r="EQ45" s="408"/>
      <c r="ER45" s="408"/>
      <c r="ES45" s="408"/>
      <c r="ET45" s="408"/>
      <c r="EU45" s="408"/>
    </row>
    <row r="46" spans="2:151" ht="11.25" customHeight="1">
      <c r="B46" s="122"/>
      <c r="C46" s="729"/>
      <c r="D46" s="730"/>
      <c r="E46" s="730"/>
      <c r="F46" s="730"/>
      <c r="G46" s="730"/>
      <c r="H46" s="730"/>
      <c r="I46" s="730"/>
      <c r="J46" s="730"/>
      <c r="K46" s="730"/>
      <c r="L46" s="730"/>
      <c r="M46" s="730"/>
      <c r="N46" s="730"/>
      <c r="O46" s="730"/>
      <c r="P46" s="730"/>
      <c r="Q46" s="731"/>
      <c r="R46" s="891"/>
      <c r="S46" s="892"/>
      <c r="T46" s="892"/>
      <c r="U46" s="892"/>
      <c r="V46" s="892"/>
      <c r="W46" s="892"/>
      <c r="X46" s="892"/>
      <c r="Y46" s="892"/>
      <c r="Z46" s="892"/>
      <c r="AA46" s="892"/>
      <c r="AB46" s="892"/>
      <c r="AC46" s="892"/>
      <c r="AD46" s="892"/>
      <c r="AE46" s="892"/>
      <c r="AF46" s="892"/>
      <c r="AG46" s="892"/>
      <c r="AH46" s="892"/>
      <c r="AI46" s="892"/>
      <c r="AJ46" s="892"/>
      <c r="AK46" s="892"/>
      <c r="AL46" s="892"/>
      <c r="AM46" s="892"/>
      <c r="AN46" s="892"/>
      <c r="AO46" s="893"/>
      <c r="AP46" s="859"/>
      <c r="AQ46" s="860"/>
      <c r="AR46" s="860"/>
      <c r="AS46" s="899"/>
      <c r="AT46" s="899"/>
      <c r="AU46" s="899"/>
      <c r="AV46" s="899"/>
      <c r="AW46" s="899"/>
      <c r="AX46" s="899"/>
      <c r="AY46" s="899"/>
      <c r="AZ46" s="899"/>
      <c r="BA46" s="899"/>
      <c r="BB46" s="899"/>
      <c r="BC46" s="899"/>
      <c r="BD46" s="900"/>
      <c r="BE46" s="713"/>
      <c r="BF46" s="714"/>
      <c r="BG46" s="714"/>
      <c r="BH46" s="714"/>
      <c r="BI46" s="714"/>
      <c r="BJ46" s="714"/>
      <c r="BK46" s="714"/>
      <c r="BL46" s="714"/>
      <c r="BM46" s="714"/>
      <c r="BN46" s="714"/>
      <c r="BO46" s="714"/>
      <c r="BP46" s="714"/>
      <c r="BQ46" s="714"/>
      <c r="BR46" s="714"/>
      <c r="BS46" s="714"/>
      <c r="BT46" s="714"/>
      <c r="BU46" s="714"/>
      <c r="BV46" s="714"/>
      <c r="BW46" s="714"/>
      <c r="BX46" s="714"/>
      <c r="BY46" s="714"/>
      <c r="BZ46" s="714"/>
      <c r="CA46" s="714"/>
      <c r="CB46" s="715"/>
      <c r="CC46" s="122"/>
      <c r="CD46" s="382"/>
      <c r="CE46" s="382"/>
      <c r="CF46" s="382"/>
      <c r="CG46" s="382"/>
      <c r="CH46" s="382"/>
      <c r="CI46" s="382"/>
      <c r="CJ46" s="382"/>
      <c r="CK46" s="382"/>
      <c r="CL46" s="382"/>
      <c r="CM46" s="382"/>
      <c r="CN46" s="382"/>
      <c r="CO46" s="382"/>
      <c r="CP46" s="382"/>
      <c r="CQ46" s="382"/>
      <c r="CR46" s="382"/>
      <c r="CS46" s="382"/>
      <c r="CT46" s="382"/>
      <c r="CU46" s="380"/>
      <c r="CV46" s="380"/>
      <c r="CW46" s="380"/>
      <c r="DN46" s="408"/>
      <c r="DO46" s="408"/>
      <c r="DP46" s="408"/>
      <c r="DQ46" s="408"/>
      <c r="DR46" s="408"/>
      <c r="DS46" s="408"/>
      <c r="DT46" s="408"/>
      <c r="DU46" s="408"/>
      <c r="DV46" s="408"/>
      <c r="DW46" s="408"/>
      <c r="DX46" s="408"/>
      <c r="DY46" s="408"/>
      <c r="DZ46" s="408"/>
      <c r="EA46" s="408"/>
      <c r="EB46" s="408"/>
      <c r="EC46" s="5"/>
      <c r="ED46" s="5"/>
      <c r="EE46" s="5"/>
      <c r="EF46" s="5"/>
      <c r="EG46" s="5"/>
      <c r="EH46" s="408"/>
      <c r="EI46" s="408"/>
      <c r="EJ46" s="408"/>
      <c r="EK46" s="408"/>
      <c r="EL46" s="408"/>
      <c r="EM46" s="408"/>
      <c r="EN46" s="408"/>
      <c r="EO46" s="408"/>
      <c r="EP46" s="408"/>
      <c r="EQ46" s="408"/>
      <c r="ER46" s="408"/>
      <c r="ES46" s="408"/>
      <c r="ET46" s="408"/>
      <c r="EU46" s="408"/>
    </row>
    <row r="47" spans="2:151" ht="11.25" customHeight="1">
      <c r="B47" s="122"/>
      <c r="C47" s="723" t="str">
        <f>VLOOKUP(2215,Languages!$A$5:$C$1032,Languages!$A$2,FALSE)</f>
        <v>Claim date</v>
      </c>
      <c r="D47" s="724"/>
      <c r="E47" s="724"/>
      <c r="F47" s="724"/>
      <c r="G47" s="724"/>
      <c r="H47" s="724"/>
      <c r="I47" s="724"/>
      <c r="J47" s="724"/>
      <c r="K47" s="724"/>
      <c r="L47" s="724"/>
      <c r="M47" s="724"/>
      <c r="N47" s="724"/>
      <c r="O47" s="724"/>
      <c r="P47" s="724"/>
      <c r="Q47" s="725"/>
      <c r="R47" s="736"/>
      <c r="S47" s="737"/>
      <c r="T47" s="737"/>
      <c r="U47" s="737"/>
      <c r="V47" s="737"/>
      <c r="W47" s="737"/>
      <c r="X47" s="737"/>
      <c r="Y47" s="737"/>
      <c r="Z47" s="737"/>
      <c r="AA47" s="737"/>
      <c r="AB47" s="737"/>
      <c r="AC47" s="737"/>
      <c r="AD47" s="737"/>
      <c r="AE47" s="737"/>
      <c r="AF47" s="737"/>
      <c r="AG47" s="737"/>
      <c r="AH47" s="737"/>
      <c r="AI47" s="737"/>
      <c r="AJ47" s="737"/>
      <c r="AK47" s="737"/>
      <c r="AL47" s="737"/>
      <c r="AM47" s="737"/>
      <c r="AN47" s="737"/>
      <c r="AO47" s="738"/>
      <c r="AP47" s="859"/>
      <c r="AQ47" s="860"/>
      <c r="AR47" s="860"/>
      <c r="AS47" s="899"/>
      <c r="AT47" s="899"/>
      <c r="AU47" s="899"/>
      <c r="AV47" s="899"/>
      <c r="AW47" s="899"/>
      <c r="AX47" s="899"/>
      <c r="AY47" s="899"/>
      <c r="AZ47" s="899"/>
      <c r="BA47" s="899"/>
      <c r="BB47" s="899"/>
      <c r="BC47" s="899"/>
      <c r="BD47" s="900"/>
      <c r="BE47" s="713"/>
      <c r="BF47" s="714"/>
      <c r="BG47" s="714"/>
      <c r="BH47" s="714"/>
      <c r="BI47" s="714"/>
      <c r="BJ47" s="714"/>
      <c r="BK47" s="714"/>
      <c r="BL47" s="714"/>
      <c r="BM47" s="714"/>
      <c r="BN47" s="714"/>
      <c r="BO47" s="714"/>
      <c r="BP47" s="714"/>
      <c r="BQ47" s="714"/>
      <c r="BR47" s="714"/>
      <c r="BS47" s="714"/>
      <c r="BT47" s="714"/>
      <c r="BU47" s="714"/>
      <c r="BV47" s="714"/>
      <c r="BW47" s="714"/>
      <c r="BX47" s="714"/>
      <c r="BY47" s="714"/>
      <c r="BZ47" s="714"/>
      <c r="CA47" s="714"/>
      <c r="CB47" s="715"/>
      <c r="CC47" s="122"/>
      <c r="CD47" s="382"/>
      <c r="CE47" s="382"/>
      <c r="CF47" s="382"/>
      <c r="CG47" s="382"/>
      <c r="CH47" s="382"/>
      <c r="CI47" s="382"/>
      <c r="CJ47" s="382"/>
      <c r="CK47" s="382"/>
      <c r="CL47" s="382"/>
      <c r="CM47" s="382"/>
      <c r="CN47" s="382"/>
      <c r="CO47" s="382"/>
      <c r="CP47" s="382"/>
      <c r="CQ47" s="382"/>
      <c r="CR47" s="382"/>
      <c r="CS47" s="382"/>
      <c r="CT47" s="382"/>
      <c r="CU47" s="380"/>
      <c r="CV47" s="380"/>
      <c r="CW47" s="380"/>
      <c r="DN47" s="408"/>
      <c r="DO47" s="408"/>
      <c r="DP47" s="408"/>
      <c r="DQ47" s="408"/>
      <c r="DR47" s="408"/>
      <c r="DS47" s="408"/>
      <c r="DT47" s="408"/>
      <c r="DU47" s="408"/>
      <c r="DV47" s="408"/>
      <c r="DW47" s="408"/>
      <c r="DX47" s="408"/>
      <c r="DY47" s="408"/>
      <c r="DZ47" s="408"/>
      <c r="EA47" s="408"/>
      <c r="EB47" s="408"/>
      <c r="EC47" s="5"/>
      <c r="ED47" s="5"/>
      <c r="EE47" s="5"/>
      <c r="EF47" s="5"/>
      <c r="EG47" s="5"/>
      <c r="EH47" s="408"/>
      <c r="EI47" s="408"/>
      <c r="EJ47" s="408"/>
      <c r="EK47" s="408"/>
      <c r="EL47" s="408"/>
      <c r="EM47" s="408"/>
      <c r="EN47" s="408"/>
      <c r="EO47" s="408"/>
      <c r="EP47" s="408"/>
      <c r="EQ47" s="408"/>
      <c r="ER47" s="408"/>
      <c r="ES47" s="408"/>
      <c r="ET47" s="408"/>
      <c r="EU47" s="408"/>
    </row>
    <row r="48" spans="2:151" ht="11.25" customHeight="1">
      <c r="B48" s="122"/>
      <c r="C48" s="726"/>
      <c r="D48" s="727"/>
      <c r="E48" s="727"/>
      <c r="F48" s="727"/>
      <c r="G48" s="727"/>
      <c r="H48" s="727"/>
      <c r="I48" s="727"/>
      <c r="J48" s="727"/>
      <c r="K48" s="727"/>
      <c r="L48" s="727"/>
      <c r="M48" s="727"/>
      <c r="N48" s="727"/>
      <c r="O48" s="727"/>
      <c r="P48" s="727"/>
      <c r="Q48" s="728"/>
      <c r="R48" s="739"/>
      <c r="S48" s="740"/>
      <c r="T48" s="740"/>
      <c r="U48" s="740"/>
      <c r="V48" s="740"/>
      <c r="W48" s="740"/>
      <c r="X48" s="740"/>
      <c r="Y48" s="740"/>
      <c r="Z48" s="740"/>
      <c r="AA48" s="740"/>
      <c r="AB48" s="740"/>
      <c r="AC48" s="740"/>
      <c r="AD48" s="740"/>
      <c r="AE48" s="740"/>
      <c r="AF48" s="740"/>
      <c r="AG48" s="740"/>
      <c r="AH48" s="740"/>
      <c r="AI48" s="740"/>
      <c r="AJ48" s="740"/>
      <c r="AK48" s="740"/>
      <c r="AL48" s="740"/>
      <c r="AM48" s="740"/>
      <c r="AN48" s="740"/>
      <c r="AO48" s="741"/>
      <c r="AP48" s="859"/>
      <c r="AQ48" s="860"/>
      <c r="AR48" s="860"/>
      <c r="AS48" s="899"/>
      <c r="AT48" s="899"/>
      <c r="AU48" s="899"/>
      <c r="AV48" s="899"/>
      <c r="AW48" s="899"/>
      <c r="AX48" s="899"/>
      <c r="AY48" s="899"/>
      <c r="AZ48" s="899"/>
      <c r="BA48" s="899"/>
      <c r="BB48" s="899"/>
      <c r="BC48" s="899"/>
      <c r="BD48" s="900"/>
      <c r="BE48" s="713"/>
      <c r="BF48" s="714"/>
      <c r="BG48" s="714"/>
      <c r="BH48" s="714"/>
      <c r="BI48" s="714"/>
      <c r="BJ48" s="714"/>
      <c r="BK48" s="714"/>
      <c r="BL48" s="714"/>
      <c r="BM48" s="714"/>
      <c r="BN48" s="714"/>
      <c r="BO48" s="714"/>
      <c r="BP48" s="714"/>
      <c r="BQ48" s="714"/>
      <c r="BR48" s="714"/>
      <c r="BS48" s="714"/>
      <c r="BT48" s="714"/>
      <c r="BU48" s="714"/>
      <c r="BV48" s="714"/>
      <c r="BW48" s="714"/>
      <c r="BX48" s="714"/>
      <c r="BY48" s="714"/>
      <c r="BZ48" s="714"/>
      <c r="CA48" s="714"/>
      <c r="CB48" s="715"/>
      <c r="CC48" s="122"/>
      <c r="CD48" s="382"/>
      <c r="CE48" s="382"/>
      <c r="CF48" s="382"/>
      <c r="CG48" s="382"/>
      <c r="CH48" s="382"/>
      <c r="CI48" s="382"/>
      <c r="CJ48" s="382"/>
      <c r="CK48" s="382"/>
      <c r="CL48" s="382"/>
      <c r="CM48" s="382"/>
      <c r="CN48" s="382"/>
      <c r="CO48" s="382"/>
      <c r="CP48" s="382"/>
      <c r="CQ48" s="382"/>
      <c r="CR48" s="382"/>
      <c r="CS48" s="382"/>
      <c r="CT48" s="382"/>
      <c r="CU48" s="380"/>
      <c r="CV48" s="380"/>
      <c r="CW48" s="380"/>
      <c r="DN48" s="408"/>
      <c r="DO48" s="408"/>
      <c r="DP48" s="408"/>
      <c r="DQ48" s="408"/>
      <c r="DR48" s="408"/>
      <c r="DS48" s="408"/>
      <c r="DT48" s="408"/>
      <c r="DU48" s="408"/>
      <c r="DV48" s="408"/>
      <c r="DW48" s="408"/>
      <c r="DX48" s="408"/>
      <c r="DY48" s="408"/>
      <c r="DZ48" s="408"/>
      <c r="EA48" s="408"/>
      <c r="EB48" s="408"/>
      <c r="EC48" s="5"/>
      <c r="ED48" s="5"/>
      <c r="EE48" s="5"/>
      <c r="EF48" s="5"/>
      <c r="EG48" s="5"/>
      <c r="EH48" s="408"/>
      <c r="EI48" s="408"/>
      <c r="EJ48" s="408"/>
      <c r="EK48" s="408"/>
      <c r="EL48" s="408"/>
      <c r="EM48" s="408"/>
      <c r="EN48" s="408"/>
      <c r="EO48" s="408"/>
      <c r="EP48" s="408"/>
      <c r="EQ48" s="408"/>
      <c r="ER48" s="408"/>
      <c r="ES48" s="408"/>
      <c r="ET48" s="408"/>
      <c r="EU48" s="408"/>
    </row>
    <row r="49" spans="2:151" ht="11.25" customHeight="1">
      <c r="B49" s="122"/>
      <c r="C49" s="729"/>
      <c r="D49" s="730"/>
      <c r="E49" s="730"/>
      <c r="F49" s="730"/>
      <c r="G49" s="730"/>
      <c r="H49" s="730"/>
      <c r="I49" s="730"/>
      <c r="J49" s="730"/>
      <c r="K49" s="730"/>
      <c r="L49" s="730"/>
      <c r="M49" s="730"/>
      <c r="N49" s="730"/>
      <c r="O49" s="730"/>
      <c r="P49" s="730"/>
      <c r="Q49" s="731"/>
      <c r="R49" s="742"/>
      <c r="S49" s="743"/>
      <c r="T49" s="743"/>
      <c r="U49" s="743"/>
      <c r="V49" s="743"/>
      <c r="W49" s="743"/>
      <c r="X49" s="743"/>
      <c r="Y49" s="743"/>
      <c r="Z49" s="743"/>
      <c r="AA49" s="743"/>
      <c r="AB49" s="743"/>
      <c r="AC49" s="743"/>
      <c r="AD49" s="743"/>
      <c r="AE49" s="743"/>
      <c r="AF49" s="743"/>
      <c r="AG49" s="743"/>
      <c r="AH49" s="743"/>
      <c r="AI49" s="743"/>
      <c r="AJ49" s="743"/>
      <c r="AK49" s="743"/>
      <c r="AL49" s="743"/>
      <c r="AM49" s="743"/>
      <c r="AN49" s="743"/>
      <c r="AO49" s="744"/>
      <c r="AP49" s="861"/>
      <c r="AQ49" s="862"/>
      <c r="AR49" s="862"/>
      <c r="AS49" s="901"/>
      <c r="AT49" s="901"/>
      <c r="AU49" s="901"/>
      <c r="AV49" s="901"/>
      <c r="AW49" s="901"/>
      <c r="AX49" s="901"/>
      <c r="AY49" s="901"/>
      <c r="AZ49" s="901"/>
      <c r="BA49" s="901"/>
      <c r="BB49" s="901"/>
      <c r="BC49" s="901"/>
      <c r="BD49" s="902"/>
      <c r="BE49" s="716"/>
      <c r="BF49" s="717"/>
      <c r="BG49" s="717"/>
      <c r="BH49" s="717"/>
      <c r="BI49" s="717"/>
      <c r="BJ49" s="717"/>
      <c r="BK49" s="717"/>
      <c r="BL49" s="717"/>
      <c r="BM49" s="717"/>
      <c r="BN49" s="717"/>
      <c r="BO49" s="717"/>
      <c r="BP49" s="717"/>
      <c r="BQ49" s="717"/>
      <c r="BR49" s="717"/>
      <c r="BS49" s="717"/>
      <c r="BT49" s="717"/>
      <c r="BU49" s="717"/>
      <c r="BV49" s="717"/>
      <c r="BW49" s="717"/>
      <c r="BX49" s="717"/>
      <c r="BY49" s="717"/>
      <c r="BZ49" s="717"/>
      <c r="CA49" s="717"/>
      <c r="CB49" s="718"/>
      <c r="CC49" s="122"/>
      <c r="CD49" s="382"/>
      <c r="CE49" s="382"/>
      <c r="CF49" s="382"/>
      <c r="CG49" s="382"/>
      <c r="CH49" s="382"/>
      <c r="CI49" s="382"/>
      <c r="CJ49" s="382"/>
      <c r="CK49" s="382"/>
      <c r="CL49" s="382"/>
      <c r="CM49" s="382"/>
      <c r="CN49" s="382"/>
      <c r="CO49" s="382"/>
      <c r="CP49" s="382"/>
      <c r="CQ49" s="382"/>
      <c r="CR49" s="382"/>
      <c r="CS49" s="382"/>
      <c r="CT49" s="382"/>
      <c r="CU49" s="380"/>
      <c r="CV49" s="380"/>
      <c r="CW49" s="380"/>
      <c r="DN49" s="408"/>
      <c r="DO49" s="408"/>
      <c r="DP49" s="408"/>
      <c r="DQ49" s="408"/>
      <c r="DR49" s="408"/>
      <c r="DS49" s="408"/>
      <c r="DT49" s="408"/>
      <c r="DU49" s="408"/>
      <c r="DV49" s="408"/>
      <c r="DW49" s="408"/>
      <c r="DX49" s="408"/>
      <c r="DY49" s="408"/>
      <c r="DZ49" s="408"/>
      <c r="EA49" s="408"/>
      <c r="EB49" s="408"/>
      <c r="EC49" s="5"/>
      <c r="ED49" s="5"/>
      <c r="EE49" s="5"/>
      <c r="EF49" s="5"/>
      <c r="EG49" s="5"/>
      <c r="EH49" s="408"/>
      <c r="EI49" s="408"/>
      <c r="EJ49" s="408"/>
      <c r="EK49" s="408"/>
      <c r="EL49" s="408"/>
      <c r="EM49" s="408"/>
      <c r="EN49" s="408"/>
      <c r="EO49" s="408"/>
      <c r="EP49" s="408"/>
      <c r="EQ49" s="408"/>
      <c r="ER49" s="408"/>
      <c r="ES49" s="408"/>
      <c r="ET49" s="408"/>
      <c r="EU49" s="408"/>
    </row>
    <row r="50" spans="2:151" ht="11.25" customHeight="1">
      <c r="B50" s="122"/>
      <c r="C50" s="723" t="str">
        <f>VLOOKUP(2206,Languages!$A$5:$C$1032,Languages!$A$2,FALSE)</f>
        <v>Date when next update of 8D-report will be provided</v>
      </c>
      <c r="D50" s="724"/>
      <c r="E50" s="724"/>
      <c r="F50" s="724"/>
      <c r="G50" s="724"/>
      <c r="H50" s="724"/>
      <c r="I50" s="724"/>
      <c r="J50" s="724"/>
      <c r="K50" s="724"/>
      <c r="L50" s="724"/>
      <c r="M50" s="724"/>
      <c r="N50" s="724"/>
      <c r="O50" s="724"/>
      <c r="P50" s="724"/>
      <c r="Q50" s="725"/>
      <c r="R50" s="736"/>
      <c r="S50" s="737"/>
      <c r="T50" s="737"/>
      <c r="U50" s="737"/>
      <c r="V50" s="737"/>
      <c r="W50" s="737"/>
      <c r="X50" s="737"/>
      <c r="Y50" s="737"/>
      <c r="Z50" s="737"/>
      <c r="AA50" s="737"/>
      <c r="AB50" s="737"/>
      <c r="AC50" s="737"/>
      <c r="AD50" s="737"/>
      <c r="AE50" s="737"/>
      <c r="AF50" s="737"/>
      <c r="AG50" s="737"/>
      <c r="AH50" s="737"/>
      <c r="AI50" s="737"/>
      <c r="AJ50" s="737"/>
      <c r="AK50" s="737"/>
      <c r="AL50" s="737"/>
      <c r="AM50" s="737"/>
      <c r="AN50" s="737"/>
      <c r="AO50" s="738"/>
      <c r="AP50" s="723" t="str">
        <f>VLOOKUP(2226,Languages!$A$5:$C$1032,Languages!$A$2,FALSE)</f>
        <v>Last revision [date of the last 8D-report update]</v>
      </c>
      <c r="AQ50" s="724"/>
      <c r="AR50" s="724"/>
      <c r="AS50" s="724"/>
      <c r="AT50" s="724"/>
      <c r="AU50" s="724"/>
      <c r="AV50" s="724"/>
      <c r="AW50" s="724"/>
      <c r="AX50" s="724"/>
      <c r="AY50" s="724"/>
      <c r="AZ50" s="724"/>
      <c r="BA50" s="724"/>
      <c r="BB50" s="724"/>
      <c r="BC50" s="724"/>
      <c r="BD50" s="725"/>
      <c r="BE50" s="736"/>
      <c r="BF50" s="737"/>
      <c r="BG50" s="737"/>
      <c r="BH50" s="737"/>
      <c r="BI50" s="737"/>
      <c r="BJ50" s="737"/>
      <c r="BK50" s="737"/>
      <c r="BL50" s="737"/>
      <c r="BM50" s="737"/>
      <c r="BN50" s="737"/>
      <c r="BO50" s="737"/>
      <c r="BP50" s="737"/>
      <c r="BQ50" s="737"/>
      <c r="BR50" s="737"/>
      <c r="BS50" s="737"/>
      <c r="BT50" s="737"/>
      <c r="BU50" s="737"/>
      <c r="BV50" s="737"/>
      <c r="BW50" s="737"/>
      <c r="BX50" s="737"/>
      <c r="BY50" s="737"/>
      <c r="BZ50" s="737"/>
      <c r="CA50" s="737"/>
      <c r="CB50" s="738"/>
      <c r="CC50" s="122"/>
      <c r="CD50" s="382"/>
      <c r="CE50" s="382"/>
      <c r="CF50" s="382"/>
      <c r="CG50" s="382"/>
      <c r="CH50" s="382"/>
      <c r="CI50" s="382"/>
      <c r="CJ50" s="382"/>
      <c r="CK50" s="382"/>
      <c r="CL50" s="382"/>
      <c r="CM50" s="382"/>
      <c r="CN50" s="382"/>
      <c r="CO50" s="382"/>
      <c r="CP50" s="382"/>
      <c r="CQ50" s="382"/>
      <c r="CR50" s="382"/>
      <c r="CS50" s="382"/>
      <c r="CT50" s="382"/>
      <c r="CU50" s="380"/>
      <c r="CV50" s="380"/>
      <c r="CW50" s="380"/>
      <c r="DN50" s="408"/>
      <c r="DO50" s="408"/>
      <c r="DP50" s="408"/>
      <c r="DQ50" s="408"/>
      <c r="DR50" s="408"/>
      <c r="DS50" s="408"/>
      <c r="DT50" s="408"/>
      <c r="DU50" s="408"/>
      <c r="DV50" s="408"/>
      <c r="DW50" s="408"/>
      <c r="DX50" s="408"/>
      <c r="DY50" s="408"/>
      <c r="DZ50" s="408"/>
      <c r="EA50" s="408"/>
      <c r="EB50" s="408"/>
      <c r="EC50" s="5"/>
      <c r="ED50" s="5"/>
      <c r="EE50" s="5"/>
      <c r="EF50" s="5"/>
      <c r="EG50" s="5"/>
      <c r="EH50" s="408"/>
      <c r="EI50" s="408"/>
      <c r="EJ50" s="408"/>
      <c r="EK50" s="408"/>
      <c r="EL50" s="408"/>
      <c r="EM50" s="408"/>
      <c r="EN50" s="408"/>
      <c r="EO50" s="408"/>
      <c r="EP50" s="408"/>
      <c r="EQ50" s="408"/>
      <c r="ER50" s="408"/>
      <c r="ES50" s="408"/>
      <c r="ET50" s="408"/>
      <c r="EU50" s="408"/>
    </row>
    <row r="51" spans="2:151" ht="11.25" customHeight="1">
      <c r="B51" s="122"/>
      <c r="C51" s="726"/>
      <c r="D51" s="727"/>
      <c r="E51" s="727"/>
      <c r="F51" s="727"/>
      <c r="G51" s="727"/>
      <c r="H51" s="727"/>
      <c r="I51" s="727"/>
      <c r="J51" s="727"/>
      <c r="K51" s="727"/>
      <c r="L51" s="727"/>
      <c r="M51" s="727"/>
      <c r="N51" s="727"/>
      <c r="O51" s="727"/>
      <c r="P51" s="727"/>
      <c r="Q51" s="728"/>
      <c r="R51" s="739"/>
      <c r="S51" s="740"/>
      <c r="T51" s="740"/>
      <c r="U51" s="740"/>
      <c r="V51" s="740"/>
      <c r="W51" s="740"/>
      <c r="X51" s="740"/>
      <c r="Y51" s="740"/>
      <c r="Z51" s="740"/>
      <c r="AA51" s="740"/>
      <c r="AB51" s="740"/>
      <c r="AC51" s="740"/>
      <c r="AD51" s="740"/>
      <c r="AE51" s="740"/>
      <c r="AF51" s="740"/>
      <c r="AG51" s="740"/>
      <c r="AH51" s="740"/>
      <c r="AI51" s="740"/>
      <c r="AJ51" s="740"/>
      <c r="AK51" s="740"/>
      <c r="AL51" s="740"/>
      <c r="AM51" s="740"/>
      <c r="AN51" s="740"/>
      <c r="AO51" s="741"/>
      <c r="AP51" s="726"/>
      <c r="AQ51" s="727"/>
      <c r="AR51" s="727"/>
      <c r="AS51" s="727"/>
      <c r="AT51" s="727"/>
      <c r="AU51" s="727"/>
      <c r="AV51" s="727"/>
      <c r="AW51" s="727"/>
      <c r="AX51" s="727"/>
      <c r="AY51" s="727"/>
      <c r="AZ51" s="727"/>
      <c r="BA51" s="727"/>
      <c r="BB51" s="727"/>
      <c r="BC51" s="727"/>
      <c r="BD51" s="728"/>
      <c r="BE51" s="739"/>
      <c r="BF51" s="740"/>
      <c r="BG51" s="740"/>
      <c r="BH51" s="740"/>
      <c r="BI51" s="740"/>
      <c r="BJ51" s="740"/>
      <c r="BK51" s="740"/>
      <c r="BL51" s="740"/>
      <c r="BM51" s="740"/>
      <c r="BN51" s="740"/>
      <c r="BO51" s="740"/>
      <c r="BP51" s="740"/>
      <c r="BQ51" s="740"/>
      <c r="BR51" s="740"/>
      <c r="BS51" s="740"/>
      <c r="BT51" s="740"/>
      <c r="BU51" s="740"/>
      <c r="BV51" s="740"/>
      <c r="BW51" s="740"/>
      <c r="BX51" s="740"/>
      <c r="BY51" s="740"/>
      <c r="BZ51" s="740"/>
      <c r="CA51" s="740"/>
      <c r="CB51" s="741"/>
      <c r="CC51" s="122"/>
      <c r="CD51" s="382"/>
      <c r="CE51" s="382"/>
      <c r="CF51" s="382"/>
      <c r="CG51" s="382"/>
      <c r="CH51" s="382"/>
      <c r="CI51" s="382"/>
      <c r="CJ51" s="382"/>
      <c r="CK51" s="382"/>
      <c r="CL51" s="382"/>
      <c r="CM51" s="382"/>
      <c r="CN51" s="382"/>
      <c r="CO51" s="382"/>
      <c r="CP51" s="382"/>
      <c r="CQ51" s="382"/>
      <c r="CR51" s="382"/>
      <c r="CS51" s="382"/>
      <c r="CT51" s="382"/>
      <c r="CU51" s="380"/>
      <c r="CV51" s="380"/>
      <c r="CW51" s="380"/>
      <c r="CX51" s="54"/>
    </row>
    <row r="52" spans="2:151" ht="11.25" customHeight="1">
      <c r="B52" s="122"/>
      <c r="C52" s="729"/>
      <c r="D52" s="730"/>
      <c r="E52" s="730"/>
      <c r="F52" s="730"/>
      <c r="G52" s="730"/>
      <c r="H52" s="730"/>
      <c r="I52" s="730"/>
      <c r="J52" s="730"/>
      <c r="K52" s="730"/>
      <c r="L52" s="730"/>
      <c r="M52" s="730"/>
      <c r="N52" s="730"/>
      <c r="O52" s="730"/>
      <c r="P52" s="730"/>
      <c r="Q52" s="731"/>
      <c r="R52" s="742"/>
      <c r="S52" s="743"/>
      <c r="T52" s="743"/>
      <c r="U52" s="743"/>
      <c r="V52" s="743"/>
      <c r="W52" s="743"/>
      <c r="X52" s="743"/>
      <c r="Y52" s="743"/>
      <c r="Z52" s="743"/>
      <c r="AA52" s="743"/>
      <c r="AB52" s="743"/>
      <c r="AC52" s="743"/>
      <c r="AD52" s="743"/>
      <c r="AE52" s="743"/>
      <c r="AF52" s="743"/>
      <c r="AG52" s="743"/>
      <c r="AH52" s="743"/>
      <c r="AI52" s="743"/>
      <c r="AJ52" s="743"/>
      <c r="AK52" s="743"/>
      <c r="AL52" s="743"/>
      <c r="AM52" s="743"/>
      <c r="AN52" s="743"/>
      <c r="AO52" s="744"/>
      <c r="AP52" s="729"/>
      <c r="AQ52" s="730"/>
      <c r="AR52" s="730"/>
      <c r="AS52" s="730"/>
      <c r="AT52" s="730"/>
      <c r="AU52" s="730"/>
      <c r="AV52" s="730"/>
      <c r="AW52" s="730"/>
      <c r="AX52" s="730"/>
      <c r="AY52" s="730"/>
      <c r="AZ52" s="730"/>
      <c r="BA52" s="730"/>
      <c r="BB52" s="730"/>
      <c r="BC52" s="730"/>
      <c r="BD52" s="731"/>
      <c r="BE52" s="742"/>
      <c r="BF52" s="743"/>
      <c r="BG52" s="743"/>
      <c r="BH52" s="743"/>
      <c r="BI52" s="743"/>
      <c r="BJ52" s="743"/>
      <c r="BK52" s="743"/>
      <c r="BL52" s="743"/>
      <c r="BM52" s="743"/>
      <c r="BN52" s="743"/>
      <c r="BO52" s="743"/>
      <c r="BP52" s="743"/>
      <c r="BQ52" s="743"/>
      <c r="BR52" s="743"/>
      <c r="BS52" s="743"/>
      <c r="BT52" s="743"/>
      <c r="BU52" s="743"/>
      <c r="BV52" s="743"/>
      <c r="BW52" s="743"/>
      <c r="BX52" s="743"/>
      <c r="BY52" s="743"/>
      <c r="BZ52" s="743"/>
      <c r="CA52" s="743"/>
      <c r="CB52" s="744"/>
      <c r="CC52" s="122"/>
      <c r="CD52" s="382"/>
      <c r="CE52" s="382"/>
      <c r="CF52" s="382"/>
      <c r="CG52" s="382"/>
      <c r="CH52" s="382"/>
      <c r="CI52" s="382"/>
      <c r="CJ52" s="382"/>
      <c r="CK52" s="382"/>
      <c r="CL52" s="382"/>
      <c r="CM52" s="382"/>
      <c r="CN52" s="382"/>
      <c r="CO52" s="382"/>
      <c r="CP52" s="382"/>
      <c r="CQ52" s="382"/>
      <c r="CR52" s="382"/>
      <c r="CS52" s="382"/>
      <c r="CT52" s="382"/>
      <c r="CU52" s="380"/>
      <c r="CV52" s="380"/>
      <c r="CW52" s="380"/>
      <c r="CX52" s="54"/>
    </row>
    <row r="53" spans="2:151" ht="11.25" customHeight="1">
      <c r="B53" s="122"/>
      <c r="C53" s="723" t="str">
        <f>VLOOKUP(2216,Languages!$A$5:$C$1032,Languages!$A$2,FALSE)</f>
        <v>Brose part number
[format XXXXXX-XXX]</v>
      </c>
      <c r="D53" s="724"/>
      <c r="E53" s="724"/>
      <c r="F53" s="724"/>
      <c r="G53" s="724"/>
      <c r="H53" s="724"/>
      <c r="I53" s="724"/>
      <c r="J53" s="724"/>
      <c r="K53" s="724"/>
      <c r="L53" s="724"/>
      <c r="M53" s="724"/>
      <c r="N53" s="724"/>
      <c r="O53" s="724"/>
      <c r="P53" s="724"/>
      <c r="Q53" s="725"/>
      <c r="R53" s="710"/>
      <c r="S53" s="711"/>
      <c r="T53" s="711"/>
      <c r="U53" s="711"/>
      <c r="V53" s="711"/>
      <c r="W53" s="711"/>
      <c r="X53" s="711"/>
      <c r="Y53" s="711"/>
      <c r="Z53" s="711"/>
      <c r="AA53" s="711"/>
      <c r="AB53" s="711"/>
      <c r="AC53" s="711"/>
      <c r="AD53" s="711"/>
      <c r="AE53" s="711"/>
      <c r="AF53" s="711"/>
      <c r="AG53" s="711"/>
      <c r="AH53" s="711"/>
      <c r="AI53" s="711"/>
      <c r="AJ53" s="711"/>
      <c r="AK53" s="711"/>
      <c r="AL53" s="711"/>
      <c r="AM53" s="711"/>
      <c r="AN53" s="711"/>
      <c r="AO53" s="712"/>
      <c r="AP53" s="723" t="str">
        <f>VLOOKUP(2227,Languages!$A$5:$C$1032,Languages!$A$2,FALSE)</f>
        <v>Supplier part number(s)</v>
      </c>
      <c r="AQ53" s="724"/>
      <c r="AR53" s="724"/>
      <c r="AS53" s="724"/>
      <c r="AT53" s="724"/>
      <c r="AU53" s="724"/>
      <c r="AV53" s="724"/>
      <c r="AW53" s="724"/>
      <c r="AX53" s="724"/>
      <c r="AY53" s="724"/>
      <c r="AZ53" s="724"/>
      <c r="BA53" s="724"/>
      <c r="BB53" s="724"/>
      <c r="BC53" s="724"/>
      <c r="BD53" s="725"/>
      <c r="BE53" s="710"/>
      <c r="BF53" s="711"/>
      <c r="BG53" s="711"/>
      <c r="BH53" s="711"/>
      <c r="BI53" s="711"/>
      <c r="BJ53" s="711"/>
      <c r="BK53" s="711"/>
      <c r="BL53" s="711"/>
      <c r="BM53" s="711"/>
      <c r="BN53" s="711"/>
      <c r="BO53" s="711"/>
      <c r="BP53" s="711"/>
      <c r="BQ53" s="711"/>
      <c r="BR53" s="711"/>
      <c r="BS53" s="711"/>
      <c r="BT53" s="711"/>
      <c r="BU53" s="711"/>
      <c r="BV53" s="711"/>
      <c r="BW53" s="711"/>
      <c r="BX53" s="711"/>
      <c r="BY53" s="711"/>
      <c r="BZ53" s="711"/>
      <c r="CA53" s="711"/>
      <c r="CB53" s="712"/>
      <c r="CC53" s="122"/>
      <c r="CD53" s="382"/>
      <c r="CE53" s="382"/>
      <c r="CF53" s="382"/>
      <c r="CG53" s="382"/>
      <c r="CH53" s="382"/>
      <c r="CI53" s="382"/>
      <c r="CJ53" s="382"/>
      <c r="CK53" s="382"/>
      <c r="CL53" s="382"/>
      <c r="CM53" s="382"/>
      <c r="CN53" s="382"/>
      <c r="CO53" s="382"/>
      <c r="CP53" s="382"/>
      <c r="CQ53" s="382"/>
      <c r="CR53" s="382"/>
      <c r="CS53" s="382"/>
      <c r="CT53" s="382"/>
      <c r="CU53" s="380"/>
      <c r="CV53" s="388"/>
      <c r="CW53" s="380"/>
      <c r="CX53" s="54"/>
    </row>
    <row r="54" spans="2:151" ht="11.25" customHeight="1">
      <c r="B54" s="122"/>
      <c r="C54" s="726"/>
      <c r="D54" s="727"/>
      <c r="E54" s="727"/>
      <c r="F54" s="727"/>
      <c r="G54" s="727"/>
      <c r="H54" s="727"/>
      <c r="I54" s="727"/>
      <c r="J54" s="727"/>
      <c r="K54" s="727"/>
      <c r="L54" s="727"/>
      <c r="M54" s="727"/>
      <c r="N54" s="727"/>
      <c r="O54" s="727"/>
      <c r="P54" s="727"/>
      <c r="Q54" s="728"/>
      <c r="R54" s="713"/>
      <c r="S54" s="714"/>
      <c r="T54" s="714"/>
      <c r="U54" s="714"/>
      <c r="V54" s="714"/>
      <c r="W54" s="714"/>
      <c r="X54" s="714"/>
      <c r="Y54" s="714"/>
      <c r="Z54" s="714"/>
      <c r="AA54" s="714"/>
      <c r="AB54" s="714"/>
      <c r="AC54" s="714"/>
      <c r="AD54" s="714"/>
      <c r="AE54" s="714"/>
      <c r="AF54" s="714"/>
      <c r="AG54" s="714"/>
      <c r="AH54" s="714"/>
      <c r="AI54" s="714"/>
      <c r="AJ54" s="714"/>
      <c r="AK54" s="714"/>
      <c r="AL54" s="714"/>
      <c r="AM54" s="714"/>
      <c r="AN54" s="714"/>
      <c r="AO54" s="715"/>
      <c r="AP54" s="726"/>
      <c r="AQ54" s="727"/>
      <c r="AR54" s="727"/>
      <c r="AS54" s="727"/>
      <c r="AT54" s="727"/>
      <c r="AU54" s="727"/>
      <c r="AV54" s="727"/>
      <c r="AW54" s="727"/>
      <c r="AX54" s="727"/>
      <c r="AY54" s="727"/>
      <c r="AZ54" s="727"/>
      <c r="BA54" s="727"/>
      <c r="BB54" s="727"/>
      <c r="BC54" s="727"/>
      <c r="BD54" s="728"/>
      <c r="BE54" s="713"/>
      <c r="BF54" s="714"/>
      <c r="BG54" s="714"/>
      <c r="BH54" s="714"/>
      <c r="BI54" s="714"/>
      <c r="BJ54" s="714"/>
      <c r="BK54" s="714"/>
      <c r="BL54" s="714"/>
      <c r="BM54" s="714"/>
      <c r="BN54" s="714"/>
      <c r="BO54" s="714"/>
      <c r="BP54" s="714"/>
      <c r="BQ54" s="714"/>
      <c r="BR54" s="714"/>
      <c r="BS54" s="714"/>
      <c r="BT54" s="714"/>
      <c r="BU54" s="714"/>
      <c r="BV54" s="714"/>
      <c r="BW54" s="714"/>
      <c r="BX54" s="714"/>
      <c r="BY54" s="714"/>
      <c r="BZ54" s="714"/>
      <c r="CA54" s="714"/>
      <c r="CB54" s="715"/>
      <c r="CC54" s="122"/>
      <c r="CD54" s="382"/>
      <c r="CE54" s="382"/>
      <c r="CF54" s="382"/>
      <c r="CG54" s="382"/>
      <c r="CH54" s="382"/>
      <c r="CI54" s="382"/>
      <c r="CJ54" s="382"/>
      <c r="CK54" s="382"/>
      <c r="CL54" s="382"/>
      <c r="CM54" s="382"/>
      <c r="CN54" s="382"/>
      <c r="CO54" s="382"/>
      <c r="CP54" s="382"/>
      <c r="CQ54" s="382"/>
      <c r="CR54" s="382"/>
      <c r="CS54" s="382"/>
      <c r="CT54" s="382"/>
      <c r="CU54" s="380"/>
      <c r="CV54" s="380"/>
      <c r="CW54" s="380"/>
      <c r="CX54" s="54"/>
    </row>
    <row r="55" spans="2:151" ht="11.25" customHeight="1">
      <c r="B55" s="122"/>
      <c r="C55" s="729"/>
      <c r="D55" s="730"/>
      <c r="E55" s="730"/>
      <c r="F55" s="730"/>
      <c r="G55" s="730"/>
      <c r="H55" s="730"/>
      <c r="I55" s="730"/>
      <c r="J55" s="730"/>
      <c r="K55" s="730"/>
      <c r="L55" s="730"/>
      <c r="M55" s="730"/>
      <c r="N55" s="730"/>
      <c r="O55" s="730"/>
      <c r="P55" s="730"/>
      <c r="Q55" s="731"/>
      <c r="R55" s="716"/>
      <c r="S55" s="717"/>
      <c r="T55" s="717"/>
      <c r="U55" s="717"/>
      <c r="V55" s="717"/>
      <c r="W55" s="717"/>
      <c r="X55" s="717"/>
      <c r="Y55" s="717"/>
      <c r="Z55" s="717"/>
      <c r="AA55" s="717"/>
      <c r="AB55" s="717"/>
      <c r="AC55" s="717"/>
      <c r="AD55" s="717"/>
      <c r="AE55" s="717"/>
      <c r="AF55" s="717"/>
      <c r="AG55" s="717"/>
      <c r="AH55" s="717"/>
      <c r="AI55" s="717"/>
      <c r="AJ55" s="717"/>
      <c r="AK55" s="717"/>
      <c r="AL55" s="717"/>
      <c r="AM55" s="717"/>
      <c r="AN55" s="717"/>
      <c r="AO55" s="718"/>
      <c r="AP55" s="729"/>
      <c r="AQ55" s="730"/>
      <c r="AR55" s="730"/>
      <c r="AS55" s="730"/>
      <c r="AT55" s="730"/>
      <c r="AU55" s="730"/>
      <c r="AV55" s="730"/>
      <c r="AW55" s="730"/>
      <c r="AX55" s="730"/>
      <c r="AY55" s="730"/>
      <c r="AZ55" s="730"/>
      <c r="BA55" s="730"/>
      <c r="BB55" s="730"/>
      <c r="BC55" s="730"/>
      <c r="BD55" s="731"/>
      <c r="BE55" s="716"/>
      <c r="BF55" s="717"/>
      <c r="BG55" s="717"/>
      <c r="BH55" s="717"/>
      <c r="BI55" s="717"/>
      <c r="BJ55" s="717"/>
      <c r="BK55" s="717"/>
      <c r="BL55" s="717"/>
      <c r="BM55" s="717"/>
      <c r="BN55" s="717"/>
      <c r="BO55" s="717"/>
      <c r="BP55" s="717"/>
      <c r="BQ55" s="717"/>
      <c r="BR55" s="717"/>
      <c r="BS55" s="717"/>
      <c r="BT55" s="717"/>
      <c r="BU55" s="717"/>
      <c r="BV55" s="717"/>
      <c r="BW55" s="717"/>
      <c r="BX55" s="717"/>
      <c r="BY55" s="717"/>
      <c r="BZ55" s="717"/>
      <c r="CA55" s="717"/>
      <c r="CB55" s="718"/>
      <c r="CC55" s="122"/>
      <c r="CD55" s="382"/>
      <c r="CE55" s="382"/>
      <c r="CF55" s="382"/>
      <c r="CG55" s="382"/>
      <c r="CH55" s="382"/>
      <c r="CI55" s="382"/>
      <c r="CJ55" s="382"/>
      <c r="CK55" s="382"/>
      <c r="CL55" s="382"/>
      <c r="CM55" s="382"/>
      <c r="CN55" s="382"/>
      <c r="CO55" s="382"/>
      <c r="CP55" s="382"/>
      <c r="CQ55" s="382"/>
      <c r="CR55" s="382"/>
      <c r="CS55" s="382"/>
      <c r="CT55" s="382"/>
      <c r="CU55" s="380"/>
      <c r="CV55" s="380"/>
      <c r="CW55" s="380"/>
      <c r="CX55" s="54"/>
    </row>
    <row r="56" spans="2:151" ht="11.25" customHeight="1">
      <c r="B56" s="122"/>
      <c r="C56" s="723" t="str">
        <f>VLOOKUP(2217,Languages!$A$5:$C$1032,Languages!$A$2,FALSE)</f>
        <v>Rejected quantity</v>
      </c>
      <c r="D56" s="724"/>
      <c r="E56" s="724"/>
      <c r="F56" s="724"/>
      <c r="G56" s="724"/>
      <c r="H56" s="724"/>
      <c r="I56" s="724"/>
      <c r="J56" s="724"/>
      <c r="K56" s="724"/>
      <c r="L56" s="724"/>
      <c r="M56" s="724"/>
      <c r="N56" s="724"/>
      <c r="O56" s="724"/>
      <c r="P56" s="724"/>
      <c r="Q56" s="725"/>
      <c r="R56" s="770"/>
      <c r="S56" s="771"/>
      <c r="T56" s="771"/>
      <c r="U56" s="771"/>
      <c r="V56" s="771"/>
      <c r="W56" s="771"/>
      <c r="X56" s="771"/>
      <c r="Y56" s="771"/>
      <c r="Z56" s="771"/>
      <c r="AA56" s="771"/>
      <c r="AB56" s="771"/>
      <c r="AC56" s="771"/>
      <c r="AD56" s="771"/>
      <c r="AE56" s="771"/>
      <c r="AF56" s="771"/>
      <c r="AG56" s="771"/>
      <c r="AH56" s="771"/>
      <c r="AI56" s="771"/>
      <c r="AJ56" s="771"/>
      <c r="AK56" s="771"/>
      <c r="AL56" s="771"/>
      <c r="AM56" s="771"/>
      <c r="AN56" s="771"/>
      <c r="AO56" s="772"/>
      <c r="AP56" s="723" t="str">
        <f>VLOOKUP(2228,Languages!$A$5:$C$1032,Languages!$A$2,FALSE)</f>
        <v>Amount of defective parts</v>
      </c>
      <c r="AQ56" s="724"/>
      <c r="AR56" s="724"/>
      <c r="AS56" s="724"/>
      <c r="AT56" s="724"/>
      <c r="AU56" s="724"/>
      <c r="AV56" s="724"/>
      <c r="AW56" s="724"/>
      <c r="AX56" s="724"/>
      <c r="AY56" s="724"/>
      <c r="AZ56" s="724"/>
      <c r="BA56" s="724"/>
      <c r="BB56" s="724"/>
      <c r="BC56" s="724"/>
      <c r="BD56" s="725"/>
      <c r="BE56" s="770"/>
      <c r="BF56" s="771"/>
      <c r="BG56" s="771"/>
      <c r="BH56" s="771"/>
      <c r="BI56" s="771"/>
      <c r="BJ56" s="771"/>
      <c r="BK56" s="771"/>
      <c r="BL56" s="771"/>
      <c r="BM56" s="771"/>
      <c r="BN56" s="771"/>
      <c r="BO56" s="771"/>
      <c r="BP56" s="771"/>
      <c r="BQ56" s="771"/>
      <c r="BR56" s="771"/>
      <c r="BS56" s="771"/>
      <c r="BT56" s="771"/>
      <c r="BU56" s="771"/>
      <c r="BV56" s="771"/>
      <c r="BW56" s="771"/>
      <c r="BX56" s="771"/>
      <c r="BY56" s="771"/>
      <c r="BZ56" s="771"/>
      <c r="CA56" s="771"/>
      <c r="CB56" s="772"/>
      <c r="CC56" s="122"/>
      <c r="CD56" s="382"/>
      <c r="CE56" s="382"/>
      <c r="CF56" s="382"/>
      <c r="CG56" s="382"/>
      <c r="CH56" s="382"/>
      <c r="CI56" s="382"/>
      <c r="CJ56" s="382"/>
      <c r="CK56" s="382"/>
      <c r="CL56" s="382"/>
      <c r="CM56" s="382"/>
      <c r="CN56" s="382"/>
      <c r="CO56" s="382"/>
      <c r="CP56" s="382"/>
      <c r="CQ56" s="382"/>
      <c r="CR56" s="382"/>
      <c r="CS56" s="382"/>
      <c r="CT56" s="382"/>
      <c r="DG56" s="10"/>
      <c r="DJ56" s="22"/>
      <c r="DK56" s="22"/>
      <c r="DL56" s="394"/>
      <c r="DM56" s="394"/>
      <c r="DN56" s="25"/>
      <c r="DO56" s="25"/>
      <c r="DP56" s="25"/>
      <c r="DQ56" s="25"/>
      <c r="DR56" s="25"/>
    </row>
    <row r="57" spans="2:151" ht="11.25" customHeight="1">
      <c r="B57" s="122"/>
      <c r="C57" s="726"/>
      <c r="D57" s="727"/>
      <c r="E57" s="727"/>
      <c r="F57" s="727"/>
      <c r="G57" s="727"/>
      <c r="H57" s="727"/>
      <c r="I57" s="727"/>
      <c r="J57" s="727"/>
      <c r="K57" s="727"/>
      <c r="L57" s="727"/>
      <c r="M57" s="727"/>
      <c r="N57" s="727"/>
      <c r="O57" s="727"/>
      <c r="P57" s="727"/>
      <c r="Q57" s="728"/>
      <c r="R57" s="818"/>
      <c r="S57" s="819"/>
      <c r="T57" s="819"/>
      <c r="U57" s="819"/>
      <c r="V57" s="819"/>
      <c r="W57" s="819"/>
      <c r="X57" s="819"/>
      <c r="Y57" s="819"/>
      <c r="Z57" s="819"/>
      <c r="AA57" s="819"/>
      <c r="AB57" s="819"/>
      <c r="AC57" s="819"/>
      <c r="AD57" s="819"/>
      <c r="AE57" s="819"/>
      <c r="AF57" s="819"/>
      <c r="AG57" s="819"/>
      <c r="AH57" s="819"/>
      <c r="AI57" s="819"/>
      <c r="AJ57" s="819"/>
      <c r="AK57" s="819"/>
      <c r="AL57" s="819"/>
      <c r="AM57" s="819"/>
      <c r="AN57" s="819"/>
      <c r="AO57" s="820"/>
      <c r="AP57" s="726"/>
      <c r="AQ57" s="727"/>
      <c r="AR57" s="727"/>
      <c r="AS57" s="727"/>
      <c r="AT57" s="727"/>
      <c r="AU57" s="727"/>
      <c r="AV57" s="727"/>
      <c r="AW57" s="727"/>
      <c r="AX57" s="727"/>
      <c r="AY57" s="727"/>
      <c r="AZ57" s="727"/>
      <c r="BA57" s="727"/>
      <c r="BB57" s="727"/>
      <c r="BC57" s="727"/>
      <c r="BD57" s="728"/>
      <c r="BE57" s="818"/>
      <c r="BF57" s="819"/>
      <c r="BG57" s="819"/>
      <c r="BH57" s="819"/>
      <c r="BI57" s="819"/>
      <c r="BJ57" s="819"/>
      <c r="BK57" s="819"/>
      <c r="BL57" s="819"/>
      <c r="BM57" s="819"/>
      <c r="BN57" s="819"/>
      <c r="BO57" s="819"/>
      <c r="BP57" s="819"/>
      <c r="BQ57" s="819"/>
      <c r="BR57" s="819"/>
      <c r="BS57" s="819"/>
      <c r="BT57" s="819"/>
      <c r="BU57" s="819"/>
      <c r="BV57" s="819"/>
      <c r="BW57" s="819"/>
      <c r="BX57" s="819"/>
      <c r="BY57" s="819"/>
      <c r="BZ57" s="819"/>
      <c r="CA57" s="819"/>
      <c r="CB57" s="820"/>
      <c r="CC57" s="122"/>
      <c r="CD57" s="382"/>
      <c r="CE57" s="382"/>
      <c r="CF57" s="382"/>
      <c r="CG57" s="382"/>
      <c r="CH57" s="382"/>
      <c r="CI57" s="382"/>
      <c r="CJ57" s="382"/>
      <c r="CK57" s="382"/>
      <c r="CL57" s="382"/>
      <c r="CM57" s="382"/>
      <c r="CN57" s="382"/>
      <c r="CO57" s="382"/>
      <c r="CP57" s="382"/>
      <c r="CQ57" s="382"/>
      <c r="CR57" s="382"/>
      <c r="CS57" s="382"/>
      <c r="CT57" s="382"/>
      <c r="DG57" s="10"/>
      <c r="DJ57" s="22"/>
      <c r="DK57" s="22"/>
      <c r="DL57" s="269"/>
      <c r="DM57" s="269"/>
      <c r="DN57" s="25"/>
      <c r="DO57" s="25"/>
      <c r="DP57" s="25"/>
      <c r="DQ57" s="25"/>
      <c r="DR57" s="25"/>
    </row>
    <row r="58" spans="2:151" ht="11.25" customHeight="1">
      <c r="B58" s="122"/>
      <c r="C58" s="729"/>
      <c r="D58" s="730"/>
      <c r="E58" s="730"/>
      <c r="F58" s="730"/>
      <c r="G58" s="730"/>
      <c r="H58" s="730"/>
      <c r="I58" s="730"/>
      <c r="J58" s="730"/>
      <c r="K58" s="730"/>
      <c r="L58" s="730"/>
      <c r="M58" s="730"/>
      <c r="N58" s="730"/>
      <c r="O58" s="730"/>
      <c r="P58" s="730"/>
      <c r="Q58" s="731"/>
      <c r="R58" s="773"/>
      <c r="S58" s="774"/>
      <c r="T58" s="774"/>
      <c r="U58" s="774"/>
      <c r="V58" s="774"/>
      <c r="W58" s="774"/>
      <c r="X58" s="774"/>
      <c r="Y58" s="774"/>
      <c r="Z58" s="774"/>
      <c r="AA58" s="774"/>
      <c r="AB58" s="774"/>
      <c r="AC58" s="774"/>
      <c r="AD58" s="774"/>
      <c r="AE58" s="774"/>
      <c r="AF58" s="774"/>
      <c r="AG58" s="774"/>
      <c r="AH58" s="774"/>
      <c r="AI58" s="774"/>
      <c r="AJ58" s="774"/>
      <c r="AK58" s="774"/>
      <c r="AL58" s="774"/>
      <c r="AM58" s="774"/>
      <c r="AN58" s="774"/>
      <c r="AO58" s="775"/>
      <c r="AP58" s="729"/>
      <c r="AQ58" s="730"/>
      <c r="AR58" s="730"/>
      <c r="AS58" s="730"/>
      <c r="AT58" s="730"/>
      <c r="AU58" s="730"/>
      <c r="AV58" s="730"/>
      <c r="AW58" s="730"/>
      <c r="AX58" s="730"/>
      <c r="AY58" s="730"/>
      <c r="AZ58" s="730"/>
      <c r="BA58" s="730"/>
      <c r="BB58" s="730"/>
      <c r="BC58" s="730"/>
      <c r="BD58" s="731"/>
      <c r="BE58" s="773"/>
      <c r="BF58" s="774"/>
      <c r="BG58" s="774"/>
      <c r="BH58" s="774"/>
      <c r="BI58" s="774"/>
      <c r="BJ58" s="774"/>
      <c r="BK58" s="774"/>
      <c r="BL58" s="774"/>
      <c r="BM58" s="774"/>
      <c r="BN58" s="774"/>
      <c r="BO58" s="774"/>
      <c r="BP58" s="774"/>
      <c r="BQ58" s="774"/>
      <c r="BR58" s="774"/>
      <c r="BS58" s="774"/>
      <c r="BT58" s="774"/>
      <c r="BU58" s="774"/>
      <c r="BV58" s="774"/>
      <c r="BW58" s="774"/>
      <c r="BX58" s="774"/>
      <c r="BY58" s="774"/>
      <c r="BZ58" s="774"/>
      <c r="CA58" s="774"/>
      <c r="CB58" s="775"/>
      <c r="CC58" s="122"/>
      <c r="CD58" s="382"/>
      <c r="CE58" s="382"/>
      <c r="CF58" s="382"/>
      <c r="CG58" s="382"/>
      <c r="CH58" s="382"/>
      <c r="CI58" s="382"/>
      <c r="CJ58" s="382"/>
      <c r="CK58" s="382"/>
      <c r="CL58" s="382"/>
      <c r="CM58" s="382"/>
      <c r="CN58" s="382"/>
      <c r="CO58" s="382"/>
      <c r="CP58" s="382"/>
      <c r="CQ58" s="382"/>
      <c r="CR58" s="382"/>
      <c r="CS58" s="382"/>
      <c r="CT58" s="382"/>
      <c r="DG58" s="10"/>
      <c r="DJ58" s="22"/>
      <c r="DK58" s="22"/>
      <c r="DL58" s="394"/>
      <c r="DM58" s="394"/>
      <c r="DN58" s="25"/>
      <c r="DO58" s="25"/>
      <c r="DP58" s="25"/>
      <c r="DQ58" s="25"/>
      <c r="DR58" s="25"/>
    </row>
    <row r="59" spans="2:151" ht="11.25" customHeight="1">
      <c r="B59" s="122"/>
      <c r="C59" s="723" t="str">
        <f>VLOOKUP(2218,Languages!$A$5:$C$1032,Languages!$A$2,FALSE)</f>
        <v>Remarks</v>
      </c>
      <c r="D59" s="724"/>
      <c r="E59" s="724"/>
      <c r="F59" s="724"/>
      <c r="G59" s="724"/>
      <c r="H59" s="724"/>
      <c r="I59" s="724"/>
      <c r="J59" s="724"/>
      <c r="K59" s="724"/>
      <c r="L59" s="724"/>
      <c r="M59" s="724"/>
      <c r="N59" s="724"/>
      <c r="O59" s="724"/>
      <c r="P59" s="724"/>
      <c r="Q59" s="724"/>
      <c r="R59" s="710"/>
      <c r="S59" s="711"/>
      <c r="T59" s="711"/>
      <c r="U59" s="711"/>
      <c r="V59" s="711"/>
      <c r="W59" s="711"/>
      <c r="X59" s="711"/>
      <c r="Y59" s="711"/>
      <c r="Z59" s="711"/>
      <c r="AA59" s="711"/>
      <c r="AB59" s="711"/>
      <c r="AC59" s="711"/>
      <c r="AD59" s="711"/>
      <c r="AE59" s="711"/>
      <c r="AF59" s="711"/>
      <c r="AG59" s="711"/>
      <c r="AH59" s="711"/>
      <c r="AI59" s="711"/>
      <c r="AJ59" s="711"/>
      <c r="AK59" s="711"/>
      <c r="AL59" s="711"/>
      <c r="AM59" s="711"/>
      <c r="AN59" s="711"/>
      <c r="AO59" s="711"/>
      <c r="AP59" s="711"/>
      <c r="AQ59" s="711"/>
      <c r="AR59" s="711"/>
      <c r="AS59" s="711"/>
      <c r="AT59" s="711"/>
      <c r="AU59" s="711"/>
      <c r="AV59" s="711"/>
      <c r="AW59" s="711"/>
      <c r="AX59" s="711"/>
      <c r="AY59" s="711"/>
      <c r="AZ59" s="711"/>
      <c r="BA59" s="711"/>
      <c r="BB59" s="711"/>
      <c r="BC59" s="711"/>
      <c r="BD59" s="711"/>
      <c r="BE59" s="711"/>
      <c r="BF59" s="711"/>
      <c r="BG59" s="711"/>
      <c r="BH59" s="711"/>
      <c r="BI59" s="711"/>
      <c r="BJ59" s="711"/>
      <c r="BK59" s="711"/>
      <c r="BL59" s="711"/>
      <c r="BM59" s="711"/>
      <c r="BN59" s="711"/>
      <c r="BO59" s="711"/>
      <c r="BP59" s="711"/>
      <c r="BQ59" s="711"/>
      <c r="BR59" s="711"/>
      <c r="BS59" s="711"/>
      <c r="BT59" s="711"/>
      <c r="BU59" s="711"/>
      <c r="BV59" s="711"/>
      <c r="BW59" s="711"/>
      <c r="BX59" s="711"/>
      <c r="BY59" s="711"/>
      <c r="BZ59" s="711"/>
      <c r="CA59" s="711"/>
      <c r="CB59" s="712"/>
      <c r="CC59" s="122"/>
      <c r="CD59" s="382"/>
      <c r="CE59" s="382"/>
      <c r="CF59" s="382"/>
      <c r="CG59" s="382"/>
      <c r="CH59" s="382"/>
      <c r="CI59" s="382"/>
      <c r="CJ59" s="382"/>
      <c r="CK59" s="382"/>
      <c r="CL59" s="382"/>
      <c r="CM59" s="382"/>
      <c r="CN59" s="382"/>
      <c r="CO59" s="382"/>
      <c r="CP59" s="382"/>
      <c r="CQ59" s="382"/>
      <c r="CR59" s="382"/>
      <c r="CS59" s="382"/>
      <c r="CT59" s="382"/>
      <c r="DG59" s="10"/>
      <c r="DJ59" s="22"/>
      <c r="DK59" s="22"/>
      <c r="DL59" s="269"/>
      <c r="DM59" s="269"/>
      <c r="DN59" s="25"/>
      <c r="DO59" s="25"/>
      <c r="DP59" s="25"/>
      <c r="DQ59" s="25"/>
      <c r="DR59" s="25"/>
    </row>
    <row r="60" spans="2:151" ht="11.25" customHeight="1">
      <c r="B60" s="122"/>
      <c r="C60" s="726"/>
      <c r="D60" s="727"/>
      <c r="E60" s="727"/>
      <c r="F60" s="727"/>
      <c r="G60" s="727"/>
      <c r="H60" s="727"/>
      <c r="I60" s="727"/>
      <c r="J60" s="727"/>
      <c r="K60" s="727"/>
      <c r="L60" s="727"/>
      <c r="M60" s="727"/>
      <c r="N60" s="727"/>
      <c r="O60" s="727"/>
      <c r="P60" s="727"/>
      <c r="Q60" s="727"/>
      <c r="R60" s="713"/>
      <c r="S60" s="714"/>
      <c r="T60" s="714"/>
      <c r="U60" s="714"/>
      <c r="V60" s="714"/>
      <c r="W60" s="714"/>
      <c r="X60" s="714"/>
      <c r="Y60" s="714"/>
      <c r="Z60" s="714"/>
      <c r="AA60" s="714"/>
      <c r="AB60" s="714"/>
      <c r="AC60" s="714"/>
      <c r="AD60" s="714"/>
      <c r="AE60" s="714"/>
      <c r="AF60" s="714"/>
      <c r="AG60" s="714"/>
      <c r="AH60" s="714"/>
      <c r="AI60" s="714"/>
      <c r="AJ60" s="714"/>
      <c r="AK60" s="714"/>
      <c r="AL60" s="714"/>
      <c r="AM60" s="714"/>
      <c r="AN60" s="714"/>
      <c r="AO60" s="714"/>
      <c r="AP60" s="714"/>
      <c r="AQ60" s="714"/>
      <c r="AR60" s="714"/>
      <c r="AS60" s="714"/>
      <c r="AT60" s="714"/>
      <c r="AU60" s="714"/>
      <c r="AV60" s="714"/>
      <c r="AW60" s="714"/>
      <c r="AX60" s="714"/>
      <c r="AY60" s="714"/>
      <c r="AZ60" s="714"/>
      <c r="BA60" s="714"/>
      <c r="BB60" s="714"/>
      <c r="BC60" s="714"/>
      <c r="BD60" s="714"/>
      <c r="BE60" s="714"/>
      <c r="BF60" s="714"/>
      <c r="BG60" s="714"/>
      <c r="BH60" s="714"/>
      <c r="BI60" s="714"/>
      <c r="BJ60" s="714"/>
      <c r="BK60" s="714"/>
      <c r="BL60" s="714"/>
      <c r="BM60" s="714"/>
      <c r="BN60" s="714"/>
      <c r="BO60" s="714"/>
      <c r="BP60" s="714"/>
      <c r="BQ60" s="714"/>
      <c r="BR60" s="714"/>
      <c r="BS60" s="714"/>
      <c r="BT60" s="714"/>
      <c r="BU60" s="714"/>
      <c r="BV60" s="714"/>
      <c r="BW60" s="714"/>
      <c r="BX60" s="714"/>
      <c r="BY60" s="714"/>
      <c r="BZ60" s="714"/>
      <c r="CA60" s="714"/>
      <c r="CB60" s="715"/>
      <c r="CC60" s="122"/>
      <c r="CD60" s="382"/>
      <c r="CE60" s="382"/>
      <c r="CF60" s="382"/>
      <c r="CG60" s="382"/>
      <c r="CH60" s="382"/>
      <c r="CI60" s="382"/>
      <c r="CJ60" s="382"/>
      <c r="CK60" s="382"/>
      <c r="CL60" s="382"/>
      <c r="CM60" s="382"/>
      <c r="CN60" s="382"/>
      <c r="CO60" s="382"/>
      <c r="CP60" s="382"/>
      <c r="CQ60" s="382"/>
      <c r="CR60" s="382"/>
      <c r="CS60" s="382"/>
      <c r="CT60" s="382"/>
      <c r="DG60" s="10"/>
      <c r="DJ60" s="22"/>
      <c r="DK60" s="22"/>
      <c r="DL60" s="394"/>
      <c r="DM60" s="394"/>
      <c r="DN60" s="25"/>
      <c r="DO60" s="25"/>
      <c r="DP60" s="25"/>
      <c r="DQ60" s="25"/>
      <c r="DR60" s="25"/>
    </row>
    <row r="61" spans="2:151" ht="11.25" customHeight="1">
      <c r="B61" s="122"/>
      <c r="C61" s="726"/>
      <c r="D61" s="727"/>
      <c r="E61" s="727"/>
      <c r="F61" s="727"/>
      <c r="G61" s="727"/>
      <c r="H61" s="727"/>
      <c r="I61" s="727"/>
      <c r="J61" s="727"/>
      <c r="K61" s="727"/>
      <c r="L61" s="727"/>
      <c r="M61" s="727"/>
      <c r="N61" s="727"/>
      <c r="O61" s="727"/>
      <c r="P61" s="727"/>
      <c r="Q61" s="727"/>
      <c r="R61" s="713"/>
      <c r="S61" s="714"/>
      <c r="T61" s="714"/>
      <c r="U61" s="714"/>
      <c r="V61" s="714"/>
      <c r="W61" s="714"/>
      <c r="X61" s="714"/>
      <c r="Y61" s="714"/>
      <c r="Z61" s="714"/>
      <c r="AA61" s="714"/>
      <c r="AB61" s="714"/>
      <c r="AC61" s="714"/>
      <c r="AD61" s="714"/>
      <c r="AE61" s="714"/>
      <c r="AF61" s="714"/>
      <c r="AG61" s="714"/>
      <c r="AH61" s="714"/>
      <c r="AI61" s="714"/>
      <c r="AJ61" s="714"/>
      <c r="AK61" s="714"/>
      <c r="AL61" s="714"/>
      <c r="AM61" s="714"/>
      <c r="AN61" s="714"/>
      <c r="AO61" s="714"/>
      <c r="AP61" s="714"/>
      <c r="AQ61" s="714"/>
      <c r="AR61" s="714"/>
      <c r="AS61" s="714"/>
      <c r="AT61" s="714"/>
      <c r="AU61" s="714"/>
      <c r="AV61" s="714"/>
      <c r="AW61" s="714"/>
      <c r="AX61" s="714"/>
      <c r="AY61" s="714"/>
      <c r="AZ61" s="714"/>
      <c r="BA61" s="714"/>
      <c r="BB61" s="714"/>
      <c r="BC61" s="714"/>
      <c r="BD61" s="714"/>
      <c r="BE61" s="714"/>
      <c r="BF61" s="714"/>
      <c r="BG61" s="714"/>
      <c r="BH61" s="714"/>
      <c r="BI61" s="714"/>
      <c r="BJ61" s="714"/>
      <c r="BK61" s="714"/>
      <c r="BL61" s="714"/>
      <c r="BM61" s="714"/>
      <c r="BN61" s="714"/>
      <c r="BO61" s="714"/>
      <c r="BP61" s="714"/>
      <c r="BQ61" s="714"/>
      <c r="BR61" s="714"/>
      <c r="BS61" s="714"/>
      <c r="BT61" s="714"/>
      <c r="BU61" s="714"/>
      <c r="BV61" s="714"/>
      <c r="BW61" s="714"/>
      <c r="BX61" s="714"/>
      <c r="BY61" s="714"/>
      <c r="BZ61" s="714"/>
      <c r="CA61" s="714"/>
      <c r="CB61" s="715"/>
      <c r="CC61" s="122"/>
      <c r="CD61" s="382"/>
      <c r="CE61" s="382"/>
      <c r="CF61" s="382"/>
      <c r="CG61" s="382"/>
      <c r="CH61" s="382"/>
      <c r="CI61" s="382"/>
      <c r="CJ61" s="382"/>
      <c r="CK61" s="382"/>
      <c r="CL61" s="382"/>
      <c r="CM61" s="382"/>
      <c r="CN61" s="382"/>
      <c r="CO61" s="382"/>
      <c r="CP61" s="382"/>
      <c r="CQ61" s="382"/>
      <c r="CR61" s="382"/>
      <c r="CS61" s="382"/>
      <c r="CT61" s="382"/>
      <c r="DG61" s="10"/>
      <c r="DJ61" s="22"/>
      <c r="DK61" s="22"/>
      <c r="DL61" s="269"/>
      <c r="DM61" s="269"/>
      <c r="DN61" s="25"/>
      <c r="DO61" s="25"/>
      <c r="DP61" s="25"/>
      <c r="DQ61" s="25"/>
      <c r="DR61" s="25"/>
    </row>
    <row r="62" spans="2:151" ht="11.25" customHeight="1">
      <c r="B62" s="122"/>
      <c r="C62" s="726"/>
      <c r="D62" s="727"/>
      <c r="E62" s="727"/>
      <c r="F62" s="727"/>
      <c r="G62" s="727"/>
      <c r="H62" s="727"/>
      <c r="I62" s="727"/>
      <c r="J62" s="727"/>
      <c r="K62" s="727"/>
      <c r="L62" s="727"/>
      <c r="M62" s="727"/>
      <c r="N62" s="727"/>
      <c r="O62" s="727"/>
      <c r="P62" s="727"/>
      <c r="Q62" s="727"/>
      <c r="R62" s="713"/>
      <c r="S62" s="714"/>
      <c r="T62" s="714"/>
      <c r="U62" s="714"/>
      <c r="V62" s="714"/>
      <c r="W62" s="714"/>
      <c r="X62" s="714"/>
      <c r="Y62" s="714"/>
      <c r="Z62" s="714"/>
      <c r="AA62" s="714"/>
      <c r="AB62" s="714"/>
      <c r="AC62" s="714"/>
      <c r="AD62" s="714"/>
      <c r="AE62" s="714"/>
      <c r="AF62" s="714"/>
      <c r="AG62" s="714"/>
      <c r="AH62" s="714"/>
      <c r="AI62" s="714"/>
      <c r="AJ62" s="714"/>
      <c r="AK62" s="714"/>
      <c r="AL62" s="714"/>
      <c r="AM62" s="714"/>
      <c r="AN62" s="714"/>
      <c r="AO62" s="714"/>
      <c r="AP62" s="714"/>
      <c r="AQ62" s="714"/>
      <c r="AR62" s="714"/>
      <c r="AS62" s="714"/>
      <c r="AT62" s="714"/>
      <c r="AU62" s="714"/>
      <c r="AV62" s="714"/>
      <c r="AW62" s="714"/>
      <c r="AX62" s="714"/>
      <c r="AY62" s="714"/>
      <c r="AZ62" s="714"/>
      <c r="BA62" s="714"/>
      <c r="BB62" s="714"/>
      <c r="BC62" s="714"/>
      <c r="BD62" s="714"/>
      <c r="BE62" s="714"/>
      <c r="BF62" s="714"/>
      <c r="BG62" s="714"/>
      <c r="BH62" s="714"/>
      <c r="BI62" s="714"/>
      <c r="BJ62" s="714"/>
      <c r="BK62" s="714"/>
      <c r="BL62" s="714"/>
      <c r="BM62" s="714"/>
      <c r="BN62" s="714"/>
      <c r="BO62" s="714"/>
      <c r="BP62" s="714"/>
      <c r="BQ62" s="714"/>
      <c r="BR62" s="714"/>
      <c r="BS62" s="714"/>
      <c r="BT62" s="714"/>
      <c r="BU62" s="714"/>
      <c r="BV62" s="714"/>
      <c r="BW62" s="714"/>
      <c r="BX62" s="714"/>
      <c r="BY62" s="714"/>
      <c r="BZ62" s="714"/>
      <c r="CA62" s="714"/>
      <c r="CB62" s="715"/>
      <c r="CC62" s="122"/>
      <c r="CD62" s="382"/>
      <c r="CE62" s="382"/>
      <c r="CF62" s="382"/>
      <c r="CG62" s="382"/>
      <c r="CH62" s="382"/>
      <c r="CI62" s="382"/>
      <c r="CJ62" s="382"/>
      <c r="CK62" s="382"/>
      <c r="CL62" s="382"/>
      <c r="CM62" s="382"/>
      <c r="CN62" s="382"/>
      <c r="CO62" s="382"/>
      <c r="CP62" s="382"/>
      <c r="CQ62" s="382"/>
      <c r="CR62" s="382"/>
      <c r="CS62" s="382"/>
      <c r="CT62" s="382"/>
      <c r="DG62" s="10"/>
      <c r="DJ62" s="22"/>
      <c r="DK62" s="22"/>
      <c r="DL62" s="394"/>
      <c r="DM62" s="394"/>
      <c r="DN62" s="25"/>
      <c r="DO62" s="25"/>
      <c r="DP62" s="25"/>
      <c r="DQ62" s="25"/>
      <c r="DR62" s="25"/>
    </row>
    <row r="63" spans="2:151" ht="11.25" customHeight="1">
      <c r="B63" s="122"/>
      <c r="C63" s="726"/>
      <c r="D63" s="727"/>
      <c r="E63" s="727"/>
      <c r="F63" s="727"/>
      <c r="G63" s="727"/>
      <c r="H63" s="727"/>
      <c r="I63" s="727"/>
      <c r="J63" s="727"/>
      <c r="K63" s="727"/>
      <c r="L63" s="727"/>
      <c r="M63" s="727"/>
      <c r="N63" s="727"/>
      <c r="O63" s="727"/>
      <c r="P63" s="727"/>
      <c r="Q63" s="727"/>
      <c r="R63" s="713"/>
      <c r="S63" s="714"/>
      <c r="T63" s="714"/>
      <c r="U63" s="714"/>
      <c r="V63" s="714"/>
      <c r="W63" s="714"/>
      <c r="X63" s="714"/>
      <c r="Y63" s="714"/>
      <c r="Z63" s="714"/>
      <c r="AA63" s="714"/>
      <c r="AB63" s="714"/>
      <c r="AC63" s="714"/>
      <c r="AD63" s="714"/>
      <c r="AE63" s="714"/>
      <c r="AF63" s="714"/>
      <c r="AG63" s="714"/>
      <c r="AH63" s="714"/>
      <c r="AI63" s="714"/>
      <c r="AJ63" s="714"/>
      <c r="AK63" s="714"/>
      <c r="AL63" s="714"/>
      <c r="AM63" s="714"/>
      <c r="AN63" s="714"/>
      <c r="AO63" s="714"/>
      <c r="AP63" s="714"/>
      <c r="AQ63" s="714"/>
      <c r="AR63" s="714"/>
      <c r="AS63" s="714"/>
      <c r="AT63" s="714"/>
      <c r="AU63" s="714"/>
      <c r="AV63" s="714"/>
      <c r="AW63" s="714"/>
      <c r="AX63" s="714"/>
      <c r="AY63" s="714"/>
      <c r="AZ63" s="714"/>
      <c r="BA63" s="714"/>
      <c r="BB63" s="714"/>
      <c r="BC63" s="714"/>
      <c r="BD63" s="714"/>
      <c r="BE63" s="714"/>
      <c r="BF63" s="714"/>
      <c r="BG63" s="714"/>
      <c r="BH63" s="714"/>
      <c r="BI63" s="714"/>
      <c r="BJ63" s="714"/>
      <c r="BK63" s="714"/>
      <c r="BL63" s="714"/>
      <c r="BM63" s="714"/>
      <c r="BN63" s="714"/>
      <c r="BO63" s="714"/>
      <c r="BP63" s="714"/>
      <c r="BQ63" s="714"/>
      <c r="BR63" s="714"/>
      <c r="BS63" s="714"/>
      <c r="BT63" s="714"/>
      <c r="BU63" s="714"/>
      <c r="BV63" s="714"/>
      <c r="BW63" s="714"/>
      <c r="BX63" s="714"/>
      <c r="BY63" s="714"/>
      <c r="BZ63" s="714"/>
      <c r="CA63" s="714"/>
      <c r="CB63" s="715"/>
      <c r="CC63" s="122"/>
      <c r="DG63" s="10"/>
      <c r="DJ63" s="22"/>
      <c r="DK63" s="22"/>
      <c r="DL63" s="269"/>
      <c r="DM63" s="269"/>
      <c r="DN63" s="25"/>
      <c r="DO63" s="25"/>
      <c r="DP63" s="25"/>
      <c r="DQ63" s="25"/>
      <c r="DR63" s="25"/>
    </row>
    <row r="64" spans="2:151" ht="11.25" customHeight="1">
      <c r="B64" s="122"/>
      <c r="C64" s="729"/>
      <c r="D64" s="730"/>
      <c r="E64" s="730"/>
      <c r="F64" s="730"/>
      <c r="G64" s="730"/>
      <c r="H64" s="730"/>
      <c r="I64" s="730"/>
      <c r="J64" s="730"/>
      <c r="K64" s="730"/>
      <c r="L64" s="730"/>
      <c r="M64" s="730"/>
      <c r="N64" s="730"/>
      <c r="O64" s="730"/>
      <c r="P64" s="730"/>
      <c r="Q64" s="730"/>
      <c r="R64" s="716"/>
      <c r="S64" s="717"/>
      <c r="T64" s="717"/>
      <c r="U64" s="717"/>
      <c r="V64" s="717"/>
      <c r="W64" s="717"/>
      <c r="X64" s="717"/>
      <c r="Y64" s="717"/>
      <c r="Z64" s="717"/>
      <c r="AA64" s="717"/>
      <c r="AB64" s="717"/>
      <c r="AC64" s="717"/>
      <c r="AD64" s="717"/>
      <c r="AE64" s="717"/>
      <c r="AF64" s="717"/>
      <c r="AG64" s="717"/>
      <c r="AH64" s="717"/>
      <c r="AI64" s="717"/>
      <c r="AJ64" s="717"/>
      <c r="AK64" s="717"/>
      <c r="AL64" s="717"/>
      <c r="AM64" s="717"/>
      <c r="AN64" s="717"/>
      <c r="AO64" s="717"/>
      <c r="AP64" s="717"/>
      <c r="AQ64" s="717"/>
      <c r="AR64" s="717"/>
      <c r="AS64" s="717"/>
      <c r="AT64" s="717"/>
      <c r="AU64" s="717"/>
      <c r="AV64" s="717"/>
      <c r="AW64" s="717"/>
      <c r="AX64" s="717"/>
      <c r="AY64" s="717"/>
      <c r="AZ64" s="717"/>
      <c r="BA64" s="717"/>
      <c r="BB64" s="717"/>
      <c r="BC64" s="717"/>
      <c r="BD64" s="717"/>
      <c r="BE64" s="717"/>
      <c r="BF64" s="717"/>
      <c r="BG64" s="717"/>
      <c r="BH64" s="717"/>
      <c r="BI64" s="717"/>
      <c r="BJ64" s="717"/>
      <c r="BK64" s="717"/>
      <c r="BL64" s="717"/>
      <c r="BM64" s="717"/>
      <c r="BN64" s="717"/>
      <c r="BO64" s="717"/>
      <c r="BP64" s="717"/>
      <c r="BQ64" s="717"/>
      <c r="BR64" s="717"/>
      <c r="BS64" s="717"/>
      <c r="BT64" s="717"/>
      <c r="BU64" s="717"/>
      <c r="BV64" s="717"/>
      <c r="BW64" s="717"/>
      <c r="BX64" s="717"/>
      <c r="BY64" s="717"/>
      <c r="BZ64" s="717"/>
      <c r="CA64" s="717"/>
      <c r="CB64" s="718"/>
      <c r="CC64" s="122"/>
      <c r="DG64" s="10"/>
      <c r="DJ64" s="22"/>
      <c r="DK64" s="22"/>
      <c r="DL64" s="394"/>
      <c r="DM64" s="394"/>
      <c r="DN64" s="25"/>
      <c r="DO64" s="25"/>
      <c r="DP64" s="25"/>
      <c r="DQ64" s="25"/>
      <c r="DR64" s="25"/>
    </row>
    <row r="65" spans="2:122" ht="11.25" customHeight="1">
      <c r="B65" s="122"/>
      <c r="C65" s="769"/>
      <c r="D65" s="769"/>
      <c r="E65" s="769"/>
      <c r="F65" s="769"/>
      <c r="G65" s="769"/>
      <c r="H65" s="769"/>
      <c r="I65" s="769"/>
      <c r="J65" s="769"/>
      <c r="K65" s="769"/>
      <c r="L65" s="769"/>
      <c r="M65" s="769"/>
      <c r="N65" s="769"/>
      <c r="O65" s="769"/>
      <c r="P65" s="769"/>
      <c r="Q65" s="769"/>
      <c r="R65" s="769"/>
      <c r="S65" s="769"/>
      <c r="T65" s="769"/>
      <c r="U65" s="769"/>
      <c r="V65" s="769"/>
      <c r="W65" s="769"/>
      <c r="X65" s="769"/>
      <c r="Y65" s="769"/>
      <c r="Z65" s="769"/>
      <c r="AA65" s="769"/>
      <c r="AB65" s="769"/>
      <c r="AC65" s="769"/>
      <c r="AD65" s="769"/>
      <c r="AE65" s="769"/>
      <c r="AF65" s="769"/>
      <c r="AG65" s="769"/>
      <c r="AH65" s="769"/>
      <c r="AI65" s="769"/>
      <c r="AJ65" s="769"/>
      <c r="AK65" s="769"/>
      <c r="AL65" s="769"/>
      <c r="AM65" s="769"/>
      <c r="AN65" s="769"/>
      <c r="AO65" s="769"/>
      <c r="AP65" s="769"/>
      <c r="AQ65" s="769"/>
      <c r="AR65" s="769"/>
      <c r="AS65" s="769"/>
      <c r="AT65" s="769"/>
      <c r="AU65" s="769"/>
      <c r="AV65" s="769"/>
      <c r="AW65" s="769"/>
      <c r="AX65" s="769"/>
      <c r="AY65" s="769"/>
      <c r="AZ65" s="769"/>
      <c r="BA65" s="769"/>
      <c r="BB65" s="769"/>
      <c r="BC65" s="769"/>
      <c r="BD65" s="769"/>
      <c r="BE65" s="769"/>
      <c r="BF65" s="769"/>
      <c r="BG65" s="769"/>
      <c r="BH65" s="769"/>
      <c r="BI65" s="769"/>
      <c r="BJ65" s="769"/>
      <c r="BK65" s="769"/>
      <c r="BL65" s="769"/>
      <c r="BM65" s="769"/>
      <c r="BN65" s="769"/>
      <c r="BO65" s="769"/>
      <c r="BP65" s="769"/>
      <c r="BQ65" s="769"/>
      <c r="BR65" s="769"/>
      <c r="BS65" s="769"/>
      <c r="BT65" s="769"/>
      <c r="BU65" s="769"/>
      <c r="BV65" s="769"/>
      <c r="BW65" s="769"/>
      <c r="BX65" s="769"/>
      <c r="BY65" s="769"/>
      <c r="BZ65" s="769"/>
      <c r="CA65" s="769"/>
      <c r="CB65" s="769"/>
      <c r="CC65" s="122"/>
      <c r="DG65" s="10"/>
      <c r="DJ65" s="22"/>
      <c r="DK65" s="22"/>
      <c r="DL65" s="269"/>
      <c r="DM65" s="269"/>
      <c r="DN65" s="25"/>
      <c r="DO65" s="25"/>
      <c r="DP65" s="25"/>
      <c r="DQ65" s="25"/>
      <c r="DR65" s="25"/>
    </row>
    <row r="66" spans="2:122" ht="11.25" customHeight="1">
      <c r="B66" s="122"/>
      <c r="C66" s="768"/>
      <c r="D66" s="768"/>
      <c r="E66" s="768"/>
      <c r="F66" s="768"/>
      <c r="G66" s="768"/>
      <c r="H66" s="768"/>
      <c r="I66" s="768"/>
      <c r="J66" s="768"/>
      <c r="K66" s="768"/>
      <c r="L66" s="768"/>
      <c r="M66" s="768"/>
      <c r="N66" s="768"/>
      <c r="O66" s="768"/>
      <c r="P66" s="768"/>
      <c r="Q66" s="768"/>
      <c r="R66" s="768"/>
      <c r="S66" s="768"/>
      <c r="T66" s="768"/>
      <c r="U66" s="768"/>
      <c r="V66" s="768"/>
      <c r="W66" s="768"/>
      <c r="X66" s="768"/>
      <c r="Y66" s="768"/>
      <c r="Z66" s="768"/>
      <c r="AA66" s="768"/>
      <c r="AB66" s="768"/>
      <c r="AC66" s="768"/>
      <c r="AD66" s="768"/>
      <c r="AE66" s="768"/>
      <c r="AF66" s="768"/>
      <c r="AG66" s="768"/>
      <c r="AH66" s="768"/>
      <c r="AI66" s="768"/>
      <c r="AJ66" s="768"/>
      <c r="AK66" s="768"/>
      <c r="AL66" s="768"/>
      <c r="AM66" s="768"/>
      <c r="AN66" s="768"/>
      <c r="AO66" s="768"/>
      <c r="AP66" s="768"/>
      <c r="AQ66" s="768"/>
      <c r="AR66" s="768"/>
      <c r="AS66" s="768"/>
      <c r="AT66" s="768"/>
      <c r="AU66" s="768"/>
      <c r="AV66" s="768"/>
      <c r="AW66" s="768"/>
      <c r="AX66" s="768"/>
      <c r="AY66" s="768"/>
      <c r="AZ66" s="768"/>
      <c r="BA66" s="768"/>
      <c r="BB66" s="768"/>
      <c r="BC66" s="768"/>
      <c r="BD66" s="768"/>
      <c r="BE66" s="768"/>
      <c r="BF66" s="768"/>
      <c r="BG66" s="768"/>
      <c r="BH66" s="768"/>
      <c r="BI66" s="768"/>
      <c r="BJ66" s="768"/>
      <c r="BK66" s="768"/>
      <c r="BL66" s="768"/>
      <c r="BM66" s="768"/>
      <c r="BN66" s="768"/>
      <c r="BO66" s="768"/>
      <c r="BP66" s="768"/>
      <c r="BQ66" s="768"/>
      <c r="BR66" s="768"/>
      <c r="BS66" s="768"/>
      <c r="BT66" s="768"/>
      <c r="BU66" s="768"/>
      <c r="BV66" s="768"/>
      <c r="BW66" s="768"/>
      <c r="BX66" s="768"/>
      <c r="BY66" s="768"/>
      <c r="BZ66" s="768"/>
      <c r="CA66" s="768"/>
      <c r="CB66" s="768"/>
      <c r="CC66" s="122"/>
      <c r="DG66" s="10"/>
      <c r="DJ66" s="22"/>
      <c r="DK66" s="22"/>
      <c r="DL66" s="394"/>
      <c r="DM66" s="394"/>
      <c r="DN66" s="25"/>
      <c r="DO66" s="25"/>
      <c r="DP66" s="25"/>
      <c r="DQ66" s="25"/>
      <c r="DR66" s="25"/>
    </row>
    <row r="67" spans="2:122" ht="11.25" customHeight="1">
      <c r="B67" s="122"/>
      <c r="C67" s="655" t="s">
        <v>2</v>
      </c>
      <c r="D67" s="656"/>
      <c r="E67" s="656"/>
      <c r="F67" s="656"/>
      <c r="G67" s="656"/>
      <c r="H67" s="656"/>
      <c r="I67" s="656"/>
      <c r="J67" s="656"/>
      <c r="K67" s="656"/>
      <c r="L67" s="656"/>
      <c r="M67" s="656"/>
      <c r="N67" s="656"/>
      <c r="O67" s="656"/>
      <c r="P67" s="656"/>
      <c r="Q67" s="656"/>
      <c r="R67" s="661" t="str">
        <f>VLOOKUP(2300,Languages!$A$5:$C$1032,Languages!$A$2,FALSE)</f>
        <v>Problem description</v>
      </c>
      <c r="S67" s="661"/>
      <c r="T67" s="661"/>
      <c r="U67" s="661"/>
      <c r="V67" s="661"/>
      <c r="W67" s="661"/>
      <c r="X67" s="661"/>
      <c r="Y67" s="661"/>
      <c r="Z67" s="661"/>
      <c r="AA67" s="661"/>
      <c r="AB67" s="661"/>
      <c r="AC67" s="661"/>
      <c r="AD67" s="661"/>
      <c r="AE67" s="661"/>
      <c r="AF67" s="661"/>
      <c r="AG67" s="661"/>
      <c r="AH67" s="661"/>
      <c r="AI67" s="661"/>
      <c r="AJ67" s="661"/>
      <c r="AK67" s="661"/>
      <c r="AL67" s="661"/>
      <c r="AM67" s="661"/>
      <c r="AN67" s="661"/>
      <c r="AO67" s="661"/>
      <c r="AP67" s="661"/>
      <c r="AQ67" s="661"/>
      <c r="AR67" s="661"/>
      <c r="AS67" s="661"/>
      <c r="AT67" s="661"/>
      <c r="AU67" s="661"/>
      <c r="AV67" s="661"/>
      <c r="AW67" s="661"/>
      <c r="AX67" s="661"/>
      <c r="AY67" s="661"/>
      <c r="AZ67" s="661"/>
      <c r="BA67" s="661"/>
      <c r="BB67" s="661"/>
      <c r="BC67" s="661"/>
      <c r="BD67" s="661"/>
      <c r="BE67" s="661"/>
      <c r="BF67" s="661"/>
      <c r="BG67" s="661"/>
      <c r="BH67" s="661"/>
      <c r="BI67" s="661"/>
      <c r="BJ67" s="661"/>
      <c r="BK67" s="661"/>
      <c r="BL67" s="661"/>
      <c r="BM67" s="661"/>
      <c r="BN67" s="661"/>
      <c r="BO67" s="661"/>
      <c r="BP67" s="661"/>
      <c r="BQ67" s="661"/>
      <c r="BR67" s="661"/>
      <c r="BS67" s="661"/>
      <c r="BT67" s="661"/>
      <c r="BU67" s="661"/>
      <c r="BV67" s="661"/>
      <c r="BW67" s="661"/>
      <c r="BX67" s="661"/>
      <c r="BY67" s="661"/>
      <c r="BZ67" s="661"/>
      <c r="CA67" s="661"/>
      <c r="CB67" s="662"/>
      <c r="CC67" s="122"/>
      <c r="DG67" s="10"/>
      <c r="DJ67" s="22"/>
      <c r="DK67" s="22"/>
      <c r="DL67" s="269"/>
      <c r="DM67" s="269"/>
      <c r="DN67" s="25"/>
      <c r="DO67" s="25"/>
      <c r="DP67" s="25"/>
      <c r="DQ67" s="25"/>
      <c r="DR67" s="25"/>
    </row>
    <row r="68" spans="2:122" ht="11.25" customHeight="1">
      <c r="B68" s="122"/>
      <c r="C68" s="657"/>
      <c r="D68" s="658"/>
      <c r="E68" s="658"/>
      <c r="F68" s="658"/>
      <c r="G68" s="658"/>
      <c r="H68" s="658"/>
      <c r="I68" s="658"/>
      <c r="J68" s="658"/>
      <c r="K68" s="658"/>
      <c r="L68" s="658"/>
      <c r="M68" s="658"/>
      <c r="N68" s="658"/>
      <c r="O68" s="658"/>
      <c r="P68" s="658"/>
      <c r="Q68" s="658"/>
      <c r="R68" s="663"/>
      <c r="S68" s="663"/>
      <c r="T68" s="663"/>
      <c r="U68" s="663"/>
      <c r="V68" s="663"/>
      <c r="W68" s="663"/>
      <c r="X68" s="663"/>
      <c r="Y68" s="663"/>
      <c r="Z68" s="663"/>
      <c r="AA68" s="663"/>
      <c r="AB68" s="663"/>
      <c r="AC68" s="663"/>
      <c r="AD68" s="663"/>
      <c r="AE68" s="663"/>
      <c r="AF68" s="663"/>
      <c r="AG68" s="663"/>
      <c r="AH68" s="663"/>
      <c r="AI68" s="663"/>
      <c r="AJ68" s="663"/>
      <c r="AK68" s="663"/>
      <c r="AL68" s="663"/>
      <c r="AM68" s="663"/>
      <c r="AN68" s="663"/>
      <c r="AO68" s="663"/>
      <c r="AP68" s="663"/>
      <c r="AQ68" s="663"/>
      <c r="AR68" s="663"/>
      <c r="AS68" s="663"/>
      <c r="AT68" s="663"/>
      <c r="AU68" s="663"/>
      <c r="AV68" s="663"/>
      <c r="AW68" s="663"/>
      <c r="AX68" s="663"/>
      <c r="AY68" s="663"/>
      <c r="AZ68" s="663"/>
      <c r="BA68" s="663"/>
      <c r="BB68" s="663"/>
      <c r="BC68" s="663"/>
      <c r="BD68" s="663"/>
      <c r="BE68" s="663"/>
      <c r="BF68" s="663"/>
      <c r="BG68" s="663"/>
      <c r="BH68" s="663"/>
      <c r="BI68" s="663"/>
      <c r="BJ68" s="663"/>
      <c r="BK68" s="663"/>
      <c r="BL68" s="663"/>
      <c r="BM68" s="663"/>
      <c r="BN68" s="663"/>
      <c r="BO68" s="663"/>
      <c r="BP68" s="663"/>
      <c r="BQ68" s="663"/>
      <c r="BR68" s="663"/>
      <c r="BS68" s="663"/>
      <c r="BT68" s="663"/>
      <c r="BU68" s="663"/>
      <c r="BV68" s="663"/>
      <c r="BW68" s="663"/>
      <c r="BX68" s="663"/>
      <c r="BY68" s="663"/>
      <c r="BZ68" s="663"/>
      <c r="CA68" s="663"/>
      <c r="CB68" s="664"/>
      <c r="CC68" s="122"/>
      <c r="DG68" s="10"/>
      <c r="DJ68" s="22"/>
      <c r="DK68" s="22"/>
      <c r="DL68" s="394"/>
      <c r="DM68" s="394"/>
      <c r="DN68" s="25"/>
      <c r="DO68" s="25"/>
      <c r="DP68" s="25"/>
      <c r="DQ68" s="25"/>
      <c r="DR68" s="25"/>
    </row>
    <row r="69" spans="2:122" ht="11.25" customHeight="1">
      <c r="B69" s="122"/>
      <c r="C69" s="659"/>
      <c r="D69" s="660"/>
      <c r="E69" s="660"/>
      <c r="F69" s="660"/>
      <c r="G69" s="660"/>
      <c r="H69" s="660"/>
      <c r="I69" s="660"/>
      <c r="J69" s="660"/>
      <c r="K69" s="660"/>
      <c r="L69" s="660"/>
      <c r="M69" s="660"/>
      <c r="N69" s="660"/>
      <c r="O69" s="660"/>
      <c r="P69" s="660"/>
      <c r="Q69" s="660"/>
      <c r="R69" s="665"/>
      <c r="S69" s="665"/>
      <c r="T69" s="665"/>
      <c r="U69" s="665"/>
      <c r="V69" s="665"/>
      <c r="W69" s="665"/>
      <c r="X69" s="665"/>
      <c r="Y69" s="665"/>
      <c r="Z69" s="665"/>
      <c r="AA69" s="665"/>
      <c r="AB69" s="665"/>
      <c r="AC69" s="665"/>
      <c r="AD69" s="665"/>
      <c r="AE69" s="665"/>
      <c r="AF69" s="665"/>
      <c r="AG69" s="665"/>
      <c r="AH69" s="665"/>
      <c r="AI69" s="665"/>
      <c r="AJ69" s="665"/>
      <c r="AK69" s="665"/>
      <c r="AL69" s="665"/>
      <c r="AM69" s="665"/>
      <c r="AN69" s="665"/>
      <c r="AO69" s="665"/>
      <c r="AP69" s="665"/>
      <c r="AQ69" s="665"/>
      <c r="AR69" s="665"/>
      <c r="AS69" s="665"/>
      <c r="AT69" s="665"/>
      <c r="AU69" s="665"/>
      <c r="AV69" s="665"/>
      <c r="AW69" s="665"/>
      <c r="AX69" s="665"/>
      <c r="AY69" s="665"/>
      <c r="AZ69" s="665"/>
      <c r="BA69" s="665"/>
      <c r="BB69" s="665"/>
      <c r="BC69" s="665"/>
      <c r="BD69" s="665"/>
      <c r="BE69" s="665"/>
      <c r="BF69" s="665"/>
      <c r="BG69" s="665"/>
      <c r="BH69" s="665"/>
      <c r="BI69" s="665"/>
      <c r="BJ69" s="665"/>
      <c r="BK69" s="665"/>
      <c r="BL69" s="665"/>
      <c r="BM69" s="665"/>
      <c r="BN69" s="665"/>
      <c r="BO69" s="665"/>
      <c r="BP69" s="665"/>
      <c r="BQ69" s="665"/>
      <c r="BR69" s="665"/>
      <c r="BS69" s="665"/>
      <c r="BT69" s="665"/>
      <c r="BU69" s="665"/>
      <c r="BV69" s="665"/>
      <c r="BW69" s="665"/>
      <c r="BX69" s="665"/>
      <c r="BY69" s="665"/>
      <c r="BZ69" s="665"/>
      <c r="CA69" s="665"/>
      <c r="CB69" s="666"/>
      <c r="CC69" s="122"/>
      <c r="DG69" s="10"/>
      <c r="DJ69" s="22"/>
      <c r="DK69" s="22"/>
      <c r="DL69" s="269"/>
      <c r="DM69" s="269"/>
      <c r="DN69" s="25"/>
      <c r="DO69" s="25"/>
      <c r="DP69" s="25"/>
      <c r="DQ69" s="25"/>
      <c r="DR69" s="25"/>
    </row>
    <row r="70" spans="2:122" ht="11.25" customHeight="1" outlineLevel="1">
      <c r="B70" s="122"/>
      <c r="C70" s="921" t="str">
        <f>VLOOKUP(2301,Languages!$A$5:$C$1032,Languages!$A$2,FALSE)</f>
        <v>Summary from Is/IsNot:</v>
      </c>
      <c r="D70" s="922"/>
      <c r="E70" s="922"/>
      <c r="F70" s="922"/>
      <c r="G70" s="922"/>
      <c r="H70" s="922"/>
      <c r="I70" s="922"/>
      <c r="J70" s="922"/>
      <c r="K70" s="922"/>
      <c r="L70" s="922"/>
      <c r="M70" s="922"/>
      <c r="N70" s="922"/>
      <c r="O70" s="922"/>
      <c r="P70" s="922"/>
      <c r="Q70" s="922"/>
      <c r="R70" s="922"/>
      <c r="S70" s="922"/>
      <c r="T70" s="922"/>
      <c r="U70" s="922"/>
      <c r="V70" s="922"/>
      <c r="W70" s="922"/>
      <c r="X70" s="922"/>
      <c r="Y70" s="922"/>
      <c r="Z70" s="922"/>
      <c r="AA70" s="922"/>
      <c r="AB70" s="922"/>
      <c r="AC70" s="922"/>
      <c r="AD70" s="922"/>
      <c r="AE70" s="922"/>
      <c r="AF70" s="922"/>
      <c r="AG70" s="922"/>
      <c r="AH70" s="922"/>
      <c r="AI70" s="922"/>
      <c r="AJ70" s="922"/>
      <c r="AK70" s="922"/>
      <c r="AL70" s="922"/>
      <c r="AM70" s="922"/>
      <c r="AN70" s="922"/>
      <c r="AO70" s="922"/>
      <c r="AP70" s="922"/>
      <c r="AQ70" s="922"/>
      <c r="AR70" s="922"/>
      <c r="AS70" s="922"/>
      <c r="AT70" s="922"/>
      <c r="AU70" s="922"/>
      <c r="AV70" s="922"/>
      <c r="AW70" s="922"/>
      <c r="AX70" s="922"/>
      <c r="AY70" s="922"/>
      <c r="AZ70" s="922"/>
      <c r="BA70" s="922"/>
      <c r="BB70" s="922"/>
      <c r="BC70" s="922"/>
      <c r="BD70" s="922"/>
      <c r="BE70" s="922"/>
      <c r="BF70" s="922"/>
      <c r="BG70" s="922"/>
      <c r="BH70" s="922"/>
      <c r="BI70" s="922"/>
      <c r="BJ70" s="922"/>
      <c r="BK70" s="922"/>
      <c r="BL70" s="922"/>
      <c r="BM70" s="922"/>
      <c r="BN70" s="922"/>
      <c r="BO70" s="922"/>
      <c r="BP70" s="922"/>
      <c r="BQ70" s="922"/>
      <c r="BR70" s="922"/>
      <c r="BS70" s="922"/>
      <c r="BT70" s="922"/>
      <c r="BU70" s="922"/>
      <c r="BV70" s="922"/>
      <c r="BW70" s="922"/>
      <c r="BX70" s="922"/>
      <c r="BY70" s="922"/>
      <c r="BZ70" s="922"/>
      <c r="CA70" s="922"/>
      <c r="CB70" s="923"/>
      <c r="CC70" s="122"/>
      <c r="DG70" s="10"/>
      <c r="DJ70" s="22"/>
      <c r="DK70" s="22"/>
      <c r="DL70" s="394"/>
      <c r="DM70" s="394"/>
      <c r="DN70" s="25"/>
      <c r="DO70" s="25"/>
      <c r="DP70" s="25"/>
      <c r="DQ70" s="25"/>
      <c r="DR70" s="25"/>
    </row>
    <row r="71" spans="2:122" ht="11.25" customHeight="1" outlineLevel="1">
      <c r="B71" s="122"/>
      <c r="C71" s="924"/>
      <c r="D71" s="925"/>
      <c r="E71" s="925"/>
      <c r="F71" s="925"/>
      <c r="G71" s="925"/>
      <c r="H71" s="925"/>
      <c r="I71" s="925"/>
      <c r="J71" s="925"/>
      <c r="K71" s="925"/>
      <c r="L71" s="925"/>
      <c r="M71" s="925"/>
      <c r="N71" s="925"/>
      <c r="O71" s="925"/>
      <c r="P71" s="925"/>
      <c r="Q71" s="925"/>
      <c r="R71" s="925"/>
      <c r="S71" s="925"/>
      <c r="T71" s="925"/>
      <c r="U71" s="925"/>
      <c r="V71" s="925"/>
      <c r="W71" s="925"/>
      <c r="X71" s="925"/>
      <c r="Y71" s="925"/>
      <c r="Z71" s="925"/>
      <c r="AA71" s="925"/>
      <c r="AB71" s="925"/>
      <c r="AC71" s="925"/>
      <c r="AD71" s="925"/>
      <c r="AE71" s="925"/>
      <c r="AF71" s="925"/>
      <c r="AG71" s="925"/>
      <c r="AH71" s="925"/>
      <c r="AI71" s="925"/>
      <c r="AJ71" s="925"/>
      <c r="AK71" s="925"/>
      <c r="AL71" s="925"/>
      <c r="AM71" s="925"/>
      <c r="AN71" s="925"/>
      <c r="AO71" s="925"/>
      <c r="AP71" s="925"/>
      <c r="AQ71" s="925"/>
      <c r="AR71" s="925"/>
      <c r="AS71" s="925"/>
      <c r="AT71" s="925"/>
      <c r="AU71" s="925"/>
      <c r="AV71" s="925"/>
      <c r="AW71" s="925"/>
      <c r="AX71" s="925"/>
      <c r="AY71" s="925"/>
      <c r="AZ71" s="925"/>
      <c r="BA71" s="925"/>
      <c r="BB71" s="925"/>
      <c r="BC71" s="925"/>
      <c r="BD71" s="925"/>
      <c r="BE71" s="925"/>
      <c r="BF71" s="925"/>
      <c r="BG71" s="925"/>
      <c r="BH71" s="925"/>
      <c r="BI71" s="925"/>
      <c r="BJ71" s="925"/>
      <c r="BK71" s="925"/>
      <c r="BL71" s="925"/>
      <c r="BM71" s="925"/>
      <c r="BN71" s="925"/>
      <c r="BO71" s="925"/>
      <c r="BP71" s="925"/>
      <c r="BQ71" s="925"/>
      <c r="BR71" s="925"/>
      <c r="BS71" s="925"/>
      <c r="BT71" s="925"/>
      <c r="BU71" s="925"/>
      <c r="BV71" s="925"/>
      <c r="BW71" s="925"/>
      <c r="BX71" s="925"/>
      <c r="BY71" s="925"/>
      <c r="BZ71" s="925"/>
      <c r="CA71" s="925"/>
      <c r="CB71" s="926"/>
      <c r="CC71" s="122"/>
      <c r="DG71" s="10"/>
      <c r="DJ71" s="22"/>
      <c r="DK71" s="22"/>
      <c r="DL71" s="269"/>
      <c r="DM71" s="269"/>
      <c r="DN71" s="25"/>
      <c r="DO71" s="25"/>
      <c r="DP71" s="25"/>
      <c r="DQ71" s="25"/>
      <c r="DR71" s="25"/>
    </row>
    <row r="72" spans="2:122" ht="67.5" customHeight="1" outlineLevel="1">
      <c r="B72" s="122"/>
      <c r="C72" s="933" t="str">
        <f>IF('Is IsNot'!E44="","",'Is IsNot'!E44)</f>
        <v/>
      </c>
      <c r="D72" s="934"/>
      <c r="E72" s="934"/>
      <c r="F72" s="934"/>
      <c r="G72" s="934"/>
      <c r="H72" s="934"/>
      <c r="I72" s="934"/>
      <c r="J72" s="934"/>
      <c r="K72" s="934"/>
      <c r="L72" s="934"/>
      <c r="M72" s="934"/>
      <c r="N72" s="934"/>
      <c r="O72" s="934"/>
      <c r="P72" s="934"/>
      <c r="Q72" s="934"/>
      <c r="R72" s="934"/>
      <c r="S72" s="934"/>
      <c r="T72" s="934"/>
      <c r="U72" s="934"/>
      <c r="V72" s="934"/>
      <c r="W72" s="934"/>
      <c r="X72" s="934"/>
      <c r="Y72" s="934"/>
      <c r="Z72" s="934"/>
      <c r="AA72" s="934"/>
      <c r="AB72" s="934"/>
      <c r="AC72" s="934"/>
      <c r="AD72" s="934"/>
      <c r="AE72" s="934"/>
      <c r="AF72" s="934"/>
      <c r="AG72" s="934"/>
      <c r="AH72" s="934"/>
      <c r="AI72" s="934"/>
      <c r="AJ72" s="934"/>
      <c r="AK72" s="934"/>
      <c r="AL72" s="934"/>
      <c r="AM72" s="934"/>
      <c r="AN72" s="934"/>
      <c r="AO72" s="934"/>
      <c r="AP72" s="934"/>
      <c r="AQ72" s="934"/>
      <c r="AR72" s="934"/>
      <c r="AS72" s="934"/>
      <c r="AT72" s="934"/>
      <c r="AU72" s="934"/>
      <c r="AV72" s="934"/>
      <c r="AW72" s="934"/>
      <c r="AX72" s="934"/>
      <c r="AY72" s="934"/>
      <c r="AZ72" s="934"/>
      <c r="BA72" s="934"/>
      <c r="BB72" s="934"/>
      <c r="BC72" s="934"/>
      <c r="BD72" s="934"/>
      <c r="BE72" s="934"/>
      <c r="BF72" s="934"/>
      <c r="BG72" s="934"/>
      <c r="BH72" s="934"/>
      <c r="BI72" s="934"/>
      <c r="BJ72" s="934"/>
      <c r="BK72" s="934"/>
      <c r="BL72" s="934"/>
      <c r="BM72" s="934"/>
      <c r="BN72" s="934"/>
      <c r="BO72" s="934"/>
      <c r="BP72" s="934"/>
      <c r="BQ72" s="934"/>
      <c r="BR72" s="934"/>
      <c r="BS72" s="934"/>
      <c r="BT72" s="934"/>
      <c r="BU72" s="934"/>
      <c r="BV72" s="934"/>
      <c r="BW72" s="934"/>
      <c r="BX72" s="934"/>
      <c r="BY72" s="934"/>
      <c r="BZ72" s="934"/>
      <c r="CA72" s="934"/>
      <c r="CB72" s="935"/>
      <c r="CC72" s="122"/>
      <c r="DG72" s="10"/>
      <c r="DJ72" s="22"/>
      <c r="DK72" s="22"/>
      <c r="DL72" s="394"/>
      <c r="DM72" s="394"/>
      <c r="DN72" s="25"/>
      <c r="DO72" s="25"/>
      <c r="DP72" s="25"/>
      <c r="DQ72" s="25"/>
      <c r="DR72" s="25"/>
    </row>
    <row r="73" spans="2:122" ht="11.25" customHeight="1">
      <c r="B73" s="122"/>
      <c r="C73" s="863"/>
      <c r="D73" s="864"/>
      <c r="E73" s="864"/>
      <c r="F73" s="864"/>
      <c r="G73" s="864"/>
      <c r="H73" s="864"/>
      <c r="I73" s="864"/>
      <c r="J73" s="864"/>
      <c r="K73" s="864"/>
      <c r="L73" s="864"/>
      <c r="M73" s="864"/>
      <c r="N73" s="864"/>
      <c r="O73" s="864"/>
      <c r="P73" s="864"/>
      <c r="Q73" s="864"/>
      <c r="R73" s="864"/>
      <c r="S73" s="864"/>
      <c r="T73" s="864"/>
      <c r="U73" s="864"/>
      <c r="V73" s="864"/>
      <c r="W73" s="864"/>
      <c r="X73" s="864"/>
      <c r="Y73" s="864"/>
      <c r="Z73" s="864"/>
      <c r="AA73" s="864"/>
      <c r="AB73" s="864"/>
      <c r="AC73" s="864"/>
      <c r="AD73" s="864"/>
      <c r="AE73" s="864"/>
      <c r="AF73" s="864"/>
      <c r="AG73" s="864"/>
      <c r="AH73" s="864"/>
      <c r="AI73" s="864"/>
      <c r="AJ73" s="864"/>
      <c r="AK73" s="864"/>
      <c r="AL73" s="864"/>
      <c r="AM73" s="864"/>
      <c r="AN73" s="864"/>
      <c r="AO73" s="864"/>
      <c r="AP73" s="864"/>
      <c r="AQ73" s="864"/>
      <c r="AR73" s="864"/>
      <c r="AS73" s="864"/>
      <c r="AT73" s="864"/>
      <c r="AU73" s="864"/>
      <c r="AV73" s="864"/>
      <c r="AW73" s="864"/>
      <c r="AX73" s="864"/>
      <c r="AY73" s="864"/>
      <c r="AZ73" s="864"/>
      <c r="BA73" s="864"/>
      <c r="BB73" s="864"/>
      <c r="BC73" s="864"/>
      <c r="BD73" s="864"/>
      <c r="BE73" s="864"/>
      <c r="BF73" s="864"/>
      <c r="BG73" s="864"/>
      <c r="BH73" s="864"/>
      <c r="BI73" s="864"/>
      <c r="BJ73" s="864"/>
      <c r="BK73" s="864"/>
      <c r="BL73" s="864"/>
      <c r="BM73" s="864"/>
      <c r="BN73" s="864"/>
      <c r="BO73" s="864"/>
      <c r="BP73" s="864"/>
      <c r="BQ73" s="864"/>
      <c r="BR73" s="864"/>
      <c r="BS73" s="864"/>
      <c r="BT73" s="864"/>
      <c r="BU73" s="864"/>
      <c r="BV73" s="864"/>
      <c r="BW73" s="864"/>
      <c r="BX73" s="864"/>
      <c r="BY73" s="864"/>
      <c r="BZ73" s="864"/>
      <c r="CA73" s="864"/>
      <c r="CB73" s="865"/>
      <c r="CC73" s="122"/>
      <c r="DG73" s="10"/>
      <c r="DJ73" s="22"/>
      <c r="DK73" s="22"/>
      <c r="DL73" s="269"/>
      <c r="DM73" s="269"/>
      <c r="DN73" s="25"/>
      <c r="DO73" s="25"/>
      <c r="DP73" s="25"/>
      <c r="DQ73" s="25"/>
      <c r="DR73" s="25"/>
    </row>
    <row r="74" spans="2:122" ht="11.25" customHeight="1">
      <c r="B74" s="122"/>
      <c r="C74" s="679" t="str">
        <f>VLOOKUP(2302,Languages!$A$5:$C$1032,Languages!$A$2,FALSE)</f>
        <v>Graphical representation of the problem [Please insert pictures, drawings or sketches]</v>
      </c>
      <c r="D74" s="680"/>
      <c r="E74" s="680"/>
      <c r="F74" s="680"/>
      <c r="G74" s="680"/>
      <c r="H74" s="680"/>
      <c r="I74" s="680"/>
      <c r="J74" s="680"/>
      <c r="K74" s="680"/>
      <c r="L74" s="680"/>
      <c r="M74" s="680"/>
      <c r="N74" s="680"/>
      <c r="O74" s="680"/>
      <c r="P74" s="680"/>
      <c r="Q74" s="680"/>
      <c r="R74" s="680"/>
      <c r="S74" s="680"/>
      <c r="T74" s="680"/>
      <c r="U74" s="680"/>
      <c r="V74" s="680"/>
      <c r="W74" s="680"/>
      <c r="X74" s="680"/>
      <c r="Y74" s="680"/>
      <c r="Z74" s="680"/>
      <c r="AA74" s="680"/>
      <c r="AB74" s="680"/>
      <c r="AC74" s="680"/>
      <c r="AD74" s="680"/>
      <c r="AE74" s="680"/>
      <c r="AF74" s="680"/>
      <c r="AG74" s="680"/>
      <c r="AH74" s="680"/>
      <c r="AI74" s="680"/>
      <c r="AJ74" s="680"/>
      <c r="AK74" s="680"/>
      <c r="AL74" s="680"/>
      <c r="AM74" s="680"/>
      <c r="AN74" s="680"/>
      <c r="AO74" s="680"/>
      <c r="AP74" s="680"/>
      <c r="AQ74" s="680"/>
      <c r="AR74" s="680"/>
      <c r="AS74" s="680"/>
      <c r="AT74" s="680"/>
      <c r="AU74" s="680"/>
      <c r="AV74" s="680"/>
      <c r="AW74" s="680"/>
      <c r="AX74" s="680"/>
      <c r="AY74" s="680"/>
      <c r="AZ74" s="680"/>
      <c r="BA74" s="680"/>
      <c r="BB74" s="680"/>
      <c r="BC74" s="680"/>
      <c r="BD74" s="680"/>
      <c r="BE74" s="680"/>
      <c r="BF74" s="680"/>
      <c r="BG74" s="680"/>
      <c r="BH74" s="680"/>
      <c r="BI74" s="680"/>
      <c r="BJ74" s="680"/>
      <c r="BK74" s="680"/>
      <c r="BL74" s="680"/>
      <c r="BM74" s="680"/>
      <c r="BN74" s="680"/>
      <c r="BO74" s="680"/>
      <c r="BP74" s="680"/>
      <c r="BQ74" s="680"/>
      <c r="BR74" s="680"/>
      <c r="BS74" s="680"/>
      <c r="BT74" s="680"/>
      <c r="BU74" s="680"/>
      <c r="BV74" s="680"/>
      <c r="BW74" s="680"/>
      <c r="BX74" s="680"/>
      <c r="BY74" s="680"/>
      <c r="BZ74" s="680"/>
      <c r="CA74" s="680"/>
      <c r="CB74" s="681"/>
      <c r="CC74" s="122"/>
      <c r="DG74" s="10"/>
      <c r="DJ74" s="22"/>
      <c r="DK74" s="22"/>
      <c r="DL74" s="394"/>
      <c r="DM74" s="394"/>
      <c r="DN74" s="25"/>
      <c r="DO74" s="25"/>
      <c r="DP74" s="25"/>
      <c r="DQ74" s="25"/>
      <c r="DR74" s="25"/>
    </row>
    <row r="75" spans="2:122" ht="11.25" customHeight="1">
      <c r="B75" s="122"/>
      <c r="C75" s="673"/>
      <c r="D75" s="674"/>
      <c r="E75" s="674"/>
      <c r="F75" s="674"/>
      <c r="G75" s="674"/>
      <c r="H75" s="674"/>
      <c r="I75" s="674"/>
      <c r="J75" s="674"/>
      <c r="K75" s="674"/>
      <c r="L75" s="674"/>
      <c r="M75" s="674"/>
      <c r="N75" s="674"/>
      <c r="O75" s="674"/>
      <c r="P75" s="674"/>
      <c r="Q75" s="674"/>
      <c r="R75" s="674"/>
      <c r="S75" s="674"/>
      <c r="T75" s="674"/>
      <c r="U75" s="674"/>
      <c r="V75" s="674"/>
      <c r="W75" s="674"/>
      <c r="X75" s="674"/>
      <c r="Y75" s="674"/>
      <c r="Z75" s="674"/>
      <c r="AA75" s="674"/>
      <c r="AB75" s="674"/>
      <c r="AC75" s="674"/>
      <c r="AD75" s="674"/>
      <c r="AE75" s="674"/>
      <c r="AF75" s="674"/>
      <c r="AG75" s="674"/>
      <c r="AH75" s="674"/>
      <c r="AI75" s="674"/>
      <c r="AJ75" s="674"/>
      <c r="AK75" s="674"/>
      <c r="AL75" s="674"/>
      <c r="AM75" s="674"/>
      <c r="AN75" s="674"/>
      <c r="AO75" s="674"/>
      <c r="AP75" s="674"/>
      <c r="AQ75" s="674"/>
      <c r="AR75" s="674"/>
      <c r="AS75" s="674"/>
      <c r="AT75" s="674"/>
      <c r="AU75" s="674"/>
      <c r="AV75" s="674"/>
      <c r="AW75" s="674"/>
      <c r="AX75" s="674"/>
      <c r="AY75" s="674"/>
      <c r="AZ75" s="674"/>
      <c r="BA75" s="674"/>
      <c r="BB75" s="674"/>
      <c r="BC75" s="674"/>
      <c r="BD75" s="674"/>
      <c r="BE75" s="674"/>
      <c r="BF75" s="674"/>
      <c r="BG75" s="674"/>
      <c r="BH75" s="674"/>
      <c r="BI75" s="674"/>
      <c r="BJ75" s="674"/>
      <c r="BK75" s="674"/>
      <c r="BL75" s="674"/>
      <c r="BM75" s="674"/>
      <c r="BN75" s="674"/>
      <c r="BO75" s="674"/>
      <c r="BP75" s="674"/>
      <c r="BQ75" s="674"/>
      <c r="BR75" s="674"/>
      <c r="BS75" s="674"/>
      <c r="BT75" s="674"/>
      <c r="BU75" s="674"/>
      <c r="BV75" s="674"/>
      <c r="BW75" s="674"/>
      <c r="BX75" s="674"/>
      <c r="BY75" s="674"/>
      <c r="BZ75" s="674"/>
      <c r="CA75" s="674"/>
      <c r="CB75" s="675"/>
      <c r="CC75" s="122"/>
      <c r="DG75" s="10"/>
      <c r="DJ75" s="22"/>
      <c r="DK75" s="22"/>
      <c r="DL75" s="269"/>
      <c r="DM75" s="269"/>
      <c r="DN75" s="25"/>
      <c r="DO75" s="25"/>
      <c r="DP75" s="25"/>
      <c r="DQ75" s="25"/>
      <c r="DR75" s="25"/>
    </row>
    <row r="76" spans="2:122" ht="11.25" customHeight="1">
      <c r="B76" s="122"/>
      <c r="C76" s="927" t="str">
        <f>VLOOKUP(2303,Languages!$A$5:$C$1032,Languages!$A$2,FALSE)</f>
        <v>OK - part</v>
      </c>
      <c r="D76" s="928"/>
      <c r="E76" s="928"/>
      <c r="F76" s="928"/>
      <c r="G76" s="928"/>
      <c r="H76" s="928"/>
      <c r="I76" s="928"/>
      <c r="J76" s="928"/>
      <c r="K76" s="928"/>
      <c r="L76" s="928"/>
      <c r="M76" s="928"/>
      <c r="N76" s="928"/>
      <c r="O76" s="928"/>
      <c r="P76" s="928"/>
      <c r="Q76" s="928"/>
      <c r="R76" s="928"/>
      <c r="S76" s="928"/>
      <c r="T76" s="928"/>
      <c r="U76" s="928"/>
      <c r="V76" s="928"/>
      <c r="W76" s="928"/>
      <c r="X76" s="928"/>
      <c r="Y76" s="928"/>
      <c r="Z76" s="928"/>
      <c r="AA76" s="928"/>
      <c r="AB76" s="928"/>
      <c r="AC76" s="928"/>
      <c r="AD76" s="928"/>
      <c r="AE76" s="928"/>
      <c r="AF76" s="928"/>
      <c r="AG76" s="928"/>
      <c r="AH76" s="928"/>
      <c r="AI76" s="928"/>
      <c r="AJ76" s="928"/>
      <c r="AK76" s="928"/>
      <c r="AL76" s="928"/>
      <c r="AM76" s="928"/>
      <c r="AN76" s="928"/>
      <c r="AO76" s="929"/>
      <c r="AP76" s="927" t="str">
        <f>VLOOKUP(2304,Languages!$A$5:$C$1032,Languages!$A$2,FALSE)</f>
        <v>NOK - part</v>
      </c>
      <c r="AQ76" s="928"/>
      <c r="AR76" s="928"/>
      <c r="AS76" s="928"/>
      <c r="AT76" s="928"/>
      <c r="AU76" s="928"/>
      <c r="AV76" s="928"/>
      <c r="AW76" s="928"/>
      <c r="AX76" s="928"/>
      <c r="AY76" s="928"/>
      <c r="AZ76" s="928"/>
      <c r="BA76" s="928"/>
      <c r="BB76" s="928"/>
      <c r="BC76" s="928"/>
      <c r="BD76" s="928"/>
      <c r="BE76" s="928"/>
      <c r="BF76" s="928"/>
      <c r="BG76" s="928"/>
      <c r="BH76" s="928"/>
      <c r="BI76" s="928"/>
      <c r="BJ76" s="928"/>
      <c r="BK76" s="928"/>
      <c r="BL76" s="928"/>
      <c r="BM76" s="928"/>
      <c r="BN76" s="928"/>
      <c r="BO76" s="928"/>
      <c r="BP76" s="928"/>
      <c r="BQ76" s="928"/>
      <c r="BR76" s="928"/>
      <c r="BS76" s="928"/>
      <c r="BT76" s="928"/>
      <c r="BU76" s="928"/>
      <c r="BV76" s="928"/>
      <c r="BW76" s="928"/>
      <c r="BX76" s="928"/>
      <c r="BY76" s="928"/>
      <c r="BZ76" s="928"/>
      <c r="CA76" s="928"/>
      <c r="CB76" s="929"/>
      <c r="CC76" s="122"/>
      <c r="DG76" s="10"/>
      <c r="DJ76" s="22"/>
      <c r="DK76" s="22"/>
      <c r="DL76" s="394"/>
      <c r="DM76" s="394"/>
      <c r="DN76" s="25"/>
      <c r="DO76" s="25"/>
      <c r="DP76" s="25"/>
      <c r="DQ76" s="25"/>
      <c r="DR76" s="25"/>
    </row>
    <row r="77" spans="2:122" ht="11.25" customHeight="1">
      <c r="B77" s="122"/>
      <c r="C77" s="930"/>
      <c r="D77" s="931"/>
      <c r="E77" s="931"/>
      <c r="F77" s="931"/>
      <c r="G77" s="931"/>
      <c r="H77" s="931"/>
      <c r="I77" s="931"/>
      <c r="J77" s="931"/>
      <c r="K77" s="931"/>
      <c r="L77" s="931"/>
      <c r="M77" s="931"/>
      <c r="N77" s="931"/>
      <c r="O77" s="931"/>
      <c r="P77" s="931"/>
      <c r="Q77" s="931"/>
      <c r="R77" s="931"/>
      <c r="S77" s="931"/>
      <c r="T77" s="931"/>
      <c r="U77" s="931"/>
      <c r="V77" s="931"/>
      <c r="W77" s="931"/>
      <c r="X77" s="931"/>
      <c r="Y77" s="931"/>
      <c r="Z77" s="931"/>
      <c r="AA77" s="931"/>
      <c r="AB77" s="931"/>
      <c r="AC77" s="931"/>
      <c r="AD77" s="931"/>
      <c r="AE77" s="931"/>
      <c r="AF77" s="931"/>
      <c r="AG77" s="931"/>
      <c r="AH77" s="931"/>
      <c r="AI77" s="931"/>
      <c r="AJ77" s="931"/>
      <c r="AK77" s="931"/>
      <c r="AL77" s="931"/>
      <c r="AM77" s="931"/>
      <c r="AN77" s="931"/>
      <c r="AO77" s="932"/>
      <c r="AP77" s="930"/>
      <c r="AQ77" s="931"/>
      <c r="AR77" s="931"/>
      <c r="AS77" s="931"/>
      <c r="AT77" s="931"/>
      <c r="AU77" s="931"/>
      <c r="AV77" s="931"/>
      <c r="AW77" s="931"/>
      <c r="AX77" s="931"/>
      <c r="AY77" s="931"/>
      <c r="AZ77" s="931"/>
      <c r="BA77" s="931"/>
      <c r="BB77" s="931"/>
      <c r="BC77" s="931"/>
      <c r="BD77" s="931"/>
      <c r="BE77" s="931"/>
      <c r="BF77" s="931"/>
      <c r="BG77" s="931"/>
      <c r="BH77" s="931"/>
      <c r="BI77" s="931"/>
      <c r="BJ77" s="931"/>
      <c r="BK77" s="931"/>
      <c r="BL77" s="931"/>
      <c r="BM77" s="931"/>
      <c r="BN77" s="931"/>
      <c r="BO77" s="931"/>
      <c r="BP77" s="931"/>
      <c r="BQ77" s="931"/>
      <c r="BR77" s="931"/>
      <c r="BS77" s="931"/>
      <c r="BT77" s="931"/>
      <c r="BU77" s="931"/>
      <c r="BV77" s="931"/>
      <c r="BW77" s="931"/>
      <c r="BX77" s="931"/>
      <c r="BY77" s="931"/>
      <c r="BZ77" s="931"/>
      <c r="CA77" s="931"/>
      <c r="CB77" s="932"/>
      <c r="CC77" s="122"/>
      <c r="DG77" s="10"/>
      <c r="DJ77" s="22"/>
      <c r="DK77" s="22"/>
      <c r="DL77" s="269"/>
      <c r="DM77" s="269"/>
      <c r="DN77" s="25"/>
      <c r="DO77" s="25"/>
      <c r="DP77" s="25"/>
      <c r="DQ77" s="25"/>
      <c r="DR77" s="25"/>
    </row>
    <row r="78" spans="2:122" ht="236.25" customHeight="1" thickBot="1">
      <c r="B78" s="122"/>
      <c r="C78" s="866"/>
      <c r="D78" s="867"/>
      <c r="E78" s="867"/>
      <c r="F78" s="867"/>
      <c r="G78" s="867"/>
      <c r="H78" s="867"/>
      <c r="I78" s="867"/>
      <c r="J78" s="867"/>
      <c r="K78" s="867"/>
      <c r="L78" s="867"/>
      <c r="M78" s="867"/>
      <c r="N78" s="867"/>
      <c r="O78" s="867"/>
      <c r="P78" s="867"/>
      <c r="Q78" s="867"/>
      <c r="R78" s="867"/>
      <c r="S78" s="867"/>
      <c r="T78" s="867"/>
      <c r="U78" s="867"/>
      <c r="V78" s="867"/>
      <c r="W78" s="867"/>
      <c r="X78" s="867"/>
      <c r="Y78" s="867"/>
      <c r="Z78" s="867"/>
      <c r="AA78" s="867"/>
      <c r="AB78" s="867"/>
      <c r="AC78" s="867"/>
      <c r="AD78" s="867"/>
      <c r="AE78" s="867"/>
      <c r="AF78" s="867"/>
      <c r="AG78" s="867"/>
      <c r="AH78" s="867"/>
      <c r="AI78" s="867"/>
      <c r="AJ78" s="867"/>
      <c r="AK78" s="867"/>
      <c r="AL78" s="867"/>
      <c r="AM78" s="867"/>
      <c r="AN78" s="867"/>
      <c r="AO78" s="868"/>
      <c r="AP78" s="866"/>
      <c r="AQ78" s="867"/>
      <c r="AR78" s="867"/>
      <c r="AS78" s="867"/>
      <c r="AT78" s="867"/>
      <c r="AU78" s="867"/>
      <c r="AV78" s="867"/>
      <c r="AW78" s="867"/>
      <c r="AX78" s="867"/>
      <c r="AY78" s="867"/>
      <c r="AZ78" s="867"/>
      <c r="BA78" s="867"/>
      <c r="BB78" s="867"/>
      <c r="BC78" s="867"/>
      <c r="BD78" s="867"/>
      <c r="BE78" s="867"/>
      <c r="BF78" s="867"/>
      <c r="BG78" s="867"/>
      <c r="BH78" s="867"/>
      <c r="BI78" s="867"/>
      <c r="BJ78" s="867"/>
      <c r="BK78" s="867"/>
      <c r="BL78" s="867"/>
      <c r="BM78" s="867"/>
      <c r="BN78" s="867"/>
      <c r="BO78" s="867"/>
      <c r="BP78" s="867"/>
      <c r="BQ78" s="867"/>
      <c r="BR78" s="867"/>
      <c r="BS78" s="867"/>
      <c r="BT78" s="867"/>
      <c r="BU78" s="867"/>
      <c r="BV78" s="867"/>
      <c r="BW78" s="867"/>
      <c r="BX78" s="867"/>
      <c r="BY78" s="867"/>
      <c r="BZ78" s="867"/>
      <c r="CA78" s="867"/>
      <c r="CB78" s="868"/>
      <c r="CC78" s="122"/>
      <c r="DG78" s="10"/>
      <c r="DJ78" s="22"/>
      <c r="DK78" s="22"/>
      <c r="DL78" s="394"/>
      <c r="DM78" s="394"/>
      <c r="DN78" s="25"/>
      <c r="DO78" s="25"/>
      <c r="DP78" s="25"/>
      <c r="DQ78" s="25"/>
      <c r="DR78" s="25"/>
    </row>
    <row r="79" spans="2:122" ht="11.25" customHeight="1">
      <c r="B79" s="122"/>
      <c r="C79" s="670" t="str">
        <f>VLOOKUP(2305,Languages!$A$5:$C$1032,Languages!$A$2,FALSE)</f>
        <v>What is the PROBLEM? Use the W-questions or IS / IS NOT, to understand the problem in its scope and impact.</v>
      </c>
      <c r="D79" s="671"/>
      <c r="E79" s="671"/>
      <c r="F79" s="671"/>
      <c r="G79" s="671"/>
      <c r="H79" s="671"/>
      <c r="I79" s="671"/>
      <c r="J79" s="671"/>
      <c r="K79" s="671"/>
      <c r="L79" s="671"/>
      <c r="M79" s="671"/>
      <c r="N79" s="671"/>
      <c r="O79" s="671"/>
      <c r="P79" s="671"/>
      <c r="Q79" s="671"/>
      <c r="R79" s="671"/>
      <c r="S79" s="671"/>
      <c r="T79" s="671"/>
      <c r="U79" s="671"/>
      <c r="V79" s="671"/>
      <c r="W79" s="671"/>
      <c r="X79" s="671"/>
      <c r="Y79" s="671"/>
      <c r="Z79" s="671"/>
      <c r="AA79" s="671"/>
      <c r="AB79" s="671"/>
      <c r="AC79" s="671"/>
      <c r="AD79" s="671"/>
      <c r="AE79" s="671"/>
      <c r="AF79" s="671"/>
      <c r="AG79" s="671"/>
      <c r="AH79" s="671"/>
      <c r="AI79" s="671"/>
      <c r="AJ79" s="671"/>
      <c r="AK79" s="671"/>
      <c r="AL79" s="671"/>
      <c r="AM79" s="671"/>
      <c r="AN79" s="671"/>
      <c r="AO79" s="671"/>
      <c r="AP79" s="671"/>
      <c r="AQ79" s="671"/>
      <c r="AR79" s="671"/>
      <c r="AS79" s="671"/>
      <c r="AT79" s="671"/>
      <c r="AU79" s="671"/>
      <c r="AV79" s="671"/>
      <c r="AW79" s="671"/>
      <c r="AX79" s="671"/>
      <c r="AY79" s="671"/>
      <c r="AZ79" s="671"/>
      <c r="BA79" s="671"/>
      <c r="BB79" s="671"/>
      <c r="BC79" s="671"/>
      <c r="BD79" s="671"/>
      <c r="BE79" s="671"/>
      <c r="BF79" s="671"/>
      <c r="BG79" s="671"/>
      <c r="BH79" s="671"/>
      <c r="BI79" s="671"/>
      <c r="BJ79" s="671"/>
      <c r="BK79" s="671"/>
      <c r="BL79" s="671"/>
      <c r="BM79" s="671"/>
      <c r="BN79" s="671"/>
      <c r="BO79" s="671"/>
      <c r="BP79" s="671"/>
      <c r="BQ79" s="671"/>
      <c r="BR79" s="671"/>
      <c r="BS79" s="671"/>
      <c r="BT79" s="671"/>
      <c r="BU79" s="671"/>
      <c r="BV79" s="671"/>
      <c r="BW79" s="671"/>
      <c r="BX79" s="671"/>
      <c r="BY79" s="671"/>
      <c r="BZ79" s="671"/>
      <c r="CA79" s="671"/>
      <c r="CB79" s="672"/>
      <c r="CC79" s="122"/>
      <c r="CE79" s="692" t="str">
        <f>VLOOKUP(2002,Languages!$A$5:$C$1032,Languages!$A$2,FALSE)</f>
        <v>Tool</v>
      </c>
      <c r="CF79" s="693"/>
      <c r="CG79" s="693"/>
      <c r="CH79" s="693"/>
      <c r="CI79" s="693"/>
      <c r="CJ79" s="693"/>
      <c r="CK79" s="693"/>
      <c r="CL79" s="693"/>
      <c r="CM79" s="693"/>
      <c r="CN79" s="693"/>
      <c r="CO79" s="693"/>
      <c r="CP79" s="693"/>
      <c r="CQ79" s="693"/>
      <c r="CR79" s="693"/>
      <c r="CS79" s="694"/>
      <c r="CT79" s="323"/>
      <c r="DG79" s="10"/>
      <c r="DJ79" s="22"/>
      <c r="DK79" s="22"/>
      <c r="DL79" s="269"/>
      <c r="DM79" s="269"/>
      <c r="DN79" s="25"/>
      <c r="DO79" s="25"/>
      <c r="DP79" s="25"/>
      <c r="DQ79" s="25"/>
      <c r="DR79" s="25"/>
    </row>
    <row r="80" spans="2:122" ht="11.25" customHeight="1">
      <c r="B80" s="122"/>
      <c r="C80" s="679"/>
      <c r="D80" s="680"/>
      <c r="E80" s="680"/>
      <c r="F80" s="680"/>
      <c r="G80" s="680"/>
      <c r="H80" s="680"/>
      <c r="I80" s="680"/>
      <c r="J80" s="680"/>
      <c r="K80" s="680"/>
      <c r="L80" s="680"/>
      <c r="M80" s="680"/>
      <c r="N80" s="680"/>
      <c r="O80" s="680"/>
      <c r="P80" s="680"/>
      <c r="Q80" s="680"/>
      <c r="R80" s="680"/>
      <c r="S80" s="680"/>
      <c r="T80" s="680"/>
      <c r="U80" s="680"/>
      <c r="V80" s="680"/>
      <c r="W80" s="680"/>
      <c r="X80" s="680"/>
      <c r="Y80" s="680"/>
      <c r="Z80" s="680"/>
      <c r="AA80" s="680"/>
      <c r="AB80" s="680"/>
      <c r="AC80" s="680"/>
      <c r="AD80" s="680"/>
      <c r="AE80" s="680"/>
      <c r="AF80" s="680"/>
      <c r="AG80" s="680"/>
      <c r="AH80" s="680"/>
      <c r="AI80" s="680"/>
      <c r="AJ80" s="680"/>
      <c r="AK80" s="680"/>
      <c r="AL80" s="680"/>
      <c r="AM80" s="680"/>
      <c r="AN80" s="680"/>
      <c r="AO80" s="680"/>
      <c r="AP80" s="680"/>
      <c r="AQ80" s="680"/>
      <c r="AR80" s="680"/>
      <c r="AS80" s="680"/>
      <c r="AT80" s="680"/>
      <c r="AU80" s="680"/>
      <c r="AV80" s="680"/>
      <c r="AW80" s="680"/>
      <c r="AX80" s="680"/>
      <c r="AY80" s="680"/>
      <c r="AZ80" s="680"/>
      <c r="BA80" s="680"/>
      <c r="BB80" s="680"/>
      <c r="BC80" s="680"/>
      <c r="BD80" s="680"/>
      <c r="BE80" s="680"/>
      <c r="BF80" s="680"/>
      <c r="BG80" s="680"/>
      <c r="BH80" s="680"/>
      <c r="BI80" s="680"/>
      <c r="BJ80" s="680"/>
      <c r="BK80" s="680"/>
      <c r="BL80" s="680"/>
      <c r="BM80" s="680"/>
      <c r="BN80" s="680"/>
      <c r="BO80" s="680"/>
      <c r="BP80" s="680"/>
      <c r="BQ80" s="680"/>
      <c r="BR80" s="680"/>
      <c r="BS80" s="680"/>
      <c r="BT80" s="680"/>
      <c r="BU80" s="680"/>
      <c r="BV80" s="680"/>
      <c r="BW80" s="680"/>
      <c r="BX80" s="680"/>
      <c r="BY80" s="680"/>
      <c r="BZ80" s="680"/>
      <c r="CA80" s="680"/>
      <c r="CB80" s="681"/>
      <c r="CC80" s="122"/>
      <c r="CE80" s="695"/>
      <c r="CF80" s="696"/>
      <c r="CG80" s="696"/>
      <c r="CH80" s="696"/>
      <c r="CI80" s="696"/>
      <c r="CJ80" s="696"/>
      <c r="CK80" s="696"/>
      <c r="CL80" s="696"/>
      <c r="CM80" s="696"/>
      <c r="CN80" s="696"/>
      <c r="CO80" s="696"/>
      <c r="CP80" s="696"/>
      <c r="CQ80" s="696"/>
      <c r="CR80" s="696"/>
      <c r="CS80" s="697"/>
      <c r="CT80" s="323"/>
      <c r="DG80" s="10"/>
      <c r="DJ80" s="22"/>
      <c r="DK80" s="22"/>
      <c r="DL80" s="394"/>
      <c r="DM80" s="394"/>
      <c r="DN80" s="25"/>
      <c r="DO80" s="25"/>
      <c r="DP80" s="25"/>
      <c r="DQ80" s="25"/>
      <c r="DR80" s="25"/>
    </row>
    <row r="81" spans="2:122" ht="11.25" customHeight="1">
      <c r="B81" s="122"/>
      <c r="C81" s="673"/>
      <c r="D81" s="674"/>
      <c r="E81" s="674"/>
      <c r="F81" s="674"/>
      <c r="G81" s="674"/>
      <c r="H81" s="674"/>
      <c r="I81" s="674"/>
      <c r="J81" s="674"/>
      <c r="K81" s="674"/>
      <c r="L81" s="674"/>
      <c r="M81" s="674"/>
      <c r="N81" s="674"/>
      <c r="O81" s="674"/>
      <c r="P81" s="674"/>
      <c r="Q81" s="674"/>
      <c r="R81" s="674"/>
      <c r="S81" s="674"/>
      <c r="T81" s="674"/>
      <c r="U81" s="674"/>
      <c r="V81" s="674"/>
      <c r="W81" s="674"/>
      <c r="X81" s="674"/>
      <c r="Y81" s="674"/>
      <c r="Z81" s="674"/>
      <c r="AA81" s="674"/>
      <c r="AB81" s="674"/>
      <c r="AC81" s="674"/>
      <c r="AD81" s="674"/>
      <c r="AE81" s="674"/>
      <c r="AF81" s="674"/>
      <c r="AG81" s="674"/>
      <c r="AH81" s="674"/>
      <c r="AI81" s="674"/>
      <c r="AJ81" s="674"/>
      <c r="AK81" s="674"/>
      <c r="AL81" s="674"/>
      <c r="AM81" s="674"/>
      <c r="AN81" s="674"/>
      <c r="AO81" s="674"/>
      <c r="AP81" s="674"/>
      <c r="AQ81" s="674"/>
      <c r="AR81" s="674"/>
      <c r="AS81" s="674"/>
      <c r="AT81" s="674"/>
      <c r="AU81" s="674"/>
      <c r="AV81" s="674"/>
      <c r="AW81" s="674"/>
      <c r="AX81" s="674"/>
      <c r="AY81" s="674"/>
      <c r="AZ81" s="674"/>
      <c r="BA81" s="674"/>
      <c r="BB81" s="674"/>
      <c r="BC81" s="674"/>
      <c r="BD81" s="674"/>
      <c r="BE81" s="674"/>
      <c r="BF81" s="674"/>
      <c r="BG81" s="674"/>
      <c r="BH81" s="674"/>
      <c r="BI81" s="674"/>
      <c r="BJ81" s="674"/>
      <c r="BK81" s="674"/>
      <c r="BL81" s="674"/>
      <c r="BM81" s="674"/>
      <c r="BN81" s="674"/>
      <c r="BO81" s="674"/>
      <c r="BP81" s="674"/>
      <c r="BQ81" s="674"/>
      <c r="BR81" s="674"/>
      <c r="BS81" s="674"/>
      <c r="BT81" s="674"/>
      <c r="BU81" s="674"/>
      <c r="BV81" s="674"/>
      <c r="BW81" s="674"/>
      <c r="BX81" s="674"/>
      <c r="BY81" s="674"/>
      <c r="BZ81" s="674"/>
      <c r="CA81" s="674"/>
      <c r="CB81" s="675"/>
      <c r="CC81" s="122"/>
      <c r="CE81" s="695"/>
      <c r="CF81" s="696"/>
      <c r="CG81" s="696"/>
      <c r="CH81" s="696"/>
      <c r="CI81" s="696"/>
      <c r="CJ81" s="696"/>
      <c r="CK81" s="696"/>
      <c r="CL81" s="696"/>
      <c r="CM81" s="696"/>
      <c r="CN81" s="696"/>
      <c r="CO81" s="696"/>
      <c r="CP81" s="696"/>
      <c r="CQ81" s="696"/>
      <c r="CR81" s="696"/>
      <c r="CS81" s="697"/>
      <c r="CT81" s="323"/>
      <c r="DG81" s="10"/>
      <c r="DJ81" s="22"/>
      <c r="DK81" s="22"/>
      <c r="DL81" s="269"/>
      <c r="DM81" s="269"/>
      <c r="DN81" s="25"/>
      <c r="DO81" s="25"/>
      <c r="DP81" s="25"/>
      <c r="DQ81" s="25"/>
      <c r="DR81" s="25"/>
    </row>
    <row r="82" spans="2:122" ht="11.25" customHeight="1">
      <c r="B82" s="122"/>
      <c r="C82" s="723" t="str">
        <f>VLOOKUP(2306,Languages!$A$5:$C$1032,Languages!$A$2,FALSE)</f>
        <v>Which symptoms do we see on our parts?</v>
      </c>
      <c r="D82" s="724"/>
      <c r="E82" s="724"/>
      <c r="F82" s="724"/>
      <c r="G82" s="724"/>
      <c r="H82" s="724"/>
      <c r="I82" s="724"/>
      <c r="J82" s="724"/>
      <c r="K82" s="724"/>
      <c r="L82" s="724"/>
      <c r="M82" s="724"/>
      <c r="N82" s="724"/>
      <c r="O82" s="724"/>
      <c r="P82" s="724"/>
      <c r="Q82" s="724"/>
      <c r="R82" s="724"/>
      <c r="S82" s="724"/>
      <c r="T82" s="724"/>
      <c r="U82" s="724"/>
      <c r="V82" s="724"/>
      <c r="W82" s="724"/>
      <c r="X82" s="724"/>
      <c r="Y82" s="724"/>
      <c r="Z82" s="724"/>
      <c r="AA82" s="725"/>
      <c r="AB82" s="676"/>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677"/>
      <c r="AY82" s="677"/>
      <c r="AZ82" s="677"/>
      <c r="BA82" s="677"/>
      <c r="BB82" s="677"/>
      <c r="BC82" s="677"/>
      <c r="BD82" s="677"/>
      <c r="BE82" s="677"/>
      <c r="BF82" s="677"/>
      <c r="BG82" s="677"/>
      <c r="BH82" s="677"/>
      <c r="BI82" s="677"/>
      <c r="BJ82" s="677"/>
      <c r="BK82" s="677"/>
      <c r="BL82" s="677"/>
      <c r="BM82" s="677"/>
      <c r="BN82" s="677"/>
      <c r="BO82" s="677"/>
      <c r="BP82" s="677"/>
      <c r="BQ82" s="677"/>
      <c r="BR82" s="677"/>
      <c r="BS82" s="677"/>
      <c r="BT82" s="677"/>
      <c r="BU82" s="677"/>
      <c r="BV82" s="677"/>
      <c r="BW82" s="677"/>
      <c r="BX82" s="677"/>
      <c r="BY82" s="677"/>
      <c r="BZ82" s="677"/>
      <c r="CA82" s="677"/>
      <c r="CB82" s="678"/>
      <c r="CC82" s="122"/>
      <c r="CE82" s="698"/>
      <c r="CF82" s="699"/>
      <c r="CG82" s="699"/>
      <c r="CH82" s="699"/>
      <c r="CI82" s="699"/>
      <c r="CJ82" s="699"/>
      <c r="CK82" s="699"/>
      <c r="CL82" s="699"/>
      <c r="CM82" s="699"/>
      <c r="CN82" s="699"/>
      <c r="CO82" s="699"/>
      <c r="CP82" s="699"/>
      <c r="CQ82" s="699"/>
      <c r="CR82" s="699"/>
      <c r="CS82" s="700"/>
      <c r="DG82" s="10"/>
      <c r="DJ82" s="22"/>
      <c r="DK82" s="22"/>
      <c r="DL82" s="394"/>
      <c r="DM82" s="394"/>
      <c r="DN82" s="25"/>
      <c r="DO82" s="25"/>
      <c r="DP82" s="25"/>
      <c r="DQ82" s="25"/>
      <c r="DR82" s="25"/>
    </row>
    <row r="83" spans="2:122" ht="11.25" customHeight="1">
      <c r="B83" s="122"/>
      <c r="C83" s="726"/>
      <c r="D83" s="727"/>
      <c r="E83" s="727"/>
      <c r="F83" s="727"/>
      <c r="G83" s="727"/>
      <c r="H83" s="727"/>
      <c r="I83" s="727"/>
      <c r="J83" s="727"/>
      <c r="K83" s="727"/>
      <c r="L83" s="727"/>
      <c r="M83" s="727"/>
      <c r="N83" s="727"/>
      <c r="O83" s="727"/>
      <c r="P83" s="727"/>
      <c r="Q83" s="727"/>
      <c r="R83" s="727"/>
      <c r="S83" s="727"/>
      <c r="T83" s="727"/>
      <c r="U83" s="727"/>
      <c r="V83" s="727"/>
      <c r="W83" s="727"/>
      <c r="X83" s="727"/>
      <c r="Y83" s="727"/>
      <c r="Z83" s="727"/>
      <c r="AA83" s="728"/>
      <c r="AB83" s="704"/>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705"/>
      <c r="AY83" s="705"/>
      <c r="AZ83" s="705"/>
      <c r="BA83" s="705"/>
      <c r="BB83" s="705"/>
      <c r="BC83" s="705"/>
      <c r="BD83" s="705"/>
      <c r="BE83" s="705"/>
      <c r="BF83" s="705"/>
      <c r="BG83" s="705"/>
      <c r="BH83" s="705"/>
      <c r="BI83" s="705"/>
      <c r="BJ83" s="705"/>
      <c r="BK83" s="705"/>
      <c r="BL83" s="705"/>
      <c r="BM83" s="705"/>
      <c r="BN83" s="705"/>
      <c r="BO83" s="705"/>
      <c r="BP83" s="705"/>
      <c r="BQ83" s="705"/>
      <c r="BR83" s="705"/>
      <c r="BS83" s="705"/>
      <c r="BT83" s="705"/>
      <c r="BU83" s="705"/>
      <c r="BV83" s="705"/>
      <c r="BW83" s="705"/>
      <c r="BX83" s="705"/>
      <c r="BY83" s="705"/>
      <c r="BZ83" s="705"/>
      <c r="CA83" s="705"/>
      <c r="CB83" s="706"/>
      <c r="CC83" s="122"/>
      <c r="CE83" s="698"/>
      <c r="CF83" s="699"/>
      <c r="CG83" s="699"/>
      <c r="CH83" s="699"/>
      <c r="CI83" s="699"/>
      <c r="CJ83" s="699"/>
      <c r="CK83" s="699"/>
      <c r="CL83" s="699"/>
      <c r="CM83" s="699"/>
      <c r="CN83" s="699"/>
      <c r="CO83" s="699"/>
      <c r="CP83" s="699"/>
      <c r="CQ83" s="699"/>
      <c r="CR83" s="699"/>
      <c r="CS83" s="700"/>
      <c r="DG83" s="10"/>
      <c r="DJ83" s="22"/>
      <c r="DK83" s="22"/>
      <c r="DL83" s="269"/>
      <c r="DM83" s="269"/>
      <c r="DN83" s="25"/>
      <c r="DO83" s="25"/>
      <c r="DP83" s="25"/>
      <c r="DQ83" s="25"/>
      <c r="DR83" s="25"/>
    </row>
    <row r="84" spans="2:122" ht="11.25" customHeight="1">
      <c r="B84" s="122"/>
      <c r="C84" s="729"/>
      <c r="D84" s="730"/>
      <c r="E84" s="730"/>
      <c r="F84" s="730"/>
      <c r="G84" s="730"/>
      <c r="H84" s="730"/>
      <c r="I84" s="730"/>
      <c r="J84" s="730"/>
      <c r="K84" s="730"/>
      <c r="L84" s="730"/>
      <c r="M84" s="730"/>
      <c r="N84" s="730"/>
      <c r="O84" s="730"/>
      <c r="P84" s="730"/>
      <c r="Q84" s="730"/>
      <c r="R84" s="730"/>
      <c r="S84" s="730"/>
      <c r="T84" s="730"/>
      <c r="U84" s="730"/>
      <c r="V84" s="730"/>
      <c r="W84" s="730"/>
      <c r="X84" s="730"/>
      <c r="Y84" s="730"/>
      <c r="Z84" s="730"/>
      <c r="AA84" s="731"/>
      <c r="AB84" s="707"/>
      <c r="AC84" s="708"/>
      <c r="AD84" s="708"/>
      <c r="AE84" s="708"/>
      <c r="AF84" s="708"/>
      <c r="AG84" s="708"/>
      <c r="AH84" s="708"/>
      <c r="AI84" s="708"/>
      <c r="AJ84" s="708"/>
      <c r="AK84" s="708"/>
      <c r="AL84" s="708"/>
      <c r="AM84" s="708"/>
      <c r="AN84" s="708"/>
      <c r="AO84" s="708"/>
      <c r="AP84" s="708"/>
      <c r="AQ84" s="708"/>
      <c r="AR84" s="708"/>
      <c r="AS84" s="708"/>
      <c r="AT84" s="708"/>
      <c r="AU84" s="708"/>
      <c r="AV84" s="708"/>
      <c r="AW84" s="708"/>
      <c r="AX84" s="708"/>
      <c r="AY84" s="708"/>
      <c r="AZ84" s="708"/>
      <c r="BA84" s="708"/>
      <c r="BB84" s="708"/>
      <c r="BC84" s="708"/>
      <c r="BD84" s="708"/>
      <c r="BE84" s="708"/>
      <c r="BF84" s="708"/>
      <c r="BG84" s="708"/>
      <c r="BH84" s="708"/>
      <c r="BI84" s="708"/>
      <c r="BJ84" s="708"/>
      <c r="BK84" s="708"/>
      <c r="BL84" s="708"/>
      <c r="BM84" s="708"/>
      <c r="BN84" s="708"/>
      <c r="BO84" s="708"/>
      <c r="BP84" s="708"/>
      <c r="BQ84" s="708"/>
      <c r="BR84" s="708"/>
      <c r="BS84" s="708"/>
      <c r="BT84" s="708"/>
      <c r="BU84" s="708"/>
      <c r="BV84" s="708"/>
      <c r="BW84" s="708"/>
      <c r="BX84" s="708"/>
      <c r="BY84" s="708"/>
      <c r="BZ84" s="708"/>
      <c r="CA84" s="708"/>
      <c r="CB84" s="709"/>
      <c r="CC84" s="122"/>
      <c r="CE84" s="698"/>
      <c r="CF84" s="699"/>
      <c r="CG84" s="699"/>
      <c r="CH84" s="699"/>
      <c r="CI84" s="699"/>
      <c r="CJ84" s="699"/>
      <c r="CK84" s="699"/>
      <c r="CL84" s="699"/>
      <c r="CM84" s="699"/>
      <c r="CN84" s="699"/>
      <c r="CO84" s="699"/>
      <c r="CP84" s="699"/>
      <c r="CQ84" s="699"/>
      <c r="CR84" s="699"/>
      <c r="CS84" s="700"/>
      <c r="DG84" s="10"/>
      <c r="DJ84" s="22"/>
      <c r="DK84" s="22"/>
      <c r="DL84" s="394"/>
      <c r="DM84" s="394"/>
      <c r="DN84" s="25"/>
      <c r="DO84" s="25"/>
      <c r="DP84" s="25"/>
      <c r="DQ84" s="25"/>
      <c r="DR84" s="25"/>
    </row>
    <row r="85" spans="2:122" ht="11.25" customHeight="1">
      <c r="B85" s="122"/>
      <c r="C85" s="723" t="str">
        <f>VLOOKUP(2307,Languages!$A$5:$C$1032,Languages!$A$2,FALSE)</f>
        <v>Why is this a problem?</v>
      </c>
      <c r="D85" s="724"/>
      <c r="E85" s="724"/>
      <c r="F85" s="724"/>
      <c r="G85" s="724"/>
      <c r="H85" s="724"/>
      <c r="I85" s="724"/>
      <c r="J85" s="724"/>
      <c r="K85" s="724"/>
      <c r="L85" s="724"/>
      <c r="M85" s="724"/>
      <c r="N85" s="724"/>
      <c r="O85" s="724"/>
      <c r="P85" s="724"/>
      <c r="Q85" s="724"/>
      <c r="R85" s="724"/>
      <c r="S85" s="724"/>
      <c r="T85" s="724"/>
      <c r="U85" s="724"/>
      <c r="V85" s="724"/>
      <c r="W85" s="724"/>
      <c r="X85" s="724"/>
      <c r="Y85" s="724"/>
      <c r="Z85" s="724"/>
      <c r="AA85" s="725"/>
      <c r="AB85" s="676"/>
      <c r="AC85" s="677"/>
      <c r="AD85" s="677"/>
      <c r="AE85" s="677"/>
      <c r="AF85" s="677"/>
      <c r="AG85" s="677"/>
      <c r="AH85" s="677"/>
      <c r="AI85" s="677"/>
      <c r="AJ85" s="677"/>
      <c r="AK85" s="677"/>
      <c r="AL85" s="677"/>
      <c r="AM85" s="677"/>
      <c r="AN85" s="677"/>
      <c r="AO85" s="677"/>
      <c r="AP85" s="677"/>
      <c r="AQ85" s="677"/>
      <c r="AR85" s="677"/>
      <c r="AS85" s="677"/>
      <c r="AT85" s="677"/>
      <c r="AU85" s="677"/>
      <c r="AV85" s="677"/>
      <c r="AW85" s="677"/>
      <c r="AX85" s="677"/>
      <c r="AY85" s="677"/>
      <c r="AZ85" s="677"/>
      <c r="BA85" s="677"/>
      <c r="BB85" s="677"/>
      <c r="BC85" s="677"/>
      <c r="BD85" s="677"/>
      <c r="BE85" s="677"/>
      <c r="BF85" s="677"/>
      <c r="BG85" s="677"/>
      <c r="BH85" s="677"/>
      <c r="BI85" s="677"/>
      <c r="BJ85" s="677"/>
      <c r="BK85" s="677"/>
      <c r="BL85" s="677"/>
      <c r="BM85" s="677"/>
      <c r="BN85" s="677"/>
      <c r="BO85" s="677"/>
      <c r="BP85" s="677"/>
      <c r="BQ85" s="677"/>
      <c r="BR85" s="677"/>
      <c r="BS85" s="677"/>
      <c r="BT85" s="677"/>
      <c r="BU85" s="677"/>
      <c r="BV85" s="677"/>
      <c r="BW85" s="677"/>
      <c r="BX85" s="677"/>
      <c r="BY85" s="677"/>
      <c r="BZ85" s="677"/>
      <c r="CA85" s="677"/>
      <c r="CB85" s="678"/>
      <c r="CC85" s="122"/>
      <c r="CE85" s="698"/>
      <c r="CF85" s="699"/>
      <c r="CG85" s="699"/>
      <c r="CH85" s="699"/>
      <c r="CI85" s="699"/>
      <c r="CJ85" s="699"/>
      <c r="CK85" s="699"/>
      <c r="CL85" s="699"/>
      <c r="CM85" s="699"/>
      <c r="CN85" s="699"/>
      <c r="CO85" s="699"/>
      <c r="CP85" s="699"/>
      <c r="CQ85" s="699"/>
      <c r="CR85" s="699"/>
      <c r="CS85" s="700"/>
      <c r="DG85" s="10"/>
      <c r="DJ85" s="22"/>
      <c r="DK85" s="22"/>
      <c r="DL85" s="269"/>
      <c r="DM85" s="269"/>
      <c r="DN85" s="25"/>
      <c r="DO85" s="25"/>
      <c r="DP85" s="25"/>
      <c r="DQ85" s="25"/>
      <c r="DR85" s="25"/>
    </row>
    <row r="86" spans="2:122" ht="11.25" customHeight="1">
      <c r="B86" s="122"/>
      <c r="C86" s="726"/>
      <c r="D86" s="727"/>
      <c r="E86" s="727"/>
      <c r="F86" s="727"/>
      <c r="G86" s="727"/>
      <c r="H86" s="727"/>
      <c r="I86" s="727"/>
      <c r="J86" s="727"/>
      <c r="K86" s="727"/>
      <c r="L86" s="727"/>
      <c r="M86" s="727"/>
      <c r="N86" s="727"/>
      <c r="O86" s="727"/>
      <c r="P86" s="727"/>
      <c r="Q86" s="727"/>
      <c r="R86" s="727"/>
      <c r="S86" s="727"/>
      <c r="T86" s="727"/>
      <c r="U86" s="727"/>
      <c r="V86" s="727"/>
      <c r="W86" s="727"/>
      <c r="X86" s="727"/>
      <c r="Y86" s="727"/>
      <c r="Z86" s="727"/>
      <c r="AA86" s="728"/>
      <c r="AB86" s="704"/>
      <c r="AC86" s="705"/>
      <c r="AD86" s="705"/>
      <c r="AE86" s="705"/>
      <c r="AF86" s="705"/>
      <c r="AG86" s="705"/>
      <c r="AH86" s="705"/>
      <c r="AI86" s="705"/>
      <c r="AJ86" s="705"/>
      <c r="AK86" s="705"/>
      <c r="AL86" s="705"/>
      <c r="AM86" s="705"/>
      <c r="AN86" s="705"/>
      <c r="AO86" s="705"/>
      <c r="AP86" s="705"/>
      <c r="AQ86" s="705"/>
      <c r="AR86" s="705"/>
      <c r="AS86" s="705"/>
      <c r="AT86" s="705"/>
      <c r="AU86" s="705"/>
      <c r="AV86" s="705"/>
      <c r="AW86" s="705"/>
      <c r="AX86" s="705"/>
      <c r="AY86" s="705"/>
      <c r="AZ86" s="705"/>
      <c r="BA86" s="705"/>
      <c r="BB86" s="705"/>
      <c r="BC86" s="705"/>
      <c r="BD86" s="705"/>
      <c r="BE86" s="705"/>
      <c r="BF86" s="705"/>
      <c r="BG86" s="705"/>
      <c r="BH86" s="705"/>
      <c r="BI86" s="705"/>
      <c r="BJ86" s="705"/>
      <c r="BK86" s="705"/>
      <c r="BL86" s="705"/>
      <c r="BM86" s="705"/>
      <c r="BN86" s="705"/>
      <c r="BO86" s="705"/>
      <c r="BP86" s="705"/>
      <c r="BQ86" s="705"/>
      <c r="BR86" s="705"/>
      <c r="BS86" s="705"/>
      <c r="BT86" s="705"/>
      <c r="BU86" s="705"/>
      <c r="BV86" s="705"/>
      <c r="BW86" s="705"/>
      <c r="BX86" s="705"/>
      <c r="BY86" s="705"/>
      <c r="BZ86" s="705"/>
      <c r="CA86" s="705"/>
      <c r="CB86" s="706"/>
      <c r="CC86" s="122"/>
      <c r="CE86" s="698"/>
      <c r="CF86" s="699"/>
      <c r="CG86" s="699"/>
      <c r="CH86" s="699"/>
      <c r="CI86" s="699"/>
      <c r="CJ86" s="699"/>
      <c r="CK86" s="699"/>
      <c r="CL86" s="699"/>
      <c r="CM86" s="699"/>
      <c r="CN86" s="699"/>
      <c r="CO86" s="699"/>
      <c r="CP86" s="699"/>
      <c r="CQ86" s="699"/>
      <c r="CR86" s="699"/>
      <c r="CS86" s="700"/>
      <c r="DG86" s="10"/>
      <c r="DJ86" s="22"/>
      <c r="DK86" s="22"/>
      <c r="DL86" s="394"/>
      <c r="DM86" s="394"/>
      <c r="DN86" s="25"/>
      <c r="DO86" s="25"/>
      <c r="DP86" s="25"/>
      <c r="DQ86" s="25"/>
      <c r="DR86" s="25"/>
    </row>
    <row r="87" spans="2:122" ht="11.25" customHeight="1" thickBot="1">
      <c r="B87" s="313"/>
      <c r="C87" s="729"/>
      <c r="D87" s="730"/>
      <c r="E87" s="730"/>
      <c r="F87" s="730"/>
      <c r="G87" s="730"/>
      <c r="H87" s="730"/>
      <c r="I87" s="730"/>
      <c r="J87" s="730"/>
      <c r="K87" s="730"/>
      <c r="L87" s="730"/>
      <c r="M87" s="730"/>
      <c r="N87" s="730"/>
      <c r="O87" s="730"/>
      <c r="P87" s="730"/>
      <c r="Q87" s="730"/>
      <c r="R87" s="730"/>
      <c r="S87" s="730"/>
      <c r="T87" s="730"/>
      <c r="U87" s="730"/>
      <c r="V87" s="730"/>
      <c r="W87" s="730"/>
      <c r="X87" s="730"/>
      <c r="Y87" s="730"/>
      <c r="Z87" s="730"/>
      <c r="AA87" s="731"/>
      <c r="AB87" s="707"/>
      <c r="AC87" s="708"/>
      <c r="AD87" s="708"/>
      <c r="AE87" s="708"/>
      <c r="AF87" s="708"/>
      <c r="AG87" s="708"/>
      <c r="AH87" s="708"/>
      <c r="AI87" s="708"/>
      <c r="AJ87" s="708"/>
      <c r="AK87" s="708"/>
      <c r="AL87" s="708"/>
      <c r="AM87" s="708"/>
      <c r="AN87" s="708"/>
      <c r="AO87" s="708"/>
      <c r="AP87" s="708"/>
      <c r="AQ87" s="708"/>
      <c r="AR87" s="708"/>
      <c r="AS87" s="708"/>
      <c r="AT87" s="708"/>
      <c r="AU87" s="708"/>
      <c r="AV87" s="708"/>
      <c r="AW87" s="708"/>
      <c r="AX87" s="708"/>
      <c r="AY87" s="708"/>
      <c r="AZ87" s="708"/>
      <c r="BA87" s="708"/>
      <c r="BB87" s="708"/>
      <c r="BC87" s="708"/>
      <c r="BD87" s="708"/>
      <c r="BE87" s="708"/>
      <c r="BF87" s="708"/>
      <c r="BG87" s="708"/>
      <c r="BH87" s="708"/>
      <c r="BI87" s="708"/>
      <c r="BJ87" s="708"/>
      <c r="BK87" s="708"/>
      <c r="BL87" s="708"/>
      <c r="BM87" s="708"/>
      <c r="BN87" s="708"/>
      <c r="BO87" s="708"/>
      <c r="BP87" s="708"/>
      <c r="BQ87" s="708"/>
      <c r="BR87" s="708"/>
      <c r="BS87" s="708"/>
      <c r="BT87" s="708"/>
      <c r="BU87" s="708"/>
      <c r="BV87" s="708"/>
      <c r="BW87" s="708"/>
      <c r="BX87" s="708"/>
      <c r="BY87" s="708"/>
      <c r="BZ87" s="708"/>
      <c r="CA87" s="708"/>
      <c r="CB87" s="709"/>
      <c r="CC87" s="276"/>
      <c r="CE87" s="701"/>
      <c r="CF87" s="702"/>
      <c r="CG87" s="702"/>
      <c r="CH87" s="702"/>
      <c r="CI87" s="702"/>
      <c r="CJ87" s="702"/>
      <c r="CK87" s="702"/>
      <c r="CL87" s="702"/>
      <c r="CM87" s="702"/>
      <c r="CN87" s="702"/>
      <c r="CO87" s="702"/>
      <c r="CP87" s="702"/>
      <c r="CQ87" s="702"/>
      <c r="CR87" s="702"/>
      <c r="CS87" s="703"/>
      <c r="DG87" s="10"/>
      <c r="DJ87" s="22"/>
      <c r="DK87" s="22"/>
      <c r="DL87" s="269"/>
      <c r="DM87" s="269"/>
      <c r="DN87" s="25"/>
      <c r="DO87" s="25"/>
      <c r="DP87" s="25"/>
      <c r="DQ87" s="25"/>
      <c r="DR87" s="25"/>
    </row>
    <row r="88" spans="2:122" ht="11.25" customHeight="1">
      <c r="B88" s="313"/>
      <c r="C88" s="723" t="str">
        <f>VLOOKUP(2308,Languages!$A$5:$C$1032,Languages!$A$2,FALSE)</f>
        <v>When did it happen?</v>
      </c>
      <c r="D88" s="724"/>
      <c r="E88" s="724"/>
      <c r="F88" s="724"/>
      <c r="G88" s="724"/>
      <c r="H88" s="724"/>
      <c r="I88" s="724"/>
      <c r="J88" s="724"/>
      <c r="K88" s="724"/>
      <c r="L88" s="724"/>
      <c r="M88" s="724"/>
      <c r="N88" s="724"/>
      <c r="O88" s="724"/>
      <c r="P88" s="724"/>
      <c r="Q88" s="724"/>
      <c r="R88" s="724"/>
      <c r="S88" s="724"/>
      <c r="T88" s="724"/>
      <c r="U88" s="724"/>
      <c r="V88" s="724"/>
      <c r="W88" s="724"/>
      <c r="X88" s="724"/>
      <c r="Y88" s="724"/>
      <c r="Z88" s="724"/>
      <c r="AA88" s="725"/>
      <c r="AB88" s="676"/>
      <c r="AC88" s="677"/>
      <c r="AD88" s="677"/>
      <c r="AE88" s="677"/>
      <c r="AF88" s="677"/>
      <c r="AG88" s="677"/>
      <c r="AH88" s="677"/>
      <c r="AI88" s="677"/>
      <c r="AJ88" s="677"/>
      <c r="AK88" s="677"/>
      <c r="AL88" s="677"/>
      <c r="AM88" s="677"/>
      <c r="AN88" s="677"/>
      <c r="AO88" s="677"/>
      <c r="AP88" s="677"/>
      <c r="AQ88" s="677"/>
      <c r="AR88" s="677"/>
      <c r="AS88" s="677"/>
      <c r="AT88" s="677"/>
      <c r="AU88" s="677"/>
      <c r="AV88" s="677"/>
      <c r="AW88" s="677"/>
      <c r="AX88" s="677"/>
      <c r="AY88" s="677"/>
      <c r="AZ88" s="677"/>
      <c r="BA88" s="677"/>
      <c r="BB88" s="677"/>
      <c r="BC88" s="677"/>
      <c r="BD88" s="677"/>
      <c r="BE88" s="677"/>
      <c r="BF88" s="677"/>
      <c r="BG88" s="677"/>
      <c r="BH88" s="677"/>
      <c r="BI88" s="677"/>
      <c r="BJ88" s="677"/>
      <c r="BK88" s="677"/>
      <c r="BL88" s="677"/>
      <c r="BM88" s="677"/>
      <c r="BN88" s="677"/>
      <c r="BO88" s="677"/>
      <c r="BP88" s="677"/>
      <c r="BQ88" s="677"/>
      <c r="BR88" s="677"/>
      <c r="BS88" s="677"/>
      <c r="BT88" s="677"/>
      <c r="BU88" s="677"/>
      <c r="BV88" s="677"/>
      <c r="BW88" s="677"/>
      <c r="BX88" s="677"/>
      <c r="BY88" s="677"/>
      <c r="BZ88" s="677"/>
      <c r="CA88" s="677"/>
      <c r="CB88" s="678"/>
      <c r="CC88" s="276"/>
      <c r="DG88" s="10"/>
      <c r="DJ88" s="22"/>
      <c r="DK88" s="22"/>
      <c r="DL88" s="274"/>
      <c r="DM88" s="274"/>
      <c r="DN88" s="25"/>
      <c r="DO88" s="25"/>
      <c r="DP88" s="25"/>
      <c r="DQ88" s="25"/>
      <c r="DR88" s="25"/>
    </row>
    <row r="89" spans="2:122" ht="11.25" customHeight="1">
      <c r="B89" s="313"/>
      <c r="C89" s="726"/>
      <c r="D89" s="727"/>
      <c r="E89" s="727"/>
      <c r="F89" s="727"/>
      <c r="G89" s="727"/>
      <c r="H89" s="727"/>
      <c r="I89" s="727"/>
      <c r="J89" s="727"/>
      <c r="K89" s="727"/>
      <c r="L89" s="727"/>
      <c r="M89" s="727"/>
      <c r="N89" s="727"/>
      <c r="O89" s="727"/>
      <c r="P89" s="727"/>
      <c r="Q89" s="727"/>
      <c r="R89" s="727"/>
      <c r="S89" s="727"/>
      <c r="T89" s="727"/>
      <c r="U89" s="727"/>
      <c r="V89" s="727"/>
      <c r="W89" s="727"/>
      <c r="X89" s="727"/>
      <c r="Y89" s="727"/>
      <c r="Z89" s="727"/>
      <c r="AA89" s="728"/>
      <c r="AB89" s="704"/>
      <c r="AC89" s="705"/>
      <c r="AD89" s="705"/>
      <c r="AE89" s="705"/>
      <c r="AF89" s="705"/>
      <c r="AG89" s="705"/>
      <c r="AH89" s="705"/>
      <c r="AI89" s="705"/>
      <c r="AJ89" s="705"/>
      <c r="AK89" s="705"/>
      <c r="AL89" s="705"/>
      <c r="AM89" s="705"/>
      <c r="AN89" s="705"/>
      <c r="AO89" s="705"/>
      <c r="AP89" s="705"/>
      <c r="AQ89" s="705"/>
      <c r="AR89" s="705"/>
      <c r="AS89" s="705"/>
      <c r="AT89" s="705"/>
      <c r="AU89" s="705"/>
      <c r="AV89" s="705"/>
      <c r="AW89" s="705"/>
      <c r="AX89" s="705"/>
      <c r="AY89" s="705"/>
      <c r="AZ89" s="705"/>
      <c r="BA89" s="705"/>
      <c r="BB89" s="705"/>
      <c r="BC89" s="705"/>
      <c r="BD89" s="705"/>
      <c r="BE89" s="705"/>
      <c r="BF89" s="705"/>
      <c r="BG89" s="705"/>
      <c r="BH89" s="705"/>
      <c r="BI89" s="705"/>
      <c r="BJ89" s="705"/>
      <c r="BK89" s="705"/>
      <c r="BL89" s="705"/>
      <c r="BM89" s="705"/>
      <c r="BN89" s="705"/>
      <c r="BO89" s="705"/>
      <c r="BP89" s="705"/>
      <c r="BQ89" s="705"/>
      <c r="BR89" s="705"/>
      <c r="BS89" s="705"/>
      <c r="BT89" s="705"/>
      <c r="BU89" s="705"/>
      <c r="BV89" s="705"/>
      <c r="BW89" s="705"/>
      <c r="BX89" s="705"/>
      <c r="BY89" s="705"/>
      <c r="BZ89" s="705"/>
      <c r="CA89" s="705"/>
      <c r="CB89" s="706"/>
      <c r="CC89" s="276"/>
      <c r="DG89" s="10"/>
      <c r="DJ89" s="115"/>
      <c r="DK89" s="206"/>
      <c r="DL89" s="272"/>
      <c r="DM89" s="273"/>
      <c r="DN89" s="281"/>
      <c r="DO89" s="26"/>
      <c r="DP89" s="281"/>
      <c r="DQ89" s="20"/>
      <c r="DR89" s="20"/>
    </row>
    <row r="90" spans="2:122" ht="11.25" customHeight="1">
      <c r="B90" s="314"/>
      <c r="C90" s="729"/>
      <c r="D90" s="730"/>
      <c r="E90" s="730"/>
      <c r="F90" s="730"/>
      <c r="G90" s="730"/>
      <c r="H90" s="730"/>
      <c r="I90" s="730"/>
      <c r="J90" s="730"/>
      <c r="K90" s="730"/>
      <c r="L90" s="730"/>
      <c r="M90" s="730"/>
      <c r="N90" s="730"/>
      <c r="O90" s="730"/>
      <c r="P90" s="730"/>
      <c r="Q90" s="730"/>
      <c r="R90" s="730"/>
      <c r="S90" s="730"/>
      <c r="T90" s="730"/>
      <c r="U90" s="730"/>
      <c r="V90" s="730"/>
      <c r="W90" s="730"/>
      <c r="X90" s="730"/>
      <c r="Y90" s="730"/>
      <c r="Z90" s="730"/>
      <c r="AA90" s="731"/>
      <c r="AB90" s="707"/>
      <c r="AC90" s="708"/>
      <c r="AD90" s="708"/>
      <c r="AE90" s="708"/>
      <c r="AF90" s="708"/>
      <c r="AG90" s="708"/>
      <c r="AH90" s="708"/>
      <c r="AI90" s="708"/>
      <c r="AJ90" s="708"/>
      <c r="AK90" s="708"/>
      <c r="AL90" s="708"/>
      <c r="AM90" s="708"/>
      <c r="AN90" s="708"/>
      <c r="AO90" s="708"/>
      <c r="AP90" s="708"/>
      <c r="AQ90" s="708"/>
      <c r="AR90" s="708"/>
      <c r="AS90" s="708"/>
      <c r="AT90" s="708"/>
      <c r="AU90" s="708"/>
      <c r="AV90" s="708"/>
      <c r="AW90" s="708"/>
      <c r="AX90" s="708"/>
      <c r="AY90" s="708"/>
      <c r="AZ90" s="708"/>
      <c r="BA90" s="708"/>
      <c r="BB90" s="708"/>
      <c r="BC90" s="708"/>
      <c r="BD90" s="708"/>
      <c r="BE90" s="708"/>
      <c r="BF90" s="708"/>
      <c r="BG90" s="708"/>
      <c r="BH90" s="708"/>
      <c r="BI90" s="708"/>
      <c r="BJ90" s="708"/>
      <c r="BK90" s="708"/>
      <c r="BL90" s="708"/>
      <c r="BM90" s="708"/>
      <c r="BN90" s="708"/>
      <c r="BO90" s="708"/>
      <c r="BP90" s="708"/>
      <c r="BQ90" s="708"/>
      <c r="BR90" s="708"/>
      <c r="BS90" s="708"/>
      <c r="BT90" s="708"/>
      <c r="BU90" s="708"/>
      <c r="BV90" s="708"/>
      <c r="BW90" s="708"/>
      <c r="BX90" s="708"/>
      <c r="BY90" s="708"/>
      <c r="BZ90" s="708"/>
      <c r="CA90" s="708"/>
      <c r="CB90" s="709"/>
      <c r="CC90" s="275"/>
      <c r="DG90" s="10"/>
      <c r="DJ90" s="13"/>
      <c r="DK90" s="13"/>
      <c r="DL90" s="56"/>
      <c r="DM90" s="273"/>
      <c r="DN90" s="152"/>
      <c r="DO90" s="152"/>
      <c r="DP90" s="152"/>
      <c r="DQ90" s="152"/>
      <c r="DR90" s="152"/>
    </row>
    <row r="91" spans="2:122" ht="11.25" customHeight="1">
      <c r="B91" s="314"/>
      <c r="C91" s="723" t="str">
        <f>VLOOKUP(2309,Languages!$A$5:$C$1032,Languages!$A$2,FALSE)</f>
        <v>When was/were the part(s) produced?</v>
      </c>
      <c r="D91" s="724"/>
      <c r="E91" s="724"/>
      <c r="F91" s="724"/>
      <c r="G91" s="724"/>
      <c r="H91" s="724"/>
      <c r="I91" s="724"/>
      <c r="J91" s="724"/>
      <c r="K91" s="724"/>
      <c r="L91" s="724"/>
      <c r="M91" s="724"/>
      <c r="N91" s="724"/>
      <c r="O91" s="724"/>
      <c r="P91" s="724"/>
      <c r="Q91" s="724"/>
      <c r="R91" s="724"/>
      <c r="S91" s="724"/>
      <c r="T91" s="724"/>
      <c r="U91" s="724"/>
      <c r="V91" s="724"/>
      <c r="W91" s="724"/>
      <c r="X91" s="724"/>
      <c r="Y91" s="724"/>
      <c r="Z91" s="724"/>
      <c r="AA91" s="725"/>
      <c r="AB91" s="676"/>
      <c r="AC91" s="677"/>
      <c r="AD91" s="677"/>
      <c r="AE91" s="677"/>
      <c r="AF91" s="677"/>
      <c r="AG91" s="677"/>
      <c r="AH91" s="677"/>
      <c r="AI91" s="677"/>
      <c r="AJ91" s="677"/>
      <c r="AK91" s="677"/>
      <c r="AL91" s="677"/>
      <c r="AM91" s="677"/>
      <c r="AN91" s="677"/>
      <c r="AO91" s="677"/>
      <c r="AP91" s="677"/>
      <c r="AQ91" s="677"/>
      <c r="AR91" s="677"/>
      <c r="AS91" s="677"/>
      <c r="AT91" s="677"/>
      <c r="AU91" s="677"/>
      <c r="AV91" s="677"/>
      <c r="AW91" s="677"/>
      <c r="AX91" s="677"/>
      <c r="AY91" s="677"/>
      <c r="AZ91" s="677"/>
      <c r="BA91" s="677"/>
      <c r="BB91" s="677"/>
      <c r="BC91" s="677"/>
      <c r="BD91" s="677"/>
      <c r="BE91" s="677"/>
      <c r="BF91" s="677"/>
      <c r="BG91" s="677"/>
      <c r="BH91" s="677"/>
      <c r="BI91" s="677"/>
      <c r="BJ91" s="677"/>
      <c r="BK91" s="677"/>
      <c r="BL91" s="677"/>
      <c r="BM91" s="677"/>
      <c r="BN91" s="677"/>
      <c r="BO91" s="677"/>
      <c r="BP91" s="677"/>
      <c r="BQ91" s="677"/>
      <c r="BR91" s="677"/>
      <c r="BS91" s="677"/>
      <c r="BT91" s="677"/>
      <c r="BU91" s="677"/>
      <c r="BV91" s="677"/>
      <c r="BW91" s="677"/>
      <c r="BX91" s="677"/>
      <c r="BY91" s="677"/>
      <c r="BZ91" s="677"/>
      <c r="CA91" s="677"/>
      <c r="CB91" s="678"/>
      <c r="CC91" s="275"/>
      <c r="DG91" s="10"/>
      <c r="DJ91" s="13"/>
      <c r="DK91" s="13"/>
      <c r="DL91" s="56"/>
      <c r="DM91" s="273"/>
      <c r="DN91" s="152"/>
      <c r="DO91" s="152"/>
      <c r="DP91" s="152"/>
      <c r="DQ91" s="152"/>
      <c r="DR91" s="152"/>
    </row>
    <row r="92" spans="2:122" ht="11.25" customHeight="1">
      <c r="B92" s="314"/>
      <c r="C92" s="726"/>
      <c r="D92" s="727"/>
      <c r="E92" s="727"/>
      <c r="F92" s="727"/>
      <c r="G92" s="727"/>
      <c r="H92" s="727"/>
      <c r="I92" s="727"/>
      <c r="J92" s="727"/>
      <c r="K92" s="727"/>
      <c r="L92" s="727"/>
      <c r="M92" s="727"/>
      <c r="N92" s="727"/>
      <c r="O92" s="727"/>
      <c r="P92" s="727"/>
      <c r="Q92" s="727"/>
      <c r="R92" s="727"/>
      <c r="S92" s="727"/>
      <c r="T92" s="727"/>
      <c r="U92" s="727"/>
      <c r="V92" s="727"/>
      <c r="W92" s="727"/>
      <c r="X92" s="727"/>
      <c r="Y92" s="727"/>
      <c r="Z92" s="727"/>
      <c r="AA92" s="728"/>
      <c r="AB92" s="704"/>
      <c r="AC92" s="705"/>
      <c r="AD92" s="705"/>
      <c r="AE92" s="705"/>
      <c r="AF92" s="705"/>
      <c r="AG92" s="705"/>
      <c r="AH92" s="705"/>
      <c r="AI92" s="705"/>
      <c r="AJ92" s="705"/>
      <c r="AK92" s="705"/>
      <c r="AL92" s="705"/>
      <c r="AM92" s="705"/>
      <c r="AN92" s="705"/>
      <c r="AO92" s="705"/>
      <c r="AP92" s="705"/>
      <c r="AQ92" s="705"/>
      <c r="AR92" s="705"/>
      <c r="AS92" s="705"/>
      <c r="AT92" s="705"/>
      <c r="AU92" s="705"/>
      <c r="AV92" s="705"/>
      <c r="AW92" s="705"/>
      <c r="AX92" s="705"/>
      <c r="AY92" s="705"/>
      <c r="AZ92" s="705"/>
      <c r="BA92" s="705"/>
      <c r="BB92" s="705"/>
      <c r="BC92" s="705"/>
      <c r="BD92" s="705"/>
      <c r="BE92" s="705"/>
      <c r="BF92" s="705"/>
      <c r="BG92" s="705"/>
      <c r="BH92" s="705"/>
      <c r="BI92" s="705"/>
      <c r="BJ92" s="705"/>
      <c r="BK92" s="705"/>
      <c r="BL92" s="705"/>
      <c r="BM92" s="705"/>
      <c r="BN92" s="705"/>
      <c r="BO92" s="705"/>
      <c r="BP92" s="705"/>
      <c r="BQ92" s="705"/>
      <c r="BR92" s="705"/>
      <c r="BS92" s="705"/>
      <c r="BT92" s="705"/>
      <c r="BU92" s="705"/>
      <c r="BV92" s="705"/>
      <c r="BW92" s="705"/>
      <c r="BX92" s="705"/>
      <c r="BY92" s="705"/>
      <c r="BZ92" s="705"/>
      <c r="CA92" s="705"/>
      <c r="CB92" s="706"/>
      <c r="CC92" s="275"/>
      <c r="DK92" s="13"/>
      <c r="DL92" s="56"/>
      <c r="DM92" s="273"/>
      <c r="DN92" s="152"/>
      <c r="DO92" s="152"/>
      <c r="DP92" s="152"/>
      <c r="DQ92" s="152"/>
      <c r="DR92" s="152"/>
    </row>
    <row r="93" spans="2:122" ht="11.25" customHeight="1">
      <c r="B93" s="314"/>
      <c r="C93" s="729"/>
      <c r="D93" s="730"/>
      <c r="E93" s="730"/>
      <c r="F93" s="730"/>
      <c r="G93" s="730"/>
      <c r="H93" s="730"/>
      <c r="I93" s="730"/>
      <c r="J93" s="730"/>
      <c r="K93" s="730"/>
      <c r="L93" s="730"/>
      <c r="M93" s="730"/>
      <c r="N93" s="730"/>
      <c r="O93" s="730"/>
      <c r="P93" s="730"/>
      <c r="Q93" s="730"/>
      <c r="R93" s="730"/>
      <c r="S93" s="730"/>
      <c r="T93" s="730"/>
      <c r="U93" s="730"/>
      <c r="V93" s="730"/>
      <c r="W93" s="730"/>
      <c r="X93" s="730"/>
      <c r="Y93" s="730"/>
      <c r="Z93" s="730"/>
      <c r="AA93" s="731"/>
      <c r="AB93" s="707"/>
      <c r="AC93" s="708"/>
      <c r="AD93" s="708"/>
      <c r="AE93" s="708"/>
      <c r="AF93" s="708"/>
      <c r="AG93" s="708"/>
      <c r="AH93" s="708"/>
      <c r="AI93" s="708"/>
      <c r="AJ93" s="708"/>
      <c r="AK93" s="708"/>
      <c r="AL93" s="708"/>
      <c r="AM93" s="708"/>
      <c r="AN93" s="708"/>
      <c r="AO93" s="708"/>
      <c r="AP93" s="708"/>
      <c r="AQ93" s="708"/>
      <c r="AR93" s="708"/>
      <c r="AS93" s="708"/>
      <c r="AT93" s="708"/>
      <c r="AU93" s="708"/>
      <c r="AV93" s="708"/>
      <c r="AW93" s="708"/>
      <c r="AX93" s="708"/>
      <c r="AY93" s="708"/>
      <c r="AZ93" s="708"/>
      <c r="BA93" s="708"/>
      <c r="BB93" s="708"/>
      <c r="BC93" s="708"/>
      <c r="BD93" s="708"/>
      <c r="BE93" s="708"/>
      <c r="BF93" s="708"/>
      <c r="BG93" s="708"/>
      <c r="BH93" s="708"/>
      <c r="BI93" s="708"/>
      <c r="BJ93" s="708"/>
      <c r="BK93" s="708"/>
      <c r="BL93" s="708"/>
      <c r="BM93" s="708"/>
      <c r="BN93" s="708"/>
      <c r="BO93" s="708"/>
      <c r="BP93" s="708"/>
      <c r="BQ93" s="708"/>
      <c r="BR93" s="708"/>
      <c r="BS93" s="708"/>
      <c r="BT93" s="708"/>
      <c r="BU93" s="708"/>
      <c r="BV93" s="708"/>
      <c r="BW93" s="708"/>
      <c r="BX93" s="708"/>
      <c r="BY93" s="708"/>
      <c r="BZ93" s="708"/>
      <c r="CA93" s="708"/>
      <c r="CB93" s="709"/>
      <c r="CC93" s="275"/>
      <c r="DK93" s="13"/>
      <c r="DL93" s="56"/>
      <c r="DM93" s="273"/>
    </row>
    <row r="94" spans="2:122" ht="11.25" customHeight="1">
      <c r="B94" s="314"/>
      <c r="C94" s="723" t="str">
        <f>VLOOKUP(2310,Languages!$A$5:$C$1032,Languages!$A$2,FALSE)</f>
        <v xml:space="preserve">Who detected the problem (name)? </v>
      </c>
      <c r="D94" s="724"/>
      <c r="E94" s="724"/>
      <c r="F94" s="724"/>
      <c r="G94" s="724"/>
      <c r="H94" s="724"/>
      <c r="I94" s="724"/>
      <c r="J94" s="724"/>
      <c r="K94" s="724"/>
      <c r="L94" s="724"/>
      <c r="M94" s="724"/>
      <c r="N94" s="724"/>
      <c r="O94" s="724"/>
      <c r="P94" s="724"/>
      <c r="Q94" s="724"/>
      <c r="R94" s="724"/>
      <c r="S94" s="724"/>
      <c r="T94" s="724"/>
      <c r="U94" s="724"/>
      <c r="V94" s="724"/>
      <c r="W94" s="724"/>
      <c r="X94" s="724"/>
      <c r="Y94" s="724"/>
      <c r="Z94" s="724"/>
      <c r="AA94" s="725"/>
      <c r="AB94" s="676"/>
      <c r="AC94" s="677"/>
      <c r="AD94" s="677"/>
      <c r="AE94" s="677"/>
      <c r="AF94" s="677"/>
      <c r="AG94" s="677"/>
      <c r="AH94" s="677"/>
      <c r="AI94" s="677"/>
      <c r="AJ94" s="677"/>
      <c r="AK94" s="677"/>
      <c r="AL94" s="677"/>
      <c r="AM94" s="677"/>
      <c r="AN94" s="677"/>
      <c r="AO94" s="677"/>
      <c r="AP94" s="677"/>
      <c r="AQ94" s="677"/>
      <c r="AR94" s="677"/>
      <c r="AS94" s="677"/>
      <c r="AT94" s="677"/>
      <c r="AU94" s="677"/>
      <c r="AV94" s="677"/>
      <c r="AW94" s="677"/>
      <c r="AX94" s="677"/>
      <c r="AY94" s="677"/>
      <c r="AZ94" s="677"/>
      <c r="BA94" s="677"/>
      <c r="BB94" s="677"/>
      <c r="BC94" s="677"/>
      <c r="BD94" s="677"/>
      <c r="BE94" s="677"/>
      <c r="BF94" s="677"/>
      <c r="BG94" s="677"/>
      <c r="BH94" s="677"/>
      <c r="BI94" s="677"/>
      <c r="BJ94" s="677"/>
      <c r="BK94" s="677"/>
      <c r="BL94" s="677"/>
      <c r="BM94" s="677"/>
      <c r="BN94" s="677"/>
      <c r="BO94" s="677"/>
      <c r="BP94" s="677"/>
      <c r="BQ94" s="677"/>
      <c r="BR94" s="677"/>
      <c r="BS94" s="677"/>
      <c r="BT94" s="677"/>
      <c r="BU94" s="677"/>
      <c r="BV94" s="677"/>
      <c r="BW94" s="677"/>
      <c r="BX94" s="677"/>
      <c r="BY94" s="677"/>
      <c r="BZ94" s="677"/>
      <c r="CA94" s="677"/>
      <c r="CB94" s="678"/>
      <c r="CC94" s="275"/>
      <c r="DK94" s="21"/>
      <c r="DL94" s="56"/>
      <c r="DM94" s="273"/>
    </row>
    <row r="95" spans="2:122" ht="11.25" customHeight="1">
      <c r="B95" s="314"/>
      <c r="C95" s="726"/>
      <c r="D95" s="727"/>
      <c r="E95" s="727"/>
      <c r="F95" s="727"/>
      <c r="G95" s="727"/>
      <c r="H95" s="727"/>
      <c r="I95" s="727"/>
      <c r="J95" s="727"/>
      <c r="K95" s="727"/>
      <c r="L95" s="727"/>
      <c r="M95" s="727"/>
      <c r="N95" s="727"/>
      <c r="O95" s="727"/>
      <c r="P95" s="727"/>
      <c r="Q95" s="727"/>
      <c r="R95" s="727"/>
      <c r="S95" s="727"/>
      <c r="T95" s="727"/>
      <c r="U95" s="727"/>
      <c r="V95" s="727"/>
      <c r="W95" s="727"/>
      <c r="X95" s="727"/>
      <c r="Y95" s="727"/>
      <c r="Z95" s="727"/>
      <c r="AA95" s="728"/>
      <c r="AB95" s="704"/>
      <c r="AC95" s="705"/>
      <c r="AD95" s="705"/>
      <c r="AE95" s="705"/>
      <c r="AF95" s="705"/>
      <c r="AG95" s="705"/>
      <c r="AH95" s="705"/>
      <c r="AI95" s="705"/>
      <c r="AJ95" s="705"/>
      <c r="AK95" s="705"/>
      <c r="AL95" s="705"/>
      <c r="AM95" s="705"/>
      <c r="AN95" s="705"/>
      <c r="AO95" s="705"/>
      <c r="AP95" s="705"/>
      <c r="AQ95" s="705"/>
      <c r="AR95" s="705"/>
      <c r="AS95" s="705"/>
      <c r="AT95" s="705"/>
      <c r="AU95" s="705"/>
      <c r="AV95" s="705"/>
      <c r="AW95" s="705"/>
      <c r="AX95" s="705"/>
      <c r="AY95" s="705"/>
      <c r="AZ95" s="705"/>
      <c r="BA95" s="705"/>
      <c r="BB95" s="705"/>
      <c r="BC95" s="705"/>
      <c r="BD95" s="705"/>
      <c r="BE95" s="705"/>
      <c r="BF95" s="705"/>
      <c r="BG95" s="705"/>
      <c r="BH95" s="705"/>
      <c r="BI95" s="705"/>
      <c r="BJ95" s="705"/>
      <c r="BK95" s="705"/>
      <c r="BL95" s="705"/>
      <c r="BM95" s="705"/>
      <c r="BN95" s="705"/>
      <c r="BO95" s="705"/>
      <c r="BP95" s="705"/>
      <c r="BQ95" s="705"/>
      <c r="BR95" s="705"/>
      <c r="BS95" s="705"/>
      <c r="BT95" s="705"/>
      <c r="BU95" s="705"/>
      <c r="BV95" s="705"/>
      <c r="BW95" s="705"/>
      <c r="BX95" s="705"/>
      <c r="BY95" s="705"/>
      <c r="BZ95" s="705"/>
      <c r="CA95" s="705"/>
      <c r="CB95" s="706"/>
      <c r="CC95" s="275"/>
      <c r="DG95" s="10"/>
      <c r="DJ95" s="21"/>
      <c r="DK95" s="21"/>
      <c r="DL95" s="56"/>
      <c r="DM95" s="273"/>
    </row>
    <row r="96" spans="2:122" ht="11.25" customHeight="1">
      <c r="B96" s="314"/>
      <c r="C96" s="729"/>
      <c r="D96" s="730"/>
      <c r="E96" s="730"/>
      <c r="F96" s="730"/>
      <c r="G96" s="730"/>
      <c r="H96" s="730"/>
      <c r="I96" s="730"/>
      <c r="J96" s="730"/>
      <c r="K96" s="730"/>
      <c r="L96" s="730"/>
      <c r="M96" s="730"/>
      <c r="N96" s="730"/>
      <c r="O96" s="730"/>
      <c r="P96" s="730"/>
      <c r="Q96" s="730"/>
      <c r="R96" s="730"/>
      <c r="S96" s="730"/>
      <c r="T96" s="730"/>
      <c r="U96" s="730"/>
      <c r="V96" s="730"/>
      <c r="W96" s="730"/>
      <c r="X96" s="730"/>
      <c r="Y96" s="730"/>
      <c r="Z96" s="730"/>
      <c r="AA96" s="731"/>
      <c r="AB96" s="707"/>
      <c r="AC96" s="708"/>
      <c r="AD96" s="708"/>
      <c r="AE96" s="708"/>
      <c r="AF96" s="708"/>
      <c r="AG96" s="708"/>
      <c r="AH96" s="708"/>
      <c r="AI96" s="708"/>
      <c r="AJ96" s="708"/>
      <c r="AK96" s="708"/>
      <c r="AL96" s="708"/>
      <c r="AM96" s="708"/>
      <c r="AN96" s="708"/>
      <c r="AO96" s="708"/>
      <c r="AP96" s="708"/>
      <c r="AQ96" s="708"/>
      <c r="AR96" s="708"/>
      <c r="AS96" s="708"/>
      <c r="AT96" s="708"/>
      <c r="AU96" s="708"/>
      <c r="AV96" s="708"/>
      <c r="AW96" s="708"/>
      <c r="AX96" s="708"/>
      <c r="AY96" s="708"/>
      <c r="AZ96" s="708"/>
      <c r="BA96" s="708"/>
      <c r="BB96" s="708"/>
      <c r="BC96" s="708"/>
      <c r="BD96" s="708"/>
      <c r="BE96" s="708"/>
      <c r="BF96" s="708"/>
      <c r="BG96" s="708"/>
      <c r="BH96" s="708"/>
      <c r="BI96" s="708"/>
      <c r="BJ96" s="708"/>
      <c r="BK96" s="708"/>
      <c r="BL96" s="708"/>
      <c r="BM96" s="708"/>
      <c r="BN96" s="708"/>
      <c r="BO96" s="708"/>
      <c r="BP96" s="708"/>
      <c r="BQ96" s="708"/>
      <c r="BR96" s="708"/>
      <c r="BS96" s="708"/>
      <c r="BT96" s="708"/>
      <c r="BU96" s="708"/>
      <c r="BV96" s="708"/>
      <c r="BW96" s="708"/>
      <c r="BX96" s="708"/>
      <c r="BY96" s="708"/>
      <c r="BZ96" s="708"/>
      <c r="CA96" s="708"/>
      <c r="CB96" s="709"/>
      <c r="CC96" s="275"/>
      <c r="DG96" s="10"/>
      <c r="DJ96" s="23"/>
      <c r="DK96" s="23"/>
      <c r="DL96" s="57"/>
      <c r="DM96" s="58"/>
    </row>
    <row r="97" spans="2:122" ht="11.25" customHeight="1">
      <c r="B97" s="314"/>
      <c r="C97" s="723" t="str">
        <f>VLOOKUP(2311,Languages!$A$5:$C$1032,Languages!$A$2,FALSE)</f>
        <v>Where was the problem detected  (failure place)?</v>
      </c>
      <c r="D97" s="724"/>
      <c r="E97" s="724"/>
      <c r="F97" s="724"/>
      <c r="G97" s="724"/>
      <c r="H97" s="724"/>
      <c r="I97" s="724"/>
      <c r="J97" s="724"/>
      <c r="K97" s="724"/>
      <c r="L97" s="724"/>
      <c r="M97" s="724"/>
      <c r="N97" s="724"/>
      <c r="O97" s="724"/>
      <c r="P97" s="724"/>
      <c r="Q97" s="724"/>
      <c r="R97" s="724"/>
      <c r="S97" s="724"/>
      <c r="T97" s="724"/>
      <c r="U97" s="724"/>
      <c r="V97" s="724"/>
      <c r="W97" s="724"/>
      <c r="X97" s="724"/>
      <c r="Y97" s="724"/>
      <c r="Z97" s="724"/>
      <c r="AA97" s="725"/>
      <c r="AB97" s="676"/>
      <c r="AC97" s="677"/>
      <c r="AD97" s="677"/>
      <c r="AE97" s="677"/>
      <c r="AF97" s="677"/>
      <c r="AG97" s="677"/>
      <c r="AH97" s="677"/>
      <c r="AI97" s="677"/>
      <c r="AJ97" s="677"/>
      <c r="AK97" s="677"/>
      <c r="AL97" s="677"/>
      <c r="AM97" s="677"/>
      <c r="AN97" s="677"/>
      <c r="AO97" s="677"/>
      <c r="AP97" s="677"/>
      <c r="AQ97" s="677"/>
      <c r="AR97" s="677"/>
      <c r="AS97" s="677"/>
      <c r="AT97" s="677"/>
      <c r="AU97" s="677"/>
      <c r="AV97" s="677"/>
      <c r="AW97" s="677"/>
      <c r="AX97" s="677"/>
      <c r="AY97" s="677"/>
      <c r="AZ97" s="677"/>
      <c r="BA97" s="677"/>
      <c r="BB97" s="677"/>
      <c r="BC97" s="677"/>
      <c r="BD97" s="677"/>
      <c r="BE97" s="677"/>
      <c r="BF97" s="677"/>
      <c r="BG97" s="677"/>
      <c r="BH97" s="677"/>
      <c r="BI97" s="677"/>
      <c r="BJ97" s="677"/>
      <c r="BK97" s="677"/>
      <c r="BL97" s="677"/>
      <c r="BM97" s="677"/>
      <c r="BN97" s="677"/>
      <c r="BO97" s="677"/>
      <c r="BP97" s="677"/>
      <c r="BQ97" s="677"/>
      <c r="BR97" s="677"/>
      <c r="BS97" s="677"/>
      <c r="BT97" s="677"/>
      <c r="BU97" s="677"/>
      <c r="BV97" s="677"/>
      <c r="BW97" s="677"/>
      <c r="BX97" s="677"/>
      <c r="BY97" s="677"/>
      <c r="BZ97" s="677"/>
      <c r="CA97" s="677"/>
      <c r="CB97" s="678"/>
      <c r="CC97" s="275"/>
      <c r="DG97" s="10"/>
      <c r="DJ97" s="48"/>
      <c r="DK97" s="7"/>
      <c r="DL97" s="272"/>
      <c r="DM97" s="273"/>
    </row>
    <row r="98" spans="2:122" ht="11.25" customHeight="1">
      <c r="B98" s="147"/>
      <c r="C98" s="726"/>
      <c r="D98" s="727"/>
      <c r="E98" s="727"/>
      <c r="F98" s="727"/>
      <c r="G98" s="727"/>
      <c r="H98" s="727"/>
      <c r="I98" s="727"/>
      <c r="J98" s="727"/>
      <c r="K98" s="727"/>
      <c r="L98" s="727"/>
      <c r="M98" s="727"/>
      <c r="N98" s="727"/>
      <c r="O98" s="727"/>
      <c r="P98" s="727"/>
      <c r="Q98" s="727"/>
      <c r="R98" s="727"/>
      <c r="S98" s="727"/>
      <c r="T98" s="727"/>
      <c r="U98" s="727"/>
      <c r="V98" s="727"/>
      <c r="W98" s="727"/>
      <c r="X98" s="727"/>
      <c r="Y98" s="727"/>
      <c r="Z98" s="727"/>
      <c r="AA98" s="728"/>
      <c r="AB98" s="704"/>
      <c r="AC98" s="705"/>
      <c r="AD98" s="705"/>
      <c r="AE98" s="705"/>
      <c r="AF98" s="705"/>
      <c r="AG98" s="705"/>
      <c r="AH98" s="705"/>
      <c r="AI98" s="705"/>
      <c r="AJ98" s="705"/>
      <c r="AK98" s="705"/>
      <c r="AL98" s="705"/>
      <c r="AM98" s="705"/>
      <c r="AN98" s="705"/>
      <c r="AO98" s="705"/>
      <c r="AP98" s="705"/>
      <c r="AQ98" s="705"/>
      <c r="AR98" s="705"/>
      <c r="AS98" s="705"/>
      <c r="AT98" s="705"/>
      <c r="AU98" s="705"/>
      <c r="AV98" s="705"/>
      <c r="AW98" s="705"/>
      <c r="AX98" s="705"/>
      <c r="AY98" s="705"/>
      <c r="AZ98" s="705"/>
      <c r="BA98" s="705"/>
      <c r="BB98" s="705"/>
      <c r="BC98" s="705"/>
      <c r="BD98" s="705"/>
      <c r="BE98" s="705"/>
      <c r="BF98" s="705"/>
      <c r="BG98" s="705"/>
      <c r="BH98" s="705"/>
      <c r="BI98" s="705"/>
      <c r="BJ98" s="705"/>
      <c r="BK98" s="705"/>
      <c r="BL98" s="705"/>
      <c r="BM98" s="705"/>
      <c r="BN98" s="705"/>
      <c r="BO98" s="705"/>
      <c r="BP98" s="705"/>
      <c r="BQ98" s="705"/>
      <c r="BR98" s="705"/>
      <c r="BS98" s="705"/>
      <c r="BT98" s="705"/>
      <c r="BU98" s="705"/>
      <c r="BV98" s="705"/>
      <c r="BW98" s="705"/>
      <c r="BX98" s="705"/>
      <c r="BY98" s="705"/>
      <c r="BZ98" s="705"/>
      <c r="CA98" s="705"/>
      <c r="CB98" s="706"/>
      <c r="CC98" s="147"/>
      <c r="DG98" s="10"/>
      <c r="DJ98" s="48"/>
      <c r="DK98" s="7"/>
      <c r="DL98" s="272"/>
      <c r="DM98" s="273"/>
    </row>
    <row r="99" spans="2:122" ht="11.25" customHeight="1">
      <c r="B99" s="147"/>
      <c r="C99" s="729"/>
      <c r="D99" s="730"/>
      <c r="E99" s="730"/>
      <c r="F99" s="730"/>
      <c r="G99" s="730"/>
      <c r="H99" s="730"/>
      <c r="I99" s="730"/>
      <c r="J99" s="730"/>
      <c r="K99" s="730"/>
      <c r="L99" s="730"/>
      <c r="M99" s="730"/>
      <c r="N99" s="730"/>
      <c r="O99" s="730"/>
      <c r="P99" s="730"/>
      <c r="Q99" s="730"/>
      <c r="R99" s="730"/>
      <c r="S99" s="730"/>
      <c r="T99" s="730"/>
      <c r="U99" s="730"/>
      <c r="V99" s="730"/>
      <c r="W99" s="730"/>
      <c r="X99" s="730"/>
      <c r="Y99" s="730"/>
      <c r="Z99" s="730"/>
      <c r="AA99" s="731"/>
      <c r="AB99" s="707"/>
      <c r="AC99" s="708"/>
      <c r="AD99" s="708"/>
      <c r="AE99" s="708"/>
      <c r="AF99" s="708"/>
      <c r="AG99" s="708"/>
      <c r="AH99" s="708"/>
      <c r="AI99" s="708"/>
      <c r="AJ99" s="708"/>
      <c r="AK99" s="708"/>
      <c r="AL99" s="708"/>
      <c r="AM99" s="708"/>
      <c r="AN99" s="708"/>
      <c r="AO99" s="708"/>
      <c r="AP99" s="708"/>
      <c r="AQ99" s="708"/>
      <c r="AR99" s="708"/>
      <c r="AS99" s="708"/>
      <c r="AT99" s="708"/>
      <c r="AU99" s="708"/>
      <c r="AV99" s="708"/>
      <c r="AW99" s="708"/>
      <c r="AX99" s="708"/>
      <c r="AY99" s="708"/>
      <c r="AZ99" s="708"/>
      <c r="BA99" s="708"/>
      <c r="BB99" s="708"/>
      <c r="BC99" s="708"/>
      <c r="BD99" s="708"/>
      <c r="BE99" s="708"/>
      <c r="BF99" s="708"/>
      <c r="BG99" s="708"/>
      <c r="BH99" s="708"/>
      <c r="BI99" s="708"/>
      <c r="BJ99" s="708"/>
      <c r="BK99" s="708"/>
      <c r="BL99" s="708"/>
      <c r="BM99" s="708"/>
      <c r="BN99" s="708"/>
      <c r="BO99" s="708"/>
      <c r="BP99" s="708"/>
      <c r="BQ99" s="708"/>
      <c r="BR99" s="708"/>
      <c r="BS99" s="708"/>
      <c r="BT99" s="708"/>
      <c r="BU99" s="708"/>
      <c r="BV99" s="708"/>
      <c r="BW99" s="708"/>
      <c r="BX99" s="708"/>
      <c r="BY99" s="708"/>
      <c r="BZ99" s="708"/>
      <c r="CA99" s="708"/>
      <c r="CB99" s="709"/>
      <c r="CC99" s="147"/>
      <c r="DG99" s="10"/>
      <c r="DJ99" s="48"/>
      <c r="DK99" s="7"/>
      <c r="DL99" s="272"/>
      <c r="DM99" s="273"/>
    </row>
    <row r="100" spans="2:122" ht="11.25" customHeight="1">
      <c r="B100" s="147"/>
      <c r="C100" s="723" t="str">
        <f>VLOOKUP(2312,Languages!$A$5:$C$1032,Languages!$A$2,FALSE)</f>
        <v>How was the problem detected?</v>
      </c>
      <c r="D100" s="724"/>
      <c r="E100" s="724"/>
      <c r="F100" s="724"/>
      <c r="G100" s="724"/>
      <c r="H100" s="724"/>
      <c r="I100" s="724"/>
      <c r="J100" s="724"/>
      <c r="K100" s="724"/>
      <c r="L100" s="724"/>
      <c r="M100" s="724"/>
      <c r="N100" s="724"/>
      <c r="O100" s="724"/>
      <c r="P100" s="724"/>
      <c r="Q100" s="724"/>
      <c r="R100" s="724"/>
      <c r="S100" s="724"/>
      <c r="T100" s="724"/>
      <c r="U100" s="724"/>
      <c r="V100" s="724"/>
      <c r="W100" s="724"/>
      <c r="X100" s="724"/>
      <c r="Y100" s="724"/>
      <c r="Z100" s="724"/>
      <c r="AA100" s="725"/>
      <c r="AB100" s="676"/>
      <c r="AC100" s="677"/>
      <c r="AD100" s="677"/>
      <c r="AE100" s="677"/>
      <c r="AF100" s="677"/>
      <c r="AG100" s="677"/>
      <c r="AH100" s="677"/>
      <c r="AI100" s="677"/>
      <c r="AJ100" s="677"/>
      <c r="AK100" s="677"/>
      <c r="AL100" s="677"/>
      <c r="AM100" s="677"/>
      <c r="AN100" s="677"/>
      <c r="AO100" s="677"/>
      <c r="AP100" s="677"/>
      <c r="AQ100" s="677"/>
      <c r="AR100" s="677"/>
      <c r="AS100" s="677"/>
      <c r="AT100" s="677"/>
      <c r="AU100" s="677"/>
      <c r="AV100" s="677"/>
      <c r="AW100" s="677"/>
      <c r="AX100" s="677"/>
      <c r="AY100" s="677"/>
      <c r="AZ100" s="677"/>
      <c r="BA100" s="677"/>
      <c r="BB100" s="677"/>
      <c r="BC100" s="677"/>
      <c r="BD100" s="677"/>
      <c r="BE100" s="677"/>
      <c r="BF100" s="677"/>
      <c r="BG100" s="677"/>
      <c r="BH100" s="677"/>
      <c r="BI100" s="677"/>
      <c r="BJ100" s="677"/>
      <c r="BK100" s="677"/>
      <c r="BL100" s="677"/>
      <c r="BM100" s="677"/>
      <c r="BN100" s="677"/>
      <c r="BO100" s="677"/>
      <c r="BP100" s="677"/>
      <c r="BQ100" s="677"/>
      <c r="BR100" s="677"/>
      <c r="BS100" s="677"/>
      <c r="BT100" s="677"/>
      <c r="BU100" s="677"/>
      <c r="BV100" s="677"/>
      <c r="BW100" s="677"/>
      <c r="BX100" s="677"/>
      <c r="BY100" s="677"/>
      <c r="BZ100" s="677"/>
      <c r="CA100" s="677"/>
      <c r="CB100" s="678"/>
      <c r="CC100" s="147"/>
      <c r="DG100" s="10"/>
      <c r="DJ100" s="48"/>
      <c r="DK100" s="7"/>
      <c r="DL100" s="395"/>
      <c r="DM100" s="393"/>
    </row>
    <row r="101" spans="2:122" ht="11.25" customHeight="1">
      <c r="B101" s="147"/>
      <c r="C101" s="726"/>
      <c r="D101" s="727"/>
      <c r="E101" s="727"/>
      <c r="F101" s="727"/>
      <c r="G101" s="727"/>
      <c r="H101" s="727"/>
      <c r="I101" s="727"/>
      <c r="J101" s="727"/>
      <c r="K101" s="727"/>
      <c r="L101" s="727"/>
      <c r="M101" s="727"/>
      <c r="N101" s="727"/>
      <c r="O101" s="727"/>
      <c r="P101" s="727"/>
      <c r="Q101" s="727"/>
      <c r="R101" s="727"/>
      <c r="S101" s="727"/>
      <c r="T101" s="727"/>
      <c r="U101" s="727"/>
      <c r="V101" s="727"/>
      <c r="W101" s="727"/>
      <c r="X101" s="727"/>
      <c r="Y101" s="727"/>
      <c r="Z101" s="727"/>
      <c r="AA101" s="728"/>
      <c r="AB101" s="704"/>
      <c r="AC101" s="705"/>
      <c r="AD101" s="705"/>
      <c r="AE101" s="705"/>
      <c r="AF101" s="705"/>
      <c r="AG101" s="705"/>
      <c r="AH101" s="705"/>
      <c r="AI101" s="705"/>
      <c r="AJ101" s="705"/>
      <c r="AK101" s="705"/>
      <c r="AL101" s="705"/>
      <c r="AM101" s="705"/>
      <c r="AN101" s="705"/>
      <c r="AO101" s="705"/>
      <c r="AP101" s="705"/>
      <c r="AQ101" s="705"/>
      <c r="AR101" s="705"/>
      <c r="AS101" s="705"/>
      <c r="AT101" s="705"/>
      <c r="AU101" s="705"/>
      <c r="AV101" s="705"/>
      <c r="AW101" s="705"/>
      <c r="AX101" s="705"/>
      <c r="AY101" s="705"/>
      <c r="AZ101" s="705"/>
      <c r="BA101" s="705"/>
      <c r="BB101" s="705"/>
      <c r="BC101" s="705"/>
      <c r="BD101" s="705"/>
      <c r="BE101" s="705"/>
      <c r="BF101" s="705"/>
      <c r="BG101" s="705"/>
      <c r="BH101" s="705"/>
      <c r="BI101" s="705"/>
      <c r="BJ101" s="705"/>
      <c r="BK101" s="705"/>
      <c r="BL101" s="705"/>
      <c r="BM101" s="705"/>
      <c r="BN101" s="705"/>
      <c r="BO101" s="705"/>
      <c r="BP101" s="705"/>
      <c r="BQ101" s="705"/>
      <c r="BR101" s="705"/>
      <c r="BS101" s="705"/>
      <c r="BT101" s="705"/>
      <c r="BU101" s="705"/>
      <c r="BV101" s="705"/>
      <c r="BW101" s="705"/>
      <c r="BX101" s="705"/>
      <c r="BY101" s="705"/>
      <c r="BZ101" s="705"/>
      <c r="CA101" s="705"/>
      <c r="CB101" s="706"/>
      <c r="CC101" s="147"/>
      <c r="DG101" s="10"/>
      <c r="DJ101" s="48"/>
      <c r="DK101" s="7"/>
      <c r="DL101" s="395"/>
      <c r="DM101" s="393"/>
    </row>
    <row r="102" spans="2:122" ht="11.25" customHeight="1">
      <c r="B102" s="147"/>
      <c r="C102" s="729"/>
      <c r="D102" s="730"/>
      <c r="E102" s="730"/>
      <c r="F102" s="730"/>
      <c r="G102" s="730"/>
      <c r="H102" s="730"/>
      <c r="I102" s="730"/>
      <c r="J102" s="730"/>
      <c r="K102" s="730"/>
      <c r="L102" s="730"/>
      <c r="M102" s="730"/>
      <c r="N102" s="730"/>
      <c r="O102" s="730"/>
      <c r="P102" s="730"/>
      <c r="Q102" s="730"/>
      <c r="R102" s="730"/>
      <c r="S102" s="730"/>
      <c r="T102" s="730"/>
      <c r="U102" s="730"/>
      <c r="V102" s="730"/>
      <c r="W102" s="730"/>
      <c r="X102" s="730"/>
      <c r="Y102" s="730"/>
      <c r="Z102" s="730"/>
      <c r="AA102" s="731"/>
      <c r="AB102" s="707"/>
      <c r="AC102" s="708"/>
      <c r="AD102" s="708"/>
      <c r="AE102" s="708"/>
      <c r="AF102" s="708"/>
      <c r="AG102" s="708"/>
      <c r="AH102" s="708"/>
      <c r="AI102" s="708"/>
      <c r="AJ102" s="708"/>
      <c r="AK102" s="708"/>
      <c r="AL102" s="708"/>
      <c r="AM102" s="708"/>
      <c r="AN102" s="708"/>
      <c r="AO102" s="708"/>
      <c r="AP102" s="708"/>
      <c r="AQ102" s="708"/>
      <c r="AR102" s="708"/>
      <c r="AS102" s="708"/>
      <c r="AT102" s="708"/>
      <c r="AU102" s="708"/>
      <c r="AV102" s="708"/>
      <c r="AW102" s="708"/>
      <c r="AX102" s="708"/>
      <c r="AY102" s="708"/>
      <c r="AZ102" s="708"/>
      <c r="BA102" s="708"/>
      <c r="BB102" s="708"/>
      <c r="BC102" s="708"/>
      <c r="BD102" s="708"/>
      <c r="BE102" s="708"/>
      <c r="BF102" s="708"/>
      <c r="BG102" s="708"/>
      <c r="BH102" s="708"/>
      <c r="BI102" s="708"/>
      <c r="BJ102" s="708"/>
      <c r="BK102" s="708"/>
      <c r="BL102" s="708"/>
      <c r="BM102" s="708"/>
      <c r="BN102" s="708"/>
      <c r="BO102" s="708"/>
      <c r="BP102" s="708"/>
      <c r="BQ102" s="708"/>
      <c r="BR102" s="708"/>
      <c r="BS102" s="708"/>
      <c r="BT102" s="708"/>
      <c r="BU102" s="708"/>
      <c r="BV102" s="708"/>
      <c r="BW102" s="708"/>
      <c r="BX102" s="708"/>
      <c r="BY102" s="708"/>
      <c r="BZ102" s="708"/>
      <c r="CA102" s="708"/>
      <c r="CB102" s="709"/>
      <c r="CC102" s="147"/>
      <c r="DG102" s="10"/>
      <c r="DJ102" s="48"/>
      <c r="DK102" s="7"/>
      <c r="DL102" s="395"/>
      <c r="DM102" s="393"/>
    </row>
    <row r="103" spans="2:122" ht="11.25" customHeight="1">
      <c r="B103" s="205"/>
      <c r="C103" s="723" t="str">
        <f>VLOOKUP(2313,Languages!$A$5:$C$1032,Languages!$A$2,FALSE)</f>
        <v>Which other Brose plants / parts are affected?</v>
      </c>
      <c r="D103" s="724"/>
      <c r="E103" s="724"/>
      <c r="F103" s="724"/>
      <c r="G103" s="724"/>
      <c r="H103" s="724"/>
      <c r="I103" s="724"/>
      <c r="J103" s="724"/>
      <c r="K103" s="724"/>
      <c r="L103" s="724"/>
      <c r="M103" s="724"/>
      <c r="N103" s="724"/>
      <c r="O103" s="724"/>
      <c r="P103" s="724"/>
      <c r="Q103" s="724"/>
      <c r="R103" s="724"/>
      <c r="S103" s="724"/>
      <c r="T103" s="724"/>
      <c r="U103" s="724"/>
      <c r="V103" s="724"/>
      <c r="W103" s="724"/>
      <c r="X103" s="724"/>
      <c r="Y103" s="724"/>
      <c r="Z103" s="724"/>
      <c r="AA103" s="725"/>
      <c r="AB103" s="676"/>
      <c r="AC103" s="677"/>
      <c r="AD103" s="677"/>
      <c r="AE103" s="677"/>
      <c r="AF103" s="677"/>
      <c r="AG103" s="677"/>
      <c r="AH103" s="677"/>
      <c r="AI103" s="677"/>
      <c r="AJ103" s="677"/>
      <c r="AK103" s="677"/>
      <c r="AL103" s="677"/>
      <c r="AM103" s="677"/>
      <c r="AN103" s="677"/>
      <c r="AO103" s="677"/>
      <c r="AP103" s="677"/>
      <c r="AQ103" s="677"/>
      <c r="AR103" s="677"/>
      <c r="AS103" s="677"/>
      <c r="AT103" s="677"/>
      <c r="AU103" s="677"/>
      <c r="AV103" s="677"/>
      <c r="AW103" s="677"/>
      <c r="AX103" s="677"/>
      <c r="AY103" s="677"/>
      <c r="AZ103" s="677"/>
      <c r="BA103" s="677"/>
      <c r="BB103" s="677"/>
      <c r="BC103" s="677"/>
      <c r="BD103" s="677"/>
      <c r="BE103" s="677"/>
      <c r="BF103" s="677"/>
      <c r="BG103" s="677"/>
      <c r="BH103" s="677"/>
      <c r="BI103" s="677"/>
      <c r="BJ103" s="677"/>
      <c r="BK103" s="677"/>
      <c r="BL103" s="677"/>
      <c r="BM103" s="677"/>
      <c r="BN103" s="677"/>
      <c r="BO103" s="677"/>
      <c r="BP103" s="677"/>
      <c r="BQ103" s="677"/>
      <c r="BR103" s="677"/>
      <c r="BS103" s="677"/>
      <c r="BT103" s="677"/>
      <c r="BU103" s="677"/>
      <c r="BV103" s="677"/>
      <c r="BW103" s="677"/>
      <c r="BX103" s="677"/>
      <c r="BY103" s="677"/>
      <c r="BZ103" s="677"/>
      <c r="CA103" s="677"/>
      <c r="CB103" s="678"/>
      <c r="CC103" s="279"/>
      <c r="DG103" s="10"/>
      <c r="DH103" s="48"/>
      <c r="DI103" s="48"/>
      <c r="DJ103" s="48"/>
      <c r="DL103" s="10"/>
      <c r="DM103" s="9"/>
      <c r="DN103" s="28"/>
      <c r="DO103" s="9"/>
      <c r="DP103" s="9"/>
      <c r="DQ103" s="9"/>
      <c r="DR103" s="9"/>
    </row>
    <row r="104" spans="2:122" ht="11.25" customHeight="1">
      <c r="B104" s="205"/>
      <c r="C104" s="726"/>
      <c r="D104" s="727"/>
      <c r="E104" s="727"/>
      <c r="F104" s="727"/>
      <c r="G104" s="727"/>
      <c r="H104" s="727"/>
      <c r="I104" s="727"/>
      <c r="J104" s="727"/>
      <c r="K104" s="727"/>
      <c r="L104" s="727"/>
      <c r="M104" s="727"/>
      <c r="N104" s="727"/>
      <c r="O104" s="727"/>
      <c r="P104" s="727"/>
      <c r="Q104" s="727"/>
      <c r="R104" s="727"/>
      <c r="S104" s="727"/>
      <c r="T104" s="727"/>
      <c r="U104" s="727"/>
      <c r="V104" s="727"/>
      <c r="W104" s="727"/>
      <c r="X104" s="727"/>
      <c r="Y104" s="727"/>
      <c r="Z104" s="727"/>
      <c r="AA104" s="728"/>
      <c r="AB104" s="704"/>
      <c r="AC104" s="705"/>
      <c r="AD104" s="705"/>
      <c r="AE104" s="705"/>
      <c r="AF104" s="705"/>
      <c r="AG104" s="705"/>
      <c r="AH104" s="705"/>
      <c r="AI104" s="705"/>
      <c r="AJ104" s="705"/>
      <c r="AK104" s="705"/>
      <c r="AL104" s="705"/>
      <c r="AM104" s="705"/>
      <c r="AN104" s="705"/>
      <c r="AO104" s="705"/>
      <c r="AP104" s="705"/>
      <c r="AQ104" s="705"/>
      <c r="AR104" s="705"/>
      <c r="AS104" s="705"/>
      <c r="AT104" s="705"/>
      <c r="AU104" s="705"/>
      <c r="AV104" s="705"/>
      <c r="AW104" s="705"/>
      <c r="AX104" s="705"/>
      <c r="AY104" s="705"/>
      <c r="AZ104" s="705"/>
      <c r="BA104" s="705"/>
      <c r="BB104" s="705"/>
      <c r="BC104" s="705"/>
      <c r="BD104" s="705"/>
      <c r="BE104" s="705"/>
      <c r="BF104" s="705"/>
      <c r="BG104" s="705"/>
      <c r="BH104" s="705"/>
      <c r="BI104" s="705"/>
      <c r="BJ104" s="705"/>
      <c r="BK104" s="705"/>
      <c r="BL104" s="705"/>
      <c r="BM104" s="705"/>
      <c r="BN104" s="705"/>
      <c r="BO104" s="705"/>
      <c r="BP104" s="705"/>
      <c r="BQ104" s="705"/>
      <c r="BR104" s="705"/>
      <c r="BS104" s="705"/>
      <c r="BT104" s="705"/>
      <c r="BU104" s="705"/>
      <c r="BV104" s="705"/>
      <c r="BW104" s="705"/>
      <c r="BX104" s="705"/>
      <c r="BY104" s="705"/>
      <c r="BZ104" s="705"/>
      <c r="CA104" s="705"/>
      <c r="CB104" s="706"/>
      <c r="CC104" s="279"/>
      <c r="DG104" s="10"/>
      <c r="DH104" s="48"/>
      <c r="DI104" s="48"/>
      <c r="DJ104" s="48"/>
      <c r="DL104" s="10"/>
      <c r="DM104" s="9"/>
      <c r="DN104" s="28"/>
      <c r="DO104" s="9"/>
      <c r="DP104" s="9"/>
      <c r="DQ104" s="9"/>
      <c r="DR104" s="9"/>
    </row>
    <row r="105" spans="2:122" ht="11.25" customHeight="1">
      <c r="B105" s="205"/>
      <c r="C105" s="729"/>
      <c r="D105" s="730"/>
      <c r="E105" s="730"/>
      <c r="F105" s="730"/>
      <c r="G105" s="730"/>
      <c r="H105" s="730"/>
      <c r="I105" s="730"/>
      <c r="J105" s="730"/>
      <c r="K105" s="730"/>
      <c r="L105" s="730"/>
      <c r="M105" s="730"/>
      <c r="N105" s="730"/>
      <c r="O105" s="730"/>
      <c r="P105" s="730"/>
      <c r="Q105" s="730"/>
      <c r="R105" s="730"/>
      <c r="S105" s="730"/>
      <c r="T105" s="730"/>
      <c r="U105" s="730"/>
      <c r="V105" s="730"/>
      <c r="W105" s="730"/>
      <c r="X105" s="730"/>
      <c r="Y105" s="730"/>
      <c r="Z105" s="730"/>
      <c r="AA105" s="731"/>
      <c r="AB105" s="707"/>
      <c r="AC105" s="708"/>
      <c r="AD105" s="708"/>
      <c r="AE105" s="708"/>
      <c r="AF105" s="708"/>
      <c r="AG105" s="708"/>
      <c r="AH105" s="708"/>
      <c r="AI105" s="708"/>
      <c r="AJ105" s="708"/>
      <c r="AK105" s="708"/>
      <c r="AL105" s="708"/>
      <c r="AM105" s="708"/>
      <c r="AN105" s="708"/>
      <c r="AO105" s="708"/>
      <c r="AP105" s="708"/>
      <c r="AQ105" s="708"/>
      <c r="AR105" s="708"/>
      <c r="AS105" s="708"/>
      <c r="AT105" s="708"/>
      <c r="AU105" s="708"/>
      <c r="AV105" s="708"/>
      <c r="AW105" s="708"/>
      <c r="AX105" s="708"/>
      <c r="AY105" s="708"/>
      <c r="AZ105" s="708"/>
      <c r="BA105" s="708"/>
      <c r="BB105" s="708"/>
      <c r="BC105" s="708"/>
      <c r="BD105" s="708"/>
      <c r="BE105" s="708"/>
      <c r="BF105" s="708"/>
      <c r="BG105" s="708"/>
      <c r="BH105" s="708"/>
      <c r="BI105" s="708"/>
      <c r="BJ105" s="708"/>
      <c r="BK105" s="708"/>
      <c r="BL105" s="708"/>
      <c r="BM105" s="708"/>
      <c r="BN105" s="708"/>
      <c r="BO105" s="708"/>
      <c r="BP105" s="708"/>
      <c r="BQ105" s="708"/>
      <c r="BR105" s="708"/>
      <c r="BS105" s="708"/>
      <c r="BT105" s="708"/>
      <c r="BU105" s="708"/>
      <c r="BV105" s="708"/>
      <c r="BW105" s="708"/>
      <c r="BX105" s="708"/>
      <c r="BY105" s="708"/>
      <c r="BZ105" s="708"/>
      <c r="CA105" s="708"/>
      <c r="CB105" s="709"/>
      <c r="CC105" s="279"/>
      <c r="DG105" s="10"/>
      <c r="DH105" s="48"/>
      <c r="DI105" s="48"/>
      <c r="DJ105" s="48"/>
      <c r="DL105" s="10"/>
      <c r="DM105" s="9"/>
      <c r="DN105" s="28"/>
      <c r="DO105" s="9"/>
      <c r="DP105" s="9"/>
      <c r="DQ105" s="9"/>
      <c r="DR105" s="9"/>
    </row>
    <row r="106" spans="2:122" ht="11.25" customHeight="1">
      <c r="B106" s="205"/>
      <c r="C106" s="723" t="str">
        <f>VLOOKUP(2315,Languages!$A$5:$C$1032,Languages!$A$2,FALSE)</f>
        <v>Are we capturing the defect when we re-introduce the product into the normal process?</v>
      </c>
      <c r="D106" s="724"/>
      <c r="E106" s="724"/>
      <c r="F106" s="724"/>
      <c r="G106" s="724"/>
      <c r="H106" s="724"/>
      <c r="I106" s="724"/>
      <c r="J106" s="724"/>
      <c r="K106" s="724"/>
      <c r="L106" s="724"/>
      <c r="M106" s="724"/>
      <c r="N106" s="724"/>
      <c r="O106" s="724"/>
      <c r="P106" s="724"/>
      <c r="Q106" s="724"/>
      <c r="R106" s="724"/>
      <c r="S106" s="724"/>
      <c r="T106" s="724"/>
      <c r="U106" s="724"/>
      <c r="V106" s="724"/>
      <c r="W106" s="724"/>
      <c r="X106" s="724"/>
      <c r="Y106" s="724"/>
      <c r="Z106" s="724"/>
      <c r="AA106" s="725"/>
      <c r="AB106" s="676"/>
      <c r="AC106" s="677"/>
      <c r="AD106" s="677"/>
      <c r="AE106" s="677"/>
      <c r="AF106" s="677"/>
      <c r="AG106" s="677"/>
      <c r="AH106" s="677"/>
      <c r="AI106" s="677"/>
      <c r="AJ106" s="677"/>
      <c r="AK106" s="677"/>
      <c r="AL106" s="677"/>
      <c r="AM106" s="677"/>
      <c r="AN106" s="677"/>
      <c r="AO106" s="677"/>
      <c r="AP106" s="677"/>
      <c r="AQ106" s="677"/>
      <c r="AR106" s="677"/>
      <c r="AS106" s="677"/>
      <c r="AT106" s="677"/>
      <c r="AU106" s="677"/>
      <c r="AV106" s="677"/>
      <c r="AW106" s="677"/>
      <c r="AX106" s="677"/>
      <c r="AY106" s="677"/>
      <c r="AZ106" s="677"/>
      <c r="BA106" s="677"/>
      <c r="BB106" s="677"/>
      <c r="BC106" s="677"/>
      <c r="BD106" s="677"/>
      <c r="BE106" s="677"/>
      <c r="BF106" s="677"/>
      <c r="BG106" s="677"/>
      <c r="BH106" s="677"/>
      <c r="BI106" s="677"/>
      <c r="BJ106" s="677"/>
      <c r="BK106" s="677"/>
      <c r="BL106" s="677"/>
      <c r="BM106" s="677"/>
      <c r="BN106" s="677"/>
      <c r="BO106" s="677"/>
      <c r="BP106" s="677"/>
      <c r="BQ106" s="677"/>
      <c r="BR106" s="677"/>
      <c r="BS106" s="677"/>
      <c r="BT106" s="677"/>
      <c r="BU106" s="677"/>
      <c r="BV106" s="677"/>
      <c r="BW106" s="677"/>
      <c r="BX106" s="677"/>
      <c r="BY106" s="677"/>
      <c r="BZ106" s="677"/>
      <c r="CA106" s="677"/>
      <c r="CB106" s="678"/>
      <c r="CC106" s="279"/>
      <c r="DG106" s="10"/>
      <c r="DH106" s="48"/>
      <c r="DI106" s="48"/>
      <c r="DJ106" s="48"/>
      <c r="DL106" s="10"/>
      <c r="DM106" s="9"/>
      <c r="DN106" s="28"/>
      <c r="DO106" s="9"/>
      <c r="DP106" s="9"/>
      <c r="DQ106" s="9"/>
      <c r="DR106" s="9"/>
    </row>
    <row r="107" spans="2:122" ht="11.25" customHeight="1">
      <c r="B107" s="205"/>
      <c r="C107" s="726"/>
      <c r="D107" s="727"/>
      <c r="E107" s="727"/>
      <c r="F107" s="727"/>
      <c r="G107" s="727"/>
      <c r="H107" s="727"/>
      <c r="I107" s="727"/>
      <c r="J107" s="727"/>
      <c r="K107" s="727"/>
      <c r="L107" s="727"/>
      <c r="M107" s="727"/>
      <c r="N107" s="727"/>
      <c r="O107" s="727"/>
      <c r="P107" s="727"/>
      <c r="Q107" s="727"/>
      <c r="R107" s="727"/>
      <c r="S107" s="727"/>
      <c r="T107" s="727"/>
      <c r="U107" s="727"/>
      <c r="V107" s="727"/>
      <c r="W107" s="727"/>
      <c r="X107" s="727"/>
      <c r="Y107" s="727"/>
      <c r="Z107" s="727"/>
      <c r="AA107" s="728"/>
      <c r="AB107" s="704"/>
      <c r="AC107" s="705"/>
      <c r="AD107" s="705"/>
      <c r="AE107" s="705"/>
      <c r="AF107" s="705"/>
      <c r="AG107" s="705"/>
      <c r="AH107" s="705"/>
      <c r="AI107" s="705"/>
      <c r="AJ107" s="705"/>
      <c r="AK107" s="705"/>
      <c r="AL107" s="705"/>
      <c r="AM107" s="705"/>
      <c r="AN107" s="705"/>
      <c r="AO107" s="705"/>
      <c r="AP107" s="705"/>
      <c r="AQ107" s="705"/>
      <c r="AR107" s="705"/>
      <c r="AS107" s="705"/>
      <c r="AT107" s="705"/>
      <c r="AU107" s="705"/>
      <c r="AV107" s="705"/>
      <c r="AW107" s="705"/>
      <c r="AX107" s="705"/>
      <c r="AY107" s="705"/>
      <c r="AZ107" s="705"/>
      <c r="BA107" s="705"/>
      <c r="BB107" s="705"/>
      <c r="BC107" s="705"/>
      <c r="BD107" s="705"/>
      <c r="BE107" s="705"/>
      <c r="BF107" s="705"/>
      <c r="BG107" s="705"/>
      <c r="BH107" s="705"/>
      <c r="BI107" s="705"/>
      <c r="BJ107" s="705"/>
      <c r="BK107" s="705"/>
      <c r="BL107" s="705"/>
      <c r="BM107" s="705"/>
      <c r="BN107" s="705"/>
      <c r="BO107" s="705"/>
      <c r="BP107" s="705"/>
      <c r="BQ107" s="705"/>
      <c r="BR107" s="705"/>
      <c r="BS107" s="705"/>
      <c r="BT107" s="705"/>
      <c r="BU107" s="705"/>
      <c r="BV107" s="705"/>
      <c r="BW107" s="705"/>
      <c r="BX107" s="705"/>
      <c r="BY107" s="705"/>
      <c r="BZ107" s="705"/>
      <c r="CA107" s="705"/>
      <c r="CB107" s="706"/>
      <c r="CC107" s="279"/>
      <c r="DG107" s="10"/>
      <c r="DH107" s="48"/>
      <c r="DI107" s="48"/>
      <c r="DJ107" s="48"/>
      <c r="DL107" s="10"/>
      <c r="DM107" s="9"/>
      <c r="DN107" s="28"/>
      <c r="DO107" s="9"/>
      <c r="DP107" s="9"/>
      <c r="DQ107" s="9"/>
      <c r="DR107" s="9"/>
    </row>
    <row r="108" spans="2:122" ht="11.25" customHeight="1">
      <c r="B108" s="205"/>
      <c r="C108" s="729"/>
      <c r="D108" s="730"/>
      <c r="E108" s="730"/>
      <c r="F108" s="730"/>
      <c r="G108" s="730"/>
      <c r="H108" s="730"/>
      <c r="I108" s="730"/>
      <c r="J108" s="730"/>
      <c r="K108" s="730"/>
      <c r="L108" s="730"/>
      <c r="M108" s="730"/>
      <c r="N108" s="730"/>
      <c r="O108" s="730"/>
      <c r="P108" s="730"/>
      <c r="Q108" s="730"/>
      <c r="R108" s="730"/>
      <c r="S108" s="730"/>
      <c r="T108" s="730"/>
      <c r="U108" s="730"/>
      <c r="V108" s="730"/>
      <c r="W108" s="730"/>
      <c r="X108" s="730"/>
      <c r="Y108" s="730"/>
      <c r="Z108" s="730"/>
      <c r="AA108" s="731"/>
      <c r="AB108" s="707"/>
      <c r="AC108" s="708"/>
      <c r="AD108" s="708"/>
      <c r="AE108" s="708"/>
      <c r="AF108" s="708"/>
      <c r="AG108" s="708"/>
      <c r="AH108" s="708"/>
      <c r="AI108" s="708"/>
      <c r="AJ108" s="708"/>
      <c r="AK108" s="708"/>
      <c r="AL108" s="708"/>
      <c r="AM108" s="708"/>
      <c r="AN108" s="708"/>
      <c r="AO108" s="708"/>
      <c r="AP108" s="708"/>
      <c r="AQ108" s="708"/>
      <c r="AR108" s="708"/>
      <c r="AS108" s="708"/>
      <c r="AT108" s="708"/>
      <c r="AU108" s="708"/>
      <c r="AV108" s="708"/>
      <c r="AW108" s="708"/>
      <c r="AX108" s="708"/>
      <c r="AY108" s="708"/>
      <c r="AZ108" s="708"/>
      <c r="BA108" s="708"/>
      <c r="BB108" s="708"/>
      <c r="BC108" s="708"/>
      <c r="BD108" s="708"/>
      <c r="BE108" s="708"/>
      <c r="BF108" s="708"/>
      <c r="BG108" s="708"/>
      <c r="BH108" s="708"/>
      <c r="BI108" s="708"/>
      <c r="BJ108" s="708"/>
      <c r="BK108" s="708"/>
      <c r="BL108" s="708"/>
      <c r="BM108" s="708"/>
      <c r="BN108" s="708"/>
      <c r="BO108" s="708"/>
      <c r="BP108" s="708"/>
      <c r="BQ108" s="708"/>
      <c r="BR108" s="708"/>
      <c r="BS108" s="708"/>
      <c r="BT108" s="708"/>
      <c r="BU108" s="708"/>
      <c r="BV108" s="708"/>
      <c r="BW108" s="708"/>
      <c r="BX108" s="708"/>
      <c r="BY108" s="708"/>
      <c r="BZ108" s="708"/>
      <c r="CA108" s="708"/>
      <c r="CB108" s="709"/>
      <c r="CC108" s="279"/>
      <c r="DG108" s="10"/>
      <c r="DH108" s="48"/>
      <c r="DI108" s="48"/>
      <c r="DJ108" s="48"/>
      <c r="DL108" s="10"/>
      <c r="DM108" s="9"/>
      <c r="DN108" s="28"/>
      <c r="DO108" s="9"/>
      <c r="DP108" s="9"/>
      <c r="DQ108" s="9"/>
      <c r="DR108" s="9"/>
    </row>
    <row r="109" spans="2:122" ht="11.25" customHeight="1">
      <c r="B109" s="205"/>
      <c r="C109" s="723" t="str">
        <f>VLOOKUP(2316,Languages!$A$5:$C$1032,Languages!$A$2,FALSE)</f>
        <v>Is the part safety critical?
[failure clustering]</v>
      </c>
      <c r="D109" s="724"/>
      <c r="E109" s="724"/>
      <c r="F109" s="724"/>
      <c r="G109" s="724"/>
      <c r="H109" s="724"/>
      <c r="I109" s="724"/>
      <c r="J109" s="724"/>
      <c r="K109" s="724"/>
      <c r="L109" s="724"/>
      <c r="M109" s="724"/>
      <c r="N109" s="724"/>
      <c r="O109" s="724"/>
      <c r="P109" s="724"/>
      <c r="Q109" s="724"/>
      <c r="R109" s="724"/>
      <c r="S109" s="724"/>
      <c r="T109" s="724"/>
      <c r="U109" s="724"/>
      <c r="V109" s="724"/>
      <c r="W109" s="724"/>
      <c r="X109" s="724"/>
      <c r="Y109" s="724"/>
      <c r="Z109" s="724"/>
      <c r="AA109" s="725"/>
      <c r="AB109" s="903"/>
      <c r="AC109" s="904"/>
      <c r="AD109" s="904"/>
      <c r="AE109" s="904"/>
      <c r="AF109" s="904"/>
      <c r="AG109" s="904"/>
      <c r="AH109" s="904"/>
      <c r="AI109" s="904"/>
      <c r="AJ109" s="904"/>
      <c r="AK109" s="904"/>
      <c r="AL109" s="904"/>
      <c r="AM109" s="904"/>
      <c r="AN109" s="904"/>
      <c r="AO109" s="905"/>
      <c r="AP109" s="912" t="str">
        <f>VLOOKUP(2317,Languages!$A$5:$C$1032,Languages!$A$2,FALSE)</f>
        <v>A-failure = safety relevant
B-failure = siginificant product/production effect
C-failure = middle incident</v>
      </c>
      <c r="AQ109" s="913"/>
      <c r="AR109" s="913"/>
      <c r="AS109" s="913"/>
      <c r="AT109" s="913"/>
      <c r="AU109" s="913"/>
      <c r="AV109" s="913"/>
      <c r="AW109" s="913"/>
      <c r="AX109" s="913"/>
      <c r="AY109" s="913"/>
      <c r="AZ109" s="913"/>
      <c r="BA109" s="913"/>
      <c r="BB109" s="913"/>
      <c r="BC109" s="913"/>
      <c r="BD109" s="913"/>
      <c r="BE109" s="913"/>
      <c r="BF109" s="913"/>
      <c r="BG109" s="913"/>
      <c r="BH109" s="913"/>
      <c r="BI109" s="913"/>
      <c r="BJ109" s="913"/>
      <c r="BK109" s="913"/>
      <c r="BL109" s="913"/>
      <c r="BM109" s="913"/>
      <c r="BN109" s="913"/>
      <c r="BO109" s="913"/>
      <c r="BP109" s="913"/>
      <c r="BQ109" s="913"/>
      <c r="BR109" s="913"/>
      <c r="BS109" s="913"/>
      <c r="BT109" s="913"/>
      <c r="BU109" s="913"/>
      <c r="BV109" s="913"/>
      <c r="BW109" s="913"/>
      <c r="BX109" s="913"/>
      <c r="BY109" s="913"/>
      <c r="BZ109" s="913"/>
      <c r="CA109" s="913"/>
      <c r="CB109" s="914"/>
      <c r="CC109" s="279"/>
      <c r="DG109" s="10"/>
      <c r="DH109" s="48"/>
      <c r="DI109" s="48"/>
      <c r="DJ109" s="48"/>
      <c r="DL109" s="10"/>
      <c r="DM109" s="9"/>
      <c r="DN109" s="28"/>
      <c r="DO109" s="9"/>
      <c r="DP109" s="9"/>
      <c r="DQ109" s="9"/>
      <c r="DR109" s="9"/>
    </row>
    <row r="110" spans="2:122" ht="11.25" customHeight="1">
      <c r="B110" s="205"/>
      <c r="C110" s="726"/>
      <c r="D110" s="727"/>
      <c r="E110" s="727"/>
      <c r="F110" s="727"/>
      <c r="G110" s="727"/>
      <c r="H110" s="727"/>
      <c r="I110" s="727"/>
      <c r="J110" s="727"/>
      <c r="K110" s="727"/>
      <c r="L110" s="727"/>
      <c r="M110" s="727"/>
      <c r="N110" s="727"/>
      <c r="O110" s="727"/>
      <c r="P110" s="727"/>
      <c r="Q110" s="727"/>
      <c r="R110" s="727"/>
      <c r="S110" s="727"/>
      <c r="T110" s="727"/>
      <c r="U110" s="727"/>
      <c r="V110" s="727"/>
      <c r="W110" s="727"/>
      <c r="X110" s="727"/>
      <c r="Y110" s="727"/>
      <c r="Z110" s="727"/>
      <c r="AA110" s="728"/>
      <c r="AB110" s="906"/>
      <c r="AC110" s="907"/>
      <c r="AD110" s="907"/>
      <c r="AE110" s="907"/>
      <c r="AF110" s="907"/>
      <c r="AG110" s="907"/>
      <c r="AH110" s="907"/>
      <c r="AI110" s="907"/>
      <c r="AJ110" s="907"/>
      <c r="AK110" s="907"/>
      <c r="AL110" s="907"/>
      <c r="AM110" s="907"/>
      <c r="AN110" s="907"/>
      <c r="AO110" s="908"/>
      <c r="AP110" s="915"/>
      <c r="AQ110" s="916"/>
      <c r="AR110" s="916"/>
      <c r="AS110" s="916"/>
      <c r="AT110" s="916"/>
      <c r="AU110" s="916"/>
      <c r="AV110" s="916"/>
      <c r="AW110" s="916"/>
      <c r="AX110" s="916"/>
      <c r="AY110" s="916"/>
      <c r="AZ110" s="916"/>
      <c r="BA110" s="916"/>
      <c r="BB110" s="916"/>
      <c r="BC110" s="916"/>
      <c r="BD110" s="916"/>
      <c r="BE110" s="916"/>
      <c r="BF110" s="916"/>
      <c r="BG110" s="916"/>
      <c r="BH110" s="916"/>
      <c r="BI110" s="916"/>
      <c r="BJ110" s="916"/>
      <c r="BK110" s="916"/>
      <c r="BL110" s="916"/>
      <c r="BM110" s="916"/>
      <c r="BN110" s="916"/>
      <c r="BO110" s="916"/>
      <c r="BP110" s="916"/>
      <c r="BQ110" s="916"/>
      <c r="BR110" s="916"/>
      <c r="BS110" s="916"/>
      <c r="BT110" s="916"/>
      <c r="BU110" s="916"/>
      <c r="BV110" s="916"/>
      <c r="BW110" s="916"/>
      <c r="BX110" s="916"/>
      <c r="BY110" s="916"/>
      <c r="BZ110" s="916"/>
      <c r="CA110" s="916"/>
      <c r="CB110" s="917"/>
      <c r="CC110" s="396"/>
      <c r="DG110" s="10"/>
      <c r="DH110" s="48"/>
      <c r="DI110" s="48"/>
      <c r="DJ110" s="48"/>
      <c r="DL110" s="10"/>
      <c r="DM110" s="9"/>
      <c r="DN110" s="28"/>
      <c r="DO110" s="9"/>
      <c r="DP110" s="9"/>
      <c r="DQ110" s="9"/>
      <c r="DR110" s="9"/>
    </row>
    <row r="111" spans="2:122" ht="11.25" customHeight="1">
      <c r="B111" s="205"/>
      <c r="C111" s="726"/>
      <c r="D111" s="727"/>
      <c r="E111" s="727"/>
      <c r="F111" s="727"/>
      <c r="G111" s="727"/>
      <c r="H111" s="727"/>
      <c r="I111" s="727"/>
      <c r="J111" s="727"/>
      <c r="K111" s="727"/>
      <c r="L111" s="727"/>
      <c r="M111" s="727"/>
      <c r="N111" s="727"/>
      <c r="O111" s="727"/>
      <c r="P111" s="727"/>
      <c r="Q111" s="727"/>
      <c r="R111" s="727"/>
      <c r="S111" s="727"/>
      <c r="T111" s="727"/>
      <c r="U111" s="727"/>
      <c r="V111" s="727"/>
      <c r="W111" s="727"/>
      <c r="X111" s="727"/>
      <c r="Y111" s="727"/>
      <c r="Z111" s="727"/>
      <c r="AA111" s="728"/>
      <c r="AB111" s="906"/>
      <c r="AC111" s="907"/>
      <c r="AD111" s="907"/>
      <c r="AE111" s="907"/>
      <c r="AF111" s="907"/>
      <c r="AG111" s="907"/>
      <c r="AH111" s="907"/>
      <c r="AI111" s="907"/>
      <c r="AJ111" s="907"/>
      <c r="AK111" s="907"/>
      <c r="AL111" s="907"/>
      <c r="AM111" s="907"/>
      <c r="AN111" s="907"/>
      <c r="AO111" s="908"/>
      <c r="AP111" s="915"/>
      <c r="AQ111" s="916"/>
      <c r="AR111" s="916"/>
      <c r="AS111" s="916"/>
      <c r="AT111" s="916"/>
      <c r="AU111" s="916"/>
      <c r="AV111" s="916"/>
      <c r="AW111" s="916"/>
      <c r="AX111" s="916"/>
      <c r="AY111" s="916"/>
      <c r="AZ111" s="916"/>
      <c r="BA111" s="916"/>
      <c r="BB111" s="916"/>
      <c r="BC111" s="916"/>
      <c r="BD111" s="916"/>
      <c r="BE111" s="916"/>
      <c r="BF111" s="916"/>
      <c r="BG111" s="916"/>
      <c r="BH111" s="916"/>
      <c r="BI111" s="916"/>
      <c r="BJ111" s="916"/>
      <c r="BK111" s="916"/>
      <c r="BL111" s="916"/>
      <c r="BM111" s="916"/>
      <c r="BN111" s="916"/>
      <c r="BO111" s="916"/>
      <c r="BP111" s="916"/>
      <c r="BQ111" s="916"/>
      <c r="BR111" s="916"/>
      <c r="BS111" s="916"/>
      <c r="BT111" s="916"/>
      <c r="BU111" s="916"/>
      <c r="BV111" s="916"/>
      <c r="BW111" s="916"/>
      <c r="BX111" s="916"/>
      <c r="BY111" s="916"/>
      <c r="BZ111" s="916"/>
      <c r="CA111" s="916"/>
      <c r="CB111" s="917"/>
      <c r="CC111" s="279"/>
      <c r="DG111" s="10"/>
      <c r="DH111" s="48"/>
      <c r="DI111" s="48"/>
      <c r="DJ111" s="48"/>
      <c r="DL111" s="10"/>
      <c r="DM111" s="9"/>
      <c r="DN111" s="28"/>
      <c r="DO111" s="9"/>
      <c r="DP111" s="9"/>
      <c r="DQ111" s="9"/>
      <c r="DR111" s="9"/>
    </row>
    <row r="112" spans="2:122" ht="11.25" customHeight="1">
      <c r="B112" s="205"/>
      <c r="C112" s="729"/>
      <c r="D112" s="730"/>
      <c r="E112" s="730"/>
      <c r="F112" s="730"/>
      <c r="G112" s="730"/>
      <c r="H112" s="730"/>
      <c r="I112" s="730"/>
      <c r="J112" s="730"/>
      <c r="K112" s="730"/>
      <c r="L112" s="730"/>
      <c r="M112" s="730"/>
      <c r="N112" s="730"/>
      <c r="O112" s="730"/>
      <c r="P112" s="730"/>
      <c r="Q112" s="730"/>
      <c r="R112" s="730"/>
      <c r="S112" s="730"/>
      <c r="T112" s="730"/>
      <c r="U112" s="730"/>
      <c r="V112" s="730"/>
      <c r="W112" s="730"/>
      <c r="X112" s="730"/>
      <c r="Y112" s="730"/>
      <c r="Z112" s="730"/>
      <c r="AA112" s="731"/>
      <c r="AB112" s="909"/>
      <c r="AC112" s="910"/>
      <c r="AD112" s="910"/>
      <c r="AE112" s="910"/>
      <c r="AF112" s="910"/>
      <c r="AG112" s="910"/>
      <c r="AH112" s="910"/>
      <c r="AI112" s="910"/>
      <c r="AJ112" s="910"/>
      <c r="AK112" s="910"/>
      <c r="AL112" s="910"/>
      <c r="AM112" s="910"/>
      <c r="AN112" s="910"/>
      <c r="AO112" s="911"/>
      <c r="AP112" s="918"/>
      <c r="AQ112" s="919"/>
      <c r="AR112" s="919"/>
      <c r="AS112" s="919"/>
      <c r="AT112" s="919"/>
      <c r="AU112" s="919"/>
      <c r="AV112" s="919"/>
      <c r="AW112" s="919"/>
      <c r="AX112" s="919"/>
      <c r="AY112" s="919"/>
      <c r="AZ112" s="919"/>
      <c r="BA112" s="919"/>
      <c r="BB112" s="919"/>
      <c r="BC112" s="919"/>
      <c r="BD112" s="919"/>
      <c r="BE112" s="919"/>
      <c r="BF112" s="919"/>
      <c r="BG112" s="919"/>
      <c r="BH112" s="919"/>
      <c r="BI112" s="919"/>
      <c r="BJ112" s="919"/>
      <c r="BK112" s="919"/>
      <c r="BL112" s="919"/>
      <c r="BM112" s="919"/>
      <c r="BN112" s="919"/>
      <c r="BO112" s="919"/>
      <c r="BP112" s="919"/>
      <c r="BQ112" s="919"/>
      <c r="BR112" s="919"/>
      <c r="BS112" s="919"/>
      <c r="BT112" s="919"/>
      <c r="BU112" s="919"/>
      <c r="BV112" s="919"/>
      <c r="BW112" s="919"/>
      <c r="BX112" s="919"/>
      <c r="BY112" s="919"/>
      <c r="BZ112" s="919"/>
      <c r="CA112" s="919"/>
      <c r="CB112" s="920"/>
      <c r="CC112" s="279"/>
      <c r="DG112"/>
      <c r="DH112"/>
      <c r="DI112" s="48"/>
      <c r="DJ112" s="48"/>
      <c r="DL112" s="10"/>
      <c r="DM112" s="9"/>
      <c r="DN112" s="28"/>
      <c r="DO112" s="9"/>
      <c r="DP112" s="9"/>
      <c r="DQ112" s="9"/>
      <c r="DR112" s="9"/>
    </row>
    <row r="113" spans="2:136" ht="11.25" customHeight="1">
      <c r="B113" s="205"/>
      <c r="C113" s="789"/>
      <c r="D113" s="789"/>
      <c r="E113" s="789"/>
      <c r="F113" s="789"/>
      <c r="G113" s="789"/>
      <c r="H113" s="789"/>
      <c r="I113" s="789"/>
      <c r="J113" s="789"/>
      <c r="K113" s="789"/>
      <c r="L113" s="789"/>
      <c r="M113" s="789"/>
      <c r="N113" s="789"/>
      <c r="O113" s="789"/>
      <c r="P113" s="789"/>
      <c r="Q113" s="789"/>
      <c r="R113" s="789"/>
      <c r="S113" s="789"/>
      <c r="T113" s="789"/>
      <c r="U113" s="789"/>
      <c r="V113" s="789"/>
      <c r="W113" s="789"/>
      <c r="X113" s="789"/>
      <c r="Y113" s="789"/>
      <c r="Z113" s="789"/>
      <c r="AA113" s="789"/>
      <c r="AB113" s="789"/>
      <c r="AC113" s="789"/>
      <c r="AD113" s="789"/>
      <c r="AE113" s="789"/>
      <c r="AF113" s="789"/>
      <c r="AG113" s="789"/>
      <c r="AH113" s="789"/>
      <c r="AI113" s="789"/>
      <c r="AJ113" s="789"/>
      <c r="AK113" s="789"/>
      <c r="AL113" s="789"/>
      <c r="AM113" s="789"/>
      <c r="AN113" s="789"/>
      <c r="AO113" s="789"/>
      <c r="AP113" s="789"/>
      <c r="AQ113" s="789"/>
      <c r="AR113" s="789"/>
      <c r="AS113" s="789"/>
      <c r="AT113" s="789"/>
      <c r="AU113" s="789"/>
      <c r="AV113" s="789"/>
      <c r="AW113" s="789"/>
      <c r="AX113" s="789"/>
      <c r="AY113" s="789"/>
      <c r="AZ113" s="789"/>
      <c r="BA113" s="789"/>
      <c r="BB113" s="789"/>
      <c r="BC113" s="789"/>
      <c r="BD113" s="789"/>
      <c r="BE113" s="789"/>
      <c r="BF113" s="789"/>
      <c r="BG113" s="789"/>
      <c r="BH113" s="789"/>
      <c r="BI113" s="789"/>
      <c r="BJ113" s="789"/>
      <c r="BK113" s="789"/>
      <c r="BL113" s="789"/>
      <c r="BM113" s="789"/>
      <c r="BN113" s="789"/>
      <c r="BO113" s="789"/>
      <c r="BP113" s="789"/>
      <c r="BQ113" s="789"/>
      <c r="BR113" s="789"/>
      <c r="BS113" s="789"/>
      <c r="BT113" s="789"/>
      <c r="BU113" s="789"/>
      <c r="BV113" s="789"/>
      <c r="BW113" s="789"/>
      <c r="BX113" s="789"/>
      <c r="BY113" s="789"/>
      <c r="BZ113" s="789"/>
      <c r="CA113" s="789"/>
      <c r="CB113" s="789"/>
      <c r="CC113" s="279"/>
      <c r="DG113"/>
      <c r="DH113"/>
      <c r="DI113" s="48"/>
      <c r="DJ113" s="48"/>
      <c r="DL113" s="10"/>
      <c r="DM113" s="9"/>
      <c r="DN113" s="28"/>
      <c r="DO113" s="9"/>
      <c r="DP113" s="9"/>
      <c r="DQ113" s="9"/>
      <c r="DR113" s="9"/>
    </row>
    <row r="114" spans="2:136" ht="11.25" customHeight="1">
      <c r="C114" s="723" t="str">
        <f>VLOOKUP(2318,Languages!$A$5:$C$1032,Languages!$A$2,FALSE)</f>
        <v>Suspect quantity Brose [pce.]</v>
      </c>
      <c r="D114" s="724"/>
      <c r="E114" s="724"/>
      <c r="F114" s="724"/>
      <c r="G114" s="724"/>
      <c r="H114" s="724"/>
      <c r="I114" s="724"/>
      <c r="J114" s="724"/>
      <c r="K114" s="724"/>
      <c r="L114" s="724"/>
      <c r="M114" s="724"/>
      <c r="N114" s="724"/>
      <c r="O114" s="724"/>
      <c r="P114" s="724"/>
      <c r="Q114" s="725"/>
      <c r="R114" s="770"/>
      <c r="S114" s="771"/>
      <c r="T114" s="771"/>
      <c r="U114" s="771"/>
      <c r="V114" s="771"/>
      <c r="W114" s="771"/>
      <c r="X114" s="771"/>
      <c r="Y114" s="771"/>
      <c r="Z114" s="771"/>
      <c r="AA114" s="771"/>
      <c r="AB114" s="771"/>
      <c r="AC114" s="771"/>
      <c r="AD114" s="771"/>
      <c r="AE114" s="771"/>
      <c r="AF114" s="771"/>
      <c r="AG114" s="771"/>
      <c r="AH114" s="771"/>
      <c r="AI114" s="771"/>
      <c r="AJ114" s="771"/>
      <c r="AK114" s="771"/>
      <c r="AL114" s="771"/>
      <c r="AM114" s="771"/>
      <c r="AN114" s="771"/>
      <c r="AO114" s="772"/>
      <c r="AP114" s="723" t="str">
        <f>VLOOKUP(2322,Languages!$A$5:$C$1032,Languages!$A$2,FALSE)</f>
        <v>NOK - quantity Brose [pce.]</v>
      </c>
      <c r="AQ114" s="724"/>
      <c r="AR114" s="724"/>
      <c r="AS114" s="724"/>
      <c r="AT114" s="724"/>
      <c r="AU114" s="724"/>
      <c r="AV114" s="724"/>
      <c r="AW114" s="724"/>
      <c r="AX114" s="724"/>
      <c r="AY114" s="724"/>
      <c r="AZ114" s="724"/>
      <c r="BA114" s="724"/>
      <c r="BB114" s="724"/>
      <c r="BC114" s="724"/>
      <c r="BD114" s="725"/>
      <c r="BE114" s="770"/>
      <c r="BF114" s="771"/>
      <c r="BG114" s="771"/>
      <c r="BH114" s="771"/>
      <c r="BI114" s="771"/>
      <c r="BJ114" s="771"/>
      <c r="BK114" s="771"/>
      <c r="BL114" s="771"/>
      <c r="BM114" s="771"/>
      <c r="BN114" s="771"/>
      <c r="BO114" s="771"/>
      <c r="BP114" s="771"/>
      <c r="BQ114" s="771"/>
      <c r="BR114" s="771"/>
      <c r="BS114" s="771"/>
      <c r="BT114" s="771"/>
      <c r="BU114" s="771"/>
      <c r="BV114" s="771"/>
      <c r="BW114" s="771"/>
      <c r="BX114" s="771"/>
      <c r="BY114" s="771"/>
      <c r="BZ114" s="771"/>
      <c r="CA114" s="771"/>
      <c r="CB114" s="772"/>
      <c r="DB114" s="6"/>
      <c r="DC114" s="6"/>
      <c r="DD114" s="6"/>
      <c r="DE114" s="6"/>
      <c r="DF114" s="6"/>
      <c r="DI114"/>
      <c r="DJ114"/>
      <c r="DK114"/>
      <c r="DL114"/>
      <c r="DM114"/>
      <c r="DX114" s="5"/>
      <c r="DY114" s="5"/>
      <c r="DZ114" s="5"/>
      <c r="EA114" s="5"/>
      <c r="EB114" s="5"/>
    </row>
    <row r="115" spans="2:136" ht="11.25" customHeight="1">
      <c r="C115" s="729"/>
      <c r="D115" s="730"/>
      <c r="E115" s="730"/>
      <c r="F115" s="730"/>
      <c r="G115" s="730"/>
      <c r="H115" s="730"/>
      <c r="I115" s="730"/>
      <c r="J115" s="730"/>
      <c r="K115" s="730"/>
      <c r="L115" s="730"/>
      <c r="M115" s="730"/>
      <c r="N115" s="730"/>
      <c r="O115" s="730"/>
      <c r="P115" s="730"/>
      <c r="Q115" s="731"/>
      <c r="R115" s="773"/>
      <c r="S115" s="774"/>
      <c r="T115" s="774"/>
      <c r="U115" s="774"/>
      <c r="V115" s="774"/>
      <c r="W115" s="774"/>
      <c r="X115" s="774"/>
      <c r="Y115" s="774"/>
      <c r="Z115" s="774"/>
      <c r="AA115" s="774"/>
      <c r="AB115" s="774"/>
      <c r="AC115" s="774"/>
      <c r="AD115" s="774"/>
      <c r="AE115" s="774"/>
      <c r="AF115" s="774"/>
      <c r="AG115" s="774"/>
      <c r="AH115" s="774"/>
      <c r="AI115" s="774"/>
      <c r="AJ115" s="774"/>
      <c r="AK115" s="774"/>
      <c r="AL115" s="774"/>
      <c r="AM115" s="774"/>
      <c r="AN115" s="774"/>
      <c r="AO115" s="775"/>
      <c r="AP115" s="729"/>
      <c r="AQ115" s="730"/>
      <c r="AR115" s="730"/>
      <c r="AS115" s="730"/>
      <c r="AT115" s="730"/>
      <c r="AU115" s="730"/>
      <c r="AV115" s="730"/>
      <c r="AW115" s="730"/>
      <c r="AX115" s="730"/>
      <c r="AY115" s="730"/>
      <c r="AZ115" s="730"/>
      <c r="BA115" s="730"/>
      <c r="BB115" s="730"/>
      <c r="BC115" s="730"/>
      <c r="BD115" s="731"/>
      <c r="BE115" s="773"/>
      <c r="BF115" s="774"/>
      <c r="BG115" s="774"/>
      <c r="BH115" s="774"/>
      <c r="BI115" s="774"/>
      <c r="BJ115" s="774"/>
      <c r="BK115" s="774"/>
      <c r="BL115" s="774"/>
      <c r="BM115" s="774"/>
      <c r="BN115" s="774"/>
      <c r="BO115" s="774"/>
      <c r="BP115" s="774"/>
      <c r="BQ115" s="774"/>
      <c r="BR115" s="774"/>
      <c r="BS115" s="774"/>
      <c r="BT115" s="774"/>
      <c r="BU115" s="774"/>
      <c r="BV115" s="774"/>
      <c r="BW115" s="774"/>
      <c r="BX115" s="774"/>
      <c r="BY115" s="774"/>
      <c r="BZ115" s="774"/>
      <c r="CA115" s="774"/>
      <c r="CB115" s="775"/>
      <c r="DB115" s="6"/>
      <c r="DC115" s="6"/>
      <c r="DD115" s="6"/>
      <c r="DE115" s="6"/>
      <c r="DF115" s="6"/>
      <c r="DI115"/>
      <c r="DJ115"/>
      <c r="DK115"/>
      <c r="DL115"/>
      <c r="DM115"/>
      <c r="EB115" s="5"/>
    </row>
    <row r="116" spans="2:136" ht="11.25" customHeight="1">
      <c r="C116" s="723" t="str">
        <f>VLOOKUP(2319,Languages!$A$5:$C$1032,Languages!$A$2,FALSE)</f>
        <v>Suspect quantity transport [pce.]</v>
      </c>
      <c r="D116" s="724"/>
      <c r="E116" s="724"/>
      <c r="F116" s="724"/>
      <c r="G116" s="724"/>
      <c r="H116" s="724"/>
      <c r="I116" s="724"/>
      <c r="J116" s="724"/>
      <c r="K116" s="724"/>
      <c r="L116" s="724"/>
      <c r="M116" s="724"/>
      <c r="N116" s="724"/>
      <c r="O116" s="724"/>
      <c r="P116" s="724"/>
      <c r="Q116" s="725"/>
      <c r="R116" s="770"/>
      <c r="S116" s="771"/>
      <c r="T116" s="771"/>
      <c r="U116" s="771"/>
      <c r="V116" s="771"/>
      <c r="W116" s="771"/>
      <c r="X116" s="771"/>
      <c r="Y116" s="771"/>
      <c r="Z116" s="771"/>
      <c r="AA116" s="771"/>
      <c r="AB116" s="771"/>
      <c r="AC116" s="771"/>
      <c r="AD116" s="771"/>
      <c r="AE116" s="771"/>
      <c r="AF116" s="771"/>
      <c r="AG116" s="771"/>
      <c r="AH116" s="771"/>
      <c r="AI116" s="771"/>
      <c r="AJ116" s="771"/>
      <c r="AK116" s="771"/>
      <c r="AL116" s="771"/>
      <c r="AM116" s="771"/>
      <c r="AN116" s="771"/>
      <c r="AO116" s="772"/>
      <c r="AP116" s="723" t="str">
        <f>VLOOKUP(2323,Languages!$A$5:$C$1032,Languages!$A$2,FALSE)</f>
        <v>NOK - quantity transport [pce.]</v>
      </c>
      <c r="AQ116" s="724"/>
      <c r="AR116" s="724"/>
      <c r="AS116" s="724"/>
      <c r="AT116" s="724"/>
      <c r="AU116" s="724"/>
      <c r="AV116" s="724"/>
      <c r="AW116" s="724"/>
      <c r="AX116" s="724"/>
      <c r="AY116" s="724"/>
      <c r="AZ116" s="724"/>
      <c r="BA116" s="724"/>
      <c r="BB116" s="724"/>
      <c r="BC116" s="724"/>
      <c r="BD116" s="725"/>
      <c r="BE116" s="817"/>
      <c r="BF116" s="771"/>
      <c r="BG116" s="771"/>
      <c r="BH116" s="771"/>
      <c r="BI116" s="771"/>
      <c r="BJ116" s="771"/>
      <c r="BK116" s="771"/>
      <c r="BL116" s="771"/>
      <c r="BM116" s="771"/>
      <c r="BN116" s="771"/>
      <c r="BO116" s="771"/>
      <c r="BP116" s="771"/>
      <c r="BQ116" s="771"/>
      <c r="BR116" s="771"/>
      <c r="BS116" s="771"/>
      <c r="BT116" s="771"/>
      <c r="BU116" s="771"/>
      <c r="BV116" s="771"/>
      <c r="BW116" s="771"/>
      <c r="BX116" s="771"/>
      <c r="BY116" s="771"/>
      <c r="BZ116" s="771"/>
      <c r="CA116" s="771"/>
      <c r="CB116" s="772"/>
      <c r="DB116" s="6"/>
      <c r="DC116" s="6"/>
      <c r="DD116" s="6"/>
      <c r="DE116" s="6"/>
      <c r="DF116" s="6"/>
      <c r="DI116"/>
      <c r="DJ116"/>
      <c r="DK116"/>
      <c r="DL116"/>
      <c r="DM116"/>
      <c r="EB116" s="5"/>
    </row>
    <row r="117" spans="2:136" ht="11.25" customHeight="1">
      <c r="C117" s="729"/>
      <c r="D117" s="730"/>
      <c r="E117" s="730"/>
      <c r="F117" s="730"/>
      <c r="G117" s="730"/>
      <c r="H117" s="730"/>
      <c r="I117" s="730"/>
      <c r="J117" s="730"/>
      <c r="K117" s="730"/>
      <c r="L117" s="730"/>
      <c r="M117" s="730"/>
      <c r="N117" s="730"/>
      <c r="O117" s="730"/>
      <c r="P117" s="730"/>
      <c r="Q117" s="731"/>
      <c r="R117" s="773"/>
      <c r="S117" s="774"/>
      <c r="T117" s="774"/>
      <c r="U117" s="774"/>
      <c r="V117" s="774"/>
      <c r="W117" s="774"/>
      <c r="X117" s="774"/>
      <c r="Y117" s="774"/>
      <c r="Z117" s="774"/>
      <c r="AA117" s="774"/>
      <c r="AB117" s="774"/>
      <c r="AC117" s="774"/>
      <c r="AD117" s="774"/>
      <c r="AE117" s="774"/>
      <c r="AF117" s="774"/>
      <c r="AG117" s="774"/>
      <c r="AH117" s="774"/>
      <c r="AI117" s="774"/>
      <c r="AJ117" s="774"/>
      <c r="AK117" s="774"/>
      <c r="AL117" s="774"/>
      <c r="AM117" s="774"/>
      <c r="AN117" s="774"/>
      <c r="AO117" s="775"/>
      <c r="AP117" s="729"/>
      <c r="AQ117" s="730"/>
      <c r="AR117" s="730"/>
      <c r="AS117" s="730"/>
      <c r="AT117" s="730"/>
      <c r="AU117" s="730"/>
      <c r="AV117" s="730"/>
      <c r="AW117" s="730"/>
      <c r="AX117" s="730"/>
      <c r="AY117" s="730"/>
      <c r="AZ117" s="730"/>
      <c r="BA117" s="730"/>
      <c r="BB117" s="730"/>
      <c r="BC117" s="730"/>
      <c r="BD117" s="731"/>
      <c r="BE117" s="773"/>
      <c r="BF117" s="774"/>
      <c r="BG117" s="774"/>
      <c r="BH117" s="774"/>
      <c r="BI117" s="774"/>
      <c r="BJ117" s="774"/>
      <c r="BK117" s="774"/>
      <c r="BL117" s="774"/>
      <c r="BM117" s="774"/>
      <c r="BN117" s="774"/>
      <c r="BO117" s="774"/>
      <c r="BP117" s="774"/>
      <c r="BQ117" s="774"/>
      <c r="BR117" s="774"/>
      <c r="BS117" s="774"/>
      <c r="BT117" s="774"/>
      <c r="BU117" s="774"/>
      <c r="BV117" s="774"/>
      <c r="BW117" s="774"/>
      <c r="BX117" s="774"/>
      <c r="BY117" s="774"/>
      <c r="BZ117" s="774"/>
      <c r="CA117" s="774"/>
      <c r="CB117" s="775"/>
      <c r="DB117" s="6"/>
      <c r="DC117" s="6"/>
      <c r="DD117" s="6"/>
      <c r="DE117" s="6"/>
      <c r="DF117" s="6"/>
      <c r="DI117"/>
      <c r="DJ117"/>
      <c r="DK117"/>
      <c r="DL117"/>
      <c r="DM117"/>
      <c r="EB117" s="5"/>
    </row>
    <row r="118" spans="2:136" ht="11.25" customHeight="1">
      <c r="C118" s="723" t="str">
        <f>VLOOKUP(2320,Languages!$A$5:$C$1032,Languages!$A$2,FALSE)</f>
        <v>Suspect quantity supplier [pce.]</v>
      </c>
      <c r="D118" s="724"/>
      <c r="E118" s="724"/>
      <c r="F118" s="724"/>
      <c r="G118" s="724"/>
      <c r="H118" s="724"/>
      <c r="I118" s="724"/>
      <c r="J118" s="724"/>
      <c r="K118" s="724"/>
      <c r="L118" s="724"/>
      <c r="M118" s="724"/>
      <c r="N118" s="724"/>
      <c r="O118" s="724"/>
      <c r="P118" s="724"/>
      <c r="Q118" s="725"/>
      <c r="R118" s="770"/>
      <c r="S118" s="771"/>
      <c r="T118" s="771"/>
      <c r="U118" s="771"/>
      <c r="V118" s="771"/>
      <c r="W118" s="771"/>
      <c r="X118" s="771"/>
      <c r="Y118" s="771"/>
      <c r="Z118" s="771"/>
      <c r="AA118" s="771"/>
      <c r="AB118" s="771"/>
      <c r="AC118" s="771"/>
      <c r="AD118" s="771"/>
      <c r="AE118" s="771"/>
      <c r="AF118" s="771"/>
      <c r="AG118" s="771"/>
      <c r="AH118" s="771"/>
      <c r="AI118" s="771"/>
      <c r="AJ118" s="771"/>
      <c r="AK118" s="771"/>
      <c r="AL118" s="771"/>
      <c r="AM118" s="771"/>
      <c r="AN118" s="771"/>
      <c r="AO118" s="772"/>
      <c r="AP118" s="723" t="str">
        <f>VLOOKUP(2324,Languages!$A$5:$C$1032,Languages!$A$2,FALSE)</f>
        <v>NOK - quantity supplier [pce.]</v>
      </c>
      <c r="AQ118" s="724"/>
      <c r="AR118" s="724"/>
      <c r="AS118" s="724"/>
      <c r="AT118" s="724"/>
      <c r="AU118" s="724"/>
      <c r="AV118" s="724"/>
      <c r="AW118" s="724"/>
      <c r="AX118" s="724"/>
      <c r="AY118" s="724"/>
      <c r="AZ118" s="724"/>
      <c r="BA118" s="724"/>
      <c r="BB118" s="724"/>
      <c r="BC118" s="724"/>
      <c r="BD118" s="725"/>
      <c r="BE118" s="770"/>
      <c r="BF118" s="771"/>
      <c r="BG118" s="771"/>
      <c r="BH118" s="771"/>
      <c r="BI118" s="771"/>
      <c r="BJ118" s="771"/>
      <c r="BK118" s="771"/>
      <c r="BL118" s="771"/>
      <c r="BM118" s="771"/>
      <c r="BN118" s="771"/>
      <c r="BO118" s="771"/>
      <c r="BP118" s="771"/>
      <c r="BQ118" s="771"/>
      <c r="BR118" s="771"/>
      <c r="BS118" s="771"/>
      <c r="BT118" s="771"/>
      <c r="BU118" s="771"/>
      <c r="BV118" s="771"/>
      <c r="BW118" s="771"/>
      <c r="BX118" s="771"/>
      <c r="BY118" s="771"/>
      <c r="BZ118" s="771"/>
      <c r="CA118" s="771"/>
      <c r="CB118" s="772"/>
      <c r="DB118" s="6"/>
      <c r="DC118" s="6"/>
      <c r="DD118" s="6"/>
      <c r="DE118" s="6"/>
      <c r="DF118" s="6"/>
      <c r="DI118"/>
      <c r="DJ118"/>
      <c r="DK118"/>
      <c r="DL118"/>
      <c r="DM118"/>
      <c r="EB118" s="5"/>
    </row>
    <row r="119" spans="2:136" ht="11.25" customHeight="1">
      <c r="C119" s="729"/>
      <c r="D119" s="730"/>
      <c r="E119" s="730"/>
      <c r="F119" s="730"/>
      <c r="G119" s="730"/>
      <c r="H119" s="730"/>
      <c r="I119" s="730"/>
      <c r="J119" s="730"/>
      <c r="K119" s="730"/>
      <c r="L119" s="730"/>
      <c r="M119" s="730"/>
      <c r="N119" s="730"/>
      <c r="O119" s="730"/>
      <c r="P119" s="730"/>
      <c r="Q119" s="731"/>
      <c r="R119" s="773"/>
      <c r="S119" s="774"/>
      <c r="T119" s="774"/>
      <c r="U119" s="774"/>
      <c r="V119" s="774"/>
      <c r="W119" s="774"/>
      <c r="X119" s="774"/>
      <c r="Y119" s="774"/>
      <c r="Z119" s="774"/>
      <c r="AA119" s="774"/>
      <c r="AB119" s="774"/>
      <c r="AC119" s="774"/>
      <c r="AD119" s="774"/>
      <c r="AE119" s="774"/>
      <c r="AF119" s="774"/>
      <c r="AG119" s="774"/>
      <c r="AH119" s="774"/>
      <c r="AI119" s="774"/>
      <c r="AJ119" s="774"/>
      <c r="AK119" s="774"/>
      <c r="AL119" s="774"/>
      <c r="AM119" s="774"/>
      <c r="AN119" s="774"/>
      <c r="AO119" s="775"/>
      <c r="AP119" s="729"/>
      <c r="AQ119" s="730"/>
      <c r="AR119" s="730"/>
      <c r="AS119" s="730"/>
      <c r="AT119" s="730"/>
      <c r="AU119" s="730"/>
      <c r="AV119" s="730"/>
      <c r="AW119" s="730"/>
      <c r="AX119" s="730"/>
      <c r="AY119" s="730"/>
      <c r="AZ119" s="730"/>
      <c r="BA119" s="730"/>
      <c r="BB119" s="730"/>
      <c r="BC119" s="730"/>
      <c r="BD119" s="731"/>
      <c r="BE119" s="773"/>
      <c r="BF119" s="774"/>
      <c r="BG119" s="774"/>
      <c r="BH119" s="774"/>
      <c r="BI119" s="774"/>
      <c r="BJ119" s="774"/>
      <c r="BK119" s="774"/>
      <c r="BL119" s="774"/>
      <c r="BM119" s="774"/>
      <c r="BN119" s="774"/>
      <c r="BO119" s="774"/>
      <c r="BP119" s="774"/>
      <c r="BQ119" s="774"/>
      <c r="BR119" s="774"/>
      <c r="BS119" s="774"/>
      <c r="BT119" s="774"/>
      <c r="BU119" s="774"/>
      <c r="BV119" s="774"/>
      <c r="BW119" s="774"/>
      <c r="BX119" s="774"/>
      <c r="BY119" s="774"/>
      <c r="BZ119" s="774"/>
      <c r="CA119" s="774"/>
      <c r="CB119" s="775"/>
      <c r="DB119" s="6"/>
      <c r="DC119" s="6"/>
      <c r="DD119" s="6"/>
      <c r="DE119" s="6"/>
      <c r="DF119" s="6"/>
      <c r="DI119"/>
      <c r="DJ119"/>
      <c r="DK119"/>
      <c r="DL119"/>
      <c r="DM119"/>
      <c r="EB119" s="5"/>
    </row>
    <row r="120" spans="2:136" ht="11.25" customHeight="1">
      <c r="C120" s="723" t="str">
        <f>VLOOKUP(2321,Languages!$A$5:$C$1032,Languages!$A$2,FALSE)</f>
        <v>Suspect quantity OEM [pce.]</v>
      </c>
      <c r="D120" s="724"/>
      <c r="E120" s="724"/>
      <c r="F120" s="724"/>
      <c r="G120" s="724"/>
      <c r="H120" s="724"/>
      <c r="I120" s="724"/>
      <c r="J120" s="724"/>
      <c r="K120" s="724"/>
      <c r="L120" s="724"/>
      <c r="M120" s="724"/>
      <c r="N120" s="724"/>
      <c r="O120" s="724"/>
      <c r="P120" s="724"/>
      <c r="Q120" s="725"/>
      <c r="R120" s="770"/>
      <c r="S120" s="771"/>
      <c r="T120" s="771"/>
      <c r="U120" s="771"/>
      <c r="V120" s="771"/>
      <c r="W120" s="771"/>
      <c r="X120" s="771"/>
      <c r="Y120" s="771"/>
      <c r="Z120" s="771"/>
      <c r="AA120" s="771"/>
      <c r="AB120" s="771"/>
      <c r="AC120" s="771"/>
      <c r="AD120" s="771"/>
      <c r="AE120" s="771"/>
      <c r="AF120" s="771"/>
      <c r="AG120" s="771"/>
      <c r="AH120" s="771"/>
      <c r="AI120" s="771"/>
      <c r="AJ120" s="771"/>
      <c r="AK120" s="771"/>
      <c r="AL120" s="771"/>
      <c r="AM120" s="771"/>
      <c r="AN120" s="771"/>
      <c r="AO120" s="772"/>
      <c r="AP120" s="723" t="str">
        <f>VLOOKUP(2325,Languages!$A$5:$C$1032,Languages!$A$2,FALSE)</f>
        <v>NOK - quantity OEM [pce.]</v>
      </c>
      <c r="AQ120" s="724"/>
      <c r="AR120" s="724"/>
      <c r="AS120" s="724"/>
      <c r="AT120" s="724"/>
      <c r="AU120" s="724"/>
      <c r="AV120" s="724"/>
      <c r="AW120" s="724"/>
      <c r="AX120" s="724"/>
      <c r="AY120" s="724"/>
      <c r="AZ120" s="724"/>
      <c r="BA120" s="724"/>
      <c r="BB120" s="724"/>
      <c r="BC120" s="724"/>
      <c r="BD120" s="725"/>
      <c r="BE120" s="770"/>
      <c r="BF120" s="771"/>
      <c r="BG120" s="771"/>
      <c r="BH120" s="771"/>
      <c r="BI120" s="771"/>
      <c r="BJ120" s="771"/>
      <c r="BK120" s="771"/>
      <c r="BL120" s="771"/>
      <c r="BM120" s="771"/>
      <c r="BN120" s="771"/>
      <c r="BO120" s="771"/>
      <c r="BP120" s="771"/>
      <c r="BQ120" s="771"/>
      <c r="BR120" s="771"/>
      <c r="BS120" s="771"/>
      <c r="BT120" s="771"/>
      <c r="BU120" s="771"/>
      <c r="BV120" s="771"/>
      <c r="BW120" s="771"/>
      <c r="BX120" s="771"/>
      <c r="BY120" s="771"/>
      <c r="BZ120" s="771"/>
      <c r="CA120" s="771"/>
      <c r="CB120" s="772"/>
      <c r="DB120" s="6"/>
      <c r="DC120" s="6"/>
      <c r="DD120" s="6"/>
      <c r="DE120" s="6"/>
      <c r="DF120" s="6"/>
      <c r="DI120"/>
      <c r="DJ120"/>
      <c r="DK120"/>
      <c r="DL120"/>
      <c r="DM120"/>
      <c r="EB120" s="5"/>
    </row>
    <row r="121" spans="2:136" ht="11.25" customHeight="1">
      <c r="C121" s="729"/>
      <c r="D121" s="730"/>
      <c r="E121" s="730"/>
      <c r="F121" s="730"/>
      <c r="G121" s="730"/>
      <c r="H121" s="730"/>
      <c r="I121" s="730"/>
      <c r="J121" s="730"/>
      <c r="K121" s="730"/>
      <c r="L121" s="730"/>
      <c r="M121" s="730"/>
      <c r="N121" s="730"/>
      <c r="O121" s="730"/>
      <c r="P121" s="730"/>
      <c r="Q121" s="731"/>
      <c r="R121" s="773"/>
      <c r="S121" s="774"/>
      <c r="T121" s="774"/>
      <c r="U121" s="774"/>
      <c r="V121" s="774"/>
      <c r="W121" s="774"/>
      <c r="X121" s="774"/>
      <c r="Y121" s="774"/>
      <c r="Z121" s="774"/>
      <c r="AA121" s="774"/>
      <c r="AB121" s="774"/>
      <c r="AC121" s="774"/>
      <c r="AD121" s="774"/>
      <c r="AE121" s="774"/>
      <c r="AF121" s="774"/>
      <c r="AG121" s="774"/>
      <c r="AH121" s="774"/>
      <c r="AI121" s="774"/>
      <c r="AJ121" s="774"/>
      <c r="AK121" s="774"/>
      <c r="AL121" s="774"/>
      <c r="AM121" s="774"/>
      <c r="AN121" s="774"/>
      <c r="AO121" s="775"/>
      <c r="AP121" s="729"/>
      <c r="AQ121" s="730"/>
      <c r="AR121" s="730"/>
      <c r="AS121" s="730"/>
      <c r="AT121" s="730"/>
      <c r="AU121" s="730"/>
      <c r="AV121" s="730"/>
      <c r="AW121" s="730"/>
      <c r="AX121" s="730"/>
      <c r="AY121" s="730"/>
      <c r="AZ121" s="730"/>
      <c r="BA121" s="730"/>
      <c r="BB121" s="730"/>
      <c r="BC121" s="730"/>
      <c r="BD121" s="731"/>
      <c r="BE121" s="773"/>
      <c r="BF121" s="774"/>
      <c r="BG121" s="774"/>
      <c r="BH121" s="774"/>
      <c r="BI121" s="774"/>
      <c r="BJ121" s="774"/>
      <c r="BK121" s="774"/>
      <c r="BL121" s="774"/>
      <c r="BM121" s="774"/>
      <c r="BN121" s="774"/>
      <c r="BO121" s="774"/>
      <c r="BP121" s="774"/>
      <c r="BQ121" s="774"/>
      <c r="BR121" s="774"/>
      <c r="BS121" s="774"/>
      <c r="BT121" s="774"/>
      <c r="BU121" s="774"/>
      <c r="BV121" s="774"/>
      <c r="BW121" s="774"/>
      <c r="BX121" s="774"/>
      <c r="BY121" s="774"/>
      <c r="BZ121" s="774"/>
      <c r="CA121" s="774"/>
      <c r="CB121" s="775"/>
      <c r="DB121" s="6"/>
      <c r="DC121" s="6"/>
      <c r="DD121" s="6"/>
      <c r="DE121" s="6"/>
      <c r="DF121" s="6"/>
      <c r="DI121"/>
      <c r="DJ121"/>
      <c r="DK121"/>
      <c r="DL121"/>
      <c r="DM121"/>
      <c r="EB121" s="5"/>
    </row>
    <row r="122" spans="2:136" s="6" customFormat="1" ht="11.25" customHeight="1">
      <c r="B122" s="205"/>
      <c r="C122" s="786"/>
      <c r="D122" s="786"/>
      <c r="E122" s="786"/>
      <c r="F122" s="786"/>
      <c r="G122" s="786"/>
      <c r="H122" s="786"/>
      <c r="I122" s="786"/>
      <c r="J122" s="786"/>
      <c r="K122" s="786"/>
      <c r="L122" s="786"/>
      <c r="M122" s="786"/>
      <c r="N122" s="786"/>
      <c r="O122" s="786"/>
      <c r="P122" s="786"/>
      <c r="Q122" s="786"/>
      <c r="R122" s="786"/>
      <c r="S122" s="786"/>
      <c r="T122" s="786"/>
      <c r="U122" s="786"/>
      <c r="V122" s="786"/>
      <c r="W122" s="786"/>
      <c r="X122" s="786"/>
      <c r="Y122" s="786"/>
      <c r="Z122" s="786"/>
      <c r="AA122" s="786"/>
      <c r="AB122" s="786"/>
      <c r="AC122" s="786"/>
      <c r="AD122" s="786"/>
      <c r="AE122" s="786"/>
      <c r="AF122" s="786"/>
      <c r="AG122" s="786"/>
      <c r="AH122" s="786"/>
      <c r="AI122" s="786"/>
      <c r="AJ122" s="786"/>
      <c r="AK122" s="786"/>
      <c r="AL122" s="786"/>
      <c r="AM122" s="786"/>
      <c r="AN122" s="786"/>
      <c r="AO122" s="786"/>
      <c r="AP122" s="786"/>
      <c r="AQ122" s="786"/>
      <c r="AR122" s="786"/>
      <c r="AS122" s="786"/>
      <c r="AT122" s="786"/>
      <c r="AU122" s="786"/>
      <c r="AV122" s="786"/>
      <c r="AW122" s="786"/>
      <c r="AX122" s="786"/>
      <c r="AY122" s="786"/>
      <c r="AZ122" s="786"/>
      <c r="BA122" s="786"/>
      <c r="BB122" s="786"/>
      <c r="BC122" s="786"/>
      <c r="BD122" s="786"/>
      <c r="BE122" s="786"/>
      <c r="BF122" s="786"/>
      <c r="BG122" s="786"/>
      <c r="BH122" s="786"/>
      <c r="BI122" s="786"/>
      <c r="BJ122" s="786"/>
      <c r="BK122" s="786"/>
      <c r="BL122" s="786"/>
      <c r="BM122" s="786"/>
      <c r="BN122" s="786"/>
      <c r="BO122" s="786"/>
      <c r="BP122" s="786"/>
      <c r="BQ122" s="786"/>
      <c r="BR122" s="786"/>
      <c r="BS122" s="786"/>
      <c r="BT122" s="786"/>
      <c r="BU122" s="786"/>
      <c r="BV122" s="786"/>
      <c r="BW122" s="786"/>
      <c r="BX122" s="786"/>
      <c r="BY122" s="786"/>
      <c r="BZ122" s="786"/>
      <c r="CA122" s="786"/>
      <c r="CB122" s="786"/>
      <c r="CC122" s="396"/>
      <c r="CD122" s="323"/>
      <c r="CE122" s="323"/>
      <c r="CF122" s="323"/>
      <c r="CG122" s="323"/>
      <c r="CH122" s="323"/>
      <c r="CI122" s="323"/>
      <c r="CJ122" s="323"/>
      <c r="CK122" s="323"/>
      <c r="CL122" s="323"/>
      <c r="CM122" s="323"/>
      <c r="CN122" s="323"/>
      <c r="CO122" s="323"/>
      <c r="CP122" s="323"/>
      <c r="CQ122" s="323"/>
      <c r="CR122" s="323"/>
      <c r="CS122" s="323"/>
      <c r="CT122" s="323"/>
      <c r="CU122"/>
      <c r="CV122"/>
      <c r="CW122"/>
      <c r="CX122"/>
      <c r="CY122"/>
      <c r="CZ122"/>
      <c r="DA122"/>
      <c r="DI122"/>
      <c r="DJ122"/>
      <c r="DK122"/>
      <c r="DL122"/>
      <c r="DM122"/>
      <c r="DN122"/>
      <c r="DO122"/>
      <c r="DP122"/>
      <c r="DQ122"/>
      <c r="DR122"/>
      <c r="DS122"/>
      <c r="DT122"/>
      <c r="DU122"/>
      <c r="DV122"/>
      <c r="DW122"/>
      <c r="DX122"/>
      <c r="DY122"/>
      <c r="DZ122"/>
      <c r="EA122"/>
      <c r="EB122" s="5"/>
      <c r="EC122"/>
      <c r="ED122"/>
      <c r="EE122"/>
      <c r="EF122"/>
    </row>
    <row r="123" spans="2:136" s="6" customFormat="1" ht="11.25" customHeight="1" thickBot="1">
      <c r="B123" s="205"/>
      <c r="C123" s="787"/>
      <c r="D123" s="787"/>
      <c r="E123" s="787"/>
      <c r="F123" s="787"/>
      <c r="G123" s="787"/>
      <c r="H123" s="787"/>
      <c r="I123" s="787"/>
      <c r="J123" s="787"/>
      <c r="K123" s="787"/>
      <c r="L123" s="787"/>
      <c r="M123" s="787"/>
      <c r="N123" s="787"/>
      <c r="O123" s="787"/>
      <c r="P123" s="787"/>
      <c r="Q123" s="787"/>
      <c r="R123" s="787"/>
      <c r="S123" s="787"/>
      <c r="T123" s="787"/>
      <c r="U123" s="787"/>
      <c r="V123" s="787"/>
      <c r="W123" s="787"/>
      <c r="X123" s="787"/>
      <c r="Y123" s="787"/>
      <c r="Z123" s="787"/>
      <c r="AA123" s="787"/>
      <c r="AB123" s="787"/>
      <c r="AC123" s="787"/>
      <c r="AD123" s="787"/>
      <c r="AE123" s="787"/>
      <c r="AF123" s="787"/>
      <c r="AG123" s="787"/>
      <c r="AH123" s="787"/>
      <c r="AI123" s="787"/>
      <c r="AJ123" s="787"/>
      <c r="AK123" s="787"/>
      <c r="AL123" s="787"/>
      <c r="AM123" s="787"/>
      <c r="AN123" s="787"/>
      <c r="AO123" s="787"/>
      <c r="AP123" s="787"/>
      <c r="AQ123" s="787"/>
      <c r="AR123" s="787"/>
      <c r="AS123" s="787"/>
      <c r="AT123" s="787"/>
      <c r="AU123" s="787"/>
      <c r="AV123" s="787"/>
      <c r="AW123" s="787"/>
      <c r="AX123" s="787"/>
      <c r="AY123" s="787"/>
      <c r="AZ123" s="787"/>
      <c r="BA123" s="787"/>
      <c r="BB123" s="787"/>
      <c r="BC123" s="787"/>
      <c r="BD123" s="787"/>
      <c r="BE123" s="787"/>
      <c r="BF123" s="787"/>
      <c r="BG123" s="787"/>
      <c r="BH123" s="787"/>
      <c r="BI123" s="787"/>
      <c r="BJ123" s="787"/>
      <c r="BK123" s="787"/>
      <c r="BL123" s="787"/>
      <c r="BM123" s="787"/>
      <c r="BN123" s="787"/>
      <c r="BO123" s="787"/>
      <c r="BP123" s="787"/>
      <c r="BQ123" s="787"/>
      <c r="BR123" s="787"/>
      <c r="BS123" s="787"/>
      <c r="BT123" s="787"/>
      <c r="BU123" s="787"/>
      <c r="BV123" s="787"/>
      <c r="BW123" s="787"/>
      <c r="BX123" s="787"/>
      <c r="BY123" s="787"/>
      <c r="BZ123" s="787"/>
      <c r="CA123" s="787"/>
      <c r="CB123" s="787"/>
      <c r="CC123" s="396"/>
      <c r="CD123" s="323"/>
      <c r="CE123" s="323"/>
      <c r="CF123" s="323"/>
      <c r="CG123" s="323"/>
      <c r="CH123" s="323"/>
      <c r="CI123" s="323"/>
      <c r="CJ123" s="323"/>
      <c r="CK123" s="323"/>
      <c r="CL123" s="323"/>
      <c r="CM123" s="323"/>
      <c r="CN123" s="323"/>
      <c r="CO123" s="323"/>
      <c r="CP123" s="323"/>
      <c r="CQ123" s="323"/>
      <c r="CR123" s="323"/>
      <c r="CS123" s="323"/>
      <c r="CT123" s="323"/>
      <c r="CU123"/>
      <c r="CV123"/>
      <c r="CW123"/>
      <c r="CX123"/>
      <c r="CY123"/>
      <c r="CZ123"/>
      <c r="DA123"/>
      <c r="DI123"/>
      <c r="DJ123"/>
      <c r="DK123"/>
      <c r="DL123"/>
      <c r="DM123"/>
      <c r="DN123"/>
      <c r="DO123"/>
      <c r="DP123"/>
      <c r="DQ123"/>
      <c r="DR123"/>
      <c r="DS123"/>
      <c r="DT123"/>
      <c r="DU123"/>
      <c r="DV123"/>
      <c r="DW123"/>
      <c r="DX123"/>
      <c r="DY123"/>
      <c r="DZ123"/>
      <c r="EA123"/>
      <c r="EB123" s="5"/>
      <c r="EC123"/>
      <c r="ED123"/>
      <c r="EE123"/>
      <c r="EF123"/>
    </row>
    <row r="124" spans="2:136" ht="11.25" customHeight="1">
      <c r="B124" s="205"/>
      <c r="C124" s="655" t="s">
        <v>26</v>
      </c>
      <c r="D124" s="656"/>
      <c r="E124" s="656"/>
      <c r="F124" s="656"/>
      <c r="G124" s="656"/>
      <c r="H124" s="656"/>
      <c r="I124" s="656"/>
      <c r="J124" s="656"/>
      <c r="K124" s="656"/>
      <c r="L124" s="656"/>
      <c r="M124" s="656"/>
      <c r="N124" s="656"/>
      <c r="O124" s="656"/>
      <c r="P124" s="656"/>
      <c r="Q124" s="656"/>
      <c r="R124" s="661" t="str">
        <f>VLOOKUP(2400,Languages!$A$5:$C$1032,Languages!$A$2,FALSE)</f>
        <v>Containment actions</v>
      </c>
      <c r="S124" s="661"/>
      <c r="T124" s="661"/>
      <c r="U124" s="661"/>
      <c r="V124" s="661"/>
      <c r="W124" s="661"/>
      <c r="X124" s="661"/>
      <c r="Y124" s="661"/>
      <c r="Z124" s="661"/>
      <c r="AA124" s="661"/>
      <c r="AB124" s="661"/>
      <c r="AC124" s="661"/>
      <c r="AD124" s="661"/>
      <c r="AE124" s="661"/>
      <c r="AF124" s="661"/>
      <c r="AG124" s="661"/>
      <c r="AH124" s="661"/>
      <c r="AI124" s="661"/>
      <c r="AJ124" s="661"/>
      <c r="AK124" s="661"/>
      <c r="AL124" s="661"/>
      <c r="AM124" s="661"/>
      <c r="AN124" s="661"/>
      <c r="AO124" s="661"/>
      <c r="AP124" s="661"/>
      <c r="AQ124" s="661"/>
      <c r="AR124" s="661"/>
      <c r="AS124" s="661"/>
      <c r="AT124" s="661"/>
      <c r="AU124" s="661"/>
      <c r="AV124" s="661"/>
      <c r="AW124" s="661"/>
      <c r="AX124" s="661"/>
      <c r="AY124" s="661"/>
      <c r="AZ124" s="661"/>
      <c r="BA124" s="661"/>
      <c r="BB124" s="661"/>
      <c r="BC124" s="661"/>
      <c r="BD124" s="661"/>
      <c r="BE124" s="661"/>
      <c r="BF124" s="661"/>
      <c r="BG124" s="661"/>
      <c r="BH124" s="661"/>
      <c r="BI124" s="661"/>
      <c r="BJ124" s="661"/>
      <c r="BK124" s="661"/>
      <c r="BL124" s="661"/>
      <c r="BM124" s="661"/>
      <c r="BN124" s="661"/>
      <c r="BO124" s="661"/>
      <c r="BP124" s="661"/>
      <c r="BQ124" s="661"/>
      <c r="BR124" s="661"/>
      <c r="BS124" s="661"/>
      <c r="BT124" s="661"/>
      <c r="BU124" s="661"/>
      <c r="BV124" s="661"/>
      <c r="BW124" s="661"/>
      <c r="BX124" s="661"/>
      <c r="BY124" s="661"/>
      <c r="BZ124" s="661"/>
      <c r="CA124" s="661"/>
      <c r="CB124" s="662"/>
      <c r="CC124" s="279"/>
      <c r="CE124" s="692" t="str">
        <f>VLOOKUP(2002,Languages!$A$5:$C$1032,Languages!$A$2,FALSE)</f>
        <v>Tool</v>
      </c>
      <c r="CF124" s="693"/>
      <c r="CG124" s="693"/>
      <c r="CH124" s="693"/>
      <c r="CI124" s="693"/>
      <c r="CJ124" s="693"/>
      <c r="CK124" s="693"/>
      <c r="CL124" s="693"/>
      <c r="CM124" s="693"/>
      <c r="CN124" s="693"/>
      <c r="CO124" s="693"/>
      <c r="CP124" s="693"/>
      <c r="CQ124" s="693"/>
      <c r="CR124" s="693"/>
      <c r="CS124" s="694"/>
      <c r="DB124" s="6"/>
      <c r="DC124" s="6"/>
      <c r="DD124" s="6"/>
      <c r="DE124" s="6"/>
      <c r="DF124" s="6"/>
      <c r="DI124"/>
      <c r="DJ124"/>
      <c r="DK124"/>
      <c r="DL124"/>
      <c r="DM124"/>
      <c r="EB124" s="5"/>
    </row>
    <row r="125" spans="2:136" ht="11.25" customHeight="1">
      <c r="B125" s="205"/>
      <c r="C125" s="657"/>
      <c r="D125" s="658"/>
      <c r="E125" s="658"/>
      <c r="F125" s="658"/>
      <c r="G125" s="658"/>
      <c r="H125" s="658"/>
      <c r="I125" s="658"/>
      <c r="J125" s="658"/>
      <c r="K125" s="658"/>
      <c r="L125" s="658"/>
      <c r="M125" s="658"/>
      <c r="N125" s="658"/>
      <c r="O125" s="658"/>
      <c r="P125" s="658"/>
      <c r="Q125" s="658"/>
      <c r="R125" s="663"/>
      <c r="S125" s="663"/>
      <c r="T125" s="663"/>
      <c r="U125" s="663"/>
      <c r="V125" s="663"/>
      <c r="W125" s="663"/>
      <c r="X125" s="663"/>
      <c r="Y125" s="663"/>
      <c r="Z125" s="663"/>
      <c r="AA125" s="663"/>
      <c r="AB125" s="663"/>
      <c r="AC125" s="663"/>
      <c r="AD125" s="663"/>
      <c r="AE125" s="663"/>
      <c r="AF125" s="663"/>
      <c r="AG125" s="663"/>
      <c r="AH125" s="663"/>
      <c r="AI125" s="663"/>
      <c r="AJ125" s="663"/>
      <c r="AK125" s="663"/>
      <c r="AL125" s="663"/>
      <c r="AM125" s="663"/>
      <c r="AN125" s="663"/>
      <c r="AO125" s="663"/>
      <c r="AP125" s="663"/>
      <c r="AQ125" s="663"/>
      <c r="AR125" s="663"/>
      <c r="AS125" s="663"/>
      <c r="AT125" s="663"/>
      <c r="AU125" s="663"/>
      <c r="AV125" s="663"/>
      <c r="AW125" s="663"/>
      <c r="AX125" s="663"/>
      <c r="AY125" s="663"/>
      <c r="AZ125" s="663"/>
      <c r="BA125" s="663"/>
      <c r="BB125" s="663"/>
      <c r="BC125" s="663"/>
      <c r="BD125" s="663"/>
      <c r="BE125" s="663"/>
      <c r="BF125" s="663"/>
      <c r="BG125" s="663"/>
      <c r="BH125" s="663"/>
      <c r="BI125" s="663"/>
      <c r="BJ125" s="663"/>
      <c r="BK125" s="663"/>
      <c r="BL125" s="663"/>
      <c r="BM125" s="663"/>
      <c r="BN125" s="663"/>
      <c r="BO125" s="663"/>
      <c r="BP125" s="663"/>
      <c r="BQ125" s="663"/>
      <c r="BR125" s="663"/>
      <c r="BS125" s="663"/>
      <c r="BT125" s="663"/>
      <c r="BU125" s="663"/>
      <c r="BV125" s="663"/>
      <c r="BW125" s="663"/>
      <c r="BX125" s="663"/>
      <c r="BY125" s="663"/>
      <c r="BZ125" s="663"/>
      <c r="CA125" s="663"/>
      <c r="CB125" s="664"/>
      <c r="CC125" s="279"/>
      <c r="CE125" s="695"/>
      <c r="CF125" s="696"/>
      <c r="CG125" s="696"/>
      <c r="CH125" s="696"/>
      <c r="CI125" s="696"/>
      <c r="CJ125" s="696"/>
      <c r="CK125" s="696"/>
      <c r="CL125" s="696"/>
      <c r="CM125" s="696"/>
      <c r="CN125" s="696"/>
      <c r="CO125" s="696"/>
      <c r="CP125" s="696"/>
      <c r="CQ125" s="696"/>
      <c r="CR125" s="696"/>
      <c r="CS125" s="697"/>
      <c r="DB125" s="6"/>
      <c r="DC125" s="6"/>
      <c r="DD125" s="6"/>
      <c r="DE125" s="6"/>
      <c r="DF125" s="6"/>
      <c r="DI125"/>
      <c r="DJ125"/>
      <c r="DK125"/>
      <c r="DL125"/>
      <c r="DM125"/>
      <c r="EB125" s="5"/>
    </row>
    <row r="126" spans="2:136" ht="11.25" customHeight="1">
      <c r="B126" s="205"/>
      <c r="C126" s="659"/>
      <c r="D126" s="660"/>
      <c r="E126" s="660"/>
      <c r="F126" s="660"/>
      <c r="G126" s="660"/>
      <c r="H126" s="660"/>
      <c r="I126" s="660"/>
      <c r="J126" s="660"/>
      <c r="K126" s="660"/>
      <c r="L126" s="660"/>
      <c r="M126" s="660"/>
      <c r="N126" s="660"/>
      <c r="O126" s="660"/>
      <c r="P126" s="660"/>
      <c r="Q126" s="660"/>
      <c r="R126" s="665"/>
      <c r="S126" s="665"/>
      <c r="T126" s="665"/>
      <c r="U126" s="665"/>
      <c r="V126" s="665"/>
      <c r="W126" s="665"/>
      <c r="X126" s="665"/>
      <c r="Y126" s="665"/>
      <c r="Z126" s="665"/>
      <c r="AA126" s="665"/>
      <c r="AB126" s="665"/>
      <c r="AC126" s="665"/>
      <c r="AD126" s="665"/>
      <c r="AE126" s="665"/>
      <c r="AF126" s="665"/>
      <c r="AG126" s="665"/>
      <c r="AH126" s="665"/>
      <c r="AI126" s="665"/>
      <c r="AJ126" s="665"/>
      <c r="AK126" s="665"/>
      <c r="AL126" s="665"/>
      <c r="AM126" s="665"/>
      <c r="AN126" s="665"/>
      <c r="AO126" s="665"/>
      <c r="AP126" s="665"/>
      <c r="AQ126" s="665"/>
      <c r="AR126" s="665"/>
      <c r="AS126" s="665"/>
      <c r="AT126" s="665"/>
      <c r="AU126" s="665"/>
      <c r="AV126" s="665"/>
      <c r="AW126" s="665"/>
      <c r="AX126" s="665"/>
      <c r="AY126" s="665"/>
      <c r="AZ126" s="665"/>
      <c r="BA126" s="665"/>
      <c r="BB126" s="665"/>
      <c r="BC126" s="665"/>
      <c r="BD126" s="665"/>
      <c r="BE126" s="665"/>
      <c r="BF126" s="665"/>
      <c r="BG126" s="665"/>
      <c r="BH126" s="665"/>
      <c r="BI126" s="665"/>
      <c r="BJ126" s="665"/>
      <c r="BK126" s="665"/>
      <c r="BL126" s="665"/>
      <c r="BM126" s="665"/>
      <c r="BN126" s="665"/>
      <c r="BO126" s="665"/>
      <c r="BP126" s="665"/>
      <c r="BQ126" s="665"/>
      <c r="BR126" s="665"/>
      <c r="BS126" s="665"/>
      <c r="BT126" s="665"/>
      <c r="BU126" s="665"/>
      <c r="BV126" s="665"/>
      <c r="BW126" s="665"/>
      <c r="BX126" s="665"/>
      <c r="BY126" s="665"/>
      <c r="BZ126" s="665"/>
      <c r="CA126" s="665"/>
      <c r="CB126" s="666"/>
      <c r="CC126" s="279"/>
      <c r="CE126" s="695"/>
      <c r="CF126" s="696"/>
      <c r="CG126" s="696"/>
      <c r="CH126" s="696"/>
      <c r="CI126" s="696"/>
      <c r="CJ126" s="696"/>
      <c r="CK126" s="696"/>
      <c r="CL126" s="696"/>
      <c r="CM126" s="696"/>
      <c r="CN126" s="696"/>
      <c r="CO126" s="696"/>
      <c r="CP126" s="696"/>
      <c r="CQ126" s="696"/>
      <c r="CR126" s="696"/>
      <c r="CS126" s="697"/>
      <c r="DB126" s="6"/>
      <c r="DC126" s="6"/>
      <c r="DD126" s="6"/>
      <c r="DE126" s="6"/>
      <c r="DF126" s="6"/>
      <c r="DI126"/>
      <c r="DJ126"/>
      <c r="DK126"/>
      <c r="DL126"/>
      <c r="DM126"/>
      <c r="EB126" s="5"/>
    </row>
    <row r="127" spans="2:136" ht="11.25" customHeight="1">
      <c r="B127" s="205"/>
      <c r="C127" s="632" t="str">
        <f>VLOOKUP(2401,Languages!$A$5:$C$1032,Languages!$A$2,FALSE)</f>
        <v>Legend</v>
      </c>
      <c r="D127" s="633"/>
      <c r="E127" s="633"/>
      <c r="F127" s="633"/>
      <c r="G127" s="633"/>
      <c r="H127" s="633"/>
      <c r="I127" s="633"/>
      <c r="J127" s="633"/>
      <c r="K127" s="633"/>
      <c r="L127" s="633"/>
      <c r="M127" s="633"/>
      <c r="N127" s="633"/>
      <c r="O127" s="633"/>
      <c r="P127" s="633"/>
      <c r="Q127" s="683" t="str">
        <f>VLOOKUP(2402,Languages!$A$5:$C$1032,Languages!$A$2,FALSE)</f>
        <v>Open</v>
      </c>
      <c r="R127" s="683"/>
      <c r="S127" s="683"/>
      <c r="T127" s="683"/>
      <c r="U127" s="683"/>
      <c r="V127" s="683"/>
      <c r="W127" s="683"/>
      <c r="X127" s="683"/>
      <c r="Y127" s="683"/>
      <c r="Z127" s="684"/>
      <c r="AA127" s="627"/>
      <c r="AB127" s="628"/>
      <c r="AC127" s="627"/>
      <c r="AD127" s="628"/>
      <c r="AE127" s="627"/>
      <c r="AF127" s="628"/>
      <c r="AG127" s="780" t="str">
        <f>VLOOKUP(2403,Languages!$A$5:$C$1032,Languages!$A$2,FALSE)</f>
        <v>Verified / 
in progress</v>
      </c>
      <c r="AH127" s="781"/>
      <c r="AI127" s="781"/>
      <c r="AJ127" s="781"/>
      <c r="AK127" s="781"/>
      <c r="AL127" s="781"/>
      <c r="AM127" s="781"/>
      <c r="AN127" s="781"/>
      <c r="AO127" s="781"/>
      <c r="AP127" s="782"/>
      <c r="AQ127" s="776" t="s">
        <v>318</v>
      </c>
      <c r="AR127" s="777"/>
      <c r="AS127" s="627"/>
      <c r="AT127" s="628"/>
      <c r="AU127" s="627"/>
      <c r="AV127" s="628"/>
      <c r="AW127" s="682" t="str">
        <f>VLOOKUP(2404,Languages!$A$5:$C$1032,Languages!$A$2,FALSE)</f>
        <v>Realized</v>
      </c>
      <c r="AX127" s="683"/>
      <c r="AY127" s="683"/>
      <c r="AZ127" s="683"/>
      <c r="BA127" s="683"/>
      <c r="BB127" s="683"/>
      <c r="BC127" s="683"/>
      <c r="BD127" s="683"/>
      <c r="BE127" s="683"/>
      <c r="BF127" s="684"/>
      <c r="BG127" s="776" t="s">
        <v>318</v>
      </c>
      <c r="BH127" s="777"/>
      <c r="BI127" s="776" t="s">
        <v>318</v>
      </c>
      <c r="BJ127" s="777"/>
      <c r="BK127" s="627"/>
      <c r="BL127" s="628"/>
      <c r="BM127" s="682" t="str">
        <f>VLOOKUP(2405,Languages!$A$5:$C$1032,Languages!$A$2,FALSE)</f>
        <v>Validated</v>
      </c>
      <c r="BN127" s="683"/>
      <c r="BO127" s="683"/>
      <c r="BP127" s="683"/>
      <c r="BQ127" s="683"/>
      <c r="BR127" s="683"/>
      <c r="BS127" s="683"/>
      <c r="BT127" s="683"/>
      <c r="BU127" s="683"/>
      <c r="BV127" s="684"/>
      <c r="BW127" s="776" t="s">
        <v>318</v>
      </c>
      <c r="BX127" s="777"/>
      <c r="BY127" s="776" t="s">
        <v>318</v>
      </c>
      <c r="BZ127" s="777"/>
      <c r="CA127" s="776" t="s">
        <v>318</v>
      </c>
      <c r="CB127" s="777"/>
      <c r="CC127" s="279"/>
      <c r="CE127" s="698"/>
      <c r="CF127" s="699"/>
      <c r="CG127" s="699"/>
      <c r="CH127" s="699"/>
      <c r="CI127" s="699"/>
      <c r="CJ127" s="699"/>
      <c r="CK127" s="699"/>
      <c r="CL127" s="699"/>
      <c r="CM127" s="699"/>
      <c r="CN127" s="699"/>
      <c r="CO127" s="699"/>
      <c r="CP127" s="699"/>
      <c r="CQ127" s="699"/>
      <c r="CR127" s="699"/>
      <c r="CS127" s="700"/>
      <c r="DB127" s="6"/>
      <c r="DC127" s="6"/>
      <c r="DD127" s="6"/>
      <c r="DE127" s="6"/>
      <c r="DF127" s="6"/>
      <c r="DI127"/>
      <c r="DJ127"/>
      <c r="DK127"/>
      <c r="DL127"/>
      <c r="DM127"/>
      <c r="EB127" s="5"/>
    </row>
    <row r="128" spans="2:136" ht="11.25" customHeight="1">
      <c r="B128" s="205"/>
      <c r="C128" s="638"/>
      <c r="D128" s="639"/>
      <c r="E128" s="639"/>
      <c r="F128" s="639"/>
      <c r="G128" s="639"/>
      <c r="H128" s="639"/>
      <c r="I128" s="639"/>
      <c r="J128" s="639"/>
      <c r="K128" s="639"/>
      <c r="L128" s="639"/>
      <c r="M128" s="639"/>
      <c r="N128" s="639"/>
      <c r="O128" s="639"/>
      <c r="P128" s="639"/>
      <c r="Q128" s="686"/>
      <c r="R128" s="686"/>
      <c r="S128" s="686"/>
      <c r="T128" s="686"/>
      <c r="U128" s="686"/>
      <c r="V128" s="686"/>
      <c r="W128" s="686"/>
      <c r="X128" s="686"/>
      <c r="Y128" s="686"/>
      <c r="Z128" s="687"/>
      <c r="AA128" s="688"/>
      <c r="AB128" s="689"/>
      <c r="AC128" s="688"/>
      <c r="AD128" s="689"/>
      <c r="AE128" s="688"/>
      <c r="AF128" s="689"/>
      <c r="AG128" s="783"/>
      <c r="AH128" s="784"/>
      <c r="AI128" s="784"/>
      <c r="AJ128" s="784"/>
      <c r="AK128" s="784"/>
      <c r="AL128" s="784"/>
      <c r="AM128" s="784"/>
      <c r="AN128" s="784"/>
      <c r="AO128" s="784"/>
      <c r="AP128" s="785"/>
      <c r="AQ128" s="778"/>
      <c r="AR128" s="779"/>
      <c r="AS128" s="688"/>
      <c r="AT128" s="689"/>
      <c r="AU128" s="688"/>
      <c r="AV128" s="689"/>
      <c r="AW128" s="685"/>
      <c r="AX128" s="686"/>
      <c r="AY128" s="686"/>
      <c r="AZ128" s="686"/>
      <c r="BA128" s="686"/>
      <c r="BB128" s="686"/>
      <c r="BC128" s="686"/>
      <c r="BD128" s="686"/>
      <c r="BE128" s="686"/>
      <c r="BF128" s="687"/>
      <c r="BG128" s="778"/>
      <c r="BH128" s="779"/>
      <c r="BI128" s="778"/>
      <c r="BJ128" s="779"/>
      <c r="BK128" s="688"/>
      <c r="BL128" s="689"/>
      <c r="BM128" s="685"/>
      <c r="BN128" s="686"/>
      <c r="BO128" s="686"/>
      <c r="BP128" s="686"/>
      <c r="BQ128" s="686"/>
      <c r="BR128" s="686"/>
      <c r="BS128" s="686"/>
      <c r="BT128" s="686"/>
      <c r="BU128" s="686"/>
      <c r="BV128" s="687"/>
      <c r="BW128" s="778"/>
      <c r="BX128" s="779"/>
      <c r="BY128" s="778"/>
      <c r="BZ128" s="779"/>
      <c r="CA128" s="778"/>
      <c r="CB128" s="779"/>
      <c r="CC128" s="279"/>
      <c r="CE128" s="698"/>
      <c r="CF128" s="699"/>
      <c r="CG128" s="699"/>
      <c r="CH128" s="699"/>
      <c r="CI128" s="699"/>
      <c r="CJ128" s="699"/>
      <c r="CK128" s="699"/>
      <c r="CL128" s="699"/>
      <c r="CM128" s="699"/>
      <c r="CN128" s="699"/>
      <c r="CO128" s="699"/>
      <c r="CP128" s="699"/>
      <c r="CQ128" s="699"/>
      <c r="CR128" s="699"/>
      <c r="CS128" s="700"/>
      <c r="DB128" s="6"/>
      <c r="DC128" s="6"/>
      <c r="DD128" s="6"/>
      <c r="DE128" s="6"/>
      <c r="DF128" s="6"/>
      <c r="DI128"/>
      <c r="DJ128"/>
      <c r="DK128"/>
      <c r="DL128"/>
      <c r="DM128"/>
      <c r="EB128" s="5"/>
    </row>
    <row r="129" spans="2:132" ht="11.25" customHeight="1">
      <c r="B129" s="205"/>
      <c r="C129" s="670" t="str">
        <f>VLOOKUP(2406,Languages!$A$5:$C$1032,Languages!$A$2,FALSE)</f>
        <v>Containment action(s) supplier (production, stock, spare parts warehouse, transport, ...)</v>
      </c>
      <c r="D129" s="671"/>
      <c r="E129" s="671"/>
      <c r="F129" s="671"/>
      <c r="G129" s="671"/>
      <c r="H129" s="671"/>
      <c r="I129" s="671"/>
      <c r="J129" s="671"/>
      <c r="K129" s="671"/>
      <c r="L129" s="671"/>
      <c r="M129" s="671"/>
      <c r="N129" s="671"/>
      <c r="O129" s="671"/>
      <c r="P129" s="671"/>
      <c r="Q129" s="671"/>
      <c r="R129" s="671"/>
      <c r="S129" s="671"/>
      <c r="T129" s="671"/>
      <c r="U129" s="671"/>
      <c r="V129" s="671"/>
      <c r="W129" s="671"/>
      <c r="X129" s="671"/>
      <c r="Y129" s="671"/>
      <c r="Z129" s="671"/>
      <c r="AA129" s="671"/>
      <c r="AB129" s="671"/>
      <c r="AC129" s="671"/>
      <c r="AD129" s="671"/>
      <c r="AE129" s="671"/>
      <c r="AF129" s="671"/>
      <c r="AG129" s="671"/>
      <c r="AH129" s="671"/>
      <c r="AI129" s="671"/>
      <c r="AJ129" s="671"/>
      <c r="AK129" s="671"/>
      <c r="AL129" s="671"/>
      <c r="AM129" s="671"/>
      <c r="AN129" s="671"/>
      <c r="AO129" s="671"/>
      <c r="AP129" s="671"/>
      <c r="AQ129" s="671"/>
      <c r="AR129" s="671"/>
      <c r="AS129" s="671"/>
      <c r="AT129" s="671"/>
      <c r="AU129" s="671"/>
      <c r="AV129" s="671"/>
      <c r="AW129" s="671"/>
      <c r="AX129" s="671"/>
      <c r="AY129" s="671"/>
      <c r="AZ129" s="671"/>
      <c r="BA129" s="671"/>
      <c r="BB129" s="671"/>
      <c r="BC129" s="671"/>
      <c r="BD129" s="671"/>
      <c r="BE129" s="671"/>
      <c r="BF129" s="671"/>
      <c r="BG129" s="671"/>
      <c r="BH129" s="671"/>
      <c r="BI129" s="671"/>
      <c r="BJ129" s="671"/>
      <c r="BK129" s="671"/>
      <c r="BL129" s="671"/>
      <c r="BM129" s="671"/>
      <c r="BN129" s="671"/>
      <c r="BO129" s="671"/>
      <c r="BP129" s="671"/>
      <c r="BQ129" s="671"/>
      <c r="BR129" s="671"/>
      <c r="BS129" s="671"/>
      <c r="BT129" s="671"/>
      <c r="BU129" s="671"/>
      <c r="BV129" s="671"/>
      <c r="BW129" s="671"/>
      <c r="BX129" s="671"/>
      <c r="BY129" s="671"/>
      <c r="BZ129" s="671"/>
      <c r="CA129" s="671"/>
      <c r="CB129" s="672"/>
      <c r="CC129" s="279"/>
      <c r="CE129" s="698"/>
      <c r="CF129" s="699"/>
      <c r="CG129" s="699"/>
      <c r="CH129" s="699"/>
      <c r="CI129" s="699"/>
      <c r="CJ129" s="699"/>
      <c r="CK129" s="699"/>
      <c r="CL129" s="699"/>
      <c r="CM129" s="699"/>
      <c r="CN129" s="699"/>
      <c r="CO129" s="699"/>
      <c r="CP129" s="699"/>
      <c r="CQ129" s="699"/>
      <c r="CR129" s="699"/>
      <c r="CS129" s="700"/>
      <c r="DB129" s="6"/>
      <c r="DC129" s="6"/>
      <c r="DD129" s="6"/>
      <c r="DE129" s="6"/>
      <c r="DF129" s="6"/>
      <c r="DI129"/>
      <c r="DJ129"/>
      <c r="DK129"/>
      <c r="DL129"/>
      <c r="DM129"/>
      <c r="EB129" s="5"/>
    </row>
    <row r="130" spans="2:132" ht="11.25" customHeight="1">
      <c r="B130" s="205"/>
      <c r="C130" s="673"/>
      <c r="D130" s="674"/>
      <c r="E130" s="674"/>
      <c r="F130" s="674"/>
      <c r="G130" s="674"/>
      <c r="H130" s="674"/>
      <c r="I130" s="674"/>
      <c r="J130" s="674"/>
      <c r="K130" s="674"/>
      <c r="L130" s="674"/>
      <c r="M130" s="674"/>
      <c r="N130" s="674"/>
      <c r="O130" s="674"/>
      <c r="P130" s="674"/>
      <c r="Q130" s="674"/>
      <c r="R130" s="674"/>
      <c r="S130" s="674"/>
      <c r="T130" s="674"/>
      <c r="U130" s="674"/>
      <c r="V130" s="674"/>
      <c r="W130" s="674"/>
      <c r="X130" s="674"/>
      <c r="Y130" s="674"/>
      <c r="Z130" s="674"/>
      <c r="AA130" s="674"/>
      <c r="AB130" s="674"/>
      <c r="AC130" s="674"/>
      <c r="AD130" s="674"/>
      <c r="AE130" s="674"/>
      <c r="AF130" s="674"/>
      <c r="AG130" s="674"/>
      <c r="AH130" s="674"/>
      <c r="AI130" s="674"/>
      <c r="AJ130" s="674"/>
      <c r="AK130" s="674"/>
      <c r="AL130" s="674"/>
      <c r="AM130" s="674"/>
      <c r="AN130" s="674"/>
      <c r="AO130" s="674"/>
      <c r="AP130" s="674"/>
      <c r="AQ130" s="674"/>
      <c r="AR130" s="674"/>
      <c r="AS130" s="674"/>
      <c r="AT130" s="674"/>
      <c r="AU130" s="674"/>
      <c r="AV130" s="674"/>
      <c r="AW130" s="674"/>
      <c r="AX130" s="674"/>
      <c r="AY130" s="674"/>
      <c r="AZ130" s="674"/>
      <c r="BA130" s="674"/>
      <c r="BB130" s="674"/>
      <c r="BC130" s="674"/>
      <c r="BD130" s="674"/>
      <c r="BE130" s="674"/>
      <c r="BF130" s="674"/>
      <c r="BG130" s="674"/>
      <c r="BH130" s="674"/>
      <c r="BI130" s="674"/>
      <c r="BJ130" s="674"/>
      <c r="BK130" s="674"/>
      <c r="BL130" s="674"/>
      <c r="BM130" s="674"/>
      <c r="BN130" s="674"/>
      <c r="BO130" s="674"/>
      <c r="BP130" s="674"/>
      <c r="BQ130" s="674"/>
      <c r="BR130" s="674"/>
      <c r="BS130" s="674"/>
      <c r="BT130" s="674"/>
      <c r="BU130" s="674"/>
      <c r="BV130" s="674"/>
      <c r="BW130" s="674"/>
      <c r="BX130" s="674"/>
      <c r="BY130" s="674"/>
      <c r="BZ130" s="674"/>
      <c r="CA130" s="674"/>
      <c r="CB130" s="675"/>
      <c r="CC130" s="279"/>
      <c r="CE130" s="698"/>
      <c r="CF130" s="699"/>
      <c r="CG130" s="699"/>
      <c r="CH130" s="699"/>
      <c r="CI130" s="699"/>
      <c r="CJ130" s="699"/>
      <c r="CK130" s="699"/>
      <c r="CL130" s="699"/>
      <c r="CM130" s="699"/>
      <c r="CN130" s="699"/>
      <c r="CO130" s="699"/>
      <c r="CP130" s="699"/>
      <c r="CQ130" s="699"/>
      <c r="CR130" s="699"/>
      <c r="CS130" s="700"/>
      <c r="DB130" s="6"/>
      <c r="DC130" s="6"/>
      <c r="DD130" s="6"/>
      <c r="DE130" s="6"/>
      <c r="DF130" s="6"/>
      <c r="DI130"/>
      <c r="DJ130"/>
      <c r="DK130"/>
      <c r="DL130"/>
      <c r="DM130"/>
      <c r="EB130" s="5"/>
    </row>
    <row r="131" spans="2:132" ht="11.25" customHeight="1">
      <c r="B131" s="279"/>
      <c r="C131" s="632" t="str">
        <f>VLOOKUP(2407,Languages!$A$5:$C$1032,Languages!$A$2,FALSE)</f>
        <v>Actions</v>
      </c>
      <c r="D131" s="633"/>
      <c r="E131" s="633"/>
      <c r="F131" s="633"/>
      <c r="G131" s="633"/>
      <c r="H131" s="633"/>
      <c r="I131" s="633"/>
      <c r="J131" s="633"/>
      <c r="K131" s="633"/>
      <c r="L131" s="633"/>
      <c r="M131" s="633"/>
      <c r="N131" s="633"/>
      <c r="O131" s="633"/>
      <c r="P131" s="633"/>
      <c r="Q131" s="633"/>
      <c r="R131" s="633"/>
      <c r="S131" s="633"/>
      <c r="T131" s="633"/>
      <c r="U131" s="633"/>
      <c r="V131" s="633"/>
      <c r="W131" s="633"/>
      <c r="X131" s="633"/>
      <c r="Y131" s="633"/>
      <c r="Z131" s="633"/>
      <c r="AA131" s="633"/>
      <c r="AB131" s="633"/>
      <c r="AC131" s="633"/>
      <c r="AD131" s="633"/>
      <c r="AE131" s="633"/>
      <c r="AF131" s="633"/>
      <c r="AG131" s="633"/>
      <c r="AH131" s="633"/>
      <c r="AI131" s="634"/>
      <c r="AJ131" s="632" t="str">
        <f>VLOOKUP(2408,Languages!$A$5:$C$1032,Languages!$A$2,FALSE)</f>
        <v>Responsible</v>
      </c>
      <c r="AK131" s="633"/>
      <c r="AL131" s="633"/>
      <c r="AM131" s="633"/>
      <c r="AN131" s="633"/>
      <c r="AO131" s="633"/>
      <c r="AP131" s="634"/>
      <c r="AQ131" s="632" t="str">
        <f>VLOOKUP(2409,Languages!$A$5:$C$1032,Languages!$A$2,FALSE)</f>
        <v>Planned date</v>
      </c>
      <c r="AR131" s="633"/>
      <c r="AS131" s="633"/>
      <c r="AT131" s="633"/>
      <c r="AU131" s="633"/>
      <c r="AV131" s="633"/>
      <c r="AW131" s="634"/>
      <c r="AX131" s="641" t="str">
        <f>VLOOKUP(2410,Languages!$A$5:$C$1032,Languages!$A$2,FALSE)</f>
        <v>Realization date</v>
      </c>
      <c r="AY131" s="642"/>
      <c r="AZ131" s="642"/>
      <c r="BA131" s="642"/>
      <c r="BB131" s="642"/>
      <c r="BC131" s="642"/>
      <c r="BD131" s="643"/>
      <c r="BE131" s="632" t="str">
        <f>VLOOKUP(2411,Languages!$A$5:$C$1032,Languages!$A$2,FALSE)</f>
        <v>Status</v>
      </c>
      <c r="BF131" s="633"/>
      <c r="BG131" s="633"/>
      <c r="BH131" s="633"/>
      <c r="BI131" s="633"/>
      <c r="BJ131" s="634"/>
      <c r="BK131" s="750" t="str">
        <f>VLOOKUP(2412,Languages!$A$5:$C$1032,Languages!$A$2,FALSE)</f>
        <v>Evidence of effectiveness</v>
      </c>
      <c r="BL131" s="751"/>
      <c r="BM131" s="751"/>
      <c r="BN131" s="751"/>
      <c r="BO131" s="751"/>
      <c r="BP131" s="751"/>
      <c r="BQ131" s="751"/>
      <c r="BR131" s="751"/>
      <c r="BS131" s="751"/>
      <c r="BT131" s="751"/>
      <c r="BU131" s="751"/>
      <c r="BV131" s="751"/>
      <c r="BW131" s="751"/>
      <c r="BX131" s="751"/>
      <c r="BY131" s="751"/>
      <c r="BZ131" s="751"/>
      <c r="CA131" s="751"/>
      <c r="CB131" s="752"/>
      <c r="CC131" s="279"/>
      <c r="CE131" s="698"/>
      <c r="CF131" s="699"/>
      <c r="CG131" s="699"/>
      <c r="CH131" s="699"/>
      <c r="CI131" s="699"/>
      <c r="CJ131" s="699"/>
      <c r="CK131" s="699"/>
      <c r="CL131" s="699"/>
      <c r="CM131" s="699"/>
      <c r="CN131" s="699"/>
      <c r="CO131" s="699"/>
      <c r="CP131" s="699"/>
      <c r="CQ131" s="699"/>
      <c r="CR131" s="699"/>
      <c r="CS131" s="700"/>
      <c r="DB131" s="6"/>
      <c r="DC131" s="6"/>
      <c r="DD131" s="6"/>
      <c r="DE131" s="6"/>
      <c r="DF131" s="6"/>
      <c r="DI131"/>
      <c r="DJ131"/>
      <c r="DK131"/>
      <c r="DL131"/>
      <c r="DM131"/>
      <c r="EB131" s="5"/>
    </row>
    <row r="132" spans="2:132" ht="11.25" customHeight="1" thickBot="1">
      <c r="B132" s="279"/>
      <c r="C132" s="635"/>
      <c r="D132" s="636"/>
      <c r="E132" s="636"/>
      <c r="F132" s="636"/>
      <c r="G132" s="636"/>
      <c r="H132" s="636"/>
      <c r="I132" s="636"/>
      <c r="J132" s="636"/>
      <c r="K132" s="636"/>
      <c r="L132" s="636"/>
      <c r="M132" s="636"/>
      <c r="N132" s="636"/>
      <c r="O132" s="636"/>
      <c r="P132" s="636"/>
      <c r="Q132" s="636"/>
      <c r="R132" s="636"/>
      <c r="S132" s="636"/>
      <c r="T132" s="636"/>
      <c r="U132" s="636"/>
      <c r="V132" s="636"/>
      <c r="W132" s="636"/>
      <c r="X132" s="636"/>
      <c r="Y132" s="636"/>
      <c r="Z132" s="636"/>
      <c r="AA132" s="636"/>
      <c r="AB132" s="636"/>
      <c r="AC132" s="636"/>
      <c r="AD132" s="636"/>
      <c r="AE132" s="636"/>
      <c r="AF132" s="636"/>
      <c r="AG132" s="636"/>
      <c r="AH132" s="636"/>
      <c r="AI132" s="637"/>
      <c r="AJ132" s="635"/>
      <c r="AK132" s="636"/>
      <c r="AL132" s="636"/>
      <c r="AM132" s="636"/>
      <c r="AN132" s="636"/>
      <c r="AO132" s="636"/>
      <c r="AP132" s="637"/>
      <c r="AQ132" s="635"/>
      <c r="AR132" s="636"/>
      <c r="AS132" s="636"/>
      <c r="AT132" s="636"/>
      <c r="AU132" s="636"/>
      <c r="AV132" s="636"/>
      <c r="AW132" s="637"/>
      <c r="AX132" s="644"/>
      <c r="AY132" s="645"/>
      <c r="AZ132" s="645"/>
      <c r="BA132" s="645"/>
      <c r="BB132" s="645"/>
      <c r="BC132" s="645"/>
      <c r="BD132" s="646"/>
      <c r="BE132" s="635"/>
      <c r="BF132" s="636"/>
      <c r="BG132" s="636"/>
      <c r="BH132" s="636"/>
      <c r="BI132" s="636"/>
      <c r="BJ132" s="637"/>
      <c r="BK132" s="753"/>
      <c r="BL132" s="754"/>
      <c r="BM132" s="754"/>
      <c r="BN132" s="754"/>
      <c r="BO132" s="754"/>
      <c r="BP132" s="754"/>
      <c r="BQ132" s="754"/>
      <c r="BR132" s="754"/>
      <c r="BS132" s="754"/>
      <c r="BT132" s="754"/>
      <c r="BU132" s="754"/>
      <c r="BV132" s="754"/>
      <c r="BW132" s="754"/>
      <c r="BX132" s="754"/>
      <c r="BY132" s="754"/>
      <c r="BZ132" s="754"/>
      <c r="CA132" s="754"/>
      <c r="CB132" s="755"/>
      <c r="CC132" s="279"/>
      <c r="CE132" s="701"/>
      <c r="CF132" s="702"/>
      <c r="CG132" s="702"/>
      <c r="CH132" s="702"/>
      <c r="CI132" s="702"/>
      <c r="CJ132" s="702"/>
      <c r="CK132" s="702"/>
      <c r="CL132" s="702"/>
      <c r="CM132" s="702"/>
      <c r="CN132" s="702"/>
      <c r="CO132" s="702"/>
      <c r="CP132" s="702"/>
      <c r="CQ132" s="702"/>
      <c r="CR132" s="702"/>
      <c r="CS132" s="703"/>
      <c r="DB132" s="6"/>
      <c r="DC132" s="6"/>
      <c r="DD132" s="6"/>
      <c r="DE132" s="6"/>
      <c r="DF132" s="6"/>
      <c r="DI132"/>
      <c r="DJ132"/>
      <c r="DK132"/>
      <c r="DL132"/>
      <c r="DM132"/>
      <c r="EB132" s="5"/>
    </row>
    <row r="133" spans="2:132" ht="11.25" customHeight="1">
      <c r="B133" s="279"/>
      <c r="C133" s="638"/>
      <c r="D133" s="639"/>
      <c r="E133" s="639"/>
      <c r="F133" s="639"/>
      <c r="G133" s="639"/>
      <c r="H133" s="639"/>
      <c r="I133" s="639"/>
      <c r="J133" s="639"/>
      <c r="K133" s="639"/>
      <c r="L133" s="639"/>
      <c r="M133" s="639"/>
      <c r="N133" s="639"/>
      <c r="O133" s="639"/>
      <c r="P133" s="639"/>
      <c r="Q133" s="639"/>
      <c r="R133" s="639"/>
      <c r="S133" s="639"/>
      <c r="T133" s="639"/>
      <c r="U133" s="639"/>
      <c r="V133" s="639"/>
      <c r="W133" s="639"/>
      <c r="X133" s="639"/>
      <c r="Y133" s="639"/>
      <c r="Z133" s="639"/>
      <c r="AA133" s="639"/>
      <c r="AB133" s="639"/>
      <c r="AC133" s="639"/>
      <c r="AD133" s="639"/>
      <c r="AE133" s="639"/>
      <c r="AF133" s="639"/>
      <c r="AG133" s="639"/>
      <c r="AH133" s="639"/>
      <c r="AI133" s="640"/>
      <c r="AJ133" s="638"/>
      <c r="AK133" s="639"/>
      <c r="AL133" s="639"/>
      <c r="AM133" s="639"/>
      <c r="AN133" s="639"/>
      <c r="AO133" s="639"/>
      <c r="AP133" s="640"/>
      <c r="AQ133" s="638"/>
      <c r="AR133" s="639"/>
      <c r="AS133" s="639"/>
      <c r="AT133" s="639"/>
      <c r="AU133" s="639"/>
      <c r="AV133" s="639"/>
      <c r="AW133" s="640"/>
      <c r="AX133" s="647"/>
      <c r="AY133" s="648"/>
      <c r="AZ133" s="648"/>
      <c r="BA133" s="648"/>
      <c r="BB133" s="648"/>
      <c r="BC133" s="648"/>
      <c r="BD133" s="649"/>
      <c r="BE133" s="638"/>
      <c r="BF133" s="639"/>
      <c r="BG133" s="639"/>
      <c r="BH133" s="639"/>
      <c r="BI133" s="639"/>
      <c r="BJ133" s="640"/>
      <c r="BK133" s="756"/>
      <c r="BL133" s="757"/>
      <c r="BM133" s="757"/>
      <c r="BN133" s="757"/>
      <c r="BO133" s="757"/>
      <c r="BP133" s="757"/>
      <c r="BQ133" s="757"/>
      <c r="BR133" s="757"/>
      <c r="BS133" s="757"/>
      <c r="BT133" s="757"/>
      <c r="BU133" s="757"/>
      <c r="BV133" s="757"/>
      <c r="BW133" s="757"/>
      <c r="BX133" s="757"/>
      <c r="BY133" s="757"/>
      <c r="BZ133" s="757"/>
      <c r="CA133" s="757"/>
      <c r="CB133" s="758"/>
      <c r="CC133" s="279"/>
      <c r="DB133" s="6"/>
      <c r="DC133" s="6"/>
      <c r="DD133" s="6"/>
      <c r="DE133" s="6"/>
      <c r="DF133" s="6"/>
      <c r="DI133"/>
      <c r="DJ133"/>
      <c r="DK133"/>
      <c r="DL133"/>
      <c r="DM133"/>
      <c r="EB133" s="5"/>
    </row>
    <row r="134" spans="2:132" ht="33.75" customHeight="1">
      <c r="B134" s="279"/>
      <c r="C134" s="629"/>
      <c r="D134" s="630"/>
      <c r="E134" s="630"/>
      <c r="F134" s="630"/>
      <c r="G134" s="630"/>
      <c r="H134" s="630"/>
      <c r="I134" s="630"/>
      <c r="J134" s="630"/>
      <c r="K134" s="630"/>
      <c r="L134" s="630"/>
      <c r="M134" s="630"/>
      <c r="N134" s="630"/>
      <c r="O134" s="630"/>
      <c r="P134" s="630"/>
      <c r="Q134" s="630"/>
      <c r="R134" s="630"/>
      <c r="S134" s="630"/>
      <c r="T134" s="630"/>
      <c r="U134" s="630"/>
      <c r="V134" s="630"/>
      <c r="W134" s="630"/>
      <c r="X134" s="630"/>
      <c r="Y134" s="630"/>
      <c r="Z134" s="630"/>
      <c r="AA134" s="630"/>
      <c r="AB134" s="630"/>
      <c r="AC134" s="630"/>
      <c r="AD134" s="630"/>
      <c r="AE134" s="630"/>
      <c r="AF134" s="630"/>
      <c r="AG134" s="630"/>
      <c r="AH134" s="630"/>
      <c r="AI134" s="631"/>
      <c r="AJ134" s="629"/>
      <c r="AK134" s="630"/>
      <c r="AL134" s="630"/>
      <c r="AM134" s="630"/>
      <c r="AN134" s="630"/>
      <c r="AO134" s="630"/>
      <c r="AP134" s="631"/>
      <c r="AQ134" s="624"/>
      <c r="AR134" s="625"/>
      <c r="AS134" s="625"/>
      <c r="AT134" s="625"/>
      <c r="AU134" s="625"/>
      <c r="AV134" s="625"/>
      <c r="AW134" s="626"/>
      <c r="AX134" s="624"/>
      <c r="AY134" s="625"/>
      <c r="AZ134" s="625"/>
      <c r="BA134" s="625"/>
      <c r="BB134" s="625"/>
      <c r="BC134" s="625"/>
      <c r="BD134" s="626"/>
      <c r="BE134" s="619"/>
      <c r="BF134" s="620"/>
      <c r="BG134" s="619"/>
      <c r="BH134" s="620"/>
      <c r="BI134" s="619"/>
      <c r="BJ134" s="620"/>
      <c r="BK134" s="621"/>
      <c r="BL134" s="622"/>
      <c r="BM134" s="622"/>
      <c r="BN134" s="622"/>
      <c r="BO134" s="622"/>
      <c r="BP134" s="622"/>
      <c r="BQ134" s="622"/>
      <c r="BR134" s="622"/>
      <c r="BS134" s="622"/>
      <c r="BT134" s="622"/>
      <c r="BU134" s="622"/>
      <c r="BV134" s="622"/>
      <c r="BW134" s="622"/>
      <c r="BX134" s="622"/>
      <c r="BY134" s="622"/>
      <c r="BZ134" s="622"/>
      <c r="CA134" s="622"/>
      <c r="CB134" s="623"/>
      <c r="CC134" s="279"/>
      <c r="DG134"/>
      <c r="DH134"/>
      <c r="DI134" s="48"/>
      <c r="DJ134" s="48"/>
      <c r="DL134" s="10"/>
      <c r="DM134" s="9"/>
      <c r="DN134" s="28"/>
      <c r="DO134" s="9"/>
      <c r="DP134" s="9"/>
      <c r="DQ134" s="9"/>
      <c r="DR134" s="9"/>
    </row>
    <row r="135" spans="2:132" ht="33.75" customHeight="1">
      <c r="B135" s="279"/>
      <c r="C135" s="629"/>
      <c r="D135" s="630"/>
      <c r="E135" s="630"/>
      <c r="F135" s="630"/>
      <c r="G135" s="630"/>
      <c r="H135" s="630"/>
      <c r="I135" s="630"/>
      <c r="J135" s="630"/>
      <c r="K135" s="630"/>
      <c r="L135" s="630"/>
      <c r="M135" s="630"/>
      <c r="N135" s="630"/>
      <c r="O135" s="630"/>
      <c r="P135" s="630"/>
      <c r="Q135" s="630"/>
      <c r="R135" s="630"/>
      <c r="S135" s="630"/>
      <c r="T135" s="630"/>
      <c r="U135" s="630"/>
      <c r="V135" s="630"/>
      <c r="W135" s="630"/>
      <c r="X135" s="630"/>
      <c r="Y135" s="630"/>
      <c r="Z135" s="630"/>
      <c r="AA135" s="630"/>
      <c r="AB135" s="630"/>
      <c r="AC135" s="630"/>
      <c r="AD135" s="630"/>
      <c r="AE135" s="630"/>
      <c r="AF135" s="630"/>
      <c r="AG135" s="630"/>
      <c r="AH135" s="630"/>
      <c r="AI135" s="631"/>
      <c r="AJ135" s="629"/>
      <c r="AK135" s="630"/>
      <c r="AL135" s="630"/>
      <c r="AM135" s="630"/>
      <c r="AN135" s="630"/>
      <c r="AO135" s="630"/>
      <c r="AP135" s="631"/>
      <c r="AQ135" s="624"/>
      <c r="AR135" s="625"/>
      <c r="AS135" s="625"/>
      <c r="AT135" s="625"/>
      <c r="AU135" s="625"/>
      <c r="AV135" s="625"/>
      <c r="AW135" s="626"/>
      <c r="AX135" s="624"/>
      <c r="AY135" s="625"/>
      <c r="AZ135" s="625"/>
      <c r="BA135" s="625"/>
      <c r="BB135" s="625"/>
      <c r="BC135" s="625"/>
      <c r="BD135" s="626"/>
      <c r="BE135" s="619"/>
      <c r="BF135" s="620"/>
      <c r="BG135" s="619"/>
      <c r="BH135" s="620"/>
      <c r="BI135" s="619"/>
      <c r="BJ135" s="620"/>
      <c r="BK135" s="621"/>
      <c r="BL135" s="622"/>
      <c r="BM135" s="622"/>
      <c r="BN135" s="622"/>
      <c r="BO135" s="622"/>
      <c r="BP135" s="622"/>
      <c r="BQ135" s="622"/>
      <c r="BR135" s="622"/>
      <c r="BS135" s="622"/>
      <c r="BT135" s="622"/>
      <c r="BU135" s="622"/>
      <c r="BV135" s="622"/>
      <c r="BW135" s="622"/>
      <c r="BX135" s="622"/>
      <c r="BY135" s="622"/>
      <c r="BZ135" s="622"/>
      <c r="CA135" s="622"/>
      <c r="CB135" s="623"/>
      <c r="CC135" s="279"/>
      <c r="DA135" s="8"/>
      <c r="DB135" s="8"/>
      <c r="DC135" s="8"/>
      <c r="DD135" s="8"/>
      <c r="DG135" s="10"/>
      <c r="DH135" s="48"/>
      <c r="DI135" s="48"/>
      <c r="DJ135" s="48"/>
      <c r="DL135" s="10"/>
      <c r="DM135" s="9"/>
      <c r="DN135" s="28"/>
      <c r="DO135" s="9"/>
      <c r="DP135" s="9"/>
      <c r="DQ135" s="9"/>
      <c r="DR135" s="9"/>
    </row>
    <row r="136" spans="2:132" ht="33.75" customHeight="1">
      <c r="B136" s="279"/>
      <c r="C136" s="629"/>
      <c r="D136" s="630"/>
      <c r="E136" s="630"/>
      <c r="F136" s="630"/>
      <c r="G136" s="630"/>
      <c r="H136" s="630"/>
      <c r="I136" s="630"/>
      <c r="J136" s="630"/>
      <c r="K136" s="630"/>
      <c r="L136" s="630"/>
      <c r="M136" s="630"/>
      <c r="N136" s="630"/>
      <c r="O136" s="630"/>
      <c r="P136" s="630"/>
      <c r="Q136" s="630"/>
      <c r="R136" s="630"/>
      <c r="S136" s="630"/>
      <c r="T136" s="630"/>
      <c r="U136" s="630"/>
      <c r="V136" s="630"/>
      <c r="W136" s="630"/>
      <c r="X136" s="630"/>
      <c r="Y136" s="630"/>
      <c r="Z136" s="630"/>
      <c r="AA136" s="630"/>
      <c r="AB136" s="630"/>
      <c r="AC136" s="630"/>
      <c r="AD136" s="630"/>
      <c r="AE136" s="630"/>
      <c r="AF136" s="630"/>
      <c r="AG136" s="630"/>
      <c r="AH136" s="630"/>
      <c r="AI136" s="631"/>
      <c r="AJ136" s="629"/>
      <c r="AK136" s="630"/>
      <c r="AL136" s="630"/>
      <c r="AM136" s="630"/>
      <c r="AN136" s="630"/>
      <c r="AO136" s="630"/>
      <c r="AP136" s="631"/>
      <c r="AQ136" s="624"/>
      <c r="AR136" s="625"/>
      <c r="AS136" s="625"/>
      <c r="AT136" s="625"/>
      <c r="AU136" s="625"/>
      <c r="AV136" s="625"/>
      <c r="AW136" s="626"/>
      <c r="AX136" s="624"/>
      <c r="AY136" s="625"/>
      <c r="AZ136" s="625"/>
      <c r="BA136" s="625"/>
      <c r="BB136" s="625"/>
      <c r="BC136" s="625"/>
      <c r="BD136" s="626"/>
      <c r="BE136" s="619"/>
      <c r="BF136" s="620"/>
      <c r="BG136" s="619"/>
      <c r="BH136" s="620"/>
      <c r="BI136" s="619"/>
      <c r="BJ136" s="620"/>
      <c r="BK136" s="621"/>
      <c r="BL136" s="622"/>
      <c r="BM136" s="622"/>
      <c r="BN136" s="622"/>
      <c r="BO136" s="622"/>
      <c r="BP136" s="622"/>
      <c r="BQ136" s="622"/>
      <c r="BR136" s="622"/>
      <c r="BS136" s="622"/>
      <c r="BT136" s="622"/>
      <c r="BU136" s="622"/>
      <c r="BV136" s="622"/>
      <c r="BW136" s="622"/>
      <c r="BX136" s="622"/>
      <c r="BY136" s="622"/>
      <c r="BZ136" s="622"/>
      <c r="CA136" s="622"/>
      <c r="CB136" s="623"/>
      <c r="CC136" s="279"/>
      <c r="DG136" s="10"/>
      <c r="DH136" s="48"/>
      <c r="DI136" s="48"/>
      <c r="DJ136" s="48"/>
      <c r="DL136" s="10"/>
    </row>
    <row r="137" spans="2:132" ht="33.75" hidden="1" customHeight="1" outlineLevel="1">
      <c r="B137" s="279"/>
      <c r="C137" s="629"/>
      <c r="D137" s="630"/>
      <c r="E137" s="630"/>
      <c r="F137" s="630"/>
      <c r="G137" s="630"/>
      <c r="H137" s="630"/>
      <c r="I137" s="630"/>
      <c r="J137" s="630"/>
      <c r="K137" s="630"/>
      <c r="L137" s="630"/>
      <c r="M137" s="630"/>
      <c r="N137" s="630"/>
      <c r="O137" s="630"/>
      <c r="P137" s="630"/>
      <c r="Q137" s="630"/>
      <c r="R137" s="630"/>
      <c r="S137" s="630"/>
      <c r="T137" s="630"/>
      <c r="U137" s="630"/>
      <c r="V137" s="630"/>
      <c r="W137" s="630"/>
      <c r="X137" s="630"/>
      <c r="Y137" s="630"/>
      <c r="Z137" s="630"/>
      <c r="AA137" s="630"/>
      <c r="AB137" s="630"/>
      <c r="AC137" s="630"/>
      <c r="AD137" s="630"/>
      <c r="AE137" s="630"/>
      <c r="AF137" s="630"/>
      <c r="AG137" s="630"/>
      <c r="AH137" s="630"/>
      <c r="AI137" s="631"/>
      <c r="AJ137" s="629"/>
      <c r="AK137" s="630"/>
      <c r="AL137" s="630"/>
      <c r="AM137" s="630"/>
      <c r="AN137" s="630"/>
      <c r="AO137" s="630"/>
      <c r="AP137" s="631"/>
      <c r="AQ137" s="624"/>
      <c r="AR137" s="625"/>
      <c r="AS137" s="625"/>
      <c r="AT137" s="625"/>
      <c r="AU137" s="625"/>
      <c r="AV137" s="625"/>
      <c r="AW137" s="626"/>
      <c r="AX137" s="624"/>
      <c r="AY137" s="625"/>
      <c r="AZ137" s="625"/>
      <c r="BA137" s="625"/>
      <c r="BB137" s="625"/>
      <c r="BC137" s="625"/>
      <c r="BD137" s="626"/>
      <c r="BE137" s="627"/>
      <c r="BF137" s="628"/>
      <c r="BG137" s="627"/>
      <c r="BH137" s="628"/>
      <c r="BI137" s="627"/>
      <c r="BJ137" s="628"/>
      <c r="BK137" s="621"/>
      <c r="BL137" s="622"/>
      <c r="BM137" s="622"/>
      <c r="BN137" s="622"/>
      <c r="BO137" s="622"/>
      <c r="BP137" s="622"/>
      <c r="BQ137" s="622"/>
      <c r="BR137" s="622"/>
      <c r="BS137" s="622"/>
      <c r="BT137" s="622"/>
      <c r="BU137" s="622"/>
      <c r="BV137" s="622"/>
      <c r="BW137" s="622"/>
      <c r="BX137" s="622"/>
      <c r="BY137" s="622"/>
      <c r="BZ137" s="622"/>
      <c r="CA137" s="622"/>
      <c r="CB137" s="623"/>
      <c r="CC137" s="279"/>
      <c r="DG137" s="10"/>
      <c r="DH137" s="48"/>
      <c r="DI137" s="48"/>
      <c r="DJ137" s="48"/>
      <c r="DL137" s="10"/>
    </row>
    <row r="138" spans="2:132" ht="33.75" hidden="1" customHeight="1" outlineLevel="1">
      <c r="B138" s="279"/>
      <c r="C138" s="629"/>
      <c r="D138" s="630"/>
      <c r="E138" s="630"/>
      <c r="F138" s="630"/>
      <c r="G138" s="630"/>
      <c r="H138" s="630"/>
      <c r="I138" s="630"/>
      <c r="J138" s="630"/>
      <c r="K138" s="630"/>
      <c r="L138" s="630"/>
      <c r="M138" s="630"/>
      <c r="N138" s="630"/>
      <c r="O138" s="630"/>
      <c r="P138" s="630"/>
      <c r="Q138" s="630"/>
      <c r="R138" s="630"/>
      <c r="S138" s="630"/>
      <c r="T138" s="630"/>
      <c r="U138" s="630"/>
      <c r="V138" s="630"/>
      <c r="W138" s="630"/>
      <c r="X138" s="630"/>
      <c r="Y138" s="630"/>
      <c r="Z138" s="630"/>
      <c r="AA138" s="630"/>
      <c r="AB138" s="630"/>
      <c r="AC138" s="630"/>
      <c r="AD138" s="630"/>
      <c r="AE138" s="630"/>
      <c r="AF138" s="630"/>
      <c r="AG138" s="630"/>
      <c r="AH138" s="630"/>
      <c r="AI138" s="631"/>
      <c r="AJ138" s="629"/>
      <c r="AK138" s="630"/>
      <c r="AL138" s="630"/>
      <c r="AM138" s="630"/>
      <c r="AN138" s="630"/>
      <c r="AO138" s="630"/>
      <c r="AP138" s="631"/>
      <c r="AQ138" s="624"/>
      <c r="AR138" s="625"/>
      <c r="AS138" s="625"/>
      <c r="AT138" s="625"/>
      <c r="AU138" s="625"/>
      <c r="AV138" s="625"/>
      <c r="AW138" s="626"/>
      <c r="AX138" s="624"/>
      <c r="AY138" s="625"/>
      <c r="AZ138" s="625"/>
      <c r="BA138" s="625"/>
      <c r="BB138" s="625"/>
      <c r="BC138" s="625"/>
      <c r="BD138" s="626"/>
      <c r="BE138" s="627"/>
      <c r="BF138" s="628"/>
      <c r="BG138" s="627"/>
      <c r="BH138" s="628"/>
      <c r="BI138" s="627"/>
      <c r="BJ138" s="628"/>
      <c r="BK138" s="621"/>
      <c r="BL138" s="622"/>
      <c r="BM138" s="622"/>
      <c r="BN138" s="622"/>
      <c r="BO138" s="622"/>
      <c r="BP138" s="622"/>
      <c r="BQ138" s="622"/>
      <c r="BR138" s="622"/>
      <c r="BS138" s="622"/>
      <c r="BT138" s="622"/>
      <c r="BU138" s="622"/>
      <c r="BV138" s="622"/>
      <c r="BW138" s="622"/>
      <c r="BX138" s="622"/>
      <c r="BY138" s="622"/>
      <c r="BZ138" s="622"/>
      <c r="CA138" s="622"/>
      <c r="CB138" s="623"/>
      <c r="CC138" s="279"/>
      <c r="DG138" s="10"/>
      <c r="DH138" s="48"/>
      <c r="DI138" s="48"/>
      <c r="DJ138" s="48"/>
      <c r="DL138" s="10"/>
    </row>
    <row r="139" spans="2:132" ht="11.25" customHeight="1" collapsed="1">
      <c r="B139" s="205"/>
      <c r="C139" s="670" t="str">
        <f>VLOOKUP(2413,Languages!$A$5:$C$1032,Languages!$A$2,FALSE)</f>
        <v>Containment action(s) Brose/OEM/Tier (production, stock, spare parts warehouse, transport, ...)</v>
      </c>
      <c r="D139" s="671"/>
      <c r="E139" s="671"/>
      <c r="F139" s="671"/>
      <c r="G139" s="671"/>
      <c r="H139" s="671"/>
      <c r="I139" s="671"/>
      <c r="J139" s="671"/>
      <c r="K139" s="671"/>
      <c r="L139" s="671"/>
      <c r="M139" s="671"/>
      <c r="N139" s="671"/>
      <c r="O139" s="671"/>
      <c r="P139" s="671"/>
      <c r="Q139" s="671"/>
      <c r="R139" s="671"/>
      <c r="S139" s="671"/>
      <c r="T139" s="671"/>
      <c r="U139" s="671"/>
      <c r="V139" s="671"/>
      <c r="W139" s="671"/>
      <c r="X139" s="671"/>
      <c r="Y139" s="671"/>
      <c r="Z139" s="671"/>
      <c r="AA139" s="671"/>
      <c r="AB139" s="671"/>
      <c r="AC139" s="671"/>
      <c r="AD139" s="671"/>
      <c r="AE139" s="671"/>
      <c r="AF139" s="671"/>
      <c r="AG139" s="671"/>
      <c r="AH139" s="671"/>
      <c r="AI139" s="671"/>
      <c r="AJ139" s="671"/>
      <c r="AK139" s="671"/>
      <c r="AL139" s="671"/>
      <c r="AM139" s="671"/>
      <c r="AN139" s="671"/>
      <c r="AO139" s="671"/>
      <c r="AP139" s="671"/>
      <c r="AQ139" s="671"/>
      <c r="AR139" s="671"/>
      <c r="AS139" s="671"/>
      <c r="AT139" s="671"/>
      <c r="AU139" s="671"/>
      <c r="AV139" s="671"/>
      <c r="AW139" s="671"/>
      <c r="AX139" s="671"/>
      <c r="AY139" s="671"/>
      <c r="AZ139" s="671"/>
      <c r="BA139" s="671"/>
      <c r="BB139" s="671"/>
      <c r="BC139" s="671"/>
      <c r="BD139" s="671"/>
      <c r="BE139" s="671"/>
      <c r="BF139" s="671"/>
      <c r="BG139" s="671"/>
      <c r="BH139" s="671"/>
      <c r="BI139" s="671"/>
      <c r="BJ139" s="671"/>
      <c r="BK139" s="671"/>
      <c r="BL139" s="671"/>
      <c r="BM139" s="671"/>
      <c r="BN139" s="671"/>
      <c r="BO139" s="671"/>
      <c r="BP139" s="671"/>
      <c r="BQ139" s="671"/>
      <c r="BR139" s="671"/>
      <c r="BS139" s="671"/>
      <c r="BT139" s="671"/>
      <c r="BU139" s="671"/>
      <c r="BV139" s="671"/>
      <c r="BW139" s="671"/>
      <c r="BX139" s="671"/>
      <c r="BY139" s="671"/>
      <c r="BZ139" s="671"/>
      <c r="CA139" s="671"/>
      <c r="CB139" s="672"/>
      <c r="CC139" s="397"/>
      <c r="DB139" s="6"/>
      <c r="DC139" s="6"/>
      <c r="DD139" s="6"/>
      <c r="DE139" s="6"/>
      <c r="DF139" s="6"/>
      <c r="DI139"/>
      <c r="DJ139"/>
      <c r="DK139"/>
      <c r="DL139"/>
      <c r="DM139"/>
      <c r="EB139" s="5"/>
    </row>
    <row r="140" spans="2:132" ht="11.25" customHeight="1">
      <c r="B140" s="205"/>
      <c r="C140" s="673"/>
      <c r="D140" s="674"/>
      <c r="E140" s="674"/>
      <c r="F140" s="674"/>
      <c r="G140" s="674"/>
      <c r="H140" s="674"/>
      <c r="I140" s="674"/>
      <c r="J140" s="674"/>
      <c r="K140" s="674"/>
      <c r="L140" s="674"/>
      <c r="M140" s="674"/>
      <c r="N140" s="674"/>
      <c r="O140" s="674"/>
      <c r="P140" s="674"/>
      <c r="Q140" s="674"/>
      <c r="R140" s="674"/>
      <c r="S140" s="674"/>
      <c r="T140" s="674"/>
      <c r="U140" s="674"/>
      <c r="V140" s="674"/>
      <c r="W140" s="674"/>
      <c r="X140" s="674"/>
      <c r="Y140" s="674"/>
      <c r="Z140" s="674"/>
      <c r="AA140" s="674"/>
      <c r="AB140" s="674"/>
      <c r="AC140" s="674"/>
      <c r="AD140" s="674"/>
      <c r="AE140" s="674"/>
      <c r="AF140" s="674"/>
      <c r="AG140" s="674"/>
      <c r="AH140" s="674"/>
      <c r="AI140" s="674"/>
      <c r="AJ140" s="674"/>
      <c r="AK140" s="674"/>
      <c r="AL140" s="674"/>
      <c r="AM140" s="674"/>
      <c r="AN140" s="674"/>
      <c r="AO140" s="674"/>
      <c r="AP140" s="674"/>
      <c r="AQ140" s="674"/>
      <c r="AR140" s="674"/>
      <c r="AS140" s="674"/>
      <c r="AT140" s="674"/>
      <c r="AU140" s="674"/>
      <c r="AV140" s="674"/>
      <c r="AW140" s="674"/>
      <c r="AX140" s="674"/>
      <c r="AY140" s="674"/>
      <c r="AZ140" s="674"/>
      <c r="BA140" s="674"/>
      <c r="BB140" s="674"/>
      <c r="BC140" s="674"/>
      <c r="BD140" s="674"/>
      <c r="BE140" s="674"/>
      <c r="BF140" s="674"/>
      <c r="BG140" s="674"/>
      <c r="BH140" s="674"/>
      <c r="BI140" s="674"/>
      <c r="BJ140" s="674"/>
      <c r="BK140" s="674"/>
      <c r="BL140" s="674"/>
      <c r="BM140" s="674"/>
      <c r="BN140" s="674"/>
      <c r="BO140" s="674"/>
      <c r="BP140" s="674"/>
      <c r="BQ140" s="674"/>
      <c r="BR140" s="674"/>
      <c r="BS140" s="674"/>
      <c r="BT140" s="674"/>
      <c r="BU140" s="674"/>
      <c r="BV140" s="674"/>
      <c r="BW140" s="674"/>
      <c r="BX140" s="674"/>
      <c r="BY140" s="674"/>
      <c r="BZ140" s="674"/>
      <c r="CA140" s="674"/>
      <c r="CB140" s="675"/>
      <c r="CC140" s="397"/>
      <c r="DB140" s="6"/>
      <c r="DC140" s="6"/>
      <c r="DD140" s="6"/>
      <c r="DE140" s="6"/>
      <c r="DF140" s="6"/>
      <c r="DI140"/>
      <c r="DJ140"/>
      <c r="DK140"/>
      <c r="DL140"/>
      <c r="DM140"/>
      <c r="EB140" s="5"/>
    </row>
    <row r="141" spans="2:132" ht="11.25" customHeight="1">
      <c r="B141" s="397"/>
      <c r="C141" s="632" t="str">
        <f>VLOOKUP(2414,Languages!$A$5:$C$1032,Languages!$A$2,FALSE)</f>
        <v>Actions</v>
      </c>
      <c r="D141" s="633"/>
      <c r="E141" s="633"/>
      <c r="F141" s="633"/>
      <c r="G141" s="633"/>
      <c r="H141" s="633"/>
      <c r="I141" s="633"/>
      <c r="J141" s="633"/>
      <c r="K141" s="633"/>
      <c r="L141" s="633"/>
      <c r="M141" s="633"/>
      <c r="N141" s="633"/>
      <c r="O141" s="633"/>
      <c r="P141" s="633"/>
      <c r="Q141" s="633"/>
      <c r="R141" s="633"/>
      <c r="S141" s="633"/>
      <c r="T141" s="633"/>
      <c r="U141" s="633"/>
      <c r="V141" s="633"/>
      <c r="W141" s="633"/>
      <c r="X141" s="633"/>
      <c r="Y141" s="633"/>
      <c r="Z141" s="633"/>
      <c r="AA141" s="633"/>
      <c r="AB141" s="633"/>
      <c r="AC141" s="633"/>
      <c r="AD141" s="633"/>
      <c r="AE141" s="633"/>
      <c r="AF141" s="633"/>
      <c r="AG141" s="633"/>
      <c r="AH141" s="633"/>
      <c r="AI141" s="634"/>
      <c r="AJ141" s="632" t="str">
        <f>VLOOKUP(2415,Languages!$A$5:$C$1032,Languages!$A$2,FALSE)</f>
        <v>Responsible</v>
      </c>
      <c r="AK141" s="633"/>
      <c r="AL141" s="633"/>
      <c r="AM141" s="633"/>
      <c r="AN141" s="633"/>
      <c r="AO141" s="633"/>
      <c r="AP141" s="634"/>
      <c r="AQ141" s="632" t="str">
        <f>VLOOKUP(2416,Languages!$A$5:$C$1032,Languages!$A$2,FALSE)</f>
        <v>Planned date</v>
      </c>
      <c r="AR141" s="633"/>
      <c r="AS141" s="633"/>
      <c r="AT141" s="633"/>
      <c r="AU141" s="633"/>
      <c r="AV141" s="633"/>
      <c r="AW141" s="634"/>
      <c r="AX141" s="641" t="str">
        <f>VLOOKUP(2417,Languages!$A$5:$C$1032,Languages!$A$2,FALSE)</f>
        <v>Realization date</v>
      </c>
      <c r="AY141" s="642"/>
      <c r="AZ141" s="642"/>
      <c r="BA141" s="642"/>
      <c r="BB141" s="642"/>
      <c r="BC141" s="642"/>
      <c r="BD141" s="643"/>
      <c r="BE141" s="632" t="str">
        <f>VLOOKUP(2418,Languages!$A$5:$C$1032,Languages!$A$2,FALSE)</f>
        <v>Status</v>
      </c>
      <c r="BF141" s="633"/>
      <c r="BG141" s="633"/>
      <c r="BH141" s="633"/>
      <c r="BI141" s="633"/>
      <c r="BJ141" s="634"/>
      <c r="BK141" s="750" t="str">
        <f>VLOOKUP(2419,Languages!$A$5:$C$1032,Languages!$A$2,FALSE)</f>
        <v>Evidence of effectiveness</v>
      </c>
      <c r="BL141" s="751"/>
      <c r="BM141" s="751"/>
      <c r="BN141" s="751"/>
      <c r="BO141" s="751"/>
      <c r="BP141" s="751"/>
      <c r="BQ141" s="751"/>
      <c r="BR141" s="751"/>
      <c r="BS141" s="751"/>
      <c r="BT141" s="751"/>
      <c r="BU141" s="751"/>
      <c r="BV141" s="751"/>
      <c r="BW141" s="751"/>
      <c r="BX141" s="751"/>
      <c r="BY141" s="751"/>
      <c r="BZ141" s="751"/>
      <c r="CA141" s="751"/>
      <c r="CB141" s="752"/>
      <c r="CC141" s="397"/>
      <c r="DB141" s="6"/>
      <c r="DC141" s="6"/>
      <c r="DD141" s="6"/>
      <c r="DE141" s="6"/>
      <c r="DF141" s="6"/>
      <c r="DI141"/>
      <c r="DJ141"/>
      <c r="DK141"/>
      <c r="DL141"/>
      <c r="DM141"/>
      <c r="EB141" s="5"/>
    </row>
    <row r="142" spans="2:132" ht="11.25" customHeight="1">
      <c r="B142" s="397"/>
      <c r="C142" s="635"/>
      <c r="D142" s="636"/>
      <c r="E142" s="636"/>
      <c r="F142" s="636"/>
      <c r="G142" s="636"/>
      <c r="H142" s="636"/>
      <c r="I142" s="636"/>
      <c r="J142" s="636"/>
      <c r="K142" s="636"/>
      <c r="L142" s="636"/>
      <c r="M142" s="636"/>
      <c r="N142" s="636"/>
      <c r="O142" s="636"/>
      <c r="P142" s="636"/>
      <c r="Q142" s="636"/>
      <c r="R142" s="636"/>
      <c r="S142" s="636"/>
      <c r="T142" s="636"/>
      <c r="U142" s="636"/>
      <c r="V142" s="636"/>
      <c r="W142" s="636"/>
      <c r="X142" s="636"/>
      <c r="Y142" s="636"/>
      <c r="Z142" s="636"/>
      <c r="AA142" s="636"/>
      <c r="AB142" s="636"/>
      <c r="AC142" s="636"/>
      <c r="AD142" s="636"/>
      <c r="AE142" s="636"/>
      <c r="AF142" s="636"/>
      <c r="AG142" s="636"/>
      <c r="AH142" s="636"/>
      <c r="AI142" s="637"/>
      <c r="AJ142" s="635"/>
      <c r="AK142" s="636"/>
      <c r="AL142" s="636"/>
      <c r="AM142" s="636"/>
      <c r="AN142" s="636"/>
      <c r="AO142" s="636"/>
      <c r="AP142" s="637"/>
      <c r="AQ142" s="635"/>
      <c r="AR142" s="636"/>
      <c r="AS142" s="636"/>
      <c r="AT142" s="636"/>
      <c r="AU142" s="636"/>
      <c r="AV142" s="636"/>
      <c r="AW142" s="637"/>
      <c r="AX142" s="644"/>
      <c r="AY142" s="645"/>
      <c r="AZ142" s="645"/>
      <c r="BA142" s="645"/>
      <c r="BB142" s="645"/>
      <c r="BC142" s="645"/>
      <c r="BD142" s="646"/>
      <c r="BE142" s="635"/>
      <c r="BF142" s="636"/>
      <c r="BG142" s="636"/>
      <c r="BH142" s="636"/>
      <c r="BI142" s="636"/>
      <c r="BJ142" s="637"/>
      <c r="BK142" s="753"/>
      <c r="BL142" s="754"/>
      <c r="BM142" s="754"/>
      <c r="BN142" s="754"/>
      <c r="BO142" s="754"/>
      <c r="BP142" s="754"/>
      <c r="BQ142" s="754"/>
      <c r="BR142" s="754"/>
      <c r="BS142" s="754"/>
      <c r="BT142" s="754"/>
      <c r="BU142" s="754"/>
      <c r="BV142" s="754"/>
      <c r="BW142" s="754"/>
      <c r="BX142" s="754"/>
      <c r="BY142" s="754"/>
      <c r="BZ142" s="754"/>
      <c r="CA142" s="754"/>
      <c r="CB142" s="755"/>
      <c r="CC142" s="397"/>
      <c r="DB142" s="6"/>
      <c r="DC142" s="6"/>
      <c r="DD142" s="6"/>
      <c r="DE142" s="6"/>
      <c r="DF142" s="6"/>
      <c r="DI142"/>
      <c r="DJ142"/>
      <c r="DK142"/>
      <c r="DL142"/>
      <c r="DM142"/>
      <c r="EB142" s="5"/>
    </row>
    <row r="143" spans="2:132" ht="11.25" customHeight="1">
      <c r="B143" s="397"/>
      <c r="C143" s="638"/>
      <c r="D143" s="639"/>
      <c r="E143" s="639"/>
      <c r="F143" s="639"/>
      <c r="G143" s="639"/>
      <c r="H143" s="639"/>
      <c r="I143" s="639"/>
      <c r="J143" s="639"/>
      <c r="K143" s="639"/>
      <c r="L143" s="639"/>
      <c r="M143" s="639"/>
      <c r="N143" s="639"/>
      <c r="O143" s="639"/>
      <c r="P143" s="639"/>
      <c r="Q143" s="639"/>
      <c r="R143" s="639"/>
      <c r="S143" s="639"/>
      <c r="T143" s="639"/>
      <c r="U143" s="639"/>
      <c r="V143" s="639"/>
      <c r="W143" s="639"/>
      <c r="X143" s="639"/>
      <c r="Y143" s="639"/>
      <c r="Z143" s="639"/>
      <c r="AA143" s="639"/>
      <c r="AB143" s="639"/>
      <c r="AC143" s="639"/>
      <c r="AD143" s="639"/>
      <c r="AE143" s="639"/>
      <c r="AF143" s="639"/>
      <c r="AG143" s="639"/>
      <c r="AH143" s="639"/>
      <c r="AI143" s="640"/>
      <c r="AJ143" s="638"/>
      <c r="AK143" s="639"/>
      <c r="AL143" s="639"/>
      <c r="AM143" s="639"/>
      <c r="AN143" s="639"/>
      <c r="AO143" s="639"/>
      <c r="AP143" s="640"/>
      <c r="AQ143" s="638"/>
      <c r="AR143" s="639"/>
      <c r="AS143" s="639"/>
      <c r="AT143" s="639"/>
      <c r="AU143" s="639"/>
      <c r="AV143" s="639"/>
      <c r="AW143" s="640"/>
      <c r="AX143" s="647"/>
      <c r="AY143" s="648"/>
      <c r="AZ143" s="648"/>
      <c r="BA143" s="648"/>
      <c r="BB143" s="648"/>
      <c r="BC143" s="648"/>
      <c r="BD143" s="649"/>
      <c r="BE143" s="638"/>
      <c r="BF143" s="639"/>
      <c r="BG143" s="639"/>
      <c r="BH143" s="639"/>
      <c r="BI143" s="639"/>
      <c r="BJ143" s="640"/>
      <c r="BK143" s="756"/>
      <c r="BL143" s="757"/>
      <c r="BM143" s="757"/>
      <c r="BN143" s="757"/>
      <c r="BO143" s="757"/>
      <c r="BP143" s="757"/>
      <c r="BQ143" s="757"/>
      <c r="BR143" s="757"/>
      <c r="BS143" s="757"/>
      <c r="BT143" s="757"/>
      <c r="BU143" s="757"/>
      <c r="BV143" s="757"/>
      <c r="BW143" s="757"/>
      <c r="BX143" s="757"/>
      <c r="BY143" s="757"/>
      <c r="BZ143" s="757"/>
      <c r="CA143" s="757"/>
      <c r="CB143" s="758"/>
      <c r="CC143" s="397"/>
      <c r="DB143" s="6"/>
      <c r="DC143" s="6"/>
      <c r="DD143" s="6"/>
      <c r="DE143" s="6"/>
      <c r="DF143" s="6"/>
      <c r="DI143"/>
      <c r="DJ143"/>
      <c r="DK143"/>
      <c r="DL143"/>
      <c r="DM143"/>
      <c r="EB143" s="5"/>
    </row>
    <row r="144" spans="2:132" ht="33.75" customHeight="1">
      <c r="B144" s="397"/>
      <c r="C144" s="629"/>
      <c r="D144" s="630"/>
      <c r="E144" s="630"/>
      <c r="F144" s="630"/>
      <c r="G144" s="630"/>
      <c r="H144" s="630"/>
      <c r="I144" s="630"/>
      <c r="J144" s="630"/>
      <c r="K144" s="630"/>
      <c r="L144" s="630"/>
      <c r="M144" s="630"/>
      <c r="N144" s="630"/>
      <c r="O144" s="630"/>
      <c r="P144" s="630"/>
      <c r="Q144" s="630"/>
      <c r="R144" s="630"/>
      <c r="S144" s="630"/>
      <c r="T144" s="630"/>
      <c r="U144" s="630"/>
      <c r="V144" s="630"/>
      <c r="W144" s="630"/>
      <c r="X144" s="630"/>
      <c r="Y144" s="630"/>
      <c r="Z144" s="630"/>
      <c r="AA144" s="630"/>
      <c r="AB144" s="630"/>
      <c r="AC144" s="630"/>
      <c r="AD144" s="630"/>
      <c r="AE144" s="630"/>
      <c r="AF144" s="630"/>
      <c r="AG144" s="630"/>
      <c r="AH144" s="630"/>
      <c r="AI144" s="631"/>
      <c r="AJ144" s="629"/>
      <c r="AK144" s="630"/>
      <c r="AL144" s="630"/>
      <c r="AM144" s="630"/>
      <c r="AN144" s="630"/>
      <c r="AO144" s="630"/>
      <c r="AP144" s="631"/>
      <c r="AQ144" s="624"/>
      <c r="AR144" s="625"/>
      <c r="AS144" s="625"/>
      <c r="AT144" s="625"/>
      <c r="AU144" s="625"/>
      <c r="AV144" s="625"/>
      <c r="AW144" s="626"/>
      <c r="AX144" s="624"/>
      <c r="AY144" s="625"/>
      <c r="AZ144" s="625"/>
      <c r="BA144" s="625"/>
      <c r="BB144" s="625"/>
      <c r="BC144" s="625"/>
      <c r="BD144" s="626"/>
      <c r="BE144" s="619"/>
      <c r="BF144" s="620"/>
      <c r="BG144" s="619"/>
      <c r="BH144" s="620"/>
      <c r="BI144" s="619"/>
      <c r="BJ144" s="620"/>
      <c r="BK144" s="621"/>
      <c r="BL144" s="622"/>
      <c r="BM144" s="622"/>
      <c r="BN144" s="622"/>
      <c r="BO144" s="622"/>
      <c r="BP144" s="622"/>
      <c r="BQ144" s="622"/>
      <c r="BR144" s="622"/>
      <c r="BS144" s="622"/>
      <c r="BT144" s="622"/>
      <c r="BU144" s="622"/>
      <c r="BV144" s="622"/>
      <c r="BW144" s="622"/>
      <c r="BX144" s="622"/>
      <c r="BY144" s="622"/>
      <c r="BZ144" s="622"/>
      <c r="CA144" s="622"/>
      <c r="CB144" s="623"/>
      <c r="CC144" s="397"/>
      <c r="DG144"/>
      <c r="DH144"/>
      <c r="DI144" s="48"/>
      <c r="DJ144" s="48"/>
      <c r="DL144" s="10"/>
      <c r="DM144" s="9"/>
      <c r="DN144" s="28"/>
      <c r="DO144" s="9"/>
      <c r="DP144" s="9"/>
      <c r="DQ144" s="9"/>
      <c r="DR144" s="9"/>
    </row>
    <row r="145" spans="2:133" ht="33.75" customHeight="1">
      <c r="B145" s="397"/>
      <c r="C145" s="629"/>
      <c r="D145" s="630"/>
      <c r="E145" s="630"/>
      <c r="F145" s="630"/>
      <c r="G145" s="630"/>
      <c r="H145" s="630"/>
      <c r="I145" s="630"/>
      <c r="J145" s="630"/>
      <c r="K145" s="630"/>
      <c r="L145" s="630"/>
      <c r="M145" s="630"/>
      <c r="N145" s="630"/>
      <c r="O145" s="630"/>
      <c r="P145" s="630"/>
      <c r="Q145" s="630"/>
      <c r="R145" s="630"/>
      <c r="S145" s="630"/>
      <c r="T145" s="630"/>
      <c r="U145" s="630"/>
      <c r="V145" s="630"/>
      <c r="W145" s="630"/>
      <c r="X145" s="630"/>
      <c r="Y145" s="630"/>
      <c r="Z145" s="630"/>
      <c r="AA145" s="630"/>
      <c r="AB145" s="630"/>
      <c r="AC145" s="630"/>
      <c r="AD145" s="630"/>
      <c r="AE145" s="630"/>
      <c r="AF145" s="630"/>
      <c r="AG145" s="630"/>
      <c r="AH145" s="630"/>
      <c r="AI145" s="631"/>
      <c r="AJ145" s="629"/>
      <c r="AK145" s="630"/>
      <c r="AL145" s="630"/>
      <c r="AM145" s="630"/>
      <c r="AN145" s="630"/>
      <c r="AO145" s="630"/>
      <c r="AP145" s="631"/>
      <c r="AQ145" s="624"/>
      <c r="AR145" s="625"/>
      <c r="AS145" s="625"/>
      <c r="AT145" s="625"/>
      <c r="AU145" s="625"/>
      <c r="AV145" s="625"/>
      <c r="AW145" s="626"/>
      <c r="AX145" s="624"/>
      <c r="AY145" s="625"/>
      <c r="AZ145" s="625"/>
      <c r="BA145" s="625"/>
      <c r="BB145" s="625"/>
      <c r="BC145" s="625"/>
      <c r="BD145" s="626"/>
      <c r="BE145" s="619"/>
      <c r="BF145" s="620"/>
      <c r="BG145" s="619"/>
      <c r="BH145" s="620"/>
      <c r="BI145" s="619"/>
      <c r="BJ145" s="620"/>
      <c r="BK145" s="621"/>
      <c r="BL145" s="622"/>
      <c r="BM145" s="622"/>
      <c r="BN145" s="622"/>
      <c r="BO145" s="622"/>
      <c r="BP145" s="622"/>
      <c r="BQ145" s="622"/>
      <c r="BR145" s="622"/>
      <c r="BS145" s="622"/>
      <c r="BT145" s="622"/>
      <c r="BU145" s="622"/>
      <c r="BV145" s="622"/>
      <c r="BW145" s="622"/>
      <c r="BX145" s="622"/>
      <c r="BY145" s="622"/>
      <c r="BZ145" s="622"/>
      <c r="CA145" s="622"/>
      <c r="CB145" s="623"/>
      <c r="CC145" s="397"/>
      <c r="DA145" s="8"/>
      <c r="DB145" s="8"/>
      <c r="DC145" s="8"/>
      <c r="DD145" s="8"/>
      <c r="DG145" s="10"/>
      <c r="DH145" s="48"/>
      <c r="DI145" s="48"/>
      <c r="DJ145" s="48"/>
      <c r="DL145" s="10"/>
      <c r="DM145" s="9"/>
      <c r="DN145" s="28"/>
      <c r="DO145" s="9"/>
      <c r="DP145" s="9"/>
      <c r="DQ145" s="9"/>
      <c r="DR145" s="9"/>
    </row>
    <row r="146" spans="2:133" ht="33.75" customHeight="1">
      <c r="B146" s="397"/>
      <c r="C146" s="629"/>
      <c r="D146" s="630"/>
      <c r="E146" s="630"/>
      <c r="F146" s="630"/>
      <c r="G146" s="630"/>
      <c r="H146" s="630"/>
      <c r="I146" s="630"/>
      <c r="J146" s="630"/>
      <c r="K146" s="630"/>
      <c r="L146" s="630"/>
      <c r="M146" s="630"/>
      <c r="N146" s="630"/>
      <c r="O146" s="630"/>
      <c r="P146" s="630"/>
      <c r="Q146" s="630"/>
      <c r="R146" s="630"/>
      <c r="S146" s="630"/>
      <c r="T146" s="630"/>
      <c r="U146" s="630"/>
      <c r="V146" s="630"/>
      <c r="W146" s="630"/>
      <c r="X146" s="630"/>
      <c r="Y146" s="630"/>
      <c r="Z146" s="630"/>
      <c r="AA146" s="630"/>
      <c r="AB146" s="630"/>
      <c r="AC146" s="630"/>
      <c r="AD146" s="630"/>
      <c r="AE146" s="630"/>
      <c r="AF146" s="630"/>
      <c r="AG146" s="630"/>
      <c r="AH146" s="630"/>
      <c r="AI146" s="631"/>
      <c r="AJ146" s="629"/>
      <c r="AK146" s="630"/>
      <c r="AL146" s="630"/>
      <c r="AM146" s="630"/>
      <c r="AN146" s="630"/>
      <c r="AO146" s="630"/>
      <c r="AP146" s="631"/>
      <c r="AQ146" s="624"/>
      <c r="AR146" s="625"/>
      <c r="AS146" s="625"/>
      <c r="AT146" s="625"/>
      <c r="AU146" s="625"/>
      <c r="AV146" s="625"/>
      <c r="AW146" s="626"/>
      <c r="AX146" s="624"/>
      <c r="AY146" s="625"/>
      <c r="AZ146" s="625"/>
      <c r="BA146" s="625"/>
      <c r="BB146" s="625"/>
      <c r="BC146" s="625"/>
      <c r="BD146" s="626"/>
      <c r="BE146" s="619"/>
      <c r="BF146" s="620"/>
      <c r="BG146" s="619"/>
      <c r="BH146" s="620"/>
      <c r="BI146" s="619"/>
      <c r="BJ146" s="620"/>
      <c r="BK146" s="621"/>
      <c r="BL146" s="622"/>
      <c r="BM146" s="622"/>
      <c r="BN146" s="622"/>
      <c r="BO146" s="622"/>
      <c r="BP146" s="622"/>
      <c r="BQ146" s="622"/>
      <c r="BR146" s="622"/>
      <c r="BS146" s="622"/>
      <c r="BT146" s="622"/>
      <c r="BU146" s="622"/>
      <c r="BV146" s="622"/>
      <c r="BW146" s="622"/>
      <c r="BX146" s="622"/>
      <c r="BY146" s="622"/>
      <c r="BZ146" s="622"/>
      <c r="CA146" s="622"/>
      <c r="CB146" s="623"/>
      <c r="CC146" s="397"/>
      <c r="DG146" s="10"/>
      <c r="DH146" s="48"/>
      <c r="DI146" s="48"/>
      <c r="DJ146" s="48"/>
      <c r="DL146" s="10"/>
    </row>
    <row r="147" spans="2:133" ht="33.75" hidden="1" customHeight="1" outlineLevel="1">
      <c r="B147" s="397"/>
      <c r="C147" s="629"/>
      <c r="D147" s="630"/>
      <c r="E147" s="630"/>
      <c r="F147" s="630"/>
      <c r="G147" s="630"/>
      <c r="H147" s="630"/>
      <c r="I147" s="630"/>
      <c r="J147" s="630"/>
      <c r="K147" s="630"/>
      <c r="L147" s="630"/>
      <c r="M147" s="630"/>
      <c r="N147" s="630"/>
      <c r="O147" s="630"/>
      <c r="P147" s="630"/>
      <c r="Q147" s="630"/>
      <c r="R147" s="630"/>
      <c r="S147" s="630"/>
      <c r="T147" s="630"/>
      <c r="U147" s="630"/>
      <c r="V147" s="630"/>
      <c r="W147" s="630"/>
      <c r="X147" s="630"/>
      <c r="Y147" s="630"/>
      <c r="Z147" s="630"/>
      <c r="AA147" s="630"/>
      <c r="AB147" s="630"/>
      <c r="AC147" s="630"/>
      <c r="AD147" s="630"/>
      <c r="AE147" s="630"/>
      <c r="AF147" s="630"/>
      <c r="AG147" s="630"/>
      <c r="AH147" s="630"/>
      <c r="AI147" s="631"/>
      <c r="AJ147" s="629"/>
      <c r="AK147" s="630"/>
      <c r="AL147" s="630"/>
      <c r="AM147" s="630"/>
      <c r="AN147" s="630"/>
      <c r="AO147" s="630"/>
      <c r="AP147" s="631"/>
      <c r="AQ147" s="624"/>
      <c r="AR147" s="625"/>
      <c r="AS147" s="625"/>
      <c r="AT147" s="625"/>
      <c r="AU147" s="625"/>
      <c r="AV147" s="625"/>
      <c r="AW147" s="626"/>
      <c r="AX147" s="624"/>
      <c r="AY147" s="625"/>
      <c r="AZ147" s="625"/>
      <c r="BA147" s="625"/>
      <c r="BB147" s="625"/>
      <c r="BC147" s="625"/>
      <c r="BD147" s="626"/>
      <c r="BE147" s="627"/>
      <c r="BF147" s="628"/>
      <c r="BG147" s="627"/>
      <c r="BH147" s="628"/>
      <c r="BI147" s="627"/>
      <c r="BJ147" s="628"/>
      <c r="BK147" s="621"/>
      <c r="BL147" s="622"/>
      <c r="BM147" s="622"/>
      <c r="BN147" s="622"/>
      <c r="BO147" s="622"/>
      <c r="BP147" s="622"/>
      <c r="BQ147" s="622"/>
      <c r="BR147" s="622"/>
      <c r="BS147" s="622"/>
      <c r="BT147" s="622"/>
      <c r="BU147" s="622"/>
      <c r="BV147" s="622"/>
      <c r="BW147" s="622"/>
      <c r="BX147" s="622"/>
      <c r="BY147" s="622"/>
      <c r="BZ147" s="622"/>
      <c r="CA147" s="622"/>
      <c r="CB147" s="623"/>
      <c r="CC147" s="397"/>
      <c r="DG147" s="10"/>
      <c r="DH147" s="48"/>
      <c r="DI147" s="48"/>
      <c r="DJ147" s="48"/>
      <c r="DL147" s="10"/>
    </row>
    <row r="148" spans="2:133" ht="33.75" hidden="1" customHeight="1" outlineLevel="1">
      <c r="B148" s="397"/>
      <c r="C148" s="629"/>
      <c r="D148" s="630"/>
      <c r="E148" s="630"/>
      <c r="F148" s="630"/>
      <c r="G148" s="630"/>
      <c r="H148" s="630"/>
      <c r="I148" s="630"/>
      <c r="J148" s="630"/>
      <c r="K148" s="630"/>
      <c r="L148" s="630"/>
      <c r="M148" s="630"/>
      <c r="N148" s="630"/>
      <c r="O148" s="630"/>
      <c r="P148" s="630"/>
      <c r="Q148" s="630"/>
      <c r="R148" s="630"/>
      <c r="S148" s="630"/>
      <c r="T148" s="630"/>
      <c r="U148" s="630"/>
      <c r="V148" s="630"/>
      <c r="W148" s="630"/>
      <c r="X148" s="630"/>
      <c r="Y148" s="630"/>
      <c r="Z148" s="630"/>
      <c r="AA148" s="630"/>
      <c r="AB148" s="630"/>
      <c r="AC148" s="630"/>
      <c r="AD148" s="630"/>
      <c r="AE148" s="630"/>
      <c r="AF148" s="630"/>
      <c r="AG148" s="630"/>
      <c r="AH148" s="630"/>
      <c r="AI148" s="631"/>
      <c r="AJ148" s="629"/>
      <c r="AK148" s="630"/>
      <c r="AL148" s="630"/>
      <c r="AM148" s="630"/>
      <c r="AN148" s="630"/>
      <c r="AO148" s="630"/>
      <c r="AP148" s="631"/>
      <c r="AQ148" s="624"/>
      <c r="AR148" s="625"/>
      <c r="AS148" s="625"/>
      <c r="AT148" s="625"/>
      <c r="AU148" s="625"/>
      <c r="AV148" s="625"/>
      <c r="AW148" s="626"/>
      <c r="AX148" s="624"/>
      <c r="AY148" s="625"/>
      <c r="AZ148" s="625"/>
      <c r="BA148" s="625"/>
      <c r="BB148" s="625"/>
      <c r="BC148" s="625"/>
      <c r="BD148" s="626"/>
      <c r="BE148" s="627"/>
      <c r="BF148" s="628"/>
      <c r="BG148" s="627"/>
      <c r="BH148" s="628"/>
      <c r="BI148" s="627"/>
      <c r="BJ148" s="628"/>
      <c r="BK148" s="621"/>
      <c r="BL148" s="622"/>
      <c r="BM148" s="622"/>
      <c r="BN148" s="622"/>
      <c r="BO148" s="622"/>
      <c r="BP148" s="622"/>
      <c r="BQ148" s="622"/>
      <c r="BR148" s="622"/>
      <c r="BS148" s="622"/>
      <c r="BT148" s="622"/>
      <c r="BU148" s="622"/>
      <c r="BV148" s="622"/>
      <c r="BW148" s="622"/>
      <c r="BX148" s="622"/>
      <c r="BY148" s="622"/>
      <c r="BZ148" s="622"/>
      <c r="CA148" s="622"/>
      <c r="CB148" s="623"/>
      <c r="CC148" s="397"/>
      <c r="DG148" s="10"/>
      <c r="DH148" s="48"/>
      <c r="DI148" s="48"/>
      <c r="DJ148" s="48"/>
      <c r="DL148" s="10"/>
    </row>
    <row r="149" spans="2:133" ht="11.25" customHeight="1" collapsed="1">
      <c r="B149" s="279"/>
      <c r="C149" s="670" t="str">
        <f>VLOOKUP(2420,Languages!$A$5:$C$1032,Languages!$A$2,FALSE)</f>
        <v>Identification of o.k. delivery (single part, assembly, handling unit, ...)</v>
      </c>
      <c r="D149" s="671"/>
      <c r="E149" s="671"/>
      <c r="F149" s="671"/>
      <c r="G149" s="671"/>
      <c r="H149" s="671"/>
      <c r="I149" s="671"/>
      <c r="J149" s="671"/>
      <c r="K149" s="671"/>
      <c r="L149" s="671"/>
      <c r="M149" s="671"/>
      <c r="N149" s="671"/>
      <c r="O149" s="671"/>
      <c r="P149" s="671"/>
      <c r="Q149" s="671"/>
      <c r="R149" s="671"/>
      <c r="S149" s="671"/>
      <c r="T149" s="671"/>
      <c r="U149" s="671"/>
      <c r="V149" s="671"/>
      <c r="W149" s="671"/>
      <c r="X149" s="671"/>
      <c r="Y149" s="671"/>
      <c r="Z149" s="671"/>
      <c r="AA149" s="671"/>
      <c r="AB149" s="671"/>
      <c r="AC149" s="671"/>
      <c r="AD149" s="671"/>
      <c r="AE149" s="671"/>
      <c r="AF149" s="671"/>
      <c r="AG149" s="671"/>
      <c r="AH149" s="671"/>
      <c r="AI149" s="671"/>
      <c r="AJ149" s="671"/>
      <c r="AK149" s="671"/>
      <c r="AL149" s="671"/>
      <c r="AM149" s="671"/>
      <c r="AN149" s="671"/>
      <c r="AO149" s="671"/>
      <c r="AP149" s="671"/>
      <c r="AQ149" s="671"/>
      <c r="AR149" s="671"/>
      <c r="AS149" s="671"/>
      <c r="AT149" s="671"/>
      <c r="AU149" s="671"/>
      <c r="AV149" s="671"/>
      <c r="AW149" s="671"/>
      <c r="AX149" s="671"/>
      <c r="AY149" s="671"/>
      <c r="AZ149" s="671"/>
      <c r="BA149" s="671"/>
      <c r="BB149" s="671"/>
      <c r="BC149" s="671"/>
      <c r="BD149" s="671"/>
      <c r="BE149" s="671"/>
      <c r="BF149" s="671"/>
      <c r="BG149" s="671"/>
      <c r="BH149" s="671"/>
      <c r="BI149" s="671"/>
      <c r="BJ149" s="671"/>
      <c r="BK149" s="671"/>
      <c r="BL149" s="671"/>
      <c r="BM149" s="671"/>
      <c r="BN149" s="671"/>
      <c r="BO149" s="671"/>
      <c r="BP149" s="671"/>
      <c r="BQ149" s="671"/>
      <c r="BR149" s="671"/>
      <c r="BS149" s="671"/>
      <c r="BT149" s="671"/>
      <c r="BU149" s="671"/>
      <c r="BV149" s="671"/>
      <c r="BW149" s="671"/>
      <c r="BX149" s="671"/>
      <c r="BY149" s="671"/>
      <c r="BZ149" s="671"/>
      <c r="CA149" s="671"/>
      <c r="CB149" s="672"/>
      <c r="CC149" s="279"/>
      <c r="DG149" s="10"/>
      <c r="DH149" s="48"/>
      <c r="DI149" s="48"/>
      <c r="DJ149" s="48"/>
      <c r="DL149" s="10"/>
    </row>
    <row r="150" spans="2:133" ht="11.25" customHeight="1">
      <c r="B150" s="279"/>
      <c r="C150" s="673"/>
      <c r="D150" s="674"/>
      <c r="E150" s="674"/>
      <c r="F150" s="674"/>
      <c r="G150" s="674"/>
      <c r="H150" s="674"/>
      <c r="I150" s="674"/>
      <c r="J150" s="674"/>
      <c r="K150" s="674"/>
      <c r="L150" s="674"/>
      <c r="M150" s="674"/>
      <c r="N150" s="674"/>
      <c r="O150" s="674"/>
      <c r="P150" s="674"/>
      <c r="Q150" s="674"/>
      <c r="R150" s="674"/>
      <c r="S150" s="674"/>
      <c r="T150" s="674"/>
      <c r="U150" s="674"/>
      <c r="V150" s="674"/>
      <c r="W150" s="674"/>
      <c r="X150" s="674"/>
      <c r="Y150" s="674"/>
      <c r="Z150" s="674"/>
      <c r="AA150" s="674"/>
      <c r="AB150" s="674"/>
      <c r="AC150" s="674"/>
      <c r="AD150" s="674"/>
      <c r="AE150" s="674"/>
      <c r="AF150" s="674"/>
      <c r="AG150" s="674"/>
      <c r="AH150" s="674"/>
      <c r="AI150" s="674"/>
      <c r="AJ150" s="674"/>
      <c r="AK150" s="674"/>
      <c r="AL150" s="674"/>
      <c r="AM150" s="674"/>
      <c r="AN150" s="674"/>
      <c r="AO150" s="674"/>
      <c r="AP150" s="674"/>
      <c r="AQ150" s="674"/>
      <c r="AR150" s="674"/>
      <c r="AS150" s="674"/>
      <c r="AT150" s="674"/>
      <c r="AU150" s="674"/>
      <c r="AV150" s="674"/>
      <c r="AW150" s="674"/>
      <c r="AX150" s="674"/>
      <c r="AY150" s="674"/>
      <c r="AZ150" s="674"/>
      <c r="BA150" s="674"/>
      <c r="BB150" s="674"/>
      <c r="BC150" s="674"/>
      <c r="BD150" s="674"/>
      <c r="BE150" s="674"/>
      <c r="BF150" s="674"/>
      <c r="BG150" s="674"/>
      <c r="BH150" s="674"/>
      <c r="BI150" s="674"/>
      <c r="BJ150" s="674"/>
      <c r="BK150" s="674"/>
      <c r="BL150" s="674"/>
      <c r="BM150" s="674"/>
      <c r="BN150" s="674"/>
      <c r="BO150" s="674"/>
      <c r="BP150" s="674"/>
      <c r="BQ150" s="674"/>
      <c r="BR150" s="674"/>
      <c r="BS150" s="674"/>
      <c r="BT150" s="674"/>
      <c r="BU150" s="674"/>
      <c r="BV150" s="674"/>
      <c r="BW150" s="674"/>
      <c r="BX150" s="674"/>
      <c r="BY150" s="674"/>
      <c r="BZ150" s="674"/>
      <c r="CA150" s="674"/>
      <c r="CB150" s="675"/>
      <c r="CC150" s="279"/>
      <c r="DG150" s="10"/>
      <c r="DH150" s="48"/>
      <c r="DI150" s="48"/>
      <c r="DJ150" s="48"/>
      <c r="DL150" s="10"/>
    </row>
    <row r="151" spans="2:133" ht="11.25" customHeight="1">
      <c r="B151" s="279"/>
      <c r="C151" s="632" t="str">
        <f>VLOOKUP(2421,Languages!$A$5:$C$1032,Languages!$A$2,FALSE)</f>
        <v>Identification</v>
      </c>
      <c r="D151" s="633"/>
      <c r="E151" s="633"/>
      <c r="F151" s="633"/>
      <c r="G151" s="633"/>
      <c r="H151" s="633"/>
      <c r="I151" s="633"/>
      <c r="J151" s="633"/>
      <c r="K151" s="633"/>
      <c r="L151" s="633"/>
      <c r="M151" s="633"/>
      <c r="N151" s="633"/>
      <c r="O151" s="633"/>
      <c r="P151" s="633"/>
      <c r="Q151" s="633"/>
      <c r="R151" s="633"/>
      <c r="S151" s="633"/>
      <c r="T151" s="633"/>
      <c r="U151" s="633"/>
      <c r="V151" s="633"/>
      <c r="W151" s="633"/>
      <c r="X151" s="633"/>
      <c r="Y151" s="633"/>
      <c r="Z151" s="633"/>
      <c r="AA151" s="633"/>
      <c r="AB151" s="633"/>
      <c r="AC151" s="633"/>
      <c r="AD151" s="633"/>
      <c r="AE151" s="633"/>
      <c r="AF151" s="633"/>
      <c r="AG151" s="633"/>
      <c r="AH151" s="633"/>
      <c r="AI151" s="634"/>
      <c r="AJ151" s="632" t="str">
        <f>VLOOKUP(2422,Languages!$A$5:$C$1032,Languages!$A$2,FALSE)</f>
        <v>Responsible</v>
      </c>
      <c r="AK151" s="633"/>
      <c r="AL151" s="633"/>
      <c r="AM151" s="633"/>
      <c r="AN151" s="633"/>
      <c r="AO151" s="633"/>
      <c r="AP151" s="634"/>
      <c r="AQ151" s="632" t="str">
        <f>VLOOKUP(2423,Languages!$A$5:$C$1032,Languages!$A$2,FALSE)</f>
        <v>Date of delivery</v>
      </c>
      <c r="AR151" s="633"/>
      <c r="AS151" s="633"/>
      <c r="AT151" s="633"/>
      <c r="AU151" s="633"/>
      <c r="AV151" s="633"/>
      <c r="AW151" s="634"/>
      <c r="AX151" s="641" t="str">
        <f>VLOOKUP(2424,Languages!$A$5:$C$1032,Languages!$A$2,FALSE)</f>
        <v>Delivery note no.</v>
      </c>
      <c r="AY151" s="642"/>
      <c r="AZ151" s="642"/>
      <c r="BA151" s="642"/>
      <c r="BB151" s="642"/>
      <c r="BC151" s="642"/>
      <c r="BD151" s="643"/>
      <c r="BE151" s="632" t="str">
        <f>VLOOKUP(2425,Languages!$A$5:$C$1032,Languages!$A$2,FALSE)</f>
        <v>Status</v>
      </c>
      <c r="BF151" s="633"/>
      <c r="BG151" s="633"/>
      <c r="BH151" s="633"/>
      <c r="BI151" s="633"/>
      <c r="BJ151" s="634"/>
      <c r="BK151" s="750" t="str">
        <f>VLOOKUP(2426,Languages!$A$5:$C$1032,Languages!$A$2,FALSE)</f>
        <v>Remarks</v>
      </c>
      <c r="BL151" s="751"/>
      <c r="BM151" s="751"/>
      <c r="BN151" s="751"/>
      <c r="BO151" s="751"/>
      <c r="BP151" s="751"/>
      <c r="BQ151" s="751"/>
      <c r="BR151" s="751"/>
      <c r="BS151" s="751"/>
      <c r="BT151" s="751"/>
      <c r="BU151" s="751"/>
      <c r="BV151" s="751"/>
      <c r="BW151" s="751"/>
      <c r="BX151" s="751"/>
      <c r="BY151" s="751"/>
      <c r="BZ151" s="751"/>
      <c r="CA151" s="751"/>
      <c r="CB151" s="752"/>
      <c r="CC151" s="279"/>
      <c r="DG151" s="10"/>
      <c r="DH151" s="48"/>
      <c r="DI151" s="48"/>
      <c r="DJ151" s="48"/>
      <c r="DL151" s="10"/>
    </row>
    <row r="152" spans="2:133" ht="11.25" customHeight="1">
      <c r="B152" s="279"/>
      <c r="C152" s="635"/>
      <c r="D152" s="636"/>
      <c r="E152" s="636"/>
      <c r="F152" s="636"/>
      <c r="G152" s="636"/>
      <c r="H152" s="636"/>
      <c r="I152" s="636"/>
      <c r="J152" s="636"/>
      <c r="K152" s="636"/>
      <c r="L152" s="636"/>
      <c r="M152" s="636"/>
      <c r="N152" s="636"/>
      <c r="O152" s="636"/>
      <c r="P152" s="636"/>
      <c r="Q152" s="636"/>
      <c r="R152" s="636"/>
      <c r="S152" s="636"/>
      <c r="T152" s="636"/>
      <c r="U152" s="636"/>
      <c r="V152" s="636"/>
      <c r="W152" s="636"/>
      <c r="X152" s="636"/>
      <c r="Y152" s="636"/>
      <c r="Z152" s="636"/>
      <c r="AA152" s="636"/>
      <c r="AB152" s="636"/>
      <c r="AC152" s="636"/>
      <c r="AD152" s="636"/>
      <c r="AE152" s="636"/>
      <c r="AF152" s="636"/>
      <c r="AG152" s="636"/>
      <c r="AH152" s="636"/>
      <c r="AI152" s="637"/>
      <c r="AJ152" s="635"/>
      <c r="AK152" s="636"/>
      <c r="AL152" s="636"/>
      <c r="AM152" s="636"/>
      <c r="AN152" s="636"/>
      <c r="AO152" s="636"/>
      <c r="AP152" s="637"/>
      <c r="AQ152" s="635"/>
      <c r="AR152" s="636"/>
      <c r="AS152" s="636"/>
      <c r="AT152" s="636"/>
      <c r="AU152" s="636"/>
      <c r="AV152" s="636"/>
      <c r="AW152" s="637"/>
      <c r="AX152" s="644"/>
      <c r="AY152" s="645"/>
      <c r="AZ152" s="645"/>
      <c r="BA152" s="645"/>
      <c r="BB152" s="645"/>
      <c r="BC152" s="645"/>
      <c r="BD152" s="646"/>
      <c r="BE152" s="635"/>
      <c r="BF152" s="636"/>
      <c r="BG152" s="636"/>
      <c r="BH152" s="636"/>
      <c r="BI152" s="636"/>
      <c r="BJ152" s="637"/>
      <c r="BK152" s="753"/>
      <c r="BL152" s="754"/>
      <c r="BM152" s="754"/>
      <c r="BN152" s="754"/>
      <c r="BO152" s="754"/>
      <c r="BP152" s="754"/>
      <c r="BQ152" s="754"/>
      <c r="BR152" s="754"/>
      <c r="BS152" s="754"/>
      <c r="BT152" s="754"/>
      <c r="BU152" s="754"/>
      <c r="BV152" s="754"/>
      <c r="BW152" s="754"/>
      <c r="BX152" s="754"/>
      <c r="BY152" s="754"/>
      <c r="BZ152" s="754"/>
      <c r="CA152" s="754"/>
      <c r="CB152" s="755"/>
      <c r="CC152" s="279"/>
      <c r="DG152" s="10"/>
      <c r="DH152" s="48"/>
      <c r="DI152" s="48"/>
      <c r="DJ152" s="10"/>
      <c r="DL152" s="10"/>
      <c r="DM152" s="13"/>
      <c r="DS152" s="16"/>
      <c r="DT152" s="16"/>
      <c r="DU152" s="16"/>
      <c r="DV152" s="16"/>
      <c r="DW152" s="16"/>
      <c r="DX152" s="16"/>
      <c r="DY152" s="16"/>
      <c r="DZ152" s="16"/>
      <c r="EA152" s="16"/>
      <c r="EB152" s="16"/>
      <c r="EC152" s="16"/>
    </row>
    <row r="153" spans="2:133" ht="11.25" customHeight="1">
      <c r="B153" s="279"/>
      <c r="C153" s="638"/>
      <c r="D153" s="639"/>
      <c r="E153" s="639"/>
      <c r="F153" s="639"/>
      <c r="G153" s="639"/>
      <c r="H153" s="639"/>
      <c r="I153" s="639"/>
      <c r="J153" s="639"/>
      <c r="K153" s="639"/>
      <c r="L153" s="639"/>
      <c r="M153" s="639"/>
      <c r="N153" s="639"/>
      <c r="O153" s="639"/>
      <c r="P153" s="639"/>
      <c r="Q153" s="639"/>
      <c r="R153" s="639"/>
      <c r="S153" s="639"/>
      <c r="T153" s="639"/>
      <c r="U153" s="639"/>
      <c r="V153" s="639"/>
      <c r="W153" s="639"/>
      <c r="X153" s="639"/>
      <c r="Y153" s="639"/>
      <c r="Z153" s="639"/>
      <c r="AA153" s="639"/>
      <c r="AB153" s="639"/>
      <c r="AC153" s="639"/>
      <c r="AD153" s="639"/>
      <c r="AE153" s="639"/>
      <c r="AF153" s="639"/>
      <c r="AG153" s="639"/>
      <c r="AH153" s="639"/>
      <c r="AI153" s="640"/>
      <c r="AJ153" s="638"/>
      <c r="AK153" s="639"/>
      <c r="AL153" s="639"/>
      <c r="AM153" s="639"/>
      <c r="AN153" s="639"/>
      <c r="AO153" s="639"/>
      <c r="AP153" s="640"/>
      <c r="AQ153" s="638"/>
      <c r="AR153" s="639"/>
      <c r="AS153" s="639"/>
      <c r="AT153" s="639"/>
      <c r="AU153" s="639"/>
      <c r="AV153" s="639"/>
      <c r="AW153" s="640"/>
      <c r="AX153" s="647"/>
      <c r="AY153" s="648"/>
      <c r="AZ153" s="648"/>
      <c r="BA153" s="648"/>
      <c r="BB153" s="648"/>
      <c r="BC153" s="648"/>
      <c r="BD153" s="649"/>
      <c r="BE153" s="638"/>
      <c r="BF153" s="639"/>
      <c r="BG153" s="639"/>
      <c r="BH153" s="639"/>
      <c r="BI153" s="639"/>
      <c r="BJ153" s="640"/>
      <c r="BK153" s="756"/>
      <c r="BL153" s="757"/>
      <c r="BM153" s="757"/>
      <c r="BN153" s="757"/>
      <c r="BO153" s="757"/>
      <c r="BP153" s="757"/>
      <c r="BQ153" s="757"/>
      <c r="BR153" s="757"/>
      <c r="BS153" s="757"/>
      <c r="BT153" s="757"/>
      <c r="BU153" s="757"/>
      <c r="BV153" s="757"/>
      <c r="BW153" s="757"/>
      <c r="BX153" s="757"/>
      <c r="BY153" s="757"/>
      <c r="BZ153" s="757"/>
      <c r="CA153" s="757"/>
      <c r="CB153" s="758"/>
      <c r="CC153" s="279"/>
      <c r="DG153" s="10"/>
      <c r="DH153" s="48"/>
      <c r="DI153" s="48"/>
      <c r="DJ153" s="10"/>
      <c r="DL153" s="10"/>
      <c r="DM153" s="13"/>
      <c r="DS153" s="16"/>
      <c r="DT153" s="16"/>
      <c r="DU153" s="16"/>
      <c r="DV153" s="16"/>
      <c r="DW153" s="16"/>
      <c r="DX153" s="16"/>
      <c r="DY153" s="16"/>
      <c r="DZ153" s="16"/>
      <c r="EA153" s="16"/>
      <c r="EB153" s="16"/>
      <c r="EC153" s="16"/>
    </row>
    <row r="154" spans="2:133" ht="33.75" customHeight="1">
      <c r="B154" s="279"/>
      <c r="C154" s="629"/>
      <c r="D154" s="630"/>
      <c r="E154" s="630"/>
      <c r="F154" s="630"/>
      <c r="G154" s="630"/>
      <c r="H154" s="630"/>
      <c r="I154" s="630"/>
      <c r="J154" s="630"/>
      <c r="K154" s="630"/>
      <c r="L154" s="630"/>
      <c r="M154" s="630"/>
      <c r="N154" s="630"/>
      <c r="O154" s="630"/>
      <c r="P154" s="630"/>
      <c r="Q154" s="630"/>
      <c r="R154" s="630"/>
      <c r="S154" s="630"/>
      <c r="T154" s="630"/>
      <c r="U154" s="630"/>
      <c r="V154" s="630"/>
      <c r="W154" s="630"/>
      <c r="X154" s="630"/>
      <c r="Y154" s="630"/>
      <c r="Z154" s="630"/>
      <c r="AA154" s="630"/>
      <c r="AB154" s="630"/>
      <c r="AC154" s="630"/>
      <c r="AD154" s="630"/>
      <c r="AE154" s="630"/>
      <c r="AF154" s="630"/>
      <c r="AG154" s="630"/>
      <c r="AH154" s="630"/>
      <c r="AI154" s="631"/>
      <c r="AJ154" s="629"/>
      <c r="AK154" s="630"/>
      <c r="AL154" s="630"/>
      <c r="AM154" s="630"/>
      <c r="AN154" s="630"/>
      <c r="AO154" s="630"/>
      <c r="AP154" s="631"/>
      <c r="AQ154" s="624"/>
      <c r="AR154" s="625"/>
      <c r="AS154" s="625"/>
      <c r="AT154" s="625"/>
      <c r="AU154" s="625"/>
      <c r="AV154" s="625"/>
      <c r="AW154" s="626"/>
      <c r="AX154" s="624"/>
      <c r="AY154" s="625"/>
      <c r="AZ154" s="625"/>
      <c r="BA154" s="625"/>
      <c r="BB154" s="625"/>
      <c r="BC154" s="625"/>
      <c r="BD154" s="626"/>
      <c r="BE154" s="619"/>
      <c r="BF154" s="620"/>
      <c r="BG154" s="619"/>
      <c r="BH154" s="620"/>
      <c r="BI154" s="619"/>
      <c r="BJ154" s="620"/>
      <c r="BK154" s="621"/>
      <c r="BL154" s="622"/>
      <c r="BM154" s="622"/>
      <c r="BN154" s="622"/>
      <c r="BO154" s="622"/>
      <c r="BP154" s="622"/>
      <c r="BQ154" s="622"/>
      <c r="BR154" s="622"/>
      <c r="BS154" s="622"/>
      <c r="BT154" s="622"/>
      <c r="BU154" s="622"/>
      <c r="BV154" s="622"/>
      <c r="BW154" s="622"/>
      <c r="BX154" s="622"/>
      <c r="BY154" s="622"/>
      <c r="BZ154" s="622"/>
      <c r="CA154" s="622"/>
      <c r="CB154" s="623"/>
      <c r="CC154" s="279"/>
      <c r="DG154" s="10"/>
      <c r="DH154" s="48"/>
      <c r="DI154" s="48"/>
      <c r="DL154" s="10"/>
      <c r="DM154" s="13"/>
      <c r="DS154" s="16"/>
      <c r="DT154" s="16"/>
      <c r="DU154" s="16"/>
      <c r="DV154" s="16"/>
      <c r="DW154" s="16"/>
      <c r="DX154" s="16"/>
      <c r="DY154" s="16"/>
      <c r="DZ154" s="16"/>
      <c r="EA154" s="16"/>
      <c r="EB154" s="16"/>
      <c r="EC154" s="16"/>
    </row>
    <row r="155" spans="2:133" ht="33.75" customHeight="1">
      <c r="B155" s="313"/>
      <c r="C155" s="629"/>
      <c r="D155" s="630"/>
      <c r="E155" s="630"/>
      <c r="F155" s="630"/>
      <c r="G155" s="630"/>
      <c r="H155" s="630"/>
      <c r="I155" s="630"/>
      <c r="J155" s="630"/>
      <c r="K155" s="630"/>
      <c r="L155" s="630"/>
      <c r="M155" s="630"/>
      <c r="N155" s="630"/>
      <c r="O155" s="630"/>
      <c r="P155" s="630"/>
      <c r="Q155" s="630"/>
      <c r="R155" s="630"/>
      <c r="S155" s="630"/>
      <c r="T155" s="630"/>
      <c r="U155" s="630"/>
      <c r="V155" s="630"/>
      <c r="W155" s="630"/>
      <c r="X155" s="630"/>
      <c r="Y155" s="630"/>
      <c r="Z155" s="630"/>
      <c r="AA155" s="630"/>
      <c r="AB155" s="630"/>
      <c r="AC155" s="630"/>
      <c r="AD155" s="630"/>
      <c r="AE155" s="630"/>
      <c r="AF155" s="630"/>
      <c r="AG155" s="630"/>
      <c r="AH155" s="630"/>
      <c r="AI155" s="631"/>
      <c r="AJ155" s="629"/>
      <c r="AK155" s="630"/>
      <c r="AL155" s="630"/>
      <c r="AM155" s="630"/>
      <c r="AN155" s="630"/>
      <c r="AO155" s="630"/>
      <c r="AP155" s="631"/>
      <c r="AQ155" s="624"/>
      <c r="AR155" s="625"/>
      <c r="AS155" s="625"/>
      <c r="AT155" s="625"/>
      <c r="AU155" s="625"/>
      <c r="AV155" s="625"/>
      <c r="AW155" s="626"/>
      <c r="AX155" s="624"/>
      <c r="AY155" s="625"/>
      <c r="AZ155" s="625"/>
      <c r="BA155" s="625"/>
      <c r="BB155" s="625"/>
      <c r="BC155" s="625"/>
      <c r="BD155" s="626"/>
      <c r="BE155" s="619"/>
      <c r="BF155" s="620"/>
      <c r="BG155" s="619"/>
      <c r="BH155" s="620"/>
      <c r="BI155" s="619"/>
      <c r="BJ155" s="620"/>
      <c r="BK155" s="621"/>
      <c r="BL155" s="622"/>
      <c r="BM155" s="622"/>
      <c r="BN155" s="622"/>
      <c r="BO155" s="622"/>
      <c r="BP155" s="622"/>
      <c r="BQ155" s="622"/>
      <c r="BR155" s="622"/>
      <c r="BS155" s="622"/>
      <c r="BT155" s="622"/>
      <c r="BU155" s="622"/>
      <c r="BV155" s="622"/>
      <c r="BW155" s="622"/>
      <c r="BX155" s="622"/>
      <c r="BY155" s="622"/>
      <c r="BZ155" s="622"/>
      <c r="CA155" s="622"/>
      <c r="CB155" s="623"/>
      <c r="CC155" s="279"/>
      <c r="DG155" s="10"/>
      <c r="DH155" s="48"/>
      <c r="DI155" s="48"/>
      <c r="DJ155" s="10"/>
      <c r="DK155" s="24"/>
      <c r="DL155" s="24"/>
      <c r="DM155" s="24"/>
      <c r="DN155" s="24"/>
    </row>
    <row r="156" spans="2:133" ht="33.75" customHeight="1">
      <c r="B156" s="205"/>
      <c r="C156" s="629"/>
      <c r="D156" s="630"/>
      <c r="E156" s="630"/>
      <c r="F156" s="630"/>
      <c r="G156" s="630"/>
      <c r="H156" s="630"/>
      <c r="I156" s="630"/>
      <c r="J156" s="630"/>
      <c r="K156" s="630"/>
      <c r="L156" s="630"/>
      <c r="M156" s="630"/>
      <c r="N156" s="630"/>
      <c r="O156" s="630"/>
      <c r="P156" s="630"/>
      <c r="Q156" s="630"/>
      <c r="R156" s="630"/>
      <c r="S156" s="630"/>
      <c r="T156" s="630"/>
      <c r="U156" s="630"/>
      <c r="V156" s="630"/>
      <c r="W156" s="630"/>
      <c r="X156" s="630"/>
      <c r="Y156" s="630"/>
      <c r="Z156" s="630"/>
      <c r="AA156" s="630"/>
      <c r="AB156" s="630"/>
      <c r="AC156" s="630"/>
      <c r="AD156" s="630"/>
      <c r="AE156" s="630"/>
      <c r="AF156" s="630"/>
      <c r="AG156" s="630"/>
      <c r="AH156" s="630"/>
      <c r="AI156" s="631"/>
      <c r="AJ156" s="629"/>
      <c r="AK156" s="630"/>
      <c r="AL156" s="630"/>
      <c r="AM156" s="630"/>
      <c r="AN156" s="630"/>
      <c r="AO156" s="630"/>
      <c r="AP156" s="631"/>
      <c r="AQ156" s="624"/>
      <c r="AR156" s="625"/>
      <c r="AS156" s="625"/>
      <c r="AT156" s="625"/>
      <c r="AU156" s="625"/>
      <c r="AV156" s="625"/>
      <c r="AW156" s="626"/>
      <c r="AX156" s="624"/>
      <c r="AY156" s="625"/>
      <c r="AZ156" s="625"/>
      <c r="BA156" s="625"/>
      <c r="BB156" s="625"/>
      <c r="BC156" s="625"/>
      <c r="BD156" s="626"/>
      <c r="BE156" s="619"/>
      <c r="BF156" s="620"/>
      <c r="BG156" s="619"/>
      <c r="BH156" s="620"/>
      <c r="BI156" s="619"/>
      <c r="BJ156" s="620"/>
      <c r="BK156" s="621"/>
      <c r="BL156" s="622"/>
      <c r="BM156" s="622"/>
      <c r="BN156" s="622"/>
      <c r="BO156" s="622"/>
      <c r="BP156" s="622"/>
      <c r="BQ156" s="622"/>
      <c r="BR156" s="622"/>
      <c r="BS156" s="622"/>
      <c r="BT156" s="622"/>
      <c r="BU156" s="622"/>
      <c r="BV156" s="622"/>
      <c r="BW156" s="622"/>
      <c r="BX156" s="622"/>
      <c r="BY156" s="622"/>
      <c r="BZ156" s="622"/>
      <c r="CA156" s="622"/>
      <c r="CB156" s="623"/>
      <c r="CC156" s="375"/>
      <c r="DG156" s="10"/>
      <c r="DH156" s="110"/>
      <c r="DI156" s="110"/>
      <c r="DJ156" s="253"/>
      <c r="DK156" s="13"/>
      <c r="DL156" s="13"/>
      <c r="DM156" s="13"/>
    </row>
    <row r="157" spans="2:133" ht="11.25" customHeight="1">
      <c r="B157" s="205"/>
      <c r="C157" s="789"/>
      <c r="D157" s="789"/>
      <c r="E157" s="789"/>
      <c r="F157" s="789"/>
      <c r="G157" s="789"/>
      <c r="H157" s="789"/>
      <c r="I157" s="789"/>
      <c r="J157" s="789"/>
      <c r="K157" s="789"/>
      <c r="L157" s="789"/>
      <c r="M157" s="789"/>
      <c r="N157" s="789"/>
      <c r="O157" s="789"/>
      <c r="P157" s="789"/>
      <c r="Q157" s="789"/>
      <c r="R157" s="789"/>
      <c r="S157" s="789"/>
      <c r="T157" s="789"/>
      <c r="U157" s="789"/>
      <c r="V157" s="789"/>
      <c r="W157" s="789"/>
      <c r="X157" s="789"/>
      <c r="Y157" s="789"/>
      <c r="Z157" s="789"/>
      <c r="AA157" s="789"/>
      <c r="AB157" s="789"/>
      <c r="AC157" s="789"/>
      <c r="AD157" s="789"/>
      <c r="AE157" s="789"/>
      <c r="AF157" s="789"/>
      <c r="AG157" s="789"/>
      <c r="AH157" s="789"/>
      <c r="AI157" s="789"/>
      <c r="AJ157" s="789"/>
      <c r="AK157" s="789"/>
      <c r="AL157" s="789"/>
      <c r="AM157" s="789"/>
      <c r="AN157" s="789"/>
      <c r="AO157" s="789"/>
      <c r="AP157" s="789"/>
      <c r="AQ157" s="789"/>
      <c r="AR157" s="789"/>
      <c r="AS157" s="789"/>
      <c r="AT157" s="789"/>
      <c r="AU157" s="789"/>
      <c r="AV157" s="789"/>
      <c r="AW157" s="789"/>
      <c r="AX157" s="789"/>
      <c r="AY157" s="789"/>
      <c r="AZ157" s="789"/>
      <c r="BA157" s="789"/>
      <c r="BB157" s="789"/>
      <c r="BC157" s="789"/>
      <c r="BD157" s="789"/>
      <c r="BE157" s="789"/>
      <c r="BF157" s="789"/>
      <c r="BG157" s="789"/>
      <c r="BH157" s="789"/>
      <c r="BI157" s="789"/>
      <c r="BJ157" s="789"/>
      <c r="BK157" s="789"/>
      <c r="BL157" s="789"/>
      <c r="BM157" s="789"/>
      <c r="BN157" s="789"/>
      <c r="BO157" s="789"/>
      <c r="BP157" s="789"/>
      <c r="BQ157" s="789"/>
      <c r="BR157" s="789"/>
      <c r="BS157" s="789"/>
      <c r="BT157" s="789"/>
      <c r="BU157" s="789"/>
      <c r="BV157" s="789"/>
      <c r="BW157" s="789"/>
      <c r="BX157" s="789"/>
      <c r="BY157" s="789"/>
      <c r="BZ157" s="789"/>
      <c r="CA157" s="789"/>
      <c r="CB157" s="789"/>
      <c r="CC157" s="279"/>
      <c r="DG157" s="10"/>
      <c r="DH157" s="110"/>
      <c r="DI157" s="110"/>
      <c r="DJ157" s="253"/>
      <c r="DK157" s="13"/>
      <c r="DL157" s="13"/>
      <c r="DM157" s="13"/>
    </row>
    <row r="158" spans="2:133" ht="11.25" customHeight="1" thickBot="1">
      <c r="B158" s="205"/>
      <c r="C158" s="787"/>
      <c r="D158" s="787"/>
      <c r="E158" s="787"/>
      <c r="F158" s="787"/>
      <c r="G158" s="787"/>
      <c r="H158" s="787"/>
      <c r="I158" s="787"/>
      <c r="J158" s="787"/>
      <c r="K158" s="787"/>
      <c r="L158" s="787"/>
      <c r="M158" s="787"/>
      <c r="N158" s="787"/>
      <c r="O158" s="787"/>
      <c r="P158" s="787"/>
      <c r="Q158" s="787"/>
      <c r="R158" s="787"/>
      <c r="S158" s="787"/>
      <c r="T158" s="787"/>
      <c r="U158" s="787"/>
      <c r="V158" s="787"/>
      <c r="W158" s="787"/>
      <c r="X158" s="787"/>
      <c r="Y158" s="787"/>
      <c r="Z158" s="787"/>
      <c r="AA158" s="787"/>
      <c r="AB158" s="787"/>
      <c r="AC158" s="787"/>
      <c r="AD158" s="787"/>
      <c r="AE158" s="787"/>
      <c r="AF158" s="787"/>
      <c r="AG158" s="787"/>
      <c r="AH158" s="787"/>
      <c r="AI158" s="787"/>
      <c r="AJ158" s="787"/>
      <c r="AK158" s="787"/>
      <c r="AL158" s="787"/>
      <c r="AM158" s="787"/>
      <c r="AN158" s="787"/>
      <c r="AO158" s="787"/>
      <c r="AP158" s="787"/>
      <c r="AQ158" s="787"/>
      <c r="AR158" s="787"/>
      <c r="AS158" s="787"/>
      <c r="AT158" s="787"/>
      <c r="AU158" s="787"/>
      <c r="AV158" s="787"/>
      <c r="AW158" s="787"/>
      <c r="AX158" s="787"/>
      <c r="AY158" s="787"/>
      <c r="AZ158" s="787"/>
      <c r="BA158" s="787"/>
      <c r="BB158" s="787"/>
      <c r="BC158" s="787"/>
      <c r="BD158" s="787"/>
      <c r="BE158" s="787"/>
      <c r="BF158" s="787"/>
      <c r="BG158" s="787"/>
      <c r="BH158" s="787"/>
      <c r="BI158" s="787"/>
      <c r="BJ158" s="787"/>
      <c r="BK158" s="787"/>
      <c r="BL158" s="787"/>
      <c r="BM158" s="787"/>
      <c r="BN158" s="787"/>
      <c r="BO158" s="787"/>
      <c r="BP158" s="787"/>
      <c r="BQ158" s="787"/>
      <c r="BR158" s="787"/>
      <c r="BS158" s="787"/>
      <c r="BT158" s="787"/>
      <c r="BU158" s="787"/>
      <c r="BV158" s="787"/>
      <c r="BW158" s="787"/>
      <c r="BX158" s="787"/>
      <c r="BY158" s="787"/>
      <c r="BZ158" s="787"/>
      <c r="CA158" s="787"/>
      <c r="CB158" s="787"/>
      <c r="CC158" s="279"/>
      <c r="DG158" s="10"/>
      <c r="DH158" s="110"/>
      <c r="DI158" s="110"/>
      <c r="DJ158" s="253"/>
      <c r="DK158" s="13"/>
      <c r="DL158" s="13"/>
      <c r="DM158" s="13"/>
    </row>
    <row r="159" spans="2:133" ht="11.25" customHeight="1">
      <c r="B159" s="205"/>
      <c r="C159" s="655" t="s">
        <v>36</v>
      </c>
      <c r="D159" s="656"/>
      <c r="E159" s="656"/>
      <c r="F159" s="656"/>
      <c r="G159" s="656"/>
      <c r="H159" s="656"/>
      <c r="I159" s="656"/>
      <c r="J159" s="656"/>
      <c r="K159" s="656"/>
      <c r="L159" s="656"/>
      <c r="M159" s="656"/>
      <c r="N159" s="656"/>
      <c r="O159" s="656"/>
      <c r="P159" s="656"/>
      <c r="Q159" s="656"/>
      <c r="R159" s="661" t="str">
        <f>VLOOKUP(2500,Languages!$A$5:$C$1032,Languages!$A$2,FALSE)</f>
        <v>Failure cause</v>
      </c>
      <c r="S159" s="661"/>
      <c r="T159" s="661"/>
      <c r="U159" s="661"/>
      <c r="V159" s="661"/>
      <c r="W159" s="661"/>
      <c r="X159" s="661"/>
      <c r="Y159" s="661"/>
      <c r="Z159" s="661"/>
      <c r="AA159" s="661"/>
      <c r="AB159" s="661"/>
      <c r="AC159" s="661"/>
      <c r="AD159" s="661"/>
      <c r="AE159" s="661"/>
      <c r="AF159" s="661"/>
      <c r="AG159" s="661"/>
      <c r="AH159" s="661"/>
      <c r="AI159" s="661"/>
      <c r="AJ159" s="661"/>
      <c r="AK159" s="661"/>
      <c r="AL159" s="661"/>
      <c r="AM159" s="661"/>
      <c r="AN159" s="661"/>
      <c r="AO159" s="661"/>
      <c r="AP159" s="661"/>
      <c r="AQ159" s="661"/>
      <c r="AR159" s="661"/>
      <c r="AS159" s="661"/>
      <c r="AT159" s="661"/>
      <c r="AU159" s="661"/>
      <c r="AV159" s="661"/>
      <c r="AW159" s="661"/>
      <c r="AX159" s="661"/>
      <c r="AY159" s="661"/>
      <c r="AZ159" s="661"/>
      <c r="BA159" s="661"/>
      <c r="BB159" s="661"/>
      <c r="BC159" s="661"/>
      <c r="BD159" s="661"/>
      <c r="BE159" s="661"/>
      <c r="BF159" s="661"/>
      <c r="BG159" s="661"/>
      <c r="BH159" s="661"/>
      <c r="BI159" s="661"/>
      <c r="BJ159" s="661"/>
      <c r="BK159" s="661"/>
      <c r="BL159" s="661"/>
      <c r="BM159" s="661"/>
      <c r="BN159" s="661"/>
      <c r="BO159" s="661"/>
      <c r="BP159" s="661"/>
      <c r="BQ159" s="661"/>
      <c r="BR159" s="661"/>
      <c r="BS159" s="661"/>
      <c r="BT159" s="661"/>
      <c r="BU159" s="661"/>
      <c r="BV159" s="661"/>
      <c r="BW159" s="661"/>
      <c r="BX159" s="661"/>
      <c r="BY159" s="661"/>
      <c r="BZ159" s="661"/>
      <c r="CA159" s="661"/>
      <c r="CB159" s="662"/>
      <c r="CC159" s="279"/>
      <c r="CE159" s="692" t="str">
        <f>VLOOKUP(2002,Languages!$A$5:$C$1032,Languages!$A$2,FALSE)</f>
        <v>Tool</v>
      </c>
      <c r="CF159" s="693"/>
      <c r="CG159" s="693"/>
      <c r="CH159" s="693"/>
      <c r="CI159" s="693"/>
      <c r="CJ159" s="693"/>
      <c r="CK159" s="693"/>
      <c r="CL159" s="693"/>
      <c r="CM159" s="693"/>
      <c r="CN159" s="693"/>
      <c r="CO159" s="693"/>
      <c r="CP159" s="693"/>
      <c r="CQ159" s="693"/>
      <c r="CR159" s="693"/>
      <c r="CS159" s="694"/>
      <c r="DG159" s="10"/>
      <c r="DH159" s="110"/>
      <c r="DI159" s="110"/>
      <c r="DJ159" s="253"/>
      <c r="DK159" s="13"/>
      <c r="DL159" s="13"/>
      <c r="DM159" s="13"/>
    </row>
    <row r="160" spans="2:133" ht="11.25" customHeight="1">
      <c r="B160" s="205"/>
      <c r="C160" s="657"/>
      <c r="D160" s="658"/>
      <c r="E160" s="658"/>
      <c r="F160" s="658"/>
      <c r="G160" s="658"/>
      <c r="H160" s="658"/>
      <c r="I160" s="658"/>
      <c r="J160" s="658"/>
      <c r="K160" s="658"/>
      <c r="L160" s="658"/>
      <c r="M160" s="658"/>
      <c r="N160" s="658"/>
      <c r="O160" s="658"/>
      <c r="P160" s="658"/>
      <c r="Q160" s="658"/>
      <c r="R160" s="663"/>
      <c r="S160" s="663"/>
      <c r="T160" s="663"/>
      <c r="U160" s="663"/>
      <c r="V160" s="663"/>
      <c r="W160" s="663"/>
      <c r="X160" s="663"/>
      <c r="Y160" s="663"/>
      <c r="Z160" s="663"/>
      <c r="AA160" s="663"/>
      <c r="AB160" s="663"/>
      <c r="AC160" s="663"/>
      <c r="AD160" s="663"/>
      <c r="AE160" s="663"/>
      <c r="AF160" s="663"/>
      <c r="AG160" s="663"/>
      <c r="AH160" s="663"/>
      <c r="AI160" s="663"/>
      <c r="AJ160" s="663"/>
      <c r="AK160" s="663"/>
      <c r="AL160" s="663"/>
      <c r="AM160" s="663"/>
      <c r="AN160" s="663"/>
      <c r="AO160" s="663"/>
      <c r="AP160" s="663"/>
      <c r="AQ160" s="663"/>
      <c r="AR160" s="663"/>
      <c r="AS160" s="663"/>
      <c r="AT160" s="663"/>
      <c r="AU160" s="663"/>
      <c r="AV160" s="663"/>
      <c r="AW160" s="663"/>
      <c r="AX160" s="663"/>
      <c r="AY160" s="663"/>
      <c r="AZ160" s="663"/>
      <c r="BA160" s="663"/>
      <c r="BB160" s="663"/>
      <c r="BC160" s="663"/>
      <c r="BD160" s="663"/>
      <c r="BE160" s="663"/>
      <c r="BF160" s="663"/>
      <c r="BG160" s="663"/>
      <c r="BH160" s="663"/>
      <c r="BI160" s="663"/>
      <c r="BJ160" s="663"/>
      <c r="BK160" s="663"/>
      <c r="BL160" s="663"/>
      <c r="BM160" s="663"/>
      <c r="BN160" s="663"/>
      <c r="BO160" s="663"/>
      <c r="BP160" s="663"/>
      <c r="BQ160" s="663"/>
      <c r="BR160" s="663"/>
      <c r="BS160" s="663"/>
      <c r="BT160" s="663"/>
      <c r="BU160" s="663"/>
      <c r="BV160" s="663"/>
      <c r="BW160" s="663"/>
      <c r="BX160" s="663"/>
      <c r="BY160" s="663"/>
      <c r="BZ160" s="663"/>
      <c r="CA160" s="663"/>
      <c r="CB160" s="664"/>
      <c r="CC160" s="279"/>
      <c r="CE160" s="695"/>
      <c r="CF160" s="696"/>
      <c r="CG160" s="696"/>
      <c r="CH160" s="696"/>
      <c r="CI160" s="696"/>
      <c r="CJ160" s="696"/>
      <c r="CK160" s="696"/>
      <c r="CL160" s="696"/>
      <c r="CM160" s="696"/>
      <c r="CN160" s="696"/>
      <c r="CO160" s="696"/>
      <c r="CP160" s="696"/>
      <c r="CQ160" s="696"/>
      <c r="CR160" s="696"/>
      <c r="CS160" s="697"/>
      <c r="DG160" s="10"/>
      <c r="DH160" s="110"/>
      <c r="DI160" s="110"/>
      <c r="DJ160" s="253"/>
      <c r="DK160" s="13"/>
      <c r="DL160" s="13"/>
      <c r="DM160" s="13"/>
    </row>
    <row r="161" spans="2:117" ht="11.25" customHeight="1">
      <c r="B161" s="205"/>
      <c r="C161" s="659"/>
      <c r="D161" s="660"/>
      <c r="E161" s="660"/>
      <c r="F161" s="660"/>
      <c r="G161" s="660"/>
      <c r="H161" s="660"/>
      <c r="I161" s="660"/>
      <c r="J161" s="660"/>
      <c r="K161" s="660"/>
      <c r="L161" s="660"/>
      <c r="M161" s="660"/>
      <c r="N161" s="660"/>
      <c r="O161" s="660"/>
      <c r="P161" s="660"/>
      <c r="Q161" s="660"/>
      <c r="R161" s="665"/>
      <c r="S161" s="665"/>
      <c r="T161" s="665"/>
      <c r="U161" s="665"/>
      <c r="V161" s="665"/>
      <c r="W161" s="665"/>
      <c r="X161" s="665"/>
      <c r="Y161" s="665"/>
      <c r="Z161" s="665"/>
      <c r="AA161" s="665"/>
      <c r="AB161" s="665"/>
      <c r="AC161" s="665"/>
      <c r="AD161" s="665"/>
      <c r="AE161" s="665"/>
      <c r="AF161" s="665"/>
      <c r="AG161" s="665"/>
      <c r="AH161" s="665"/>
      <c r="AI161" s="665"/>
      <c r="AJ161" s="665"/>
      <c r="AK161" s="665"/>
      <c r="AL161" s="665"/>
      <c r="AM161" s="665"/>
      <c r="AN161" s="665"/>
      <c r="AO161" s="665"/>
      <c r="AP161" s="665"/>
      <c r="AQ161" s="665"/>
      <c r="AR161" s="665"/>
      <c r="AS161" s="665"/>
      <c r="AT161" s="665"/>
      <c r="AU161" s="665"/>
      <c r="AV161" s="665"/>
      <c r="AW161" s="665"/>
      <c r="AX161" s="665"/>
      <c r="AY161" s="665"/>
      <c r="AZ161" s="665"/>
      <c r="BA161" s="665"/>
      <c r="BB161" s="665"/>
      <c r="BC161" s="665"/>
      <c r="BD161" s="665"/>
      <c r="BE161" s="665"/>
      <c r="BF161" s="665"/>
      <c r="BG161" s="665"/>
      <c r="BH161" s="665"/>
      <c r="BI161" s="665"/>
      <c r="BJ161" s="665"/>
      <c r="BK161" s="665"/>
      <c r="BL161" s="665"/>
      <c r="BM161" s="665"/>
      <c r="BN161" s="665"/>
      <c r="BO161" s="665"/>
      <c r="BP161" s="665"/>
      <c r="BQ161" s="665"/>
      <c r="BR161" s="665"/>
      <c r="BS161" s="665"/>
      <c r="BT161" s="665"/>
      <c r="BU161" s="665"/>
      <c r="BV161" s="665"/>
      <c r="BW161" s="665"/>
      <c r="BX161" s="665"/>
      <c r="BY161" s="665"/>
      <c r="BZ161" s="665"/>
      <c r="CA161" s="665"/>
      <c r="CB161" s="666"/>
      <c r="CC161" s="279"/>
      <c r="CE161" s="695"/>
      <c r="CF161" s="696"/>
      <c r="CG161" s="696"/>
      <c r="CH161" s="696"/>
      <c r="CI161" s="696"/>
      <c r="CJ161" s="696"/>
      <c r="CK161" s="696"/>
      <c r="CL161" s="696"/>
      <c r="CM161" s="696"/>
      <c r="CN161" s="696"/>
      <c r="CO161" s="696"/>
      <c r="CP161" s="696"/>
      <c r="CQ161" s="696"/>
      <c r="CR161" s="696"/>
      <c r="CS161" s="697"/>
      <c r="DG161" s="10"/>
      <c r="DH161" s="110"/>
      <c r="DI161" s="110"/>
      <c r="DJ161" s="253"/>
      <c r="DK161" s="13"/>
      <c r="DL161" s="13"/>
      <c r="DM161" s="13"/>
    </row>
    <row r="162" spans="2:117" ht="12" customHeight="1">
      <c r="B162" s="205"/>
      <c r="C162" s="667"/>
      <c r="D162" s="668"/>
      <c r="E162" s="668"/>
      <c r="F162" s="668"/>
      <c r="G162" s="668"/>
      <c r="H162" s="668"/>
      <c r="I162" s="668"/>
      <c r="J162" s="668"/>
      <c r="K162" s="668"/>
      <c r="L162" s="668"/>
      <c r="M162" s="668"/>
      <c r="N162" s="668"/>
      <c r="O162" s="668"/>
      <c r="P162" s="668"/>
      <c r="Q162" s="668"/>
      <c r="R162" s="668"/>
      <c r="S162" s="668"/>
      <c r="T162" s="668"/>
      <c r="U162" s="668"/>
      <c r="V162" s="668"/>
      <c r="W162" s="668"/>
      <c r="X162" s="668"/>
      <c r="Y162" s="668"/>
      <c r="Z162" s="668"/>
      <c r="AA162" s="668"/>
      <c r="AB162" s="668"/>
      <c r="AC162" s="668"/>
      <c r="AD162" s="668"/>
      <c r="AE162" s="668"/>
      <c r="AF162" s="668"/>
      <c r="AG162" s="668"/>
      <c r="AH162" s="668"/>
      <c r="AI162" s="668"/>
      <c r="AJ162" s="668"/>
      <c r="AK162" s="668"/>
      <c r="AL162" s="668"/>
      <c r="AM162" s="668"/>
      <c r="AN162" s="668"/>
      <c r="AO162" s="668"/>
      <c r="AP162" s="668"/>
      <c r="AQ162" s="668"/>
      <c r="AR162" s="668"/>
      <c r="AS162" s="668"/>
      <c r="AT162" s="668"/>
      <c r="AU162" s="668"/>
      <c r="AV162" s="668"/>
      <c r="AW162" s="668"/>
      <c r="AX162" s="668"/>
      <c r="AY162" s="668"/>
      <c r="AZ162" s="668"/>
      <c r="BA162" s="668"/>
      <c r="BB162" s="668"/>
      <c r="BC162" s="668"/>
      <c r="BD162" s="668"/>
      <c r="BE162" s="668"/>
      <c r="BF162" s="668"/>
      <c r="BG162" s="668"/>
      <c r="BH162" s="668"/>
      <c r="BI162" s="668"/>
      <c r="BJ162" s="668"/>
      <c r="BK162" s="668"/>
      <c r="BL162" s="668"/>
      <c r="BM162" s="668"/>
      <c r="BN162" s="668"/>
      <c r="BO162" s="668"/>
      <c r="BP162" s="668"/>
      <c r="BQ162" s="668"/>
      <c r="BR162" s="668"/>
      <c r="BS162" s="668"/>
      <c r="BT162" s="668"/>
      <c r="BU162" s="668"/>
      <c r="BV162" s="668"/>
      <c r="BW162" s="668"/>
      <c r="BX162" s="668"/>
      <c r="BY162" s="668"/>
      <c r="BZ162" s="668"/>
      <c r="CA162" s="668"/>
      <c r="CB162" s="669"/>
      <c r="CC162" s="279"/>
      <c r="CE162" s="698"/>
      <c r="CF162" s="699"/>
      <c r="CG162" s="699"/>
      <c r="CH162" s="699"/>
      <c r="CI162" s="699"/>
      <c r="CJ162" s="699"/>
      <c r="CK162" s="699"/>
      <c r="CL162" s="699"/>
      <c r="CM162" s="699"/>
      <c r="CN162" s="699"/>
      <c r="CO162" s="699"/>
      <c r="CP162" s="699"/>
      <c r="CQ162" s="699"/>
      <c r="CR162" s="699"/>
      <c r="CS162" s="700"/>
      <c r="DG162" s="10"/>
      <c r="DH162" s="110"/>
      <c r="DI162" s="110"/>
      <c r="DJ162" s="253"/>
      <c r="DK162" s="13"/>
      <c r="DL162" s="13"/>
      <c r="DM162" s="13"/>
    </row>
    <row r="163" spans="2:117" ht="12" customHeight="1" outlineLevel="1">
      <c r="B163" s="205"/>
      <c r="C163" s="679" t="str">
        <f>VLOOKUP(2501,Languages!$A$5:$C$1032,Languages!$A$2,FALSE)</f>
        <v>Actions for root cause analysis</v>
      </c>
      <c r="D163" s="680"/>
      <c r="E163" s="680"/>
      <c r="F163" s="680"/>
      <c r="G163" s="680"/>
      <c r="H163" s="680"/>
      <c r="I163" s="680"/>
      <c r="J163" s="680"/>
      <c r="K163" s="680"/>
      <c r="L163" s="680"/>
      <c r="M163" s="680"/>
      <c r="N163" s="680"/>
      <c r="O163" s="680"/>
      <c r="P163" s="680"/>
      <c r="Q163" s="680"/>
      <c r="R163" s="680"/>
      <c r="S163" s="680"/>
      <c r="T163" s="680"/>
      <c r="U163" s="680"/>
      <c r="V163" s="680"/>
      <c r="W163" s="680"/>
      <c r="X163" s="680"/>
      <c r="Y163" s="680"/>
      <c r="Z163" s="680"/>
      <c r="AA163" s="680"/>
      <c r="AB163" s="680"/>
      <c r="AC163" s="680"/>
      <c r="AD163" s="680"/>
      <c r="AE163" s="680"/>
      <c r="AF163" s="680"/>
      <c r="AG163" s="680"/>
      <c r="AH163" s="680"/>
      <c r="AI163" s="680"/>
      <c r="AJ163" s="680"/>
      <c r="AK163" s="680"/>
      <c r="AL163" s="680"/>
      <c r="AM163" s="680"/>
      <c r="AN163" s="680"/>
      <c r="AO163" s="680"/>
      <c r="AP163" s="680"/>
      <c r="AQ163" s="680"/>
      <c r="AR163" s="680"/>
      <c r="AS163" s="680"/>
      <c r="AT163" s="680"/>
      <c r="AU163" s="680"/>
      <c r="AV163" s="680"/>
      <c r="AW163" s="680"/>
      <c r="AX163" s="680"/>
      <c r="AY163" s="680"/>
      <c r="AZ163" s="680"/>
      <c r="BA163" s="680"/>
      <c r="BB163" s="680"/>
      <c r="BC163" s="680"/>
      <c r="BD163" s="680"/>
      <c r="BE163" s="680"/>
      <c r="BF163" s="680"/>
      <c r="BG163" s="680"/>
      <c r="BH163" s="680"/>
      <c r="BI163" s="680"/>
      <c r="BJ163" s="680"/>
      <c r="BK163" s="680"/>
      <c r="BL163" s="680"/>
      <c r="BM163" s="680"/>
      <c r="BN163" s="680"/>
      <c r="BO163" s="680"/>
      <c r="BP163" s="680"/>
      <c r="BQ163" s="680"/>
      <c r="BR163" s="680"/>
      <c r="BS163" s="680"/>
      <c r="BT163" s="680"/>
      <c r="BU163" s="680"/>
      <c r="BV163" s="680"/>
      <c r="BW163" s="680"/>
      <c r="BX163" s="680"/>
      <c r="BY163" s="680"/>
      <c r="BZ163" s="680"/>
      <c r="CA163" s="680"/>
      <c r="CB163" s="681"/>
      <c r="CC163" s="279"/>
      <c r="CE163" s="698"/>
      <c r="CF163" s="699"/>
      <c r="CG163" s="699"/>
      <c r="CH163" s="699"/>
      <c r="CI163" s="699"/>
      <c r="CJ163" s="699"/>
      <c r="CK163" s="699"/>
      <c r="CL163" s="699"/>
      <c r="CM163" s="699"/>
      <c r="CN163" s="699"/>
      <c r="CO163" s="699"/>
      <c r="CP163" s="699"/>
      <c r="CQ163" s="699"/>
      <c r="CR163" s="699"/>
      <c r="CS163" s="700"/>
      <c r="DG163" s="10"/>
      <c r="DH163" s="110"/>
      <c r="DI163" s="110"/>
      <c r="DJ163" s="253"/>
      <c r="DK163" s="13"/>
      <c r="DL163" s="13"/>
      <c r="DM163" s="13"/>
    </row>
    <row r="164" spans="2:117" ht="12" customHeight="1" outlineLevel="1">
      <c r="B164" s="205"/>
      <c r="C164" s="673"/>
      <c r="D164" s="674"/>
      <c r="E164" s="674"/>
      <c r="F164" s="674"/>
      <c r="G164" s="674"/>
      <c r="H164" s="674"/>
      <c r="I164" s="674"/>
      <c r="J164" s="674"/>
      <c r="K164" s="674"/>
      <c r="L164" s="674"/>
      <c r="M164" s="674"/>
      <c r="N164" s="674"/>
      <c r="O164" s="674"/>
      <c r="P164" s="674"/>
      <c r="Q164" s="674"/>
      <c r="R164" s="674"/>
      <c r="S164" s="674"/>
      <c r="T164" s="674"/>
      <c r="U164" s="674"/>
      <c r="V164" s="674"/>
      <c r="W164" s="674"/>
      <c r="X164" s="674"/>
      <c r="Y164" s="674"/>
      <c r="Z164" s="674"/>
      <c r="AA164" s="674"/>
      <c r="AB164" s="674"/>
      <c r="AC164" s="674"/>
      <c r="AD164" s="674"/>
      <c r="AE164" s="674"/>
      <c r="AF164" s="674"/>
      <c r="AG164" s="674"/>
      <c r="AH164" s="674"/>
      <c r="AI164" s="674"/>
      <c r="AJ164" s="674"/>
      <c r="AK164" s="674"/>
      <c r="AL164" s="674"/>
      <c r="AM164" s="674"/>
      <c r="AN164" s="674"/>
      <c r="AO164" s="674"/>
      <c r="AP164" s="674"/>
      <c r="AQ164" s="674"/>
      <c r="AR164" s="674"/>
      <c r="AS164" s="674"/>
      <c r="AT164" s="674"/>
      <c r="AU164" s="674"/>
      <c r="AV164" s="674"/>
      <c r="AW164" s="674"/>
      <c r="AX164" s="674"/>
      <c r="AY164" s="674"/>
      <c r="AZ164" s="674"/>
      <c r="BA164" s="674"/>
      <c r="BB164" s="674"/>
      <c r="BC164" s="674"/>
      <c r="BD164" s="674"/>
      <c r="BE164" s="674"/>
      <c r="BF164" s="674"/>
      <c r="BG164" s="674"/>
      <c r="BH164" s="674"/>
      <c r="BI164" s="674"/>
      <c r="BJ164" s="674"/>
      <c r="BK164" s="674"/>
      <c r="BL164" s="674"/>
      <c r="BM164" s="674"/>
      <c r="BN164" s="674"/>
      <c r="BO164" s="674"/>
      <c r="BP164" s="674"/>
      <c r="BQ164" s="674"/>
      <c r="BR164" s="674"/>
      <c r="BS164" s="674"/>
      <c r="BT164" s="674"/>
      <c r="BU164" s="674"/>
      <c r="BV164" s="674"/>
      <c r="BW164" s="674"/>
      <c r="BX164" s="674"/>
      <c r="BY164" s="674"/>
      <c r="BZ164" s="674"/>
      <c r="CA164" s="674"/>
      <c r="CB164" s="675"/>
      <c r="CC164" s="279"/>
      <c r="CE164" s="698"/>
      <c r="CF164" s="699"/>
      <c r="CG164" s="699"/>
      <c r="CH164" s="699"/>
      <c r="CI164" s="699"/>
      <c r="CJ164" s="699"/>
      <c r="CK164" s="699"/>
      <c r="CL164" s="699"/>
      <c r="CM164" s="699"/>
      <c r="CN164" s="699"/>
      <c r="CO164" s="699"/>
      <c r="CP164" s="699"/>
      <c r="CQ164" s="699"/>
      <c r="CR164" s="699"/>
      <c r="CS164" s="700"/>
      <c r="DG164" s="10"/>
      <c r="DH164" s="110"/>
      <c r="DI164" s="110"/>
      <c r="DJ164" s="253"/>
      <c r="DK164" s="13"/>
      <c r="DL164" s="13"/>
      <c r="DM164" s="13"/>
    </row>
    <row r="165" spans="2:117" ht="12" customHeight="1" outlineLevel="1">
      <c r="B165" s="205"/>
      <c r="C165" s="632" t="str">
        <f>VLOOKUP(2502,Languages!$A$5:$C$1032,Languages!$A$2,FALSE)</f>
        <v>Actions</v>
      </c>
      <c r="D165" s="633"/>
      <c r="E165" s="633"/>
      <c r="F165" s="633"/>
      <c r="G165" s="633"/>
      <c r="H165" s="633"/>
      <c r="I165" s="633"/>
      <c r="J165" s="633"/>
      <c r="K165" s="633"/>
      <c r="L165" s="633"/>
      <c r="M165" s="633"/>
      <c r="N165" s="633"/>
      <c r="O165" s="633"/>
      <c r="P165" s="633"/>
      <c r="Q165" s="633"/>
      <c r="R165" s="633"/>
      <c r="S165" s="633"/>
      <c r="T165" s="633"/>
      <c r="U165" s="633"/>
      <c r="V165" s="633"/>
      <c r="W165" s="633"/>
      <c r="X165" s="633"/>
      <c r="Y165" s="633"/>
      <c r="Z165" s="633"/>
      <c r="AA165" s="633"/>
      <c r="AB165" s="633"/>
      <c r="AC165" s="633"/>
      <c r="AD165" s="633"/>
      <c r="AE165" s="633"/>
      <c r="AF165" s="633"/>
      <c r="AG165" s="633"/>
      <c r="AH165" s="633"/>
      <c r="AI165" s="634"/>
      <c r="AJ165" s="632" t="str">
        <f>VLOOKUP(2503,Languages!$A$5:$C$1032,Languages!$A$2,FALSE)</f>
        <v>Responsible</v>
      </c>
      <c r="AK165" s="633"/>
      <c r="AL165" s="633"/>
      <c r="AM165" s="633"/>
      <c r="AN165" s="633"/>
      <c r="AO165" s="633"/>
      <c r="AP165" s="634"/>
      <c r="AQ165" s="632" t="str">
        <f>VLOOKUP(2504,Languages!$A$5:$C$1032,Languages!$A$2,FALSE)</f>
        <v>Planned date</v>
      </c>
      <c r="AR165" s="633"/>
      <c r="AS165" s="633"/>
      <c r="AT165" s="633"/>
      <c r="AU165" s="633"/>
      <c r="AV165" s="633"/>
      <c r="AW165" s="634"/>
      <c r="AX165" s="641" t="str">
        <f>VLOOKUP(2505,Languages!$A$5:$C$1032,Languages!$A$2,FALSE)</f>
        <v>Realization date</v>
      </c>
      <c r="AY165" s="642"/>
      <c r="AZ165" s="642"/>
      <c r="BA165" s="642"/>
      <c r="BB165" s="642"/>
      <c r="BC165" s="642"/>
      <c r="BD165" s="643"/>
      <c r="BE165" s="632" t="str">
        <f>VLOOKUP(2506,Languages!$A$5:$C$1032,Languages!$A$2,FALSE)</f>
        <v>Status</v>
      </c>
      <c r="BF165" s="633"/>
      <c r="BG165" s="633"/>
      <c r="BH165" s="633"/>
      <c r="BI165" s="633"/>
      <c r="BJ165" s="634"/>
      <c r="BK165" s="750" t="str">
        <f>VLOOKUP(2507,Languages!$A$5:$C$1032,Languages!$A$2,FALSE)</f>
        <v>Evidence of effectiveness</v>
      </c>
      <c r="BL165" s="751"/>
      <c r="BM165" s="751"/>
      <c r="BN165" s="751"/>
      <c r="BO165" s="751"/>
      <c r="BP165" s="751"/>
      <c r="BQ165" s="751"/>
      <c r="BR165" s="751"/>
      <c r="BS165" s="751"/>
      <c r="BT165" s="751"/>
      <c r="BU165" s="751"/>
      <c r="BV165" s="751"/>
      <c r="BW165" s="751"/>
      <c r="BX165" s="751"/>
      <c r="BY165" s="751"/>
      <c r="BZ165" s="751"/>
      <c r="CA165" s="751"/>
      <c r="CB165" s="752"/>
      <c r="CC165" s="279"/>
      <c r="CE165" s="698"/>
      <c r="CF165" s="699"/>
      <c r="CG165" s="699"/>
      <c r="CH165" s="699"/>
      <c r="CI165" s="699"/>
      <c r="CJ165" s="699"/>
      <c r="CK165" s="699"/>
      <c r="CL165" s="699"/>
      <c r="CM165" s="699"/>
      <c r="CN165" s="699"/>
      <c r="CO165" s="699"/>
      <c r="CP165" s="699"/>
      <c r="CQ165" s="699"/>
      <c r="CR165" s="699"/>
      <c r="CS165" s="700"/>
      <c r="DG165" s="10"/>
      <c r="DH165" s="110"/>
      <c r="DI165" s="110"/>
      <c r="DJ165" s="253"/>
      <c r="DK165" s="13"/>
      <c r="DL165" s="13"/>
      <c r="DM165" s="13"/>
    </row>
    <row r="166" spans="2:117" ht="12" customHeight="1" outlineLevel="1">
      <c r="B166" s="205"/>
      <c r="C166" s="635"/>
      <c r="D166" s="636"/>
      <c r="E166" s="636"/>
      <c r="F166" s="636"/>
      <c r="G166" s="636"/>
      <c r="H166" s="636"/>
      <c r="I166" s="636"/>
      <c r="J166" s="636"/>
      <c r="K166" s="636"/>
      <c r="L166" s="636"/>
      <c r="M166" s="636"/>
      <c r="N166" s="636"/>
      <c r="O166" s="636"/>
      <c r="P166" s="636"/>
      <c r="Q166" s="636"/>
      <c r="R166" s="636"/>
      <c r="S166" s="636"/>
      <c r="T166" s="636"/>
      <c r="U166" s="636"/>
      <c r="V166" s="636"/>
      <c r="W166" s="636"/>
      <c r="X166" s="636"/>
      <c r="Y166" s="636"/>
      <c r="Z166" s="636"/>
      <c r="AA166" s="636"/>
      <c r="AB166" s="636"/>
      <c r="AC166" s="636"/>
      <c r="AD166" s="636"/>
      <c r="AE166" s="636"/>
      <c r="AF166" s="636"/>
      <c r="AG166" s="636"/>
      <c r="AH166" s="636"/>
      <c r="AI166" s="637"/>
      <c r="AJ166" s="635"/>
      <c r="AK166" s="636"/>
      <c r="AL166" s="636"/>
      <c r="AM166" s="636"/>
      <c r="AN166" s="636"/>
      <c r="AO166" s="636"/>
      <c r="AP166" s="637"/>
      <c r="AQ166" s="635"/>
      <c r="AR166" s="636"/>
      <c r="AS166" s="636"/>
      <c r="AT166" s="636"/>
      <c r="AU166" s="636"/>
      <c r="AV166" s="636"/>
      <c r="AW166" s="637"/>
      <c r="AX166" s="644"/>
      <c r="AY166" s="645"/>
      <c r="AZ166" s="645"/>
      <c r="BA166" s="645"/>
      <c r="BB166" s="645"/>
      <c r="BC166" s="645"/>
      <c r="BD166" s="646"/>
      <c r="BE166" s="635"/>
      <c r="BF166" s="636"/>
      <c r="BG166" s="636"/>
      <c r="BH166" s="636"/>
      <c r="BI166" s="636"/>
      <c r="BJ166" s="637"/>
      <c r="BK166" s="753"/>
      <c r="BL166" s="754"/>
      <c r="BM166" s="754"/>
      <c r="BN166" s="754"/>
      <c r="BO166" s="754"/>
      <c r="BP166" s="754"/>
      <c r="BQ166" s="754"/>
      <c r="BR166" s="754"/>
      <c r="BS166" s="754"/>
      <c r="BT166" s="754"/>
      <c r="BU166" s="754"/>
      <c r="BV166" s="754"/>
      <c r="BW166" s="754"/>
      <c r="BX166" s="754"/>
      <c r="BY166" s="754"/>
      <c r="BZ166" s="754"/>
      <c r="CA166" s="754"/>
      <c r="CB166" s="755"/>
      <c r="CC166" s="279"/>
      <c r="CE166" s="698"/>
      <c r="CF166" s="699"/>
      <c r="CG166" s="699"/>
      <c r="CH166" s="699"/>
      <c r="CI166" s="699"/>
      <c r="CJ166" s="699"/>
      <c r="CK166" s="699"/>
      <c r="CL166" s="699"/>
      <c r="CM166" s="699"/>
      <c r="CN166" s="699"/>
      <c r="CO166" s="699"/>
      <c r="CP166" s="699"/>
      <c r="CQ166" s="699"/>
      <c r="CR166" s="699"/>
      <c r="CS166" s="700"/>
      <c r="DG166" s="10"/>
      <c r="DH166" s="110"/>
      <c r="DI166" s="110"/>
      <c r="DJ166" s="253"/>
      <c r="DK166" s="13"/>
      <c r="DL166" s="13"/>
      <c r="DM166" s="13"/>
    </row>
    <row r="167" spans="2:117" ht="12" customHeight="1" outlineLevel="1">
      <c r="B167" s="205"/>
      <c r="C167" s="638"/>
      <c r="D167" s="639"/>
      <c r="E167" s="639"/>
      <c r="F167" s="639"/>
      <c r="G167" s="639"/>
      <c r="H167" s="639"/>
      <c r="I167" s="639"/>
      <c r="J167" s="639"/>
      <c r="K167" s="639"/>
      <c r="L167" s="639"/>
      <c r="M167" s="639"/>
      <c r="N167" s="639"/>
      <c r="O167" s="639"/>
      <c r="P167" s="639"/>
      <c r="Q167" s="639"/>
      <c r="R167" s="639"/>
      <c r="S167" s="639"/>
      <c r="T167" s="639"/>
      <c r="U167" s="639"/>
      <c r="V167" s="639"/>
      <c r="W167" s="639"/>
      <c r="X167" s="639"/>
      <c r="Y167" s="639"/>
      <c r="Z167" s="639"/>
      <c r="AA167" s="639"/>
      <c r="AB167" s="639"/>
      <c r="AC167" s="639"/>
      <c r="AD167" s="639"/>
      <c r="AE167" s="639"/>
      <c r="AF167" s="639"/>
      <c r="AG167" s="639"/>
      <c r="AH167" s="639"/>
      <c r="AI167" s="640"/>
      <c r="AJ167" s="638"/>
      <c r="AK167" s="639"/>
      <c r="AL167" s="639"/>
      <c r="AM167" s="639"/>
      <c r="AN167" s="639"/>
      <c r="AO167" s="639"/>
      <c r="AP167" s="640"/>
      <c r="AQ167" s="638"/>
      <c r="AR167" s="639"/>
      <c r="AS167" s="639"/>
      <c r="AT167" s="639"/>
      <c r="AU167" s="639"/>
      <c r="AV167" s="639"/>
      <c r="AW167" s="640"/>
      <c r="AX167" s="647"/>
      <c r="AY167" s="648"/>
      <c r="AZ167" s="648"/>
      <c r="BA167" s="648"/>
      <c r="BB167" s="648"/>
      <c r="BC167" s="648"/>
      <c r="BD167" s="649"/>
      <c r="BE167" s="638"/>
      <c r="BF167" s="639"/>
      <c r="BG167" s="639"/>
      <c r="BH167" s="639"/>
      <c r="BI167" s="639"/>
      <c r="BJ167" s="640"/>
      <c r="BK167" s="756"/>
      <c r="BL167" s="757"/>
      <c r="BM167" s="757"/>
      <c r="BN167" s="757"/>
      <c r="BO167" s="757"/>
      <c r="BP167" s="757"/>
      <c r="BQ167" s="757"/>
      <c r="BR167" s="757"/>
      <c r="BS167" s="757"/>
      <c r="BT167" s="757"/>
      <c r="BU167" s="757"/>
      <c r="BV167" s="757"/>
      <c r="BW167" s="757"/>
      <c r="BX167" s="757"/>
      <c r="BY167" s="757"/>
      <c r="BZ167" s="757"/>
      <c r="CA167" s="757"/>
      <c r="CB167" s="758"/>
      <c r="CC167" s="279"/>
      <c r="CE167" s="698"/>
      <c r="CF167" s="699"/>
      <c r="CG167" s="699"/>
      <c r="CH167" s="699"/>
      <c r="CI167" s="699"/>
      <c r="CJ167" s="699"/>
      <c r="CK167" s="699"/>
      <c r="CL167" s="699"/>
      <c r="CM167" s="699"/>
      <c r="CN167" s="699"/>
      <c r="CO167" s="699"/>
      <c r="CP167" s="699"/>
      <c r="CQ167" s="699"/>
      <c r="CR167" s="699"/>
      <c r="CS167" s="700"/>
      <c r="DG167" s="10"/>
      <c r="DH167" s="110"/>
      <c r="DI167" s="110"/>
      <c r="DJ167" s="253"/>
      <c r="DK167" s="13"/>
      <c r="DL167" s="13"/>
      <c r="DM167" s="13"/>
    </row>
    <row r="168" spans="2:117" ht="33.75" customHeight="1" outlineLevel="1">
      <c r="B168" s="205"/>
      <c r="C168" s="676"/>
      <c r="D168" s="677"/>
      <c r="E168" s="677"/>
      <c r="F168" s="677"/>
      <c r="G168" s="677"/>
      <c r="H168" s="677"/>
      <c r="I168" s="677"/>
      <c r="J168" s="677"/>
      <c r="K168" s="677"/>
      <c r="L168" s="677"/>
      <c r="M168" s="677"/>
      <c r="N168" s="677"/>
      <c r="O168" s="677"/>
      <c r="P168" s="677"/>
      <c r="Q168" s="677"/>
      <c r="R168" s="677"/>
      <c r="S168" s="677"/>
      <c r="T168" s="677"/>
      <c r="U168" s="677"/>
      <c r="V168" s="677"/>
      <c r="W168" s="677"/>
      <c r="X168" s="677"/>
      <c r="Y168" s="677"/>
      <c r="Z168" s="677"/>
      <c r="AA168" s="677"/>
      <c r="AB168" s="677"/>
      <c r="AC168" s="677"/>
      <c r="AD168" s="677"/>
      <c r="AE168" s="677"/>
      <c r="AF168" s="677"/>
      <c r="AG168" s="677"/>
      <c r="AH168" s="677"/>
      <c r="AI168" s="678"/>
      <c r="AJ168" s="676"/>
      <c r="AK168" s="677"/>
      <c r="AL168" s="677"/>
      <c r="AM168" s="677"/>
      <c r="AN168" s="677"/>
      <c r="AO168" s="677"/>
      <c r="AP168" s="678"/>
      <c r="AQ168" s="676"/>
      <c r="AR168" s="677"/>
      <c r="AS168" s="677"/>
      <c r="AT168" s="677"/>
      <c r="AU168" s="677"/>
      <c r="AV168" s="677"/>
      <c r="AW168" s="678"/>
      <c r="AX168" s="676"/>
      <c r="AY168" s="677"/>
      <c r="AZ168" s="677"/>
      <c r="BA168" s="677"/>
      <c r="BB168" s="677"/>
      <c r="BC168" s="677"/>
      <c r="BD168" s="678"/>
      <c r="BE168" s="619"/>
      <c r="BF168" s="620"/>
      <c r="BG168" s="619"/>
      <c r="BH168" s="620"/>
      <c r="BI168" s="619"/>
      <c r="BJ168" s="620"/>
      <c r="BK168" s="621"/>
      <c r="BL168" s="622"/>
      <c r="BM168" s="622"/>
      <c r="BN168" s="622"/>
      <c r="BO168" s="622"/>
      <c r="BP168" s="622"/>
      <c r="BQ168" s="622"/>
      <c r="BR168" s="622"/>
      <c r="BS168" s="622"/>
      <c r="BT168" s="622"/>
      <c r="BU168" s="622"/>
      <c r="BV168" s="622"/>
      <c r="BW168" s="622"/>
      <c r="BX168" s="622"/>
      <c r="BY168" s="622"/>
      <c r="BZ168" s="622"/>
      <c r="CA168" s="622"/>
      <c r="CB168" s="623"/>
      <c r="CC168" s="279"/>
      <c r="CE168" s="851"/>
      <c r="CF168" s="852"/>
      <c r="CG168" s="852"/>
      <c r="CH168" s="852"/>
      <c r="CI168" s="852"/>
      <c r="CJ168" s="852"/>
      <c r="CK168" s="852"/>
      <c r="CL168" s="852"/>
      <c r="CM168" s="852"/>
      <c r="CN168" s="852"/>
      <c r="CO168" s="852"/>
      <c r="CP168" s="852"/>
      <c r="CQ168" s="852"/>
      <c r="CR168" s="852"/>
      <c r="CS168" s="853"/>
      <c r="DG168" s="10"/>
      <c r="DH168" s="110"/>
      <c r="DI168" s="110"/>
      <c r="DJ168" s="253"/>
      <c r="DK168" s="13"/>
      <c r="DL168" s="13"/>
      <c r="DM168" s="13"/>
    </row>
    <row r="169" spans="2:117" ht="33.75" customHeight="1" outlineLevel="1" thickBot="1">
      <c r="B169" s="205"/>
      <c r="C169" s="676"/>
      <c r="D169" s="677"/>
      <c r="E169" s="677"/>
      <c r="F169" s="677"/>
      <c r="G169" s="677"/>
      <c r="H169" s="677"/>
      <c r="I169" s="677"/>
      <c r="J169" s="677"/>
      <c r="K169" s="677"/>
      <c r="L169" s="677"/>
      <c r="M169" s="677"/>
      <c r="N169" s="677"/>
      <c r="O169" s="677"/>
      <c r="P169" s="677"/>
      <c r="Q169" s="677"/>
      <c r="R169" s="677"/>
      <c r="S169" s="677"/>
      <c r="T169" s="677"/>
      <c r="U169" s="677"/>
      <c r="V169" s="677"/>
      <c r="W169" s="677"/>
      <c r="X169" s="677"/>
      <c r="Y169" s="677"/>
      <c r="Z169" s="677"/>
      <c r="AA169" s="677"/>
      <c r="AB169" s="677"/>
      <c r="AC169" s="677"/>
      <c r="AD169" s="677"/>
      <c r="AE169" s="677"/>
      <c r="AF169" s="677"/>
      <c r="AG169" s="677"/>
      <c r="AH169" s="677"/>
      <c r="AI169" s="678"/>
      <c r="AJ169" s="676"/>
      <c r="AK169" s="677"/>
      <c r="AL169" s="677"/>
      <c r="AM169" s="677"/>
      <c r="AN169" s="677"/>
      <c r="AO169" s="677"/>
      <c r="AP169" s="678"/>
      <c r="AQ169" s="676"/>
      <c r="AR169" s="677"/>
      <c r="AS169" s="677"/>
      <c r="AT169" s="677"/>
      <c r="AU169" s="677"/>
      <c r="AV169" s="677"/>
      <c r="AW169" s="678"/>
      <c r="AX169" s="676"/>
      <c r="AY169" s="677"/>
      <c r="AZ169" s="677"/>
      <c r="BA169" s="677"/>
      <c r="BB169" s="677"/>
      <c r="BC169" s="677"/>
      <c r="BD169" s="678"/>
      <c r="BE169" s="619"/>
      <c r="BF169" s="620"/>
      <c r="BG169" s="619"/>
      <c r="BH169" s="620"/>
      <c r="BI169" s="619"/>
      <c r="BJ169" s="620"/>
      <c r="BK169" s="621"/>
      <c r="BL169" s="622"/>
      <c r="BM169" s="622"/>
      <c r="BN169" s="622"/>
      <c r="BO169" s="622"/>
      <c r="BP169" s="622"/>
      <c r="BQ169" s="622"/>
      <c r="BR169" s="622"/>
      <c r="BS169" s="622"/>
      <c r="BT169" s="622"/>
      <c r="BU169" s="622"/>
      <c r="BV169" s="622"/>
      <c r="BW169" s="622"/>
      <c r="BX169" s="622"/>
      <c r="BY169" s="622"/>
      <c r="BZ169" s="622"/>
      <c r="CA169" s="622"/>
      <c r="CB169" s="623"/>
      <c r="CC169" s="279"/>
      <c r="CE169" s="854"/>
      <c r="CF169" s="855"/>
      <c r="CG169" s="855"/>
      <c r="CH169" s="855"/>
      <c r="CI169" s="855"/>
      <c r="CJ169" s="855"/>
      <c r="CK169" s="855"/>
      <c r="CL169" s="855"/>
      <c r="CM169" s="855"/>
      <c r="CN169" s="855"/>
      <c r="CO169" s="855"/>
      <c r="CP169" s="855"/>
      <c r="CQ169" s="855"/>
      <c r="CR169" s="855"/>
      <c r="CS169" s="856"/>
      <c r="DG169" s="10"/>
      <c r="DH169" s="110"/>
      <c r="DI169" s="110"/>
      <c r="DJ169" s="253"/>
      <c r="DK169" s="13"/>
      <c r="DL169" s="13"/>
      <c r="DM169" s="13"/>
    </row>
    <row r="170" spans="2:117" ht="33.75" customHeight="1" outlineLevel="1">
      <c r="B170" s="205"/>
      <c r="C170" s="676"/>
      <c r="D170" s="677"/>
      <c r="E170" s="677"/>
      <c r="F170" s="677"/>
      <c r="G170" s="677"/>
      <c r="H170" s="677"/>
      <c r="I170" s="677"/>
      <c r="J170" s="677"/>
      <c r="K170" s="677"/>
      <c r="L170" s="677"/>
      <c r="M170" s="677"/>
      <c r="N170" s="677"/>
      <c r="O170" s="677"/>
      <c r="P170" s="677"/>
      <c r="Q170" s="677"/>
      <c r="R170" s="677"/>
      <c r="S170" s="677"/>
      <c r="T170" s="677"/>
      <c r="U170" s="677"/>
      <c r="V170" s="677"/>
      <c r="W170" s="677"/>
      <c r="X170" s="677"/>
      <c r="Y170" s="677"/>
      <c r="Z170" s="677"/>
      <c r="AA170" s="677"/>
      <c r="AB170" s="677"/>
      <c r="AC170" s="677"/>
      <c r="AD170" s="677"/>
      <c r="AE170" s="677"/>
      <c r="AF170" s="677"/>
      <c r="AG170" s="677"/>
      <c r="AH170" s="677"/>
      <c r="AI170" s="678"/>
      <c r="AJ170" s="676"/>
      <c r="AK170" s="677"/>
      <c r="AL170" s="677"/>
      <c r="AM170" s="677"/>
      <c r="AN170" s="677"/>
      <c r="AO170" s="677"/>
      <c r="AP170" s="678"/>
      <c r="AQ170" s="676"/>
      <c r="AR170" s="677"/>
      <c r="AS170" s="677"/>
      <c r="AT170" s="677"/>
      <c r="AU170" s="677"/>
      <c r="AV170" s="677"/>
      <c r="AW170" s="678"/>
      <c r="AX170" s="676"/>
      <c r="AY170" s="677"/>
      <c r="AZ170" s="677"/>
      <c r="BA170" s="677"/>
      <c r="BB170" s="677"/>
      <c r="BC170" s="677"/>
      <c r="BD170" s="678"/>
      <c r="BE170" s="619"/>
      <c r="BF170" s="620"/>
      <c r="BG170" s="619"/>
      <c r="BH170" s="620"/>
      <c r="BI170" s="619"/>
      <c r="BJ170" s="620"/>
      <c r="BK170" s="621"/>
      <c r="BL170" s="622"/>
      <c r="BM170" s="622"/>
      <c r="BN170" s="622"/>
      <c r="BO170" s="622"/>
      <c r="BP170" s="622"/>
      <c r="BQ170" s="622"/>
      <c r="BR170" s="622"/>
      <c r="BS170" s="622"/>
      <c r="BT170" s="622"/>
      <c r="BU170" s="622"/>
      <c r="BV170" s="622"/>
      <c r="BW170" s="622"/>
      <c r="BX170" s="622"/>
      <c r="BY170" s="622"/>
      <c r="BZ170" s="622"/>
      <c r="CA170" s="622"/>
      <c r="CB170" s="623"/>
      <c r="CC170" s="279"/>
      <c r="DG170" s="10"/>
      <c r="DH170" s="110"/>
      <c r="DI170" s="110"/>
      <c r="DJ170" s="253"/>
      <c r="DK170" s="13"/>
      <c r="DL170" s="13"/>
      <c r="DM170" s="13"/>
    </row>
    <row r="171" spans="2:117" ht="33.75" customHeight="1" outlineLevel="1">
      <c r="B171" s="205"/>
      <c r="C171" s="676"/>
      <c r="D171" s="677"/>
      <c r="E171" s="677"/>
      <c r="F171" s="677"/>
      <c r="G171" s="677"/>
      <c r="H171" s="677"/>
      <c r="I171" s="677"/>
      <c r="J171" s="677"/>
      <c r="K171" s="677"/>
      <c r="L171" s="677"/>
      <c r="M171" s="677"/>
      <c r="N171" s="677"/>
      <c r="O171" s="677"/>
      <c r="P171" s="677"/>
      <c r="Q171" s="677"/>
      <c r="R171" s="677"/>
      <c r="S171" s="677"/>
      <c r="T171" s="677"/>
      <c r="U171" s="677"/>
      <c r="V171" s="677"/>
      <c r="W171" s="677"/>
      <c r="X171" s="677"/>
      <c r="Y171" s="677"/>
      <c r="Z171" s="677"/>
      <c r="AA171" s="677"/>
      <c r="AB171" s="677"/>
      <c r="AC171" s="677"/>
      <c r="AD171" s="677"/>
      <c r="AE171" s="677"/>
      <c r="AF171" s="677"/>
      <c r="AG171" s="677"/>
      <c r="AH171" s="677"/>
      <c r="AI171" s="678"/>
      <c r="AJ171" s="676"/>
      <c r="AK171" s="677"/>
      <c r="AL171" s="677"/>
      <c r="AM171" s="677"/>
      <c r="AN171" s="677"/>
      <c r="AO171" s="677"/>
      <c r="AP171" s="678"/>
      <c r="AQ171" s="676"/>
      <c r="AR171" s="677"/>
      <c r="AS171" s="677"/>
      <c r="AT171" s="677"/>
      <c r="AU171" s="677"/>
      <c r="AV171" s="677"/>
      <c r="AW171" s="678"/>
      <c r="AX171" s="676"/>
      <c r="AY171" s="677"/>
      <c r="AZ171" s="677"/>
      <c r="BA171" s="677"/>
      <c r="BB171" s="677"/>
      <c r="BC171" s="677"/>
      <c r="BD171" s="678"/>
      <c r="BE171" s="619"/>
      <c r="BF171" s="620"/>
      <c r="BG171" s="619"/>
      <c r="BH171" s="620"/>
      <c r="BI171" s="619"/>
      <c r="BJ171" s="620"/>
      <c r="BK171" s="621"/>
      <c r="BL171" s="622"/>
      <c r="BM171" s="622"/>
      <c r="BN171" s="622"/>
      <c r="BO171" s="622"/>
      <c r="BP171" s="622"/>
      <c r="BQ171" s="622"/>
      <c r="BR171" s="622"/>
      <c r="BS171" s="622"/>
      <c r="BT171" s="622"/>
      <c r="BU171" s="622"/>
      <c r="BV171" s="622"/>
      <c r="BW171" s="622"/>
      <c r="BX171" s="622"/>
      <c r="BY171" s="622"/>
      <c r="BZ171" s="622"/>
      <c r="CA171" s="622"/>
      <c r="CB171" s="623"/>
      <c r="CC171" s="279"/>
      <c r="DG171" s="10"/>
      <c r="DH171" s="110"/>
      <c r="DI171" s="110"/>
      <c r="DJ171" s="253"/>
      <c r="DK171" s="13"/>
      <c r="DL171" s="13"/>
      <c r="DM171" s="13"/>
    </row>
    <row r="172" spans="2:117" ht="33.75" customHeight="1" outlineLevel="1">
      <c r="B172" s="205"/>
      <c r="C172" s="676"/>
      <c r="D172" s="677"/>
      <c r="E172" s="677"/>
      <c r="F172" s="677"/>
      <c r="G172" s="677"/>
      <c r="H172" s="677"/>
      <c r="I172" s="677"/>
      <c r="J172" s="677"/>
      <c r="K172" s="677"/>
      <c r="L172" s="677"/>
      <c r="M172" s="677"/>
      <c r="N172" s="677"/>
      <c r="O172" s="677"/>
      <c r="P172" s="677"/>
      <c r="Q172" s="677"/>
      <c r="R172" s="677"/>
      <c r="S172" s="677"/>
      <c r="T172" s="677"/>
      <c r="U172" s="677"/>
      <c r="V172" s="677"/>
      <c r="W172" s="677"/>
      <c r="X172" s="677"/>
      <c r="Y172" s="677"/>
      <c r="Z172" s="677"/>
      <c r="AA172" s="677"/>
      <c r="AB172" s="677"/>
      <c r="AC172" s="677"/>
      <c r="AD172" s="677"/>
      <c r="AE172" s="677"/>
      <c r="AF172" s="677"/>
      <c r="AG172" s="677"/>
      <c r="AH172" s="677"/>
      <c r="AI172" s="678"/>
      <c r="AJ172" s="676"/>
      <c r="AK172" s="677"/>
      <c r="AL172" s="677"/>
      <c r="AM172" s="677"/>
      <c r="AN172" s="677"/>
      <c r="AO172" s="677"/>
      <c r="AP172" s="678"/>
      <c r="AQ172" s="676"/>
      <c r="AR172" s="677"/>
      <c r="AS172" s="677"/>
      <c r="AT172" s="677"/>
      <c r="AU172" s="677"/>
      <c r="AV172" s="677"/>
      <c r="AW172" s="678"/>
      <c r="AX172" s="676"/>
      <c r="AY172" s="677"/>
      <c r="AZ172" s="677"/>
      <c r="BA172" s="677"/>
      <c r="BB172" s="677"/>
      <c r="BC172" s="677"/>
      <c r="BD172" s="678"/>
      <c r="BE172" s="619"/>
      <c r="BF172" s="620"/>
      <c r="BG172" s="619"/>
      <c r="BH172" s="620"/>
      <c r="BI172" s="619"/>
      <c r="BJ172" s="620"/>
      <c r="BK172" s="621"/>
      <c r="BL172" s="622"/>
      <c r="BM172" s="622"/>
      <c r="BN172" s="622"/>
      <c r="BO172" s="622"/>
      <c r="BP172" s="622"/>
      <c r="BQ172" s="622"/>
      <c r="BR172" s="622"/>
      <c r="BS172" s="622"/>
      <c r="BT172" s="622"/>
      <c r="BU172" s="622"/>
      <c r="BV172" s="622"/>
      <c r="BW172" s="622"/>
      <c r="BX172" s="622"/>
      <c r="BY172" s="622"/>
      <c r="BZ172" s="622"/>
      <c r="CA172" s="622"/>
      <c r="CB172" s="623"/>
      <c r="CC172" s="279"/>
      <c r="DG172" s="10"/>
      <c r="DH172" s="110"/>
      <c r="DI172" s="110"/>
      <c r="DJ172" s="253"/>
      <c r="DK172" s="13"/>
      <c r="DL172" s="13"/>
      <c r="DM172" s="13"/>
    </row>
    <row r="173" spans="2:117" ht="33.75" customHeight="1" outlineLevel="1">
      <c r="B173" s="205"/>
      <c r="C173" s="676"/>
      <c r="D173" s="677"/>
      <c r="E173" s="677"/>
      <c r="F173" s="677"/>
      <c r="G173" s="677"/>
      <c r="H173" s="677"/>
      <c r="I173" s="677"/>
      <c r="J173" s="677"/>
      <c r="K173" s="677"/>
      <c r="L173" s="677"/>
      <c r="M173" s="677"/>
      <c r="N173" s="677"/>
      <c r="O173" s="677"/>
      <c r="P173" s="677"/>
      <c r="Q173" s="677"/>
      <c r="R173" s="677"/>
      <c r="S173" s="677"/>
      <c r="T173" s="677"/>
      <c r="U173" s="677"/>
      <c r="V173" s="677"/>
      <c r="W173" s="677"/>
      <c r="X173" s="677"/>
      <c r="Y173" s="677"/>
      <c r="Z173" s="677"/>
      <c r="AA173" s="677"/>
      <c r="AB173" s="677"/>
      <c r="AC173" s="677"/>
      <c r="AD173" s="677"/>
      <c r="AE173" s="677"/>
      <c r="AF173" s="677"/>
      <c r="AG173" s="677"/>
      <c r="AH173" s="677"/>
      <c r="AI173" s="678"/>
      <c r="AJ173" s="676"/>
      <c r="AK173" s="677"/>
      <c r="AL173" s="677"/>
      <c r="AM173" s="677"/>
      <c r="AN173" s="677"/>
      <c r="AO173" s="677"/>
      <c r="AP173" s="678"/>
      <c r="AQ173" s="676"/>
      <c r="AR173" s="677"/>
      <c r="AS173" s="677"/>
      <c r="AT173" s="677"/>
      <c r="AU173" s="677"/>
      <c r="AV173" s="677"/>
      <c r="AW173" s="678"/>
      <c r="AX173" s="676"/>
      <c r="AY173" s="677"/>
      <c r="AZ173" s="677"/>
      <c r="BA173" s="677"/>
      <c r="BB173" s="677"/>
      <c r="BC173" s="677"/>
      <c r="BD173" s="678"/>
      <c r="BE173" s="619"/>
      <c r="BF173" s="620"/>
      <c r="BG173" s="619"/>
      <c r="BH173" s="620"/>
      <c r="BI173" s="619"/>
      <c r="BJ173" s="620"/>
      <c r="BK173" s="621"/>
      <c r="BL173" s="622"/>
      <c r="BM173" s="622"/>
      <c r="BN173" s="622"/>
      <c r="BO173" s="622"/>
      <c r="BP173" s="622"/>
      <c r="BQ173" s="622"/>
      <c r="BR173" s="622"/>
      <c r="BS173" s="622"/>
      <c r="BT173" s="622"/>
      <c r="BU173" s="622"/>
      <c r="BV173" s="622"/>
      <c r="BW173" s="622"/>
      <c r="BX173" s="622"/>
      <c r="BY173" s="622"/>
      <c r="BZ173" s="622"/>
      <c r="CA173" s="622"/>
      <c r="CB173" s="623"/>
      <c r="CC173" s="279"/>
      <c r="DG173" s="10"/>
      <c r="DH173" s="110"/>
      <c r="DI173" s="110"/>
      <c r="DJ173" s="253"/>
      <c r="DK173" s="13"/>
      <c r="DL173" s="13"/>
      <c r="DM173" s="13"/>
    </row>
    <row r="174" spans="2:117" ht="12" customHeight="1">
      <c r="B174" s="205"/>
      <c r="C174" s="670" t="str">
        <f>VLOOKUP(2508,Languages!$A$5:$C$1032,Languages!$A$2,FALSE)</f>
        <v>Root Cause for Occurrence</v>
      </c>
      <c r="D174" s="671"/>
      <c r="E174" s="671"/>
      <c r="F174" s="671"/>
      <c r="G174" s="671"/>
      <c r="H174" s="671"/>
      <c r="I174" s="671"/>
      <c r="J174" s="671"/>
      <c r="K174" s="671"/>
      <c r="L174" s="671"/>
      <c r="M174" s="671"/>
      <c r="N174" s="671"/>
      <c r="O174" s="671"/>
      <c r="P174" s="671"/>
      <c r="Q174" s="671"/>
      <c r="R174" s="671"/>
      <c r="S174" s="671"/>
      <c r="T174" s="671"/>
      <c r="U174" s="671"/>
      <c r="V174" s="671"/>
      <c r="W174" s="671"/>
      <c r="X174" s="671"/>
      <c r="Y174" s="671"/>
      <c r="Z174" s="671"/>
      <c r="AA174" s="671"/>
      <c r="AB174" s="671"/>
      <c r="AC174" s="671"/>
      <c r="AD174" s="671"/>
      <c r="AE174" s="671"/>
      <c r="AF174" s="671"/>
      <c r="AG174" s="671"/>
      <c r="AH174" s="671"/>
      <c r="AI174" s="671"/>
      <c r="AJ174" s="671"/>
      <c r="AK174" s="671"/>
      <c r="AL174" s="671"/>
      <c r="AM174" s="671"/>
      <c r="AN174" s="671"/>
      <c r="AO174" s="671"/>
      <c r="AP174" s="671"/>
      <c r="AQ174" s="671"/>
      <c r="AR174" s="671"/>
      <c r="AS174" s="671"/>
      <c r="AT174" s="671"/>
      <c r="AU174" s="671"/>
      <c r="AV174" s="671"/>
      <c r="AW174" s="671"/>
      <c r="AX174" s="671"/>
      <c r="AY174" s="671"/>
      <c r="AZ174" s="671"/>
      <c r="BA174" s="671"/>
      <c r="BB174" s="671"/>
      <c r="BC174" s="671"/>
      <c r="BD174" s="671"/>
      <c r="BE174" s="671"/>
      <c r="BF174" s="671"/>
      <c r="BG174" s="671"/>
      <c r="BH174" s="671"/>
      <c r="BI174" s="671"/>
      <c r="BJ174" s="671"/>
      <c r="BK174" s="671"/>
      <c r="BL174" s="671"/>
      <c r="BM174" s="671"/>
      <c r="BN174" s="671"/>
      <c r="BO174" s="671"/>
      <c r="BP174" s="671"/>
      <c r="BQ174" s="671"/>
      <c r="BR174" s="671"/>
      <c r="BS174" s="671"/>
      <c r="BT174" s="671"/>
      <c r="BU174" s="671"/>
      <c r="BV174" s="671"/>
      <c r="BW174" s="671"/>
      <c r="BX174" s="671"/>
      <c r="BY174" s="671"/>
      <c r="BZ174" s="671"/>
      <c r="CA174" s="671"/>
      <c r="CB174" s="672"/>
      <c r="CC174" s="279"/>
      <c r="DG174" s="10"/>
      <c r="DH174" s="110"/>
      <c r="DI174" s="110"/>
      <c r="DJ174" s="253"/>
      <c r="DK174" s="13"/>
      <c r="DL174" s="13"/>
      <c r="DM174" s="13"/>
    </row>
    <row r="175" spans="2:117" ht="12" customHeight="1">
      <c r="B175" s="205"/>
      <c r="C175" s="673"/>
      <c r="D175" s="674"/>
      <c r="E175" s="674"/>
      <c r="F175" s="674"/>
      <c r="G175" s="674"/>
      <c r="H175" s="674"/>
      <c r="I175" s="674"/>
      <c r="J175" s="674"/>
      <c r="K175" s="674"/>
      <c r="L175" s="674"/>
      <c r="M175" s="674"/>
      <c r="N175" s="674"/>
      <c r="O175" s="674"/>
      <c r="P175" s="674"/>
      <c r="Q175" s="674"/>
      <c r="R175" s="674"/>
      <c r="S175" s="674"/>
      <c r="T175" s="674"/>
      <c r="U175" s="674"/>
      <c r="V175" s="674"/>
      <c r="W175" s="674"/>
      <c r="X175" s="674"/>
      <c r="Y175" s="674"/>
      <c r="Z175" s="674"/>
      <c r="AA175" s="674"/>
      <c r="AB175" s="674"/>
      <c r="AC175" s="674"/>
      <c r="AD175" s="674"/>
      <c r="AE175" s="674"/>
      <c r="AF175" s="674"/>
      <c r="AG175" s="674"/>
      <c r="AH175" s="674"/>
      <c r="AI175" s="674"/>
      <c r="AJ175" s="674"/>
      <c r="AK175" s="674"/>
      <c r="AL175" s="674"/>
      <c r="AM175" s="674"/>
      <c r="AN175" s="674"/>
      <c r="AO175" s="674"/>
      <c r="AP175" s="674"/>
      <c r="AQ175" s="674"/>
      <c r="AR175" s="674"/>
      <c r="AS175" s="674"/>
      <c r="AT175" s="674"/>
      <c r="AU175" s="674"/>
      <c r="AV175" s="674"/>
      <c r="AW175" s="674"/>
      <c r="AX175" s="674"/>
      <c r="AY175" s="674"/>
      <c r="AZ175" s="674"/>
      <c r="BA175" s="674"/>
      <c r="BB175" s="674"/>
      <c r="BC175" s="674"/>
      <c r="BD175" s="674"/>
      <c r="BE175" s="674"/>
      <c r="BF175" s="674"/>
      <c r="BG175" s="674"/>
      <c r="BH175" s="674"/>
      <c r="BI175" s="674"/>
      <c r="BJ175" s="674"/>
      <c r="BK175" s="674"/>
      <c r="BL175" s="674"/>
      <c r="BM175" s="674"/>
      <c r="BN175" s="674"/>
      <c r="BO175" s="674"/>
      <c r="BP175" s="674"/>
      <c r="BQ175" s="674"/>
      <c r="BR175" s="674"/>
      <c r="BS175" s="674"/>
      <c r="BT175" s="674"/>
      <c r="BU175" s="674"/>
      <c r="BV175" s="674"/>
      <c r="BW175" s="674"/>
      <c r="BX175" s="674"/>
      <c r="BY175" s="674"/>
      <c r="BZ175" s="674"/>
      <c r="CA175" s="674"/>
      <c r="CB175" s="675"/>
      <c r="CC175" s="279"/>
      <c r="DG175" s="10"/>
      <c r="DH175" s="110"/>
      <c r="DI175"/>
      <c r="DJ175"/>
      <c r="DK175"/>
      <c r="DL175"/>
      <c r="DM175"/>
    </row>
    <row r="176" spans="2:117" ht="56.25" customHeight="1">
      <c r="B176" s="205"/>
      <c r="C176" s="676"/>
      <c r="D176" s="677"/>
      <c r="E176" s="677"/>
      <c r="F176" s="677"/>
      <c r="G176" s="677"/>
      <c r="H176" s="677"/>
      <c r="I176" s="677"/>
      <c r="J176" s="677"/>
      <c r="K176" s="677"/>
      <c r="L176" s="677"/>
      <c r="M176" s="677"/>
      <c r="N176" s="677"/>
      <c r="O176" s="677"/>
      <c r="P176" s="677"/>
      <c r="Q176" s="677"/>
      <c r="R176" s="677"/>
      <c r="S176" s="677"/>
      <c r="T176" s="677"/>
      <c r="U176" s="677"/>
      <c r="V176" s="677"/>
      <c r="W176" s="677"/>
      <c r="X176" s="677"/>
      <c r="Y176" s="677"/>
      <c r="Z176" s="677"/>
      <c r="AA176" s="677"/>
      <c r="AB176" s="677"/>
      <c r="AC176" s="677"/>
      <c r="AD176" s="677"/>
      <c r="AE176" s="677"/>
      <c r="AF176" s="677"/>
      <c r="AG176" s="677"/>
      <c r="AH176" s="677"/>
      <c r="AI176" s="677"/>
      <c r="AJ176" s="677"/>
      <c r="AK176" s="677"/>
      <c r="AL176" s="677"/>
      <c r="AM176" s="677"/>
      <c r="AN176" s="677"/>
      <c r="AO176" s="677"/>
      <c r="AP176" s="677"/>
      <c r="AQ176" s="677"/>
      <c r="AR176" s="677"/>
      <c r="AS176" s="677"/>
      <c r="AT176" s="677"/>
      <c r="AU176" s="677"/>
      <c r="AV176" s="677"/>
      <c r="AW176" s="677"/>
      <c r="AX176" s="677"/>
      <c r="AY176" s="677"/>
      <c r="AZ176" s="677"/>
      <c r="BA176" s="677"/>
      <c r="BB176" s="677"/>
      <c r="BC176" s="677"/>
      <c r="BD176" s="677"/>
      <c r="BE176" s="677"/>
      <c r="BF176" s="677"/>
      <c r="BG176" s="677"/>
      <c r="BH176" s="677"/>
      <c r="BI176" s="677"/>
      <c r="BJ176" s="677"/>
      <c r="BK176" s="677"/>
      <c r="BL176" s="677"/>
      <c r="BM176" s="677"/>
      <c r="BN176" s="677"/>
      <c r="BO176" s="677"/>
      <c r="BP176" s="677"/>
      <c r="BQ176" s="677"/>
      <c r="BR176" s="677"/>
      <c r="BS176" s="677"/>
      <c r="BT176" s="677"/>
      <c r="BU176" s="677"/>
      <c r="BV176" s="677"/>
      <c r="BW176" s="677"/>
      <c r="BX176" s="677"/>
      <c r="BY176" s="677"/>
      <c r="BZ176" s="677"/>
      <c r="CA176" s="677"/>
      <c r="CB176" s="678"/>
      <c r="CC176" s="279"/>
      <c r="DG176" s="10"/>
      <c r="DH176" s="110"/>
      <c r="DI176"/>
      <c r="DJ176"/>
      <c r="DK176"/>
      <c r="DL176"/>
      <c r="DM176"/>
    </row>
    <row r="177" spans="2:117" ht="12" customHeight="1">
      <c r="B177" s="205"/>
      <c r="C177" s="632" t="str">
        <f>VLOOKUP(2509,Languages!$A$5:$C$1032,Languages!$A$2,FALSE)</f>
        <v>Is the error reproducible?</v>
      </c>
      <c r="D177" s="633"/>
      <c r="E177" s="633"/>
      <c r="F177" s="633"/>
      <c r="G177" s="633"/>
      <c r="H177" s="633"/>
      <c r="I177" s="633"/>
      <c r="J177" s="633"/>
      <c r="K177" s="633"/>
      <c r="L177" s="633"/>
      <c r="M177" s="633"/>
      <c r="N177" s="633"/>
      <c r="O177" s="633"/>
      <c r="P177" s="633"/>
      <c r="Q177" s="633"/>
      <c r="R177" s="633"/>
      <c r="S177" s="633"/>
      <c r="T177" s="633"/>
      <c r="U177" s="633"/>
      <c r="V177" s="633"/>
      <c r="W177" s="633"/>
      <c r="X177" s="633"/>
      <c r="Y177" s="633"/>
      <c r="Z177" s="633"/>
      <c r="AA177" s="633"/>
      <c r="AB177" s="633"/>
      <c r="AC177" s="633"/>
      <c r="AD177" s="633"/>
      <c r="AE177" s="633"/>
      <c r="AF177" s="633"/>
      <c r="AG177" s="633"/>
      <c r="AH177" s="633"/>
      <c r="AI177" s="634"/>
      <c r="AJ177" s="828" t="s">
        <v>536</v>
      </c>
      <c r="AK177" s="829"/>
      <c r="AL177" s="829"/>
      <c r="AM177" s="829"/>
      <c r="AN177" s="829"/>
      <c r="AO177" s="829"/>
      <c r="AP177" s="830"/>
      <c r="AQ177" s="834" t="str">
        <f>VLOOKUP(2510,Languages!$A$5:$C$1032,Languages!$A$2,FALSE)</f>
        <v>If not, perform further analysis.</v>
      </c>
      <c r="AR177" s="835"/>
      <c r="AS177" s="835"/>
      <c r="AT177" s="835"/>
      <c r="AU177" s="835"/>
      <c r="AV177" s="835"/>
      <c r="AW177" s="835"/>
      <c r="AX177" s="835"/>
      <c r="AY177" s="835"/>
      <c r="AZ177" s="835"/>
      <c r="BA177" s="835"/>
      <c r="BB177" s="835"/>
      <c r="BC177" s="835"/>
      <c r="BD177" s="835"/>
      <c r="BE177" s="835"/>
      <c r="BF177" s="835"/>
      <c r="BG177" s="835"/>
      <c r="BH177" s="835"/>
      <c r="BI177" s="835"/>
      <c r="BJ177" s="835"/>
      <c r="BK177" s="835"/>
      <c r="BL177" s="835"/>
      <c r="BM177" s="835"/>
      <c r="BN177" s="835"/>
      <c r="BO177" s="835"/>
      <c r="BP177" s="835"/>
      <c r="BQ177" s="835"/>
      <c r="BR177" s="835"/>
      <c r="BS177" s="835"/>
      <c r="BT177" s="835"/>
      <c r="BU177" s="835"/>
      <c r="BV177" s="835"/>
      <c r="BW177" s="835"/>
      <c r="BX177" s="835"/>
      <c r="BY177" s="835"/>
      <c r="BZ177" s="835"/>
      <c r="CA177" s="835"/>
      <c r="CB177" s="836"/>
      <c r="CC177" s="381"/>
      <c r="DG177" s="10"/>
      <c r="DH177" s="110"/>
      <c r="DI177"/>
      <c r="DJ177"/>
      <c r="DK177"/>
      <c r="DL177"/>
      <c r="DM177"/>
    </row>
    <row r="178" spans="2:117" ht="12" customHeight="1">
      <c r="B178" s="205"/>
      <c r="C178" s="638"/>
      <c r="D178" s="639"/>
      <c r="E178" s="639"/>
      <c r="F178" s="639"/>
      <c r="G178" s="639"/>
      <c r="H178" s="639"/>
      <c r="I178" s="639"/>
      <c r="J178" s="639"/>
      <c r="K178" s="639"/>
      <c r="L178" s="639"/>
      <c r="M178" s="639"/>
      <c r="N178" s="639"/>
      <c r="O178" s="639"/>
      <c r="P178" s="639"/>
      <c r="Q178" s="639"/>
      <c r="R178" s="639"/>
      <c r="S178" s="639"/>
      <c r="T178" s="639"/>
      <c r="U178" s="639"/>
      <c r="V178" s="639"/>
      <c r="W178" s="639"/>
      <c r="X178" s="639"/>
      <c r="Y178" s="639"/>
      <c r="Z178" s="639"/>
      <c r="AA178" s="639"/>
      <c r="AB178" s="639"/>
      <c r="AC178" s="639"/>
      <c r="AD178" s="639"/>
      <c r="AE178" s="639"/>
      <c r="AF178" s="639"/>
      <c r="AG178" s="639"/>
      <c r="AH178" s="639"/>
      <c r="AI178" s="640"/>
      <c r="AJ178" s="831"/>
      <c r="AK178" s="832"/>
      <c r="AL178" s="832"/>
      <c r="AM178" s="832"/>
      <c r="AN178" s="832"/>
      <c r="AO178" s="832"/>
      <c r="AP178" s="833"/>
      <c r="AQ178" s="837"/>
      <c r="AR178" s="838"/>
      <c r="AS178" s="838"/>
      <c r="AT178" s="838"/>
      <c r="AU178" s="838"/>
      <c r="AV178" s="838"/>
      <c r="AW178" s="838"/>
      <c r="AX178" s="838"/>
      <c r="AY178" s="838"/>
      <c r="AZ178" s="838"/>
      <c r="BA178" s="838"/>
      <c r="BB178" s="838"/>
      <c r="BC178" s="838"/>
      <c r="BD178" s="838"/>
      <c r="BE178" s="838"/>
      <c r="BF178" s="838"/>
      <c r="BG178" s="838"/>
      <c r="BH178" s="838"/>
      <c r="BI178" s="838"/>
      <c r="BJ178" s="838"/>
      <c r="BK178" s="838"/>
      <c r="BL178" s="838"/>
      <c r="BM178" s="838"/>
      <c r="BN178" s="838"/>
      <c r="BO178" s="838"/>
      <c r="BP178" s="838"/>
      <c r="BQ178" s="838"/>
      <c r="BR178" s="838"/>
      <c r="BS178" s="838"/>
      <c r="BT178" s="838"/>
      <c r="BU178" s="838"/>
      <c r="BV178" s="838"/>
      <c r="BW178" s="838"/>
      <c r="BX178" s="838"/>
      <c r="BY178" s="838"/>
      <c r="BZ178" s="838"/>
      <c r="CA178" s="838"/>
      <c r="CB178" s="839"/>
      <c r="CC178" s="381"/>
      <c r="DG178" s="10"/>
      <c r="DH178" s="110"/>
      <c r="DI178"/>
      <c r="DJ178"/>
      <c r="DK178"/>
      <c r="DL178"/>
      <c r="DM178"/>
    </row>
    <row r="179" spans="2:117" ht="12" customHeight="1">
      <c r="B179" s="205"/>
      <c r="C179" s="670" t="str">
        <f>VLOOKUP(2511,Languages!$A$5:$C$1032,Languages!$A$2,FALSE)</f>
        <v>Root Cause for Non-Detection</v>
      </c>
      <c r="D179" s="671"/>
      <c r="E179" s="671"/>
      <c r="F179" s="671"/>
      <c r="G179" s="671"/>
      <c r="H179" s="671"/>
      <c r="I179" s="671"/>
      <c r="J179" s="671"/>
      <c r="K179" s="671"/>
      <c r="L179" s="671"/>
      <c r="M179" s="671"/>
      <c r="N179" s="671"/>
      <c r="O179" s="671"/>
      <c r="P179" s="671"/>
      <c r="Q179" s="671"/>
      <c r="R179" s="671"/>
      <c r="S179" s="671"/>
      <c r="T179" s="671"/>
      <c r="U179" s="671"/>
      <c r="V179" s="671"/>
      <c r="W179" s="671"/>
      <c r="X179" s="671"/>
      <c r="Y179" s="671"/>
      <c r="Z179" s="671"/>
      <c r="AA179" s="671"/>
      <c r="AB179" s="671"/>
      <c r="AC179" s="671"/>
      <c r="AD179" s="671"/>
      <c r="AE179" s="671"/>
      <c r="AF179" s="671"/>
      <c r="AG179" s="671"/>
      <c r="AH179" s="671"/>
      <c r="AI179" s="671"/>
      <c r="AJ179" s="671"/>
      <c r="AK179" s="671"/>
      <c r="AL179" s="671"/>
      <c r="AM179" s="671"/>
      <c r="AN179" s="671"/>
      <c r="AO179" s="671"/>
      <c r="AP179" s="671"/>
      <c r="AQ179" s="671"/>
      <c r="AR179" s="671"/>
      <c r="AS179" s="671"/>
      <c r="AT179" s="671"/>
      <c r="AU179" s="671"/>
      <c r="AV179" s="671"/>
      <c r="AW179" s="671"/>
      <c r="AX179" s="671"/>
      <c r="AY179" s="671"/>
      <c r="AZ179" s="671"/>
      <c r="BA179" s="671"/>
      <c r="BB179" s="671"/>
      <c r="BC179" s="671"/>
      <c r="BD179" s="671"/>
      <c r="BE179" s="671"/>
      <c r="BF179" s="671"/>
      <c r="BG179" s="671"/>
      <c r="BH179" s="671"/>
      <c r="BI179" s="671"/>
      <c r="BJ179" s="671"/>
      <c r="BK179" s="671"/>
      <c r="BL179" s="671"/>
      <c r="BM179" s="671"/>
      <c r="BN179" s="671"/>
      <c r="BO179" s="671"/>
      <c r="BP179" s="671"/>
      <c r="BQ179" s="671"/>
      <c r="BR179" s="671"/>
      <c r="BS179" s="671"/>
      <c r="BT179" s="671"/>
      <c r="BU179" s="671"/>
      <c r="BV179" s="671"/>
      <c r="BW179" s="671"/>
      <c r="BX179" s="671"/>
      <c r="BY179" s="671"/>
      <c r="BZ179" s="671"/>
      <c r="CA179" s="671"/>
      <c r="CB179" s="672"/>
      <c r="CC179" s="279"/>
      <c r="DG179" s="10"/>
      <c r="DH179" s="110"/>
      <c r="DI179" s="110"/>
      <c r="DJ179" s="10"/>
      <c r="DK179" s="13"/>
      <c r="DL179" s="13"/>
      <c r="DM179" s="13"/>
    </row>
    <row r="180" spans="2:117" ht="12" customHeight="1">
      <c r="B180" s="205"/>
      <c r="C180" s="673"/>
      <c r="D180" s="674"/>
      <c r="E180" s="674"/>
      <c r="F180" s="674"/>
      <c r="G180" s="674"/>
      <c r="H180" s="674"/>
      <c r="I180" s="674"/>
      <c r="J180" s="674"/>
      <c r="K180" s="674"/>
      <c r="L180" s="674"/>
      <c r="M180" s="674"/>
      <c r="N180" s="674"/>
      <c r="O180" s="674"/>
      <c r="P180" s="674"/>
      <c r="Q180" s="674"/>
      <c r="R180" s="674"/>
      <c r="S180" s="674"/>
      <c r="T180" s="674"/>
      <c r="U180" s="674"/>
      <c r="V180" s="674"/>
      <c r="W180" s="674"/>
      <c r="X180" s="674"/>
      <c r="Y180" s="674"/>
      <c r="Z180" s="674"/>
      <c r="AA180" s="674"/>
      <c r="AB180" s="674"/>
      <c r="AC180" s="674"/>
      <c r="AD180" s="674"/>
      <c r="AE180" s="674"/>
      <c r="AF180" s="674"/>
      <c r="AG180" s="674"/>
      <c r="AH180" s="674"/>
      <c r="AI180" s="674"/>
      <c r="AJ180" s="674"/>
      <c r="AK180" s="674"/>
      <c r="AL180" s="674"/>
      <c r="AM180" s="674"/>
      <c r="AN180" s="674"/>
      <c r="AO180" s="674"/>
      <c r="AP180" s="674"/>
      <c r="AQ180" s="674"/>
      <c r="AR180" s="674"/>
      <c r="AS180" s="674"/>
      <c r="AT180" s="674"/>
      <c r="AU180" s="674"/>
      <c r="AV180" s="674"/>
      <c r="AW180" s="674"/>
      <c r="AX180" s="674"/>
      <c r="AY180" s="674"/>
      <c r="AZ180" s="674"/>
      <c r="BA180" s="674"/>
      <c r="BB180" s="674"/>
      <c r="BC180" s="674"/>
      <c r="BD180" s="674"/>
      <c r="BE180" s="674"/>
      <c r="BF180" s="674"/>
      <c r="BG180" s="674"/>
      <c r="BH180" s="674"/>
      <c r="BI180" s="674"/>
      <c r="BJ180" s="674"/>
      <c r="BK180" s="674"/>
      <c r="BL180" s="674"/>
      <c r="BM180" s="674"/>
      <c r="BN180" s="674"/>
      <c r="BO180" s="674"/>
      <c r="BP180" s="674"/>
      <c r="BQ180" s="674"/>
      <c r="BR180" s="674"/>
      <c r="BS180" s="674"/>
      <c r="BT180" s="674"/>
      <c r="BU180" s="674"/>
      <c r="BV180" s="674"/>
      <c r="BW180" s="674"/>
      <c r="BX180" s="674"/>
      <c r="BY180" s="674"/>
      <c r="BZ180" s="674"/>
      <c r="CA180" s="674"/>
      <c r="CB180" s="675"/>
      <c r="CC180" s="279"/>
      <c r="DG180" s="10"/>
      <c r="DH180" s="110"/>
      <c r="DI180" s="110"/>
      <c r="DJ180" s="10"/>
      <c r="DK180" s="13"/>
      <c r="DL180" s="13"/>
      <c r="DM180" s="13"/>
    </row>
    <row r="181" spans="2:117" ht="56.25" customHeight="1">
      <c r="B181" s="205"/>
      <c r="C181" s="676"/>
      <c r="D181" s="677"/>
      <c r="E181" s="677"/>
      <c r="F181" s="677"/>
      <c r="G181" s="677"/>
      <c r="H181" s="677"/>
      <c r="I181" s="677"/>
      <c r="J181" s="677"/>
      <c r="K181" s="677"/>
      <c r="L181" s="677"/>
      <c r="M181" s="677"/>
      <c r="N181" s="677"/>
      <c r="O181" s="677"/>
      <c r="P181" s="677"/>
      <c r="Q181" s="677"/>
      <c r="R181" s="677"/>
      <c r="S181" s="677"/>
      <c r="T181" s="677"/>
      <c r="U181" s="677"/>
      <c r="V181" s="677"/>
      <c r="W181" s="677"/>
      <c r="X181" s="677"/>
      <c r="Y181" s="677"/>
      <c r="Z181" s="677"/>
      <c r="AA181" s="677"/>
      <c r="AB181" s="677"/>
      <c r="AC181" s="677"/>
      <c r="AD181" s="677"/>
      <c r="AE181" s="677"/>
      <c r="AF181" s="677"/>
      <c r="AG181" s="677"/>
      <c r="AH181" s="677"/>
      <c r="AI181" s="677"/>
      <c r="AJ181" s="677"/>
      <c r="AK181" s="677"/>
      <c r="AL181" s="677"/>
      <c r="AM181" s="677"/>
      <c r="AN181" s="677"/>
      <c r="AO181" s="677"/>
      <c r="AP181" s="677"/>
      <c r="AQ181" s="677"/>
      <c r="AR181" s="677"/>
      <c r="AS181" s="677"/>
      <c r="AT181" s="677"/>
      <c r="AU181" s="677"/>
      <c r="AV181" s="677"/>
      <c r="AW181" s="677"/>
      <c r="AX181" s="677"/>
      <c r="AY181" s="677"/>
      <c r="AZ181" s="677"/>
      <c r="BA181" s="677"/>
      <c r="BB181" s="677"/>
      <c r="BC181" s="677"/>
      <c r="BD181" s="677"/>
      <c r="BE181" s="677"/>
      <c r="BF181" s="677"/>
      <c r="BG181" s="677"/>
      <c r="BH181" s="677"/>
      <c r="BI181" s="677"/>
      <c r="BJ181" s="677"/>
      <c r="BK181" s="677"/>
      <c r="BL181" s="677"/>
      <c r="BM181" s="677"/>
      <c r="BN181" s="677"/>
      <c r="BO181" s="677"/>
      <c r="BP181" s="677"/>
      <c r="BQ181" s="677"/>
      <c r="BR181" s="677"/>
      <c r="BS181" s="677"/>
      <c r="BT181" s="677"/>
      <c r="BU181" s="677"/>
      <c r="BV181" s="677"/>
      <c r="BW181" s="677"/>
      <c r="BX181" s="677"/>
      <c r="BY181" s="677"/>
      <c r="BZ181" s="677"/>
      <c r="CA181" s="677"/>
      <c r="CB181" s="678"/>
      <c r="CC181" s="279"/>
      <c r="DG181" s="10"/>
      <c r="DH181" s="110"/>
      <c r="DI181" s="10"/>
      <c r="DJ181" s="10"/>
      <c r="DK181" s="13"/>
      <c r="DL181" s="13"/>
      <c r="DM181" s="13"/>
    </row>
    <row r="182" spans="2:117" ht="12" customHeight="1">
      <c r="B182" s="205"/>
      <c r="C182" s="632" t="str">
        <f>VLOOKUP(2512,Languages!$A$5:$C$1032,Languages!$A$2,FALSE)</f>
        <v>Is the error reproducible?</v>
      </c>
      <c r="D182" s="633"/>
      <c r="E182" s="633"/>
      <c r="F182" s="633"/>
      <c r="G182" s="633"/>
      <c r="H182" s="633"/>
      <c r="I182" s="633"/>
      <c r="J182" s="633"/>
      <c r="K182" s="633"/>
      <c r="L182" s="633"/>
      <c r="M182" s="633"/>
      <c r="N182" s="633"/>
      <c r="O182" s="633"/>
      <c r="P182" s="633"/>
      <c r="Q182" s="633"/>
      <c r="R182" s="633"/>
      <c r="S182" s="633"/>
      <c r="T182" s="633"/>
      <c r="U182" s="633"/>
      <c r="V182" s="633"/>
      <c r="W182" s="633"/>
      <c r="X182" s="633"/>
      <c r="Y182" s="633"/>
      <c r="Z182" s="633"/>
      <c r="AA182" s="633"/>
      <c r="AB182" s="633"/>
      <c r="AC182" s="633"/>
      <c r="AD182" s="633"/>
      <c r="AE182" s="633"/>
      <c r="AF182" s="633"/>
      <c r="AG182" s="633"/>
      <c r="AH182" s="633"/>
      <c r="AI182" s="634"/>
      <c r="AJ182" s="828" t="s">
        <v>536</v>
      </c>
      <c r="AK182" s="829"/>
      <c r="AL182" s="829"/>
      <c r="AM182" s="829"/>
      <c r="AN182" s="829"/>
      <c r="AO182" s="829"/>
      <c r="AP182" s="830"/>
      <c r="AQ182" s="834" t="str">
        <f>VLOOKUP(2513,Languages!$A$5:$C$1032,Languages!$A$2,FALSE)</f>
        <v>If not, perform further analysis.</v>
      </c>
      <c r="AR182" s="835"/>
      <c r="AS182" s="835"/>
      <c r="AT182" s="835"/>
      <c r="AU182" s="835"/>
      <c r="AV182" s="835"/>
      <c r="AW182" s="835"/>
      <c r="AX182" s="835"/>
      <c r="AY182" s="835"/>
      <c r="AZ182" s="835"/>
      <c r="BA182" s="835"/>
      <c r="BB182" s="835"/>
      <c r="BC182" s="835"/>
      <c r="BD182" s="835"/>
      <c r="BE182" s="835"/>
      <c r="BF182" s="835"/>
      <c r="BG182" s="835"/>
      <c r="BH182" s="835"/>
      <c r="BI182" s="835"/>
      <c r="BJ182" s="835"/>
      <c r="BK182" s="835"/>
      <c r="BL182" s="835"/>
      <c r="BM182" s="835"/>
      <c r="BN182" s="835"/>
      <c r="BO182" s="835"/>
      <c r="BP182" s="835"/>
      <c r="BQ182" s="835"/>
      <c r="BR182" s="835"/>
      <c r="BS182" s="835"/>
      <c r="BT182" s="835"/>
      <c r="BU182" s="835"/>
      <c r="BV182" s="835"/>
      <c r="BW182" s="835"/>
      <c r="BX182" s="835"/>
      <c r="BY182" s="835"/>
      <c r="BZ182" s="835"/>
      <c r="CA182" s="835"/>
      <c r="CB182" s="836"/>
      <c r="CC182" s="381"/>
      <c r="DG182" s="10"/>
      <c r="DH182" s="110"/>
      <c r="DI182" s="10"/>
      <c r="DJ182" s="10"/>
      <c r="DK182" s="13"/>
      <c r="DL182" s="13"/>
      <c r="DM182" s="13"/>
    </row>
    <row r="183" spans="2:117" ht="12" customHeight="1">
      <c r="B183" s="205"/>
      <c r="C183" s="638"/>
      <c r="D183" s="639"/>
      <c r="E183" s="639"/>
      <c r="F183" s="639"/>
      <c r="G183" s="639"/>
      <c r="H183" s="639"/>
      <c r="I183" s="639"/>
      <c r="J183" s="639"/>
      <c r="K183" s="639"/>
      <c r="L183" s="639"/>
      <c r="M183" s="639"/>
      <c r="N183" s="639"/>
      <c r="O183" s="639"/>
      <c r="P183" s="639"/>
      <c r="Q183" s="639"/>
      <c r="R183" s="639"/>
      <c r="S183" s="639"/>
      <c r="T183" s="639"/>
      <c r="U183" s="639"/>
      <c r="V183" s="639"/>
      <c r="W183" s="639"/>
      <c r="X183" s="639"/>
      <c r="Y183" s="639"/>
      <c r="Z183" s="639"/>
      <c r="AA183" s="639"/>
      <c r="AB183" s="639"/>
      <c r="AC183" s="639"/>
      <c r="AD183" s="639"/>
      <c r="AE183" s="639"/>
      <c r="AF183" s="639"/>
      <c r="AG183" s="639"/>
      <c r="AH183" s="639"/>
      <c r="AI183" s="640"/>
      <c r="AJ183" s="831"/>
      <c r="AK183" s="832"/>
      <c r="AL183" s="832"/>
      <c r="AM183" s="832"/>
      <c r="AN183" s="832"/>
      <c r="AO183" s="832"/>
      <c r="AP183" s="833"/>
      <c r="AQ183" s="837"/>
      <c r="AR183" s="838"/>
      <c r="AS183" s="838"/>
      <c r="AT183" s="838"/>
      <c r="AU183" s="838"/>
      <c r="AV183" s="838"/>
      <c r="AW183" s="838"/>
      <c r="AX183" s="838"/>
      <c r="AY183" s="838"/>
      <c r="AZ183" s="838"/>
      <c r="BA183" s="838"/>
      <c r="BB183" s="838"/>
      <c r="BC183" s="838"/>
      <c r="BD183" s="838"/>
      <c r="BE183" s="838"/>
      <c r="BF183" s="838"/>
      <c r="BG183" s="838"/>
      <c r="BH183" s="838"/>
      <c r="BI183" s="838"/>
      <c r="BJ183" s="838"/>
      <c r="BK183" s="838"/>
      <c r="BL183" s="838"/>
      <c r="BM183" s="838"/>
      <c r="BN183" s="838"/>
      <c r="BO183" s="838"/>
      <c r="BP183" s="838"/>
      <c r="BQ183" s="838"/>
      <c r="BR183" s="838"/>
      <c r="BS183" s="838"/>
      <c r="BT183" s="838"/>
      <c r="BU183" s="838"/>
      <c r="BV183" s="838"/>
      <c r="BW183" s="838"/>
      <c r="BX183" s="838"/>
      <c r="BY183" s="838"/>
      <c r="BZ183" s="838"/>
      <c r="CA183" s="838"/>
      <c r="CB183" s="839"/>
      <c r="CC183" s="381"/>
      <c r="DG183" s="10"/>
      <c r="DH183" s="110"/>
      <c r="DI183" s="10"/>
      <c r="DJ183" s="10"/>
      <c r="DK183" s="13"/>
      <c r="DL183" s="13"/>
      <c r="DM183" s="13"/>
    </row>
    <row r="184" spans="2:117" ht="12" customHeight="1">
      <c r="B184" s="275"/>
      <c r="C184" s="789"/>
      <c r="D184" s="789"/>
      <c r="E184" s="789"/>
      <c r="F184" s="789"/>
      <c r="G184" s="789"/>
      <c r="H184" s="789"/>
      <c r="I184" s="789"/>
      <c r="J184" s="789"/>
      <c r="K184" s="789"/>
      <c r="L184" s="789"/>
      <c r="M184" s="789"/>
      <c r="N184" s="789"/>
      <c r="O184" s="789"/>
      <c r="P184" s="789"/>
      <c r="Q184" s="789"/>
      <c r="R184" s="789"/>
      <c r="S184" s="789"/>
      <c r="T184" s="789"/>
      <c r="U184" s="789"/>
      <c r="V184" s="789"/>
      <c r="W184" s="789"/>
      <c r="X184" s="789"/>
      <c r="Y184" s="789"/>
      <c r="Z184" s="789"/>
      <c r="AA184" s="789"/>
      <c r="AB184" s="789"/>
      <c r="AC184" s="789"/>
      <c r="AD184" s="789"/>
      <c r="AE184" s="789"/>
      <c r="AF184" s="789"/>
      <c r="AG184" s="789"/>
      <c r="AH184" s="789"/>
      <c r="AI184" s="789"/>
      <c r="AJ184" s="789"/>
      <c r="AK184" s="789"/>
      <c r="AL184" s="789"/>
      <c r="AM184" s="789"/>
      <c r="AN184" s="789"/>
      <c r="AO184" s="789"/>
      <c r="AP184" s="789"/>
      <c r="AQ184" s="789"/>
      <c r="AR184" s="789"/>
      <c r="AS184" s="789"/>
      <c r="AT184" s="789"/>
      <c r="AU184" s="789"/>
      <c r="AV184" s="789"/>
      <c r="AW184" s="789"/>
      <c r="AX184" s="789"/>
      <c r="AY184" s="789"/>
      <c r="AZ184" s="789"/>
      <c r="BA184" s="789"/>
      <c r="BB184" s="789"/>
      <c r="BC184" s="789"/>
      <c r="BD184" s="789"/>
      <c r="BE184" s="789"/>
      <c r="BF184" s="789"/>
      <c r="BG184" s="789"/>
      <c r="BH184" s="789"/>
      <c r="BI184" s="789"/>
      <c r="BJ184" s="789"/>
      <c r="BK184" s="789"/>
      <c r="BL184" s="789"/>
      <c r="BM184" s="789"/>
      <c r="BN184" s="789"/>
      <c r="BO184" s="789"/>
      <c r="BP184" s="789"/>
      <c r="BQ184" s="789"/>
      <c r="BR184" s="789"/>
      <c r="BS184" s="789"/>
      <c r="BT184" s="789"/>
      <c r="BU184" s="789"/>
      <c r="BV184" s="789"/>
      <c r="BW184" s="789"/>
      <c r="BX184" s="789"/>
      <c r="BY184" s="789"/>
      <c r="BZ184" s="789"/>
      <c r="CA184" s="789"/>
      <c r="CB184" s="789"/>
      <c r="CC184" s="275"/>
      <c r="DG184" s="10"/>
      <c r="DH184" s="110"/>
      <c r="DI184" s="10"/>
      <c r="DJ184" s="10"/>
      <c r="DK184" s="13"/>
      <c r="DL184" s="13"/>
      <c r="DM184" s="13"/>
    </row>
    <row r="185" spans="2:117" ht="12" customHeight="1" thickBot="1">
      <c r="B185" s="275"/>
      <c r="C185" s="787"/>
      <c r="D185" s="787"/>
      <c r="E185" s="787"/>
      <c r="F185" s="787"/>
      <c r="G185" s="787"/>
      <c r="H185" s="787"/>
      <c r="I185" s="787"/>
      <c r="J185" s="787"/>
      <c r="K185" s="787"/>
      <c r="L185" s="787"/>
      <c r="M185" s="787"/>
      <c r="N185" s="787"/>
      <c r="O185" s="787"/>
      <c r="P185" s="787"/>
      <c r="Q185" s="787"/>
      <c r="R185" s="787"/>
      <c r="S185" s="787"/>
      <c r="T185" s="787"/>
      <c r="U185" s="787"/>
      <c r="V185" s="787"/>
      <c r="W185" s="787"/>
      <c r="X185" s="787"/>
      <c r="Y185" s="787"/>
      <c r="Z185" s="787"/>
      <c r="AA185" s="787"/>
      <c r="AB185" s="787"/>
      <c r="AC185" s="787"/>
      <c r="AD185" s="787"/>
      <c r="AE185" s="787"/>
      <c r="AF185" s="787"/>
      <c r="AG185" s="787"/>
      <c r="AH185" s="787"/>
      <c r="AI185" s="787"/>
      <c r="AJ185" s="787"/>
      <c r="AK185" s="787"/>
      <c r="AL185" s="787"/>
      <c r="AM185" s="787"/>
      <c r="AN185" s="787"/>
      <c r="AO185" s="787"/>
      <c r="AP185" s="787"/>
      <c r="AQ185" s="787"/>
      <c r="AR185" s="787"/>
      <c r="AS185" s="787"/>
      <c r="AT185" s="787"/>
      <c r="AU185" s="787"/>
      <c r="AV185" s="787"/>
      <c r="AW185" s="787"/>
      <c r="AX185" s="787"/>
      <c r="AY185" s="787"/>
      <c r="AZ185" s="787"/>
      <c r="BA185" s="787"/>
      <c r="BB185" s="787"/>
      <c r="BC185" s="787"/>
      <c r="BD185" s="787"/>
      <c r="BE185" s="787"/>
      <c r="BF185" s="787"/>
      <c r="BG185" s="787"/>
      <c r="BH185" s="787"/>
      <c r="BI185" s="787"/>
      <c r="BJ185" s="787"/>
      <c r="BK185" s="787"/>
      <c r="BL185" s="787"/>
      <c r="BM185" s="787"/>
      <c r="BN185" s="787"/>
      <c r="BO185" s="787"/>
      <c r="BP185" s="787"/>
      <c r="BQ185" s="787"/>
      <c r="BR185" s="787"/>
      <c r="BS185" s="787"/>
      <c r="BT185" s="787"/>
      <c r="BU185" s="787"/>
      <c r="BV185" s="787"/>
      <c r="BW185" s="787"/>
      <c r="BX185" s="787"/>
      <c r="BY185" s="787"/>
      <c r="BZ185" s="787"/>
      <c r="CA185" s="787"/>
      <c r="CB185" s="787"/>
      <c r="CC185" s="275"/>
      <c r="DG185" s="10"/>
      <c r="DH185" s="110"/>
      <c r="DI185" s="10"/>
      <c r="DJ185" s="10"/>
      <c r="DK185" s="13"/>
      <c r="DL185" s="13"/>
      <c r="DM185" s="13"/>
    </row>
    <row r="186" spans="2:117" ht="12" customHeight="1">
      <c r="B186" s="275"/>
      <c r="C186" s="655" t="s">
        <v>390</v>
      </c>
      <c r="D186" s="656"/>
      <c r="E186" s="656"/>
      <c r="F186" s="656"/>
      <c r="G186" s="656"/>
      <c r="H186" s="656"/>
      <c r="I186" s="656"/>
      <c r="J186" s="656"/>
      <c r="K186" s="656"/>
      <c r="L186" s="656"/>
      <c r="M186" s="656"/>
      <c r="N186" s="656"/>
      <c r="O186" s="656"/>
      <c r="P186" s="656"/>
      <c r="Q186" s="656"/>
      <c r="R186" s="661" t="str">
        <f>VLOOKUP(2600,Languages!$A$5:$C$1032,Languages!$A$2,FALSE)</f>
        <v>Corrective Actions</v>
      </c>
      <c r="S186" s="661"/>
      <c r="T186" s="661"/>
      <c r="U186" s="661"/>
      <c r="V186" s="661"/>
      <c r="W186" s="661"/>
      <c r="X186" s="661"/>
      <c r="Y186" s="661"/>
      <c r="Z186" s="661"/>
      <c r="AA186" s="661"/>
      <c r="AB186" s="661"/>
      <c r="AC186" s="661"/>
      <c r="AD186" s="661"/>
      <c r="AE186" s="661"/>
      <c r="AF186" s="661"/>
      <c r="AG186" s="661"/>
      <c r="AH186" s="661"/>
      <c r="AI186" s="661"/>
      <c r="AJ186" s="661"/>
      <c r="AK186" s="661"/>
      <c r="AL186" s="661"/>
      <c r="AM186" s="661"/>
      <c r="AN186" s="661"/>
      <c r="AO186" s="661"/>
      <c r="AP186" s="661"/>
      <c r="AQ186" s="661"/>
      <c r="AR186" s="661"/>
      <c r="AS186" s="661"/>
      <c r="AT186" s="661"/>
      <c r="AU186" s="661"/>
      <c r="AV186" s="661"/>
      <c r="AW186" s="661"/>
      <c r="AX186" s="661"/>
      <c r="AY186" s="661"/>
      <c r="AZ186" s="661"/>
      <c r="BA186" s="661"/>
      <c r="BB186" s="661"/>
      <c r="BC186" s="661"/>
      <c r="BD186" s="661"/>
      <c r="BE186" s="661"/>
      <c r="BF186" s="661"/>
      <c r="BG186" s="661"/>
      <c r="BH186" s="661"/>
      <c r="BI186" s="661"/>
      <c r="BJ186" s="661"/>
      <c r="BK186" s="661"/>
      <c r="BL186" s="661"/>
      <c r="BM186" s="661"/>
      <c r="BN186" s="661"/>
      <c r="BO186" s="661"/>
      <c r="BP186" s="661"/>
      <c r="BQ186" s="661"/>
      <c r="BR186" s="661"/>
      <c r="BS186" s="661"/>
      <c r="BT186" s="661"/>
      <c r="BU186" s="661"/>
      <c r="BV186" s="661"/>
      <c r="BW186" s="661"/>
      <c r="BX186" s="661"/>
      <c r="BY186" s="661"/>
      <c r="BZ186" s="661"/>
      <c r="CA186" s="661"/>
      <c r="CB186" s="662"/>
      <c r="CC186" s="275"/>
      <c r="CE186" s="692" t="str">
        <f>VLOOKUP(2002,Languages!$A$5:$C$1032,Languages!$A$2,FALSE)</f>
        <v>Tool</v>
      </c>
      <c r="CF186" s="693"/>
      <c r="CG186" s="693"/>
      <c r="CH186" s="693"/>
      <c r="CI186" s="693"/>
      <c r="CJ186" s="693"/>
      <c r="CK186" s="693"/>
      <c r="CL186" s="693"/>
      <c r="CM186" s="693"/>
      <c r="CN186" s="693"/>
      <c r="CO186" s="693"/>
      <c r="CP186" s="693"/>
      <c r="CQ186" s="693"/>
      <c r="CR186" s="693"/>
      <c r="CS186" s="694"/>
      <c r="DG186" s="10"/>
      <c r="DH186" s="110"/>
      <c r="DI186" s="10"/>
      <c r="DJ186" s="10"/>
      <c r="DK186" s="13"/>
      <c r="DL186" s="13"/>
      <c r="DM186" s="13"/>
    </row>
    <row r="187" spans="2:117" ht="12" customHeight="1">
      <c r="B187" s="275"/>
      <c r="C187" s="657"/>
      <c r="D187" s="658"/>
      <c r="E187" s="658"/>
      <c r="F187" s="658"/>
      <c r="G187" s="658"/>
      <c r="H187" s="658"/>
      <c r="I187" s="658"/>
      <c r="J187" s="658"/>
      <c r="K187" s="658"/>
      <c r="L187" s="658"/>
      <c r="M187" s="658"/>
      <c r="N187" s="658"/>
      <c r="O187" s="658"/>
      <c r="P187" s="658"/>
      <c r="Q187" s="658"/>
      <c r="R187" s="663"/>
      <c r="S187" s="663"/>
      <c r="T187" s="663"/>
      <c r="U187" s="663"/>
      <c r="V187" s="663"/>
      <c r="W187" s="663"/>
      <c r="X187" s="663"/>
      <c r="Y187" s="663"/>
      <c r="Z187" s="663"/>
      <c r="AA187" s="663"/>
      <c r="AB187" s="663"/>
      <c r="AC187" s="663"/>
      <c r="AD187" s="663"/>
      <c r="AE187" s="663"/>
      <c r="AF187" s="663"/>
      <c r="AG187" s="663"/>
      <c r="AH187" s="663"/>
      <c r="AI187" s="663"/>
      <c r="AJ187" s="663"/>
      <c r="AK187" s="663"/>
      <c r="AL187" s="663"/>
      <c r="AM187" s="663"/>
      <c r="AN187" s="663"/>
      <c r="AO187" s="663"/>
      <c r="AP187" s="663"/>
      <c r="AQ187" s="663"/>
      <c r="AR187" s="663"/>
      <c r="AS187" s="663"/>
      <c r="AT187" s="663"/>
      <c r="AU187" s="663"/>
      <c r="AV187" s="663"/>
      <c r="AW187" s="663"/>
      <c r="AX187" s="663"/>
      <c r="AY187" s="663"/>
      <c r="AZ187" s="663"/>
      <c r="BA187" s="663"/>
      <c r="BB187" s="663"/>
      <c r="BC187" s="663"/>
      <c r="BD187" s="663"/>
      <c r="BE187" s="663"/>
      <c r="BF187" s="663"/>
      <c r="BG187" s="663"/>
      <c r="BH187" s="663"/>
      <c r="BI187" s="663"/>
      <c r="BJ187" s="663"/>
      <c r="BK187" s="663"/>
      <c r="BL187" s="663"/>
      <c r="BM187" s="663"/>
      <c r="BN187" s="663"/>
      <c r="BO187" s="663"/>
      <c r="BP187" s="663"/>
      <c r="BQ187" s="663"/>
      <c r="BR187" s="663"/>
      <c r="BS187" s="663"/>
      <c r="BT187" s="663"/>
      <c r="BU187" s="663"/>
      <c r="BV187" s="663"/>
      <c r="BW187" s="663"/>
      <c r="BX187" s="663"/>
      <c r="BY187" s="663"/>
      <c r="BZ187" s="663"/>
      <c r="CA187" s="663"/>
      <c r="CB187" s="664"/>
      <c r="CC187" s="275"/>
      <c r="CE187" s="695"/>
      <c r="CF187" s="696"/>
      <c r="CG187" s="696"/>
      <c r="CH187" s="696"/>
      <c r="CI187" s="696"/>
      <c r="CJ187" s="696"/>
      <c r="CK187" s="696"/>
      <c r="CL187" s="696"/>
      <c r="CM187" s="696"/>
      <c r="CN187" s="696"/>
      <c r="CO187" s="696"/>
      <c r="CP187" s="696"/>
      <c r="CQ187" s="696"/>
      <c r="CR187" s="696"/>
      <c r="CS187" s="697"/>
      <c r="DG187" s="10"/>
      <c r="DH187" s="110"/>
      <c r="DI187" s="10"/>
      <c r="DJ187" s="10"/>
      <c r="DK187" s="13"/>
      <c r="DL187" s="13"/>
      <c r="DM187" s="13"/>
    </row>
    <row r="188" spans="2:117" ht="12" customHeight="1">
      <c r="B188" s="275"/>
      <c r="C188" s="659"/>
      <c r="D188" s="660"/>
      <c r="E188" s="660"/>
      <c r="F188" s="660"/>
      <c r="G188" s="660"/>
      <c r="H188" s="660"/>
      <c r="I188" s="660"/>
      <c r="J188" s="660"/>
      <c r="K188" s="660"/>
      <c r="L188" s="660"/>
      <c r="M188" s="660"/>
      <c r="N188" s="660"/>
      <c r="O188" s="660"/>
      <c r="P188" s="660"/>
      <c r="Q188" s="660"/>
      <c r="R188" s="665"/>
      <c r="S188" s="665"/>
      <c r="T188" s="665"/>
      <c r="U188" s="665"/>
      <c r="V188" s="665"/>
      <c r="W188" s="665"/>
      <c r="X188" s="665"/>
      <c r="Y188" s="665"/>
      <c r="Z188" s="665"/>
      <c r="AA188" s="665"/>
      <c r="AB188" s="665"/>
      <c r="AC188" s="665"/>
      <c r="AD188" s="665"/>
      <c r="AE188" s="665"/>
      <c r="AF188" s="665"/>
      <c r="AG188" s="665"/>
      <c r="AH188" s="665"/>
      <c r="AI188" s="665"/>
      <c r="AJ188" s="665"/>
      <c r="AK188" s="665"/>
      <c r="AL188" s="665"/>
      <c r="AM188" s="665"/>
      <c r="AN188" s="665"/>
      <c r="AO188" s="665"/>
      <c r="AP188" s="665"/>
      <c r="AQ188" s="665"/>
      <c r="AR188" s="665"/>
      <c r="AS188" s="665"/>
      <c r="AT188" s="665"/>
      <c r="AU188" s="665"/>
      <c r="AV188" s="665"/>
      <c r="AW188" s="665"/>
      <c r="AX188" s="665"/>
      <c r="AY188" s="665"/>
      <c r="AZ188" s="665"/>
      <c r="BA188" s="665"/>
      <c r="BB188" s="665"/>
      <c r="BC188" s="665"/>
      <c r="BD188" s="665"/>
      <c r="BE188" s="665"/>
      <c r="BF188" s="665"/>
      <c r="BG188" s="665"/>
      <c r="BH188" s="665"/>
      <c r="BI188" s="665"/>
      <c r="BJ188" s="665"/>
      <c r="BK188" s="665"/>
      <c r="BL188" s="665"/>
      <c r="BM188" s="665"/>
      <c r="BN188" s="665"/>
      <c r="BO188" s="665"/>
      <c r="BP188" s="665"/>
      <c r="BQ188" s="665"/>
      <c r="BR188" s="665"/>
      <c r="BS188" s="665"/>
      <c r="BT188" s="665"/>
      <c r="BU188" s="665"/>
      <c r="BV188" s="665"/>
      <c r="BW188" s="665"/>
      <c r="BX188" s="665"/>
      <c r="BY188" s="665"/>
      <c r="BZ188" s="665"/>
      <c r="CA188" s="665"/>
      <c r="CB188" s="666"/>
      <c r="CC188" s="275"/>
      <c r="CE188" s="695"/>
      <c r="CF188" s="696"/>
      <c r="CG188" s="696"/>
      <c r="CH188" s="696"/>
      <c r="CI188" s="696"/>
      <c r="CJ188" s="696"/>
      <c r="CK188" s="696"/>
      <c r="CL188" s="696"/>
      <c r="CM188" s="696"/>
      <c r="CN188" s="696"/>
      <c r="CO188" s="696"/>
      <c r="CP188" s="696"/>
      <c r="CQ188" s="696"/>
      <c r="CR188" s="696"/>
      <c r="CS188" s="697"/>
      <c r="DG188" s="10"/>
      <c r="DH188" s="110"/>
      <c r="DI188" s="10"/>
      <c r="DJ188" s="10"/>
      <c r="DK188" s="13"/>
      <c r="DL188" s="13"/>
      <c r="DM188" s="13"/>
    </row>
    <row r="189" spans="2:117" ht="11.25" customHeight="1">
      <c r="B189" s="275"/>
      <c r="C189" s="667"/>
      <c r="D189" s="668"/>
      <c r="E189" s="668"/>
      <c r="F189" s="668"/>
      <c r="G189" s="668"/>
      <c r="H189" s="668"/>
      <c r="I189" s="668"/>
      <c r="J189" s="668"/>
      <c r="K189" s="668"/>
      <c r="L189" s="668"/>
      <c r="M189" s="668"/>
      <c r="N189" s="668"/>
      <c r="O189" s="668"/>
      <c r="P189" s="668"/>
      <c r="Q189" s="668"/>
      <c r="R189" s="668"/>
      <c r="S189" s="668"/>
      <c r="T189" s="668"/>
      <c r="U189" s="668"/>
      <c r="V189" s="668"/>
      <c r="W189" s="668"/>
      <c r="X189" s="668"/>
      <c r="Y189" s="668"/>
      <c r="Z189" s="668"/>
      <c r="AA189" s="668"/>
      <c r="AB189" s="668"/>
      <c r="AC189" s="668"/>
      <c r="AD189" s="668"/>
      <c r="AE189" s="668"/>
      <c r="AF189" s="668"/>
      <c r="AG189" s="668"/>
      <c r="AH189" s="668"/>
      <c r="AI189" s="668"/>
      <c r="AJ189" s="668"/>
      <c r="AK189" s="668"/>
      <c r="AL189" s="668"/>
      <c r="AM189" s="668"/>
      <c r="AN189" s="668"/>
      <c r="AO189" s="668"/>
      <c r="AP189" s="668"/>
      <c r="AQ189" s="668"/>
      <c r="AR189" s="668"/>
      <c r="AS189" s="668"/>
      <c r="AT189" s="668"/>
      <c r="AU189" s="668"/>
      <c r="AV189" s="668"/>
      <c r="AW189" s="668"/>
      <c r="AX189" s="668"/>
      <c r="AY189" s="668"/>
      <c r="AZ189" s="668"/>
      <c r="BA189" s="668"/>
      <c r="BB189" s="668"/>
      <c r="BC189" s="668"/>
      <c r="BD189" s="668"/>
      <c r="BE189" s="668"/>
      <c r="BF189" s="668"/>
      <c r="BG189" s="668"/>
      <c r="BH189" s="668"/>
      <c r="BI189" s="668"/>
      <c r="BJ189" s="668"/>
      <c r="BK189" s="668"/>
      <c r="BL189" s="668"/>
      <c r="BM189" s="668"/>
      <c r="BN189" s="668"/>
      <c r="BO189" s="668"/>
      <c r="BP189" s="668"/>
      <c r="BQ189" s="668"/>
      <c r="BR189" s="668"/>
      <c r="BS189" s="668"/>
      <c r="BT189" s="668"/>
      <c r="BU189" s="668"/>
      <c r="BV189" s="668"/>
      <c r="BW189" s="668"/>
      <c r="BX189" s="668"/>
      <c r="BY189" s="668"/>
      <c r="BZ189" s="668"/>
      <c r="CA189" s="668"/>
      <c r="CB189" s="669"/>
      <c r="CC189" s="275"/>
      <c r="CE189" s="698"/>
      <c r="CF189" s="699"/>
      <c r="CG189" s="699"/>
      <c r="CH189" s="699"/>
      <c r="CI189" s="699"/>
      <c r="CJ189" s="699"/>
      <c r="CK189" s="699"/>
      <c r="CL189" s="699"/>
      <c r="CM189" s="699"/>
      <c r="CN189" s="699"/>
      <c r="CO189" s="699"/>
      <c r="CP189" s="699"/>
      <c r="CQ189" s="699"/>
      <c r="CR189" s="699"/>
      <c r="CS189" s="700"/>
      <c r="DG189" s="10"/>
      <c r="DH189" s="110"/>
      <c r="DI189" s="10"/>
      <c r="DJ189" s="10"/>
      <c r="DK189" s="13"/>
      <c r="DL189" s="13"/>
      <c r="DM189" s="13"/>
    </row>
    <row r="190" spans="2:117" ht="11.25" customHeight="1">
      <c r="B190" s="275"/>
      <c r="C190" s="679" t="str">
        <f>VLOOKUP(2601,Languages!$A$5:$C$1032,Languages!$A$2,FALSE)</f>
        <v>Actions against failure occurrence or failure cause respectively (product / process, technical solutions,…)</v>
      </c>
      <c r="D190" s="680"/>
      <c r="E190" s="680"/>
      <c r="F190" s="680"/>
      <c r="G190" s="680"/>
      <c r="H190" s="680"/>
      <c r="I190" s="680"/>
      <c r="J190" s="680"/>
      <c r="K190" s="680"/>
      <c r="L190" s="680"/>
      <c r="M190" s="680"/>
      <c r="N190" s="680"/>
      <c r="O190" s="680"/>
      <c r="P190" s="680"/>
      <c r="Q190" s="680"/>
      <c r="R190" s="680"/>
      <c r="S190" s="680"/>
      <c r="T190" s="680"/>
      <c r="U190" s="680"/>
      <c r="V190" s="680"/>
      <c r="W190" s="680"/>
      <c r="X190" s="680"/>
      <c r="Y190" s="680"/>
      <c r="Z190" s="680"/>
      <c r="AA190" s="680"/>
      <c r="AB190" s="680"/>
      <c r="AC190" s="680"/>
      <c r="AD190" s="680"/>
      <c r="AE190" s="680"/>
      <c r="AF190" s="680"/>
      <c r="AG190" s="680"/>
      <c r="AH190" s="680"/>
      <c r="AI190" s="680"/>
      <c r="AJ190" s="680"/>
      <c r="AK190" s="680"/>
      <c r="AL190" s="680"/>
      <c r="AM190" s="680"/>
      <c r="AN190" s="680"/>
      <c r="AO190" s="680"/>
      <c r="AP190" s="680"/>
      <c r="AQ190" s="680"/>
      <c r="AR190" s="680"/>
      <c r="AS190" s="680"/>
      <c r="AT190" s="680"/>
      <c r="AU190" s="680"/>
      <c r="AV190" s="680"/>
      <c r="AW190" s="680"/>
      <c r="AX190" s="680"/>
      <c r="AY190" s="680"/>
      <c r="AZ190" s="680"/>
      <c r="BA190" s="680"/>
      <c r="BB190" s="680"/>
      <c r="BC190" s="680"/>
      <c r="BD190" s="680"/>
      <c r="BE190" s="680"/>
      <c r="BF190" s="680"/>
      <c r="BG190" s="680"/>
      <c r="BH190" s="680"/>
      <c r="BI190" s="680"/>
      <c r="BJ190" s="680"/>
      <c r="BK190" s="680"/>
      <c r="BL190" s="680"/>
      <c r="BM190" s="680"/>
      <c r="BN190" s="680"/>
      <c r="BO190" s="680"/>
      <c r="BP190" s="680"/>
      <c r="BQ190" s="680"/>
      <c r="BR190" s="680"/>
      <c r="BS190" s="680"/>
      <c r="BT190" s="680"/>
      <c r="BU190" s="680"/>
      <c r="BV190" s="680"/>
      <c r="BW190" s="680"/>
      <c r="BX190" s="680"/>
      <c r="BY190" s="680"/>
      <c r="BZ190" s="680"/>
      <c r="CA190" s="680"/>
      <c r="CB190" s="681"/>
      <c r="CC190" s="275"/>
      <c r="CE190" s="698"/>
      <c r="CF190" s="699"/>
      <c r="CG190" s="699"/>
      <c r="CH190" s="699"/>
      <c r="CI190" s="699"/>
      <c r="CJ190" s="699"/>
      <c r="CK190" s="699"/>
      <c r="CL190" s="699"/>
      <c r="CM190" s="699"/>
      <c r="CN190" s="699"/>
      <c r="CO190" s="699"/>
      <c r="CP190" s="699"/>
      <c r="CQ190" s="699"/>
      <c r="CR190" s="699"/>
      <c r="CS190" s="700"/>
      <c r="DG190" s="10"/>
      <c r="DH190" s="110"/>
      <c r="DI190" s="10"/>
      <c r="DJ190" s="10"/>
      <c r="DK190" s="13"/>
      <c r="DL190" s="13"/>
      <c r="DM190" s="13"/>
    </row>
    <row r="191" spans="2:117" ht="11.25" customHeight="1">
      <c r="B191" s="275"/>
      <c r="C191" s="673"/>
      <c r="D191" s="674"/>
      <c r="E191" s="674"/>
      <c r="F191" s="674"/>
      <c r="G191" s="674"/>
      <c r="H191" s="674"/>
      <c r="I191" s="674"/>
      <c r="J191" s="674"/>
      <c r="K191" s="674"/>
      <c r="L191" s="674"/>
      <c r="M191" s="674"/>
      <c r="N191" s="674"/>
      <c r="O191" s="674"/>
      <c r="P191" s="674"/>
      <c r="Q191" s="674"/>
      <c r="R191" s="674"/>
      <c r="S191" s="674"/>
      <c r="T191" s="674"/>
      <c r="U191" s="674"/>
      <c r="V191" s="674"/>
      <c r="W191" s="674"/>
      <c r="X191" s="674"/>
      <c r="Y191" s="674"/>
      <c r="Z191" s="674"/>
      <c r="AA191" s="674"/>
      <c r="AB191" s="674"/>
      <c r="AC191" s="674"/>
      <c r="AD191" s="674"/>
      <c r="AE191" s="674"/>
      <c r="AF191" s="674"/>
      <c r="AG191" s="674"/>
      <c r="AH191" s="674"/>
      <c r="AI191" s="674"/>
      <c r="AJ191" s="674"/>
      <c r="AK191" s="674"/>
      <c r="AL191" s="674"/>
      <c r="AM191" s="674"/>
      <c r="AN191" s="674"/>
      <c r="AO191" s="674"/>
      <c r="AP191" s="674"/>
      <c r="AQ191" s="674"/>
      <c r="AR191" s="674"/>
      <c r="AS191" s="674"/>
      <c r="AT191" s="674"/>
      <c r="AU191" s="674"/>
      <c r="AV191" s="674"/>
      <c r="AW191" s="674"/>
      <c r="AX191" s="674"/>
      <c r="AY191" s="674"/>
      <c r="AZ191" s="674"/>
      <c r="BA191" s="674"/>
      <c r="BB191" s="674"/>
      <c r="BC191" s="674"/>
      <c r="BD191" s="674"/>
      <c r="BE191" s="674"/>
      <c r="BF191" s="674"/>
      <c r="BG191" s="674"/>
      <c r="BH191" s="674"/>
      <c r="BI191" s="674"/>
      <c r="BJ191" s="674"/>
      <c r="BK191" s="674"/>
      <c r="BL191" s="674"/>
      <c r="BM191" s="674"/>
      <c r="BN191" s="674"/>
      <c r="BO191" s="674"/>
      <c r="BP191" s="674"/>
      <c r="BQ191" s="674"/>
      <c r="BR191" s="674"/>
      <c r="BS191" s="674"/>
      <c r="BT191" s="674"/>
      <c r="BU191" s="674"/>
      <c r="BV191" s="674"/>
      <c r="BW191" s="674"/>
      <c r="BX191" s="674"/>
      <c r="BY191" s="674"/>
      <c r="BZ191" s="674"/>
      <c r="CA191" s="674"/>
      <c r="CB191" s="675"/>
      <c r="CC191" s="275"/>
      <c r="CE191" s="698"/>
      <c r="CF191" s="699"/>
      <c r="CG191" s="699"/>
      <c r="CH191" s="699"/>
      <c r="CI191" s="699"/>
      <c r="CJ191" s="699"/>
      <c r="CK191" s="699"/>
      <c r="CL191" s="699"/>
      <c r="CM191" s="699"/>
      <c r="CN191" s="699"/>
      <c r="CO191" s="699"/>
      <c r="CP191" s="699"/>
      <c r="CQ191" s="699"/>
      <c r="CR191" s="699"/>
      <c r="CS191" s="700"/>
      <c r="DG191" s="10"/>
      <c r="DH191" s="110"/>
      <c r="DI191" s="10"/>
      <c r="DJ191" s="10"/>
      <c r="DK191" s="13"/>
      <c r="DL191" s="13"/>
      <c r="DM191" s="13"/>
    </row>
    <row r="192" spans="2:117" ht="11.25" customHeight="1">
      <c r="B192" s="275"/>
      <c r="C192" s="632" t="str">
        <f>VLOOKUP(2602,Languages!$A$5:$C$1032,Languages!$A$2,FALSE)</f>
        <v>Actions</v>
      </c>
      <c r="D192" s="633"/>
      <c r="E192" s="633"/>
      <c r="F192" s="633"/>
      <c r="G192" s="633"/>
      <c r="H192" s="633"/>
      <c r="I192" s="633"/>
      <c r="J192" s="633"/>
      <c r="K192" s="633"/>
      <c r="L192" s="633"/>
      <c r="M192" s="633"/>
      <c r="N192" s="633"/>
      <c r="O192" s="633"/>
      <c r="P192" s="633"/>
      <c r="Q192" s="633"/>
      <c r="R192" s="633"/>
      <c r="S192" s="633"/>
      <c r="T192" s="633"/>
      <c r="U192" s="633"/>
      <c r="V192" s="633"/>
      <c r="W192" s="633"/>
      <c r="X192" s="633"/>
      <c r="Y192" s="633"/>
      <c r="Z192" s="633"/>
      <c r="AA192" s="633"/>
      <c r="AB192" s="633"/>
      <c r="AC192" s="633"/>
      <c r="AD192" s="633"/>
      <c r="AE192" s="633"/>
      <c r="AF192" s="633"/>
      <c r="AG192" s="633"/>
      <c r="AH192" s="633"/>
      <c r="AI192" s="634"/>
      <c r="AJ192" s="632" t="str">
        <f>VLOOKUP(2603,Languages!$A$5:$C$1032,Languages!$A$2,FALSE)</f>
        <v>Responsible</v>
      </c>
      <c r="AK192" s="633"/>
      <c r="AL192" s="633"/>
      <c r="AM192" s="633"/>
      <c r="AN192" s="633"/>
      <c r="AO192" s="633"/>
      <c r="AP192" s="634"/>
      <c r="AQ192" s="632" t="str">
        <f>VLOOKUP(2604,Languages!$A$5:$C$1032,Languages!$A$2,FALSE)</f>
        <v>Planned date</v>
      </c>
      <c r="AR192" s="633"/>
      <c r="AS192" s="633"/>
      <c r="AT192" s="633"/>
      <c r="AU192" s="633"/>
      <c r="AV192" s="633"/>
      <c r="AW192" s="634"/>
      <c r="AX192" s="641" t="str">
        <f>VLOOKUP(2605,Languages!$A$5:$C$1032,Languages!$A$2,FALSE)</f>
        <v>Realization date</v>
      </c>
      <c r="AY192" s="642"/>
      <c r="AZ192" s="642"/>
      <c r="BA192" s="642"/>
      <c r="BB192" s="642"/>
      <c r="BC192" s="642"/>
      <c r="BD192" s="643"/>
      <c r="BE192" s="632" t="str">
        <f>VLOOKUP(2606,Languages!$A$5:$C$1032,Languages!$A$2,FALSE)</f>
        <v>Status</v>
      </c>
      <c r="BF192" s="633"/>
      <c r="BG192" s="633"/>
      <c r="BH192" s="633"/>
      <c r="BI192" s="633"/>
      <c r="BJ192" s="634"/>
      <c r="BK192" s="750" t="str">
        <f>VLOOKUP(2607,Languages!$A$5:$C$1032,Languages!$A$2,FALSE)</f>
        <v>Evidence of effectiveness</v>
      </c>
      <c r="BL192" s="751"/>
      <c r="BM192" s="751"/>
      <c r="BN192" s="751"/>
      <c r="BO192" s="751"/>
      <c r="BP192" s="751"/>
      <c r="BQ192" s="751"/>
      <c r="BR192" s="751"/>
      <c r="BS192" s="751"/>
      <c r="BT192" s="751"/>
      <c r="BU192" s="751"/>
      <c r="BV192" s="751"/>
      <c r="BW192" s="751"/>
      <c r="BX192" s="751"/>
      <c r="BY192" s="751"/>
      <c r="BZ192" s="751"/>
      <c r="CA192" s="751"/>
      <c r="CB192" s="752"/>
      <c r="CC192" s="275"/>
      <c r="CE192" s="698"/>
      <c r="CF192" s="699"/>
      <c r="CG192" s="699"/>
      <c r="CH192" s="699"/>
      <c r="CI192" s="699"/>
      <c r="CJ192" s="699"/>
      <c r="CK192" s="699"/>
      <c r="CL192" s="699"/>
      <c r="CM192" s="699"/>
      <c r="CN192" s="699"/>
      <c r="CO192" s="699"/>
      <c r="CP192" s="699"/>
      <c r="CQ192" s="699"/>
      <c r="CR192" s="699"/>
      <c r="CS192" s="700"/>
      <c r="DG192" s="10"/>
      <c r="DH192" s="110"/>
      <c r="DI192" s="10"/>
      <c r="DJ192" s="10"/>
      <c r="DK192" s="13"/>
      <c r="DL192" s="13"/>
      <c r="DM192" s="13"/>
    </row>
    <row r="193" spans="2:117" ht="11.25" customHeight="1">
      <c r="B193" s="275"/>
      <c r="C193" s="635"/>
      <c r="D193" s="636"/>
      <c r="E193" s="636"/>
      <c r="F193" s="636"/>
      <c r="G193" s="636"/>
      <c r="H193" s="636"/>
      <c r="I193" s="636"/>
      <c r="J193" s="636"/>
      <c r="K193" s="636"/>
      <c r="L193" s="636"/>
      <c r="M193" s="636"/>
      <c r="N193" s="636"/>
      <c r="O193" s="636"/>
      <c r="P193" s="636"/>
      <c r="Q193" s="636"/>
      <c r="R193" s="636"/>
      <c r="S193" s="636"/>
      <c r="T193" s="636"/>
      <c r="U193" s="636"/>
      <c r="V193" s="636"/>
      <c r="W193" s="636"/>
      <c r="X193" s="636"/>
      <c r="Y193" s="636"/>
      <c r="Z193" s="636"/>
      <c r="AA193" s="636"/>
      <c r="AB193" s="636"/>
      <c r="AC193" s="636"/>
      <c r="AD193" s="636"/>
      <c r="AE193" s="636"/>
      <c r="AF193" s="636"/>
      <c r="AG193" s="636"/>
      <c r="AH193" s="636"/>
      <c r="AI193" s="637"/>
      <c r="AJ193" s="635"/>
      <c r="AK193" s="636"/>
      <c r="AL193" s="636"/>
      <c r="AM193" s="636"/>
      <c r="AN193" s="636"/>
      <c r="AO193" s="636"/>
      <c r="AP193" s="637"/>
      <c r="AQ193" s="635"/>
      <c r="AR193" s="636"/>
      <c r="AS193" s="636"/>
      <c r="AT193" s="636"/>
      <c r="AU193" s="636"/>
      <c r="AV193" s="636"/>
      <c r="AW193" s="637"/>
      <c r="AX193" s="644"/>
      <c r="AY193" s="645"/>
      <c r="AZ193" s="645"/>
      <c r="BA193" s="645"/>
      <c r="BB193" s="645"/>
      <c r="BC193" s="645"/>
      <c r="BD193" s="646"/>
      <c r="BE193" s="635"/>
      <c r="BF193" s="636"/>
      <c r="BG193" s="636"/>
      <c r="BH193" s="636"/>
      <c r="BI193" s="636"/>
      <c r="BJ193" s="637"/>
      <c r="BK193" s="753"/>
      <c r="BL193" s="754"/>
      <c r="BM193" s="754"/>
      <c r="BN193" s="754"/>
      <c r="BO193" s="754"/>
      <c r="BP193" s="754"/>
      <c r="BQ193" s="754"/>
      <c r="BR193" s="754"/>
      <c r="BS193" s="754"/>
      <c r="BT193" s="754"/>
      <c r="BU193" s="754"/>
      <c r="BV193" s="754"/>
      <c r="BW193" s="754"/>
      <c r="BX193" s="754"/>
      <c r="BY193" s="754"/>
      <c r="BZ193" s="754"/>
      <c r="CA193" s="754"/>
      <c r="CB193" s="755"/>
      <c r="CC193" s="275"/>
      <c r="CE193" s="698"/>
      <c r="CF193" s="699"/>
      <c r="CG193" s="699"/>
      <c r="CH193" s="699"/>
      <c r="CI193" s="699"/>
      <c r="CJ193" s="699"/>
      <c r="CK193" s="699"/>
      <c r="CL193" s="699"/>
      <c r="CM193" s="699"/>
      <c r="CN193" s="699"/>
      <c r="CO193" s="699"/>
      <c r="CP193" s="699"/>
      <c r="CQ193" s="699"/>
      <c r="CR193" s="699"/>
      <c r="CS193" s="700"/>
      <c r="DG193" s="10"/>
      <c r="DH193" s="10"/>
      <c r="DI193" s="10"/>
      <c r="DJ193" s="10"/>
      <c r="DK193" s="13"/>
      <c r="DL193" s="13"/>
      <c r="DM193" s="13"/>
    </row>
    <row r="194" spans="2:117" ht="11.25" customHeight="1" thickBot="1">
      <c r="B194" s="275"/>
      <c r="C194" s="638"/>
      <c r="D194" s="639"/>
      <c r="E194" s="639"/>
      <c r="F194" s="639"/>
      <c r="G194" s="639"/>
      <c r="H194" s="639"/>
      <c r="I194" s="639"/>
      <c r="J194" s="639"/>
      <c r="K194" s="639"/>
      <c r="L194" s="639"/>
      <c r="M194" s="639"/>
      <c r="N194" s="639"/>
      <c r="O194" s="639"/>
      <c r="P194" s="639"/>
      <c r="Q194" s="639"/>
      <c r="R194" s="639"/>
      <c r="S194" s="639"/>
      <c r="T194" s="639"/>
      <c r="U194" s="639"/>
      <c r="V194" s="639"/>
      <c r="W194" s="639"/>
      <c r="X194" s="639"/>
      <c r="Y194" s="639"/>
      <c r="Z194" s="639"/>
      <c r="AA194" s="639"/>
      <c r="AB194" s="639"/>
      <c r="AC194" s="639"/>
      <c r="AD194" s="639"/>
      <c r="AE194" s="639"/>
      <c r="AF194" s="639"/>
      <c r="AG194" s="639"/>
      <c r="AH194" s="639"/>
      <c r="AI194" s="640"/>
      <c r="AJ194" s="638"/>
      <c r="AK194" s="639"/>
      <c r="AL194" s="639"/>
      <c r="AM194" s="639"/>
      <c r="AN194" s="639"/>
      <c r="AO194" s="639"/>
      <c r="AP194" s="640"/>
      <c r="AQ194" s="638"/>
      <c r="AR194" s="639"/>
      <c r="AS194" s="639"/>
      <c r="AT194" s="639"/>
      <c r="AU194" s="639"/>
      <c r="AV194" s="639"/>
      <c r="AW194" s="640"/>
      <c r="AX194" s="647"/>
      <c r="AY194" s="648"/>
      <c r="AZ194" s="648"/>
      <c r="BA194" s="648"/>
      <c r="BB194" s="648"/>
      <c r="BC194" s="648"/>
      <c r="BD194" s="649"/>
      <c r="BE194" s="638"/>
      <c r="BF194" s="639"/>
      <c r="BG194" s="639"/>
      <c r="BH194" s="639"/>
      <c r="BI194" s="639"/>
      <c r="BJ194" s="640"/>
      <c r="BK194" s="756"/>
      <c r="BL194" s="757"/>
      <c r="BM194" s="757"/>
      <c r="BN194" s="757"/>
      <c r="BO194" s="757"/>
      <c r="BP194" s="757"/>
      <c r="BQ194" s="757"/>
      <c r="BR194" s="757"/>
      <c r="BS194" s="757"/>
      <c r="BT194" s="757"/>
      <c r="BU194" s="757"/>
      <c r="BV194" s="757"/>
      <c r="BW194" s="757"/>
      <c r="BX194" s="757"/>
      <c r="BY194" s="757"/>
      <c r="BZ194" s="757"/>
      <c r="CA194" s="757"/>
      <c r="CB194" s="758"/>
      <c r="CC194" s="275"/>
      <c r="CE194" s="701"/>
      <c r="CF194" s="702"/>
      <c r="CG194" s="702"/>
      <c r="CH194" s="702"/>
      <c r="CI194" s="702"/>
      <c r="CJ194" s="702"/>
      <c r="CK194" s="702"/>
      <c r="CL194" s="702"/>
      <c r="CM194" s="702"/>
      <c r="CN194" s="702"/>
      <c r="CO194" s="702"/>
      <c r="CP194" s="702"/>
      <c r="CQ194" s="702"/>
      <c r="CR194" s="702"/>
      <c r="CS194" s="703"/>
      <c r="DG194" s="10"/>
      <c r="DH194" s="10"/>
      <c r="DI194" s="10"/>
      <c r="DJ194" s="10"/>
      <c r="DK194" s="13"/>
      <c r="DL194" s="13"/>
      <c r="DM194" s="13"/>
    </row>
    <row r="195" spans="2:117" ht="33.75" customHeight="1">
      <c r="B195" s="275"/>
      <c r="C195" s="824"/>
      <c r="D195" s="825"/>
      <c r="E195" s="825"/>
      <c r="F195" s="825"/>
      <c r="G195" s="825"/>
      <c r="H195" s="825"/>
      <c r="I195" s="825"/>
      <c r="J195" s="825"/>
      <c r="K195" s="825"/>
      <c r="L195" s="825"/>
      <c r="M195" s="825"/>
      <c r="N195" s="825"/>
      <c r="O195" s="825"/>
      <c r="P195" s="825"/>
      <c r="Q195" s="825"/>
      <c r="R195" s="825"/>
      <c r="S195" s="825"/>
      <c r="T195" s="825"/>
      <c r="U195" s="825"/>
      <c r="V195" s="825"/>
      <c r="W195" s="825"/>
      <c r="X195" s="825"/>
      <c r="Y195" s="825"/>
      <c r="Z195" s="825"/>
      <c r="AA195" s="825"/>
      <c r="AB195" s="825"/>
      <c r="AC195" s="825"/>
      <c r="AD195" s="825"/>
      <c r="AE195" s="825"/>
      <c r="AF195" s="825"/>
      <c r="AG195" s="825"/>
      <c r="AH195" s="825"/>
      <c r="AI195" s="826"/>
      <c r="AJ195" s="824"/>
      <c r="AK195" s="825"/>
      <c r="AL195" s="825"/>
      <c r="AM195" s="825"/>
      <c r="AN195" s="825"/>
      <c r="AO195" s="825"/>
      <c r="AP195" s="826"/>
      <c r="AQ195" s="824"/>
      <c r="AR195" s="825"/>
      <c r="AS195" s="825"/>
      <c r="AT195" s="825"/>
      <c r="AU195" s="825"/>
      <c r="AV195" s="825"/>
      <c r="AW195" s="826"/>
      <c r="AX195" s="824"/>
      <c r="AY195" s="825"/>
      <c r="AZ195" s="825"/>
      <c r="BA195" s="825"/>
      <c r="BB195" s="825"/>
      <c r="BC195" s="825"/>
      <c r="BD195" s="826"/>
      <c r="BE195" s="619"/>
      <c r="BF195" s="620"/>
      <c r="BG195" s="619"/>
      <c r="BH195" s="620"/>
      <c r="BI195" s="619"/>
      <c r="BJ195" s="620"/>
      <c r="BK195" s="821"/>
      <c r="BL195" s="822"/>
      <c r="BM195" s="822"/>
      <c r="BN195" s="822"/>
      <c r="BO195" s="822"/>
      <c r="BP195" s="822"/>
      <c r="BQ195" s="822"/>
      <c r="BR195" s="822"/>
      <c r="BS195" s="822"/>
      <c r="BT195" s="822"/>
      <c r="BU195" s="822"/>
      <c r="BV195" s="822"/>
      <c r="BW195" s="822"/>
      <c r="BX195" s="822"/>
      <c r="BY195" s="822"/>
      <c r="BZ195" s="822"/>
      <c r="CA195" s="822"/>
      <c r="CB195" s="823"/>
      <c r="CC195" s="275"/>
      <c r="DG195" s="10"/>
      <c r="DH195" s="10"/>
      <c r="DI195" s="10"/>
      <c r="DJ195" s="10"/>
      <c r="DK195" s="13"/>
      <c r="DL195" s="13"/>
      <c r="DM195" s="13"/>
    </row>
    <row r="196" spans="2:117" ht="33.75" customHeight="1">
      <c r="B196" s="275"/>
      <c r="C196" s="824"/>
      <c r="D196" s="825"/>
      <c r="E196" s="825"/>
      <c r="F196" s="825"/>
      <c r="G196" s="825"/>
      <c r="H196" s="825"/>
      <c r="I196" s="825"/>
      <c r="J196" s="825"/>
      <c r="K196" s="825"/>
      <c r="L196" s="825"/>
      <c r="M196" s="825"/>
      <c r="N196" s="825"/>
      <c r="O196" s="825"/>
      <c r="P196" s="825"/>
      <c r="Q196" s="825"/>
      <c r="R196" s="825"/>
      <c r="S196" s="825"/>
      <c r="T196" s="825"/>
      <c r="U196" s="825"/>
      <c r="V196" s="825"/>
      <c r="W196" s="825"/>
      <c r="X196" s="825"/>
      <c r="Y196" s="825"/>
      <c r="Z196" s="825"/>
      <c r="AA196" s="825"/>
      <c r="AB196" s="825"/>
      <c r="AC196" s="825"/>
      <c r="AD196" s="825"/>
      <c r="AE196" s="825"/>
      <c r="AF196" s="825"/>
      <c r="AG196" s="825"/>
      <c r="AH196" s="825"/>
      <c r="AI196" s="826"/>
      <c r="AJ196" s="824"/>
      <c r="AK196" s="825"/>
      <c r="AL196" s="825"/>
      <c r="AM196" s="825"/>
      <c r="AN196" s="825"/>
      <c r="AO196" s="825"/>
      <c r="AP196" s="826"/>
      <c r="AQ196" s="824"/>
      <c r="AR196" s="825"/>
      <c r="AS196" s="825"/>
      <c r="AT196" s="825"/>
      <c r="AU196" s="825"/>
      <c r="AV196" s="825"/>
      <c r="AW196" s="826"/>
      <c r="AX196" s="824"/>
      <c r="AY196" s="825"/>
      <c r="AZ196" s="825"/>
      <c r="BA196" s="825"/>
      <c r="BB196" s="825"/>
      <c r="BC196" s="825"/>
      <c r="BD196" s="826"/>
      <c r="BE196" s="619"/>
      <c r="BF196" s="620"/>
      <c r="BG196" s="619"/>
      <c r="BH196" s="620"/>
      <c r="BI196" s="619"/>
      <c r="BJ196" s="620"/>
      <c r="BK196" s="821"/>
      <c r="BL196" s="822"/>
      <c r="BM196" s="822"/>
      <c r="BN196" s="822"/>
      <c r="BO196" s="822"/>
      <c r="BP196" s="822"/>
      <c r="BQ196" s="822"/>
      <c r="BR196" s="822"/>
      <c r="BS196" s="822"/>
      <c r="BT196" s="822"/>
      <c r="BU196" s="822"/>
      <c r="BV196" s="822"/>
      <c r="BW196" s="822"/>
      <c r="BX196" s="822"/>
      <c r="BY196" s="822"/>
      <c r="BZ196" s="822"/>
      <c r="CA196" s="822"/>
      <c r="CB196" s="823"/>
      <c r="CC196" s="275"/>
      <c r="DG196" s="10"/>
      <c r="DH196" s="10"/>
      <c r="DI196" s="10"/>
      <c r="DJ196" s="10"/>
      <c r="DK196" s="13"/>
      <c r="DL196" s="13"/>
      <c r="DM196" s="13"/>
    </row>
    <row r="197" spans="2:117" ht="33.75" customHeight="1">
      <c r="B197" s="275"/>
      <c r="C197" s="824"/>
      <c r="D197" s="825"/>
      <c r="E197" s="825"/>
      <c r="F197" s="825"/>
      <c r="G197" s="825"/>
      <c r="H197" s="825"/>
      <c r="I197" s="825"/>
      <c r="J197" s="825"/>
      <c r="K197" s="825"/>
      <c r="L197" s="825"/>
      <c r="M197" s="825"/>
      <c r="N197" s="825"/>
      <c r="O197" s="825"/>
      <c r="P197" s="825"/>
      <c r="Q197" s="825"/>
      <c r="R197" s="825"/>
      <c r="S197" s="825"/>
      <c r="T197" s="825"/>
      <c r="U197" s="825"/>
      <c r="V197" s="825"/>
      <c r="W197" s="825"/>
      <c r="X197" s="825"/>
      <c r="Y197" s="825"/>
      <c r="Z197" s="825"/>
      <c r="AA197" s="825"/>
      <c r="AB197" s="825"/>
      <c r="AC197" s="825"/>
      <c r="AD197" s="825"/>
      <c r="AE197" s="825"/>
      <c r="AF197" s="825"/>
      <c r="AG197" s="825"/>
      <c r="AH197" s="825"/>
      <c r="AI197" s="826"/>
      <c r="AJ197" s="824"/>
      <c r="AK197" s="825"/>
      <c r="AL197" s="825"/>
      <c r="AM197" s="825"/>
      <c r="AN197" s="825"/>
      <c r="AO197" s="825"/>
      <c r="AP197" s="826"/>
      <c r="AQ197" s="824"/>
      <c r="AR197" s="825"/>
      <c r="AS197" s="825"/>
      <c r="AT197" s="825"/>
      <c r="AU197" s="825"/>
      <c r="AV197" s="825"/>
      <c r="AW197" s="826"/>
      <c r="AX197" s="824"/>
      <c r="AY197" s="825"/>
      <c r="AZ197" s="825"/>
      <c r="BA197" s="825"/>
      <c r="BB197" s="825"/>
      <c r="BC197" s="825"/>
      <c r="BD197" s="826"/>
      <c r="BE197" s="619"/>
      <c r="BF197" s="620"/>
      <c r="BG197" s="619"/>
      <c r="BH197" s="620"/>
      <c r="BI197" s="619"/>
      <c r="BJ197" s="620"/>
      <c r="BK197" s="821"/>
      <c r="BL197" s="822"/>
      <c r="BM197" s="822"/>
      <c r="BN197" s="822"/>
      <c r="BO197" s="822"/>
      <c r="BP197" s="822"/>
      <c r="BQ197" s="822"/>
      <c r="BR197" s="822"/>
      <c r="BS197" s="822"/>
      <c r="BT197" s="822"/>
      <c r="BU197" s="822"/>
      <c r="BV197" s="822"/>
      <c r="BW197" s="822"/>
      <c r="BX197" s="822"/>
      <c r="BY197" s="822"/>
      <c r="BZ197" s="822"/>
      <c r="CA197" s="822"/>
      <c r="CB197" s="823"/>
      <c r="CC197" s="275"/>
      <c r="DG197" s="10"/>
      <c r="DH197" s="10"/>
      <c r="DI197" s="10"/>
      <c r="DJ197" s="10"/>
      <c r="DK197" s="13"/>
      <c r="DL197" s="13"/>
      <c r="DM197" s="13"/>
    </row>
    <row r="198" spans="2:117" ht="33.75" customHeight="1">
      <c r="B198" s="275"/>
      <c r="C198" s="824"/>
      <c r="D198" s="825"/>
      <c r="E198" s="825"/>
      <c r="F198" s="825"/>
      <c r="G198" s="825"/>
      <c r="H198" s="825"/>
      <c r="I198" s="825"/>
      <c r="J198" s="825"/>
      <c r="K198" s="825"/>
      <c r="L198" s="825"/>
      <c r="M198" s="825"/>
      <c r="N198" s="825"/>
      <c r="O198" s="825"/>
      <c r="P198" s="825"/>
      <c r="Q198" s="825"/>
      <c r="R198" s="825"/>
      <c r="S198" s="825"/>
      <c r="T198" s="825"/>
      <c r="U198" s="825"/>
      <c r="V198" s="825"/>
      <c r="W198" s="825"/>
      <c r="X198" s="825"/>
      <c r="Y198" s="825"/>
      <c r="Z198" s="825"/>
      <c r="AA198" s="825"/>
      <c r="AB198" s="825"/>
      <c r="AC198" s="825"/>
      <c r="AD198" s="825"/>
      <c r="AE198" s="825"/>
      <c r="AF198" s="825"/>
      <c r="AG198" s="825"/>
      <c r="AH198" s="825"/>
      <c r="AI198" s="826"/>
      <c r="AJ198" s="824"/>
      <c r="AK198" s="825"/>
      <c r="AL198" s="825"/>
      <c r="AM198" s="825"/>
      <c r="AN198" s="825"/>
      <c r="AO198" s="825"/>
      <c r="AP198" s="826"/>
      <c r="AQ198" s="824"/>
      <c r="AR198" s="825"/>
      <c r="AS198" s="825"/>
      <c r="AT198" s="825"/>
      <c r="AU198" s="825"/>
      <c r="AV198" s="825"/>
      <c r="AW198" s="826"/>
      <c r="AX198" s="824"/>
      <c r="AY198" s="825"/>
      <c r="AZ198" s="825"/>
      <c r="BA198" s="825"/>
      <c r="BB198" s="825"/>
      <c r="BC198" s="825"/>
      <c r="BD198" s="826"/>
      <c r="BE198" s="619"/>
      <c r="BF198" s="620"/>
      <c r="BG198" s="619"/>
      <c r="BH198" s="620"/>
      <c r="BI198" s="619"/>
      <c r="BJ198" s="620"/>
      <c r="BK198" s="821"/>
      <c r="BL198" s="822"/>
      <c r="BM198" s="822"/>
      <c r="BN198" s="822"/>
      <c r="BO198" s="822"/>
      <c r="BP198" s="822"/>
      <c r="BQ198" s="822"/>
      <c r="BR198" s="822"/>
      <c r="BS198" s="822"/>
      <c r="BT198" s="822"/>
      <c r="BU198" s="822"/>
      <c r="BV198" s="822"/>
      <c r="BW198" s="822"/>
      <c r="BX198" s="822"/>
      <c r="BY198" s="822"/>
      <c r="BZ198" s="822"/>
      <c r="CA198" s="822"/>
      <c r="CB198" s="823"/>
      <c r="CC198" s="275"/>
      <c r="DG198" s="10"/>
      <c r="DH198" s="10"/>
      <c r="DI198" s="10"/>
      <c r="DJ198" s="10"/>
      <c r="DK198" s="13"/>
      <c r="DL198" s="13"/>
      <c r="DM198" s="13"/>
    </row>
    <row r="199" spans="2:117" ht="33.75" customHeight="1">
      <c r="B199" s="275"/>
      <c r="C199" s="824"/>
      <c r="D199" s="825"/>
      <c r="E199" s="825"/>
      <c r="F199" s="825"/>
      <c r="G199" s="825"/>
      <c r="H199" s="825"/>
      <c r="I199" s="825"/>
      <c r="J199" s="825"/>
      <c r="K199" s="825"/>
      <c r="L199" s="825"/>
      <c r="M199" s="825"/>
      <c r="N199" s="825"/>
      <c r="O199" s="825"/>
      <c r="P199" s="825"/>
      <c r="Q199" s="825"/>
      <c r="R199" s="825"/>
      <c r="S199" s="825"/>
      <c r="T199" s="825"/>
      <c r="U199" s="825"/>
      <c r="V199" s="825"/>
      <c r="W199" s="825"/>
      <c r="X199" s="825"/>
      <c r="Y199" s="825"/>
      <c r="Z199" s="825"/>
      <c r="AA199" s="825"/>
      <c r="AB199" s="825"/>
      <c r="AC199" s="825"/>
      <c r="AD199" s="825"/>
      <c r="AE199" s="825"/>
      <c r="AF199" s="825"/>
      <c r="AG199" s="825"/>
      <c r="AH199" s="825"/>
      <c r="AI199" s="826"/>
      <c r="AJ199" s="824"/>
      <c r="AK199" s="825"/>
      <c r="AL199" s="825"/>
      <c r="AM199" s="825"/>
      <c r="AN199" s="825"/>
      <c r="AO199" s="825"/>
      <c r="AP199" s="826"/>
      <c r="AQ199" s="824"/>
      <c r="AR199" s="825"/>
      <c r="AS199" s="825"/>
      <c r="AT199" s="825"/>
      <c r="AU199" s="825"/>
      <c r="AV199" s="825"/>
      <c r="AW199" s="826"/>
      <c r="AX199" s="824"/>
      <c r="AY199" s="825"/>
      <c r="AZ199" s="825"/>
      <c r="BA199" s="825"/>
      <c r="BB199" s="825"/>
      <c r="BC199" s="825"/>
      <c r="BD199" s="826"/>
      <c r="BE199" s="619"/>
      <c r="BF199" s="620"/>
      <c r="BG199" s="619"/>
      <c r="BH199" s="620"/>
      <c r="BI199" s="619"/>
      <c r="BJ199" s="620"/>
      <c r="BK199" s="821"/>
      <c r="BL199" s="822"/>
      <c r="BM199" s="822"/>
      <c r="BN199" s="822"/>
      <c r="BO199" s="822"/>
      <c r="BP199" s="822"/>
      <c r="BQ199" s="822"/>
      <c r="BR199" s="822"/>
      <c r="BS199" s="822"/>
      <c r="BT199" s="822"/>
      <c r="BU199" s="822"/>
      <c r="BV199" s="822"/>
      <c r="BW199" s="822"/>
      <c r="BX199" s="822"/>
      <c r="BY199" s="822"/>
      <c r="BZ199" s="822"/>
      <c r="CA199" s="822"/>
      <c r="CB199" s="823"/>
      <c r="CC199" s="275"/>
      <c r="DG199" s="10"/>
      <c r="DH199" s="10"/>
      <c r="DI199" s="10"/>
      <c r="DJ199" s="10"/>
      <c r="DK199" s="13"/>
      <c r="DL199" s="13"/>
      <c r="DM199" s="13"/>
    </row>
    <row r="200" spans="2:117" ht="11.25" customHeight="1">
      <c r="B200" s="275"/>
      <c r="C200" s="670" t="str">
        <f>VLOOKUP(2608,Languages!$A$5:$C$1032,Languages!$A$2,FALSE)</f>
        <v>Actions against non detection (manual / automatic controls,…)</v>
      </c>
      <c r="D200" s="671"/>
      <c r="E200" s="671"/>
      <c r="F200" s="671"/>
      <c r="G200" s="671"/>
      <c r="H200" s="671"/>
      <c r="I200" s="671"/>
      <c r="J200" s="671"/>
      <c r="K200" s="671"/>
      <c r="L200" s="671"/>
      <c r="M200" s="671"/>
      <c r="N200" s="671"/>
      <c r="O200" s="671"/>
      <c r="P200" s="671"/>
      <c r="Q200" s="671"/>
      <c r="R200" s="671"/>
      <c r="S200" s="671"/>
      <c r="T200" s="671"/>
      <c r="U200" s="671"/>
      <c r="V200" s="671"/>
      <c r="W200" s="671"/>
      <c r="X200" s="671"/>
      <c r="Y200" s="671"/>
      <c r="Z200" s="671"/>
      <c r="AA200" s="671"/>
      <c r="AB200" s="671"/>
      <c r="AC200" s="671"/>
      <c r="AD200" s="671"/>
      <c r="AE200" s="671"/>
      <c r="AF200" s="671"/>
      <c r="AG200" s="671"/>
      <c r="AH200" s="671"/>
      <c r="AI200" s="671"/>
      <c r="AJ200" s="671"/>
      <c r="AK200" s="671"/>
      <c r="AL200" s="671"/>
      <c r="AM200" s="671"/>
      <c r="AN200" s="671"/>
      <c r="AO200" s="671"/>
      <c r="AP200" s="671"/>
      <c r="AQ200" s="671"/>
      <c r="AR200" s="671"/>
      <c r="AS200" s="671"/>
      <c r="AT200" s="671"/>
      <c r="AU200" s="671"/>
      <c r="AV200" s="671"/>
      <c r="AW200" s="671"/>
      <c r="AX200" s="671"/>
      <c r="AY200" s="671"/>
      <c r="AZ200" s="671"/>
      <c r="BA200" s="671"/>
      <c r="BB200" s="671"/>
      <c r="BC200" s="671"/>
      <c r="BD200" s="671"/>
      <c r="BE200" s="671"/>
      <c r="BF200" s="671"/>
      <c r="BG200" s="671"/>
      <c r="BH200" s="671"/>
      <c r="BI200" s="671"/>
      <c r="BJ200" s="671"/>
      <c r="BK200" s="671"/>
      <c r="BL200" s="671"/>
      <c r="BM200" s="671"/>
      <c r="BN200" s="671"/>
      <c r="BO200" s="671"/>
      <c r="BP200" s="671"/>
      <c r="BQ200" s="671"/>
      <c r="BR200" s="671"/>
      <c r="BS200" s="671"/>
      <c r="BT200" s="671"/>
      <c r="BU200" s="671"/>
      <c r="BV200" s="671"/>
      <c r="BW200" s="671"/>
      <c r="BX200" s="671"/>
      <c r="BY200" s="671"/>
      <c r="BZ200" s="671"/>
      <c r="CA200" s="671"/>
      <c r="CB200" s="672"/>
      <c r="CC200" s="275"/>
      <c r="DG200" s="10"/>
      <c r="DH200" s="10"/>
      <c r="DI200" s="10"/>
      <c r="DJ200" s="10"/>
      <c r="DK200" s="13"/>
      <c r="DL200" s="13"/>
      <c r="DM200" s="13"/>
    </row>
    <row r="201" spans="2:117" ht="11.25" customHeight="1">
      <c r="B201" s="275"/>
      <c r="C201" s="673"/>
      <c r="D201" s="674"/>
      <c r="E201" s="674"/>
      <c r="F201" s="674"/>
      <c r="G201" s="674"/>
      <c r="H201" s="674"/>
      <c r="I201" s="674"/>
      <c r="J201" s="674"/>
      <c r="K201" s="674"/>
      <c r="L201" s="674"/>
      <c r="M201" s="674"/>
      <c r="N201" s="674"/>
      <c r="O201" s="674"/>
      <c r="P201" s="674"/>
      <c r="Q201" s="674"/>
      <c r="R201" s="674"/>
      <c r="S201" s="674"/>
      <c r="T201" s="674"/>
      <c r="U201" s="674"/>
      <c r="V201" s="674"/>
      <c r="W201" s="674"/>
      <c r="X201" s="674"/>
      <c r="Y201" s="674"/>
      <c r="Z201" s="674"/>
      <c r="AA201" s="674"/>
      <c r="AB201" s="674"/>
      <c r="AC201" s="674"/>
      <c r="AD201" s="674"/>
      <c r="AE201" s="674"/>
      <c r="AF201" s="674"/>
      <c r="AG201" s="674"/>
      <c r="AH201" s="674"/>
      <c r="AI201" s="674"/>
      <c r="AJ201" s="674"/>
      <c r="AK201" s="674"/>
      <c r="AL201" s="674"/>
      <c r="AM201" s="674"/>
      <c r="AN201" s="674"/>
      <c r="AO201" s="674"/>
      <c r="AP201" s="674"/>
      <c r="AQ201" s="674"/>
      <c r="AR201" s="674"/>
      <c r="AS201" s="674"/>
      <c r="AT201" s="674"/>
      <c r="AU201" s="674"/>
      <c r="AV201" s="674"/>
      <c r="AW201" s="674"/>
      <c r="AX201" s="674"/>
      <c r="AY201" s="674"/>
      <c r="AZ201" s="674"/>
      <c r="BA201" s="674"/>
      <c r="BB201" s="674"/>
      <c r="BC201" s="674"/>
      <c r="BD201" s="674"/>
      <c r="BE201" s="674"/>
      <c r="BF201" s="674"/>
      <c r="BG201" s="674"/>
      <c r="BH201" s="674"/>
      <c r="BI201" s="674"/>
      <c r="BJ201" s="674"/>
      <c r="BK201" s="674"/>
      <c r="BL201" s="674"/>
      <c r="BM201" s="674"/>
      <c r="BN201" s="674"/>
      <c r="BO201" s="674"/>
      <c r="BP201" s="674"/>
      <c r="BQ201" s="674"/>
      <c r="BR201" s="674"/>
      <c r="BS201" s="674"/>
      <c r="BT201" s="674"/>
      <c r="BU201" s="674"/>
      <c r="BV201" s="674"/>
      <c r="BW201" s="674"/>
      <c r="BX201" s="674"/>
      <c r="BY201" s="674"/>
      <c r="BZ201" s="674"/>
      <c r="CA201" s="674"/>
      <c r="CB201" s="675"/>
      <c r="CC201" s="275"/>
      <c r="DG201" s="10"/>
      <c r="DH201" s="10"/>
      <c r="DI201" s="10"/>
      <c r="DJ201" s="10"/>
      <c r="DK201" s="13"/>
      <c r="DL201" s="13"/>
      <c r="DM201" s="13"/>
    </row>
    <row r="202" spans="2:117" ht="11.25" customHeight="1">
      <c r="B202" s="275"/>
      <c r="C202" s="632" t="str">
        <f>VLOOKUP(2609,Languages!$A$5:$C$1032,Languages!$A$2,FALSE)</f>
        <v>Actions</v>
      </c>
      <c r="D202" s="633"/>
      <c r="E202" s="633"/>
      <c r="F202" s="633"/>
      <c r="G202" s="633"/>
      <c r="H202" s="633"/>
      <c r="I202" s="633"/>
      <c r="J202" s="633"/>
      <c r="K202" s="633"/>
      <c r="L202" s="633"/>
      <c r="M202" s="633"/>
      <c r="N202" s="633"/>
      <c r="O202" s="633"/>
      <c r="P202" s="633"/>
      <c r="Q202" s="633"/>
      <c r="R202" s="633"/>
      <c r="S202" s="633"/>
      <c r="T202" s="633"/>
      <c r="U202" s="633"/>
      <c r="V202" s="633"/>
      <c r="W202" s="633"/>
      <c r="X202" s="633"/>
      <c r="Y202" s="633"/>
      <c r="Z202" s="633"/>
      <c r="AA202" s="633"/>
      <c r="AB202" s="633"/>
      <c r="AC202" s="633"/>
      <c r="AD202" s="633"/>
      <c r="AE202" s="633"/>
      <c r="AF202" s="633"/>
      <c r="AG202" s="633"/>
      <c r="AH202" s="633"/>
      <c r="AI202" s="634"/>
      <c r="AJ202" s="632" t="str">
        <f>VLOOKUP(2610,Languages!$A$5:$C$1032,Languages!$A$2,FALSE)</f>
        <v>Responsible</v>
      </c>
      <c r="AK202" s="633"/>
      <c r="AL202" s="633"/>
      <c r="AM202" s="633"/>
      <c r="AN202" s="633"/>
      <c r="AO202" s="633"/>
      <c r="AP202" s="634"/>
      <c r="AQ202" s="632" t="str">
        <f>VLOOKUP(2611,Languages!$A$5:$C$1032,Languages!$A$2,FALSE)</f>
        <v>Planned date</v>
      </c>
      <c r="AR202" s="633"/>
      <c r="AS202" s="633"/>
      <c r="AT202" s="633"/>
      <c r="AU202" s="633"/>
      <c r="AV202" s="633"/>
      <c r="AW202" s="634"/>
      <c r="AX202" s="641" t="str">
        <f>VLOOKUP(2612,Languages!$A$5:$C$1032,Languages!$A$2,FALSE)</f>
        <v>Realization date</v>
      </c>
      <c r="AY202" s="642"/>
      <c r="AZ202" s="642"/>
      <c r="BA202" s="642"/>
      <c r="BB202" s="642"/>
      <c r="BC202" s="642"/>
      <c r="BD202" s="643"/>
      <c r="BE202" s="632" t="str">
        <f>VLOOKUP(2613,Languages!$A$5:$C$1032,Languages!$A$2,FALSE)</f>
        <v>Status</v>
      </c>
      <c r="BF202" s="633"/>
      <c r="BG202" s="633"/>
      <c r="BH202" s="633"/>
      <c r="BI202" s="633"/>
      <c r="BJ202" s="634"/>
      <c r="BK202" s="750" t="str">
        <f>VLOOKUP(2614,Languages!$A$5:$C$1032,Languages!$A$2,FALSE)</f>
        <v>Evidence of effectiveness</v>
      </c>
      <c r="BL202" s="751"/>
      <c r="BM202" s="751"/>
      <c r="BN202" s="751"/>
      <c r="BO202" s="751"/>
      <c r="BP202" s="751"/>
      <c r="BQ202" s="751"/>
      <c r="BR202" s="751"/>
      <c r="BS202" s="751"/>
      <c r="BT202" s="751"/>
      <c r="BU202" s="751"/>
      <c r="BV202" s="751"/>
      <c r="BW202" s="751"/>
      <c r="BX202" s="751"/>
      <c r="BY202" s="751"/>
      <c r="BZ202" s="751"/>
      <c r="CA202" s="751"/>
      <c r="CB202" s="752"/>
      <c r="CC202" s="275"/>
      <c r="DG202" s="10"/>
      <c r="DH202" s="10"/>
      <c r="DI202" s="10"/>
      <c r="DJ202" s="10"/>
      <c r="DK202" s="13"/>
      <c r="DL202" s="13"/>
      <c r="DM202" s="13"/>
    </row>
    <row r="203" spans="2:117" ht="11.25" customHeight="1">
      <c r="B203" s="275"/>
      <c r="C203" s="635"/>
      <c r="D203" s="636"/>
      <c r="E203" s="636"/>
      <c r="F203" s="636"/>
      <c r="G203" s="636"/>
      <c r="H203" s="636"/>
      <c r="I203" s="636"/>
      <c r="J203" s="636"/>
      <c r="K203" s="636"/>
      <c r="L203" s="636"/>
      <c r="M203" s="636"/>
      <c r="N203" s="636"/>
      <c r="O203" s="636"/>
      <c r="P203" s="636"/>
      <c r="Q203" s="636"/>
      <c r="R203" s="636"/>
      <c r="S203" s="636"/>
      <c r="T203" s="636"/>
      <c r="U203" s="636"/>
      <c r="V203" s="636"/>
      <c r="W203" s="636"/>
      <c r="X203" s="636"/>
      <c r="Y203" s="636"/>
      <c r="Z203" s="636"/>
      <c r="AA203" s="636"/>
      <c r="AB203" s="636"/>
      <c r="AC203" s="636"/>
      <c r="AD203" s="636"/>
      <c r="AE203" s="636"/>
      <c r="AF203" s="636"/>
      <c r="AG203" s="636"/>
      <c r="AH203" s="636"/>
      <c r="AI203" s="637"/>
      <c r="AJ203" s="635"/>
      <c r="AK203" s="636"/>
      <c r="AL203" s="636"/>
      <c r="AM203" s="636"/>
      <c r="AN203" s="636"/>
      <c r="AO203" s="636"/>
      <c r="AP203" s="637"/>
      <c r="AQ203" s="635"/>
      <c r="AR203" s="636"/>
      <c r="AS203" s="636"/>
      <c r="AT203" s="636"/>
      <c r="AU203" s="636"/>
      <c r="AV203" s="636"/>
      <c r="AW203" s="637"/>
      <c r="AX203" s="644"/>
      <c r="AY203" s="645"/>
      <c r="AZ203" s="645"/>
      <c r="BA203" s="645"/>
      <c r="BB203" s="645"/>
      <c r="BC203" s="645"/>
      <c r="BD203" s="646"/>
      <c r="BE203" s="635"/>
      <c r="BF203" s="636"/>
      <c r="BG203" s="636"/>
      <c r="BH203" s="636"/>
      <c r="BI203" s="636"/>
      <c r="BJ203" s="637"/>
      <c r="BK203" s="753"/>
      <c r="BL203" s="754"/>
      <c r="BM203" s="754"/>
      <c r="BN203" s="754"/>
      <c r="BO203" s="754"/>
      <c r="BP203" s="754"/>
      <c r="BQ203" s="754"/>
      <c r="BR203" s="754"/>
      <c r="BS203" s="754"/>
      <c r="BT203" s="754"/>
      <c r="BU203" s="754"/>
      <c r="BV203" s="754"/>
      <c r="BW203" s="754"/>
      <c r="BX203" s="754"/>
      <c r="BY203" s="754"/>
      <c r="BZ203" s="754"/>
      <c r="CA203" s="754"/>
      <c r="CB203" s="755"/>
      <c r="CC203" s="275"/>
      <c r="DG203" s="10"/>
      <c r="DH203" s="10"/>
      <c r="DI203" s="10"/>
      <c r="DJ203" s="10"/>
      <c r="DK203" s="13"/>
      <c r="DL203" s="13"/>
      <c r="DM203" s="13"/>
    </row>
    <row r="204" spans="2:117" ht="11.25" customHeight="1">
      <c r="B204" s="275"/>
      <c r="C204" s="638"/>
      <c r="D204" s="639"/>
      <c r="E204" s="639"/>
      <c r="F204" s="639"/>
      <c r="G204" s="639"/>
      <c r="H204" s="639"/>
      <c r="I204" s="639"/>
      <c r="J204" s="639"/>
      <c r="K204" s="639"/>
      <c r="L204" s="639"/>
      <c r="M204" s="639"/>
      <c r="N204" s="639"/>
      <c r="O204" s="639"/>
      <c r="P204" s="639"/>
      <c r="Q204" s="639"/>
      <c r="R204" s="639"/>
      <c r="S204" s="639"/>
      <c r="T204" s="639"/>
      <c r="U204" s="639"/>
      <c r="V204" s="639"/>
      <c r="W204" s="639"/>
      <c r="X204" s="639"/>
      <c r="Y204" s="639"/>
      <c r="Z204" s="639"/>
      <c r="AA204" s="639"/>
      <c r="AB204" s="639"/>
      <c r="AC204" s="639"/>
      <c r="AD204" s="639"/>
      <c r="AE204" s="639"/>
      <c r="AF204" s="639"/>
      <c r="AG204" s="639"/>
      <c r="AH204" s="639"/>
      <c r="AI204" s="640"/>
      <c r="AJ204" s="638"/>
      <c r="AK204" s="639"/>
      <c r="AL204" s="639"/>
      <c r="AM204" s="639"/>
      <c r="AN204" s="639"/>
      <c r="AO204" s="639"/>
      <c r="AP204" s="640"/>
      <c r="AQ204" s="638"/>
      <c r="AR204" s="639"/>
      <c r="AS204" s="639"/>
      <c r="AT204" s="639"/>
      <c r="AU204" s="639"/>
      <c r="AV204" s="639"/>
      <c r="AW204" s="640"/>
      <c r="AX204" s="647"/>
      <c r="AY204" s="648"/>
      <c r="AZ204" s="648"/>
      <c r="BA204" s="648"/>
      <c r="BB204" s="648"/>
      <c r="BC204" s="648"/>
      <c r="BD204" s="649"/>
      <c r="BE204" s="638"/>
      <c r="BF204" s="639"/>
      <c r="BG204" s="639"/>
      <c r="BH204" s="639"/>
      <c r="BI204" s="639"/>
      <c r="BJ204" s="640"/>
      <c r="BK204" s="756"/>
      <c r="BL204" s="757"/>
      <c r="BM204" s="757"/>
      <c r="BN204" s="757"/>
      <c r="BO204" s="757"/>
      <c r="BP204" s="757"/>
      <c r="BQ204" s="757"/>
      <c r="BR204" s="757"/>
      <c r="BS204" s="757"/>
      <c r="BT204" s="757"/>
      <c r="BU204" s="757"/>
      <c r="BV204" s="757"/>
      <c r="BW204" s="757"/>
      <c r="BX204" s="757"/>
      <c r="BY204" s="757"/>
      <c r="BZ204" s="757"/>
      <c r="CA204" s="757"/>
      <c r="CB204" s="758"/>
      <c r="CC204" s="275"/>
      <c r="DG204" s="10"/>
      <c r="DH204" s="10"/>
      <c r="DI204" s="10"/>
      <c r="DJ204" s="10"/>
      <c r="DK204" s="13"/>
      <c r="DL204" s="13"/>
      <c r="DM204" s="13"/>
    </row>
    <row r="205" spans="2:117" ht="33.75" customHeight="1">
      <c r="B205" s="275"/>
      <c r="C205" s="824"/>
      <c r="D205" s="825"/>
      <c r="E205" s="825"/>
      <c r="F205" s="825"/>
      <c r="G205" s="825"/>
      <c r="H205" s="825"/>
      <c r="I205" s="825"/>
      <c r="J205" s="825"/>
      <c r="K205" s="825"/>
      <c r="L205" s="825"/>
      <c r="M205" s="825"/>
      <c r="N205" s="825"/>
      <c r="O205" s="825"/>
      <c r="P205" s="825"/>
      <c r="Q205" s="825"/>
      <c r="R205" s="825"/>
      <c r="S205" s="825"/>
      <c r="T205" s="825"/>
      <c r="U205" s="825"/>
      <c r="V205" s="825"/>
      <c r="W205" s="825"/>
      <c r="X205" s="825"/>
      <c r="Y205" s="825"/>
      <c r="Z205" s="825"/>
      <c r="AA205" s="825"/>
      <c r="AB205" s="825"/>
      <c r="AC205" s="825"/>
      <c r="AD205" s="825"/>
      <c r="AE205" s="825"/>
      <c r="AF205" s="825"/>
      <c r="AG205" s="825"/>
      <c r="AH205" s="825"/>
      <c r="AI205" s="826"/>
      <c r="AJ205" s="824"/>
      <c r="AK205" s="825"/>
      <c r="AL205" s="825"/>
      <c r="AM205" s="825"/>
      <c r="AN205" s="825"/>
      <c r="AO205" s="825"/>
      <c r="AP205" s="826"/>
      <c r="AQ205" s="824"/>
      <c r="AR205" s="825"/>
      <c r="AS205" s="825"/>
      <c r="AT205" s="825"/>
      <c r="AU205" s="825"/>
      <c r="AV205" s="825"/>
      <c r="AW205" s="826"/>
      <c r="AX205" s="824"/>
      <c r="AY205" s="825"/>
      <c r="AZ205" s="825"/>
      <c r="BA205" s="825"/>
      <c r="BB205" s="825"/>
      <c r="BC205" s="825"/>
      <c r="BD205" s="826"/>
      <c r="BE205" s="619"/>
      <c r="BF205" s="620"/>
      <c r="BG205" s="619"/>
      <c r="BH205" s="620"/>
      <c r="BI205" s="619"/>
      <c r="BJ205" s="620"/>
      <c r="BK205" s="821"/>
      <c r="BL205" s="822"/>
      <c r="BM205" s="822"/>
      <c r="BN205" s="822"/>
      <c r="BO205" s="822"/>
      <c r="BP205" s="822"/>
      <c r="BQ205" s="822"/>
      <c r="BR205" s="822"/>
      <c r="BS205" s="822"/>
      <c r="BT205" s="822"/>
      <c r="BU205" s="822"/>
      <c r="BV205" s="822"/>
      <c r="BW205" s="822"/>
      <c r="BX205" s="822"/>
      <c r="BY205" s="822"/>
      <c r="BZ205" s="822"/>
      <c r="CA205" s="822"/>
      <c r="CB205" s="823"/>
      <c r="CC205" s="275"/>
      <c r="DG205" s="10"/>
      <c r="DH205" s="10"/>
      <c r="DI205" s="10"/>
      <c r="DJ205" s="10"/>
      <c r="DK205" s="13"/>
      <c r="DL205" s="13"/>
      <c r="DM205" s="13"/>
    </row>
    <row r="206" spans="2:117" ht="33.75" customHeight="1">
      <c r="B206" s="275"/>
      <c r="C206" s="824"/>
      <c r="D206" s="825"/>
      <c r="E206" s="825"/>
      <c r="F206" s="825"/>
      <c r="G206" s="825"/>
      <c r="H206" s="825"/>
      <c r="I206" s="825"/>
      <c r="J206" s="825"/>
      <c r="K206" s="825"/>
      <c r="L206" s="825"/>
      <c r="M206" s="825"/>
      <c r="N206" s="825"/>
      <c r="O206" s="825"/>
      <c r="P206" s="825"/>
      <c r="Q206" s="825"/>
      <c r="R206" s="825"/>
      <c r="S206" s="825"/>
      <c r="T206" s="825"/>
      <c r="U206" s="825"/>
      <c r="V206" s="825"/>
      <c r="W206" s="825"/>
      <c r="X206" s="825"/>
      <c r="Y206" s="825"/>
      <c r="Z206" s="825"/>
      <c r="AA206" s="825"/>
      <c r="AB206" s="825"/>
      <c r="AC206" s="825"/>
      <c r="AD206" s="825"/>
      <c r="AE206" s="825"/>
      <c r="AF206" s="825"/>
      <c r="AG206" s="825"/>
      <c r="AH206" s="825"/>
      <c r="AI206" s="826"/>
      <c r="AJ206" s="824"/>
      <c r="AK206" s="825"/>
      <c r="AL206" s="825"/>
      <c r="AM206" s="825"/>
      <c r="AN206" s="825"/>
      <c r="AO206" s="825"/>
      <c r="AP206" s="826"/>
      <c r="AQ206" s="824"/>
      <c r="AR206" s="825"/>
      <c r="AS206" s="825"/>
      <c r="AT206" s="825"/>
      <c r="AU206" s="825"/>
      <c r="AV206" s="825"/>
      <c r="AW206" s="826"/>
      <c r="AX206" s="824"/>
      <c r="AY206" s="825"/>
      <c r="AZ206" s="825"/>
      <c r="BA206" s="825"/>
      <c r="BB206" s="825"/>
      <c r="BC206" s="825"/>
      <c r="BD206" s="826"/>
      <c r="BE206" s="619"/>
      <c r="BF206" s="620"/>
      <c r="BG206" s="619"/>
      <c r="BH206" s="620"/>
      <c r="BI206" s="619"/>
      <c r="BJ206" s="620"/>
      <c r="BK206" s="821"/>
      <c r="BL206" s="822"/>
      <c r="BM206" s="822"/>
      <c r="BN206" s="822"/>
      <c r="BO206" s="822"/>
      <c r="BP206" s="822"/>
      <c r="BQ206" s="822"/>
      <c r="BR206" s="822"/>
      <c r="BS206" s="822"/>
      <c r="BT206" s="822"/>
      <c r="BU206" s="822"/>
      <c r="BV206" s="822"/>
      <c r="BW206" s="822"/>
      <c r="BX206" s="822"/>
      <c r="BY206" s="822"/>
      <c r="BZ206" s="822"/>
      <c r="CA206" s="822"/>
      <c r="CB206" s="823"/>
      <c r="CC206" s="275"/>
      <c r="DG206" s="10"/>
      <c r="DH206" s="10"/>
      <c r="DI206" s="10"/>
      <c r="DJ206" s="10"/>
      <c r="DK206" s="13"/>
      <c r="DL206" s="13"/>
      <c r="DM206" s="13"/>
    </row>
    <row r="207" spans="2:117" ht="33.75" customHeight="1">
      <c r="B207" s="275"/>
      <c r="C207" s="824"/>
      <c r="D207" s="825"/>
      <c r="E207" s="825"/>
      <c r="F207" s="825"/>
      <c r="G207" s="825"/>
      <c r="H207" s="825"/>
      <c r="I207" s="825"/>
      <c r="J207" s="825"/>
      <c r="K207" s="825"/>
      <c r="L207" s="825"/>
      <c r="M207" s="825"/>
      <c r="N207" s="825"/>
      <c r="O207" s="825"/>
      <c r="P207" s="825"/>
      <c r="Q207" s="825"/>
      <c r="R207" s="825"/>
      <c r="S207" s="825"/>
      <c r="T207" s="825"/>
      <c r="U207" s="825"/>
      <c r="V207" s="825"/>
      <c r="W207" s="825"/>
      <c r="X207" s="825"/>
      <c r="Y207" s="825"/>
      <c r="Z207" s="825"/>
      <c r="AA207" s="825"/>
      <c r="AB207" s="825"/>
      <c r="AC207" s="825"/>
      <c r="AD207" s="825"/>
      <c r="AE207" s="825"/>
      <c r="AF207" s="825"/>
      <c r="AG207" s="825"/>
      <c r="AH207" s="825"/>
      <c r="AI207" s="826"/>
      <c r="AJ207" s="824"/>
      <c r="AK207" s="825"/>
      <c r="AL207" s="825"/>
      <c r="AM207" s="825"/>
      <c r="AN207" s="825"/>
      <c r="AO207" s="825"/>
      <c r="AP207" s="826"/>
      <c r="AQ207" s="824"/>
      <c r="AR207" s="825"/>
      <c r="AS207" s="825"/>
      <c r="AT207" s="825"/>
      <c r="AU207" s="825"/>
      <c r="AV207" s="825"/>
      <c r="AW207" s="826"/>
      <c r="AX207" s="824"/>
      <c r="AY207" s="825"/>
      <c r="AZ207" s="825"/>
      <c r="BA207" s="825"/>
      <c r="BB207" s="825"/>
      <c r="BC207" s="825"/>
      <c r="BD207" s="826"/>
      <c r="BE207" s="619"/>
      <c r="BF207" s="620"/>
      <c r="BG207" s="619"/>
      <c r="BH207" s="620"/>
      <c r="BI207" s="619"/>
      <c r="BJ207" s="620"/>
      <c r="BK207" s="821"/>
      <c r="BL207" s="822"/>
      <c r="BM207" s="822"/>
      <c r="BN207" s="822"/>
      <c r="BO207" s="822"/>
      <c r="BP207" s="822"/>
      <c r="BQ207" s="822"/>
      <c r="BR207" s="822"/>
      <c r="BS207" s="822"/>
      <c r="BT207" s="822"/>
      <c r="BU207" s="822"/>
      <c r="BV207" s="822"/>
      <c r="BW207" s="822"/>
      <c r="BX207" s="822"/>
      <c r="BY207" s="822"/>
      <c r="BZ207" s="822"/>
      <c r="CA207" s="822"/>
      <c r="CB207" s="823"/>
      <c r="CC207" s="275"/>
      <c r="DG207" s="10"/>
      <c r="DH207" s="10"/>
      <c r="DI207" s="10"/>
      <c r="DJ207" s="10"/>
      <c r="DK207" s="13"/>
      <c r="DL207" s="13"/>
      <c r="DM207" s="13"/>
    </row>
    <row r="208" spans="2:117" ht="33.75" customHeight="1">
      <c r="B208" s="275"/>
      <c r="C208" s="824"/>
      <c r="D208" s="825"/>
      <c r="E208" s="825"/>
      <c r="F208" s="825"/>
      <c r="G208" s="825"/>
      <c r="H208" s="825"/>
      <c r="I208" s="825"/>
      <c r="J208" s="825"/>
      <c r="K208" s="825"/>
      <c r="L208" s="825"/>
      <c r="M208" s="825"/>
      <c r="N208" s="825"/>
      <c r="O208" s="825"/>
      <c r="P208" s="825"/>
      <c r="Q208" s="825"/>
      <c r="R208" s="825"/>
      <c r="S208" s="825"/>
      <c r="T208" s="825"/>
      <c r="U208" s="825"/>
      <c r="V208" s="825"/>
      <c r="W208" s="825"/>
      <c r="X208" s="825"/>
      <c r="Y208" s="825"/>
      <c r="Z208" s="825"/>
      <c r="AA208" s="825"/>
      <c r="AB208" s="825"/>
      <c r="AC208" s="825"/>
      <c r="AD208" s="825"/>
      <c r="AE208" s="825"/>
      <c r="AF208" s="825"/>
      <c r="AG208" s="825"/>
      <c r="AH208" s="825"/>
      <c r="AI208" s="826"/>
      <c r="AJ208" s="824"/>
      <c r="AK208" s="825"/>
      <c r="AL208" s="825"/>
      <c r="AM208" s="825"/>
      <c r="AN208" s="825"/>
      <c r="AO208" s="825"/>
      <c r="AP208" s="826"/>
      <c r="AQ208" s="824"/>
      <c r="AR208" s="825"/>
      <c r="AS208" s="825"/>
      <c r="AT208" s="825"/>
      <c r="AU208" s="825"/>
      <c r="AV208" s="825"/>
      <c r="AW208" s="826"/>
      <c r="AX208" s="824"/>
      <c r="AY208" s="825"/>
      <c r="AZ208" s="825"/>
      <c r="BA208" s="825"/>
      <c r="BB208" s="825"/>
      <c r="BC208" s="825"/>
      <c r="BD208" s="826"/>
      <c r="BE208" s="619"/>
      <c r="BF208" s="620"/>
      <c r="BG208" s="619"/>
      <c r="BH208" s="620"/>
      <c r="BI208" s="619"/>
      <c r="BJ208" s="620"/>
      <c r="BK208" s="821"/>
      <c r="BL208" s="822"/>
      <c r="BM208" s="822"/>
      <c r="BN208" s="822"/>
      <c r="BO208" s="822"/>
      <c r="BP208" s="822"/>
      <c r="BQ208" s="822"/>
      <c r="BR208" s="822"/>
      <c r="BS208" s="822"/>
      <c r="BT208" s="822"/>
      <c r="BU208" s="822"/>
      <c r="BV208" s="822"/>
      <c r="BW208" s="822"/>
      <c r="BX208" s="822"/>
      <c r="BY208" s="822"/>
      <c r="BZ208" s="822"/>
      <c r="CA208" s="822"/>
      <c r="CB208" s="823"/>
      <c r="CC208" s="275"/>
      <c r="DG208" s="10"/>
      <c r="DH208" s="10"/>
      <c r="DI208" s="10"/>
      <c r="DJ208" s="10"/>
      <c r="DK208" s="13"/>
      <c r="DL208" s="13"/>
      <c r="DM208" s="13"/>
    </row>
    <row r="209" spans="2:117" ht="33.75" customHeight="1">
      <c r="B209" s="275"/>
      <c r="C209" s="824"/>
      <c r="D209" s="825"/>
      <c r="E209" s="825"/>
      <c r="F209" s="825"/>
      <c r="G209" s="825"/>
      <c r="H209" s="825"/>
      <c r="I209" s="825"/>
      <c r="J209" s="825"/>
      <c r="K209" s="825"/>
      <c r="L209" s="825"/>
      <c r="M209" s="825"/>
      <c r="N209" s="825"/>
      <c r="O209" s="825"/>
      <c r="P209" s="825"/>
      <c r="Q209" s="825"/>
      <c r="R209" s="825"/>
      <c r="S209" s="825"/>
      <c r="T209" s="825"/>
      <c r="U209" s="825"/>
      <c r="V209" s="825"/>
      <c r="W209" s="825"/>
      <c r="X209" s="825"/>
      <c r="Y209" s="825"/>
      <c r="Z209" s="825"/>
      <c r="AA209" s="825"/>
      <c r="AB209" s="825"/>
      <c r="AC209" s="825"/>
      <c r="AD209" s="825"/>
      <c r="AE209" s="825"/>
      <c r="AF209" s="825"/>
      <c r="AG209" s="825"/>
      <c r="AH209" s="825"/>
      <c r="AI209" s="826"/>
      <c r="AJ209" s="824"/>
      <c r="AK209" s="825"/>
      <c r="AL209" s="825"/>
      <c r="AM209" s="825"/>
      <c r="AN209" s="825"/>
      <c r="AO209" s="825"/>
      <c r="AP209" s="826"/>
      <c r="AQ209" s="824"/>
      <c r="AR209" s="825"/>
      <c r="AS209" s="825"/>
      <c r="AT209" s="825"/>
      <c r="AU209" s="825"/>
      <c r="AV209" s="825"/>
      <c r="AW209" s="826"/>
      <c r="AX209" s="824"/>
      <c r="AY209" s="825"/>
      <c r="AZ209" s="825"/>
      <c r="BA209" s="825"/>
      <c r="BB209" s="825"/>
      <c r="BC209" s="825"/>
      <c r="BD209" s="826"/>
      <c r="BE209" s="619"/>
      <c r="BF209" s="620"/>
      <c r="BG209" s="619"/>
      <c r="BH209" s="620"/>
      <c r="BI209" s="619"/>
      <c r="BJ209" s="620"/>
      <c r="BK209" s="821"/>
      <c r="BL209" s="822"/>
      <c r="BM209" s="822"/>
      <c r="BN209" s="822"/>
      <c r="BO209" s="822"/>
      <c r="BP209" s="822"/>
      <c r="BQ209" s="822"/>
      <c r="BR209" s="822"/>
      <c r="BS209" s="822"/>
      <c r="BT209" s="822"/>
      <c r="BU209" s="822"/>
      <c r="BV209" s="822"/>
      <c r="BW209" s="822"/>
      <c r="BX209" s="822"/>
      <c r="BY209" s="822"/>
      <c r="BZ209" s="822"/>
      <c r="CA209" s="822"/>
      <c r="CB209" s="823"/>
      <c r="CC209" s="275"/>
      <c r="DG209" s="10"/>
      <c r="DH209" s="10"/>
      <c r="DI209" s="10"/>
      <c r="DJ209" s="10"/>
      <c r="DK209" s="13"/>
      <c r="DL209" s="13"/>
      <c r="DM209" s="13"/>
    </row>
    <row r="210" spans="2:117" ht="11.25" customHeight="1">
      <c r="B210" s="275"/>
      <c r="C210" s="789"/>
      <c r="D210" s="789"/>
      <c r="E210" s="789"/>
      <c r="F210" s="789"/>
      <c r="G210" s="789"/>
      <c r="H210" s="789"/>
      <c r="I210" s="789"/>
      <c r="J210" s="789"/>
      <c r="K210" s="789"/>
      <c r="L210" s="789"/>
      <c r="M210" s="789"/>
      <c r="N210" s="789"/>
      <c r="O210" s="789"/>
      <c r="P210" s="789"/>
      <c r="Q210" s="789"/>
      <c r="R210" s="789"/>
      <c r="S210" s="789"/>
      <c r="T210" s="789"/>
      <c r="U210" s="789"/>
      <c r="V210" s="789"/>
      <c r="W210" s="789"/>
      <c r="X210" s="789"/>
      <c r="Y210" s="789"/>
      <c r="Z210" s="789"/>
      <c r="AA210" s="789"/>
      <c r="AB210" s="789"/>
      <c r="AC210" s="789"/>
      <c r="AD210" s="789"/>
      <c r="AE210" s="789"/>
      <c r="AF210" s="789"/>
      <c r="AG210" s="789"/>
      <c r="AH210" s="789"/>
      <c r="AI210" s="789"/>
      <c r="AJ210" s="789"/>
      <c r="AK210" s="789"/>
      <c r="AL210" s="789"/>
      <c r="AM210" s="789"/>
      <c r="AN210" s="789"/>
      <c r="AO210" s="789"/>
      <c r="AP210" s="789"/>
      <c r="AQ210" s="789"/>
      <c r="AR210" s="789"/>
      <c r="AS210" s="789"/>
      <c r="AT210" s="789"/>
      <c r="AU210" s="789"/>
      <c r="AV210" s="789"/>
      <c r="AW210" s="789"/>
      <c r="AX210" s="789"/>
      <c r="AY210" s="789"/>
      <c r="AZ210" s="789"/>
      <c r="BA210" s="789"/>
      <c r="BB210" s="789"/>
      <c r="BC210" s="789"/>
      <c r="BD210" s="789"/>
      <c r="BE210" s="789"/>
      <c r="BF210" s="789"/>
      <c r="BG210" s="789"/>
      <c r="BH210" s="789"/>
      <c r="BI210" s="789"/>
      <c r="BJ210" s="789"/>
      <c r="BK210" s="789"/>
      <c r="BL210" s="789"/>
      <c r="BM210" s="789"/>
      <c r="BN210" s="789"/>
      <c r="BO210" s="789"/>
      <c r="BP210" s="789"/>
      <c r="BQ210" s="789"/>
      <c r="BR210" s="789"/>
      <c r="BS210" s="789"/>
      <c r="BT210" s="789"/>
      <c r="BU210" s="789"/>
      <c r="BV210" s="789"/>
      <c r="BW210" s="789"/>
      <c r="BX210" s="789"/>
      <c r="BY210" s="789"/>
      <c r="BZ210" s="789"/>
      <c r="CA210" s="789"/>
      <c r="CB210" s="789"/>
      <c r="CC210" s="275"/>
      <c r="DG210" s="10"/>
      <c r="DH210" s="10"/>
      <c r="DI210" s="10"/>
      <c r="DJ210" s="10"/>
      <c r="DK210" s="13"/>
      <c r="DL210" s="13"/>
      <c r="DM210" s="13"/>
    </row>
    <row r="211" spans="2:117" ht="11.25" customHeight="1" thickBot="1">
      <c r="B211" s="275"/>
      <c r="C211" s="787"/>
      <c r="D211" s="787"/>
      <c r="E211" s="787"/>
      <c r="F211" s="787"/>
      <c r="G211" s="787"/>
      <c r="H211" s="787"/>
      <c r="I211" s="787"/>
      <c r="J211" s="787"/>
      <c r="K211" s="787"/>
      <c r="L211" s="787"/>
      <c r="M211" s="787"/>
      <c r="N211" s="787"/>
      <c r="O211" s="787"/>
      <c r="P211" s="787"/>
      <c r="Q211" s="787"/>
      <c r="R211" s="787"/>
      <c r="S211" s="787"/>
      <c r="T211" s="787"/>
      <c r="U211" s="787"/>
      <c r="V211" s="787"/>
      <c r="W211" s="787"/>
      <c r="X211" s="787"/>
      <c r="Y211" s="787"/>
      <c r="Z211" s="787"/>
      <c r="AA211" s="787"/>
      <c r="AB211" s="787"/>
      <c r="AC211" s="787"/>
      <c r="AD211" s="787"/>
      <c r="AE211" s="787"/>
      <c r="AF211" s="787"/>
      <c r="AG211" s="787"/>
      <c r="AH211" s="787"/>
      <c r="AI211" s="787"/>
      <c r="AJ211" s="787"/>
      <c r="AK211" s="787"/>
      <c r="AL211" s="787"/>
      <c r="AM211" s="787"/>
      <c r="AN211" s="787"/>
      <c r="AO211" s="787"/>
      <c r="AP211" s="787"/>
      <c r="AQ211" s="787"/>
      <c r="AR211" s="787"/>
      <c r="AS211" s="787"/>
      <c r="AT211" s="787"/>
      <c r="AU211" s="787"/>
      <c r="AV211" s="787"/>
      <c r="AW211" s="787"/>
      <c r="AX211" s="787"/>
      <c r="AY211" s="787"/>
      <c r="AZ211" s="787"/>
      <c r="BA211" s="787"/>
      <c r="BB211" s="787"/>
      <c r="BC211" s="787"/>
      <c r="BD211" s="787"/>
      <c r="BE211" s="787"/>
      <c r="BF211" s="787"/>
      <c r="BG211" s="787"/>
      <c r="BH211" s="787"/>
      <c r="BI211" s="787"/>
      <c r="BJ211" s="787"/>
      <c r="BK211" s="787"/>
      <c r="BL211" s="787"/>
      <c r="BM211" s="787"/>
      <c r="BN211" s="787"/>
      <c r="BO211" s="787"/>
      <c r="BP211" s="787"/>
      <c r="BQ211" s="787"/>
      <c r="BR211" s="787"/>
      <c r="BS211" s="787"/>
      <c r="BT211" s="787"/>
      <c r="BU211" s="787"/>
      <c r="BV211" s="787"/>
      <c r="BW211" s="787"/>
      <c r="BX211" s="787"/>
      <c r="BY211" s="787"/>
      <c r="BZ211" s="787"/>
      <c r="CA211" s="787"/>
      <c r="CB211" s="787"/>
      <c r="CC211" s="275"/>
      <c r="DG211" s="10"/>
      <c r="DH211" s="10"/>
      <c r="DI211" s="10"/>
      <c r="DJ211" s="10"/>
      <c r="DK211" s="13"/>
      <c r="DL211" s="13"/>
      <c r="DM211" s="13"/>
    </row>
    <row r="212" spans="2:117" ht="11.25" customHeight="1">
      <c r="B212" s="275"/>
      <c r="C212" s="655" t="s">
        <v>43</v>
      </c>
      <c r="D212" s="656"/>
      <c r="E212" s="656"/>
      <c r="F212" s="656"/>
      <c r="G212" s="656"/>
      <c r="H212" s="656"/>
      <c r="I212" s="656"/>
      <c r="J212" s="656"/>
      <c r="K212" s="656"/>
      <c r="L212" s="656"/>
      <c r="M212" s="656"/>
      <c r="N212" s="656"/>
      <c r="O212" s="656"/>
      <c r="P212" s="656"/>
      <c r="Q212" s="656"/>
      <c r="R212" s="661" t="str">
        <f>VLOOKUP(2700,Languages!$A$5:$C$1032,Languages!$A$2,FALSE)</f>
        <v>Lessons Learned / Read-Across</v>
      </c>
      <c r="S212" s="661"/>
      <c r="T212" s="661"/>
      <c r="U212" s="661"/>
      <c r="V212" s="661"/>
      <c r="W212" s="661"/>
      <c r="X212" s="661"/>
      <c r="Y212" s="661"/>
      <c r="Z212" s="661"/>
      <c r="AA212" s="661"/>
      <c r="AB212" s="661"/>
      <c r="AC212" s="661"/>
      <c r="AD212" s="661"/>
      <c r="AE212" s="661"/>
      <c r="AF212" s="661"/>
      <c r="AG212" s="661"/>
      <c r="AH212" s="661"/>
      <c r="AI212" s="661"/>
      <c r="AJ212" s="661"/>
      <c r="AK212" s="661"/>
      <c r="AL212" s="661"/>
      <c r="AM212" s="661"/>
      <c r="AN212" s="661"/>
      <c r="AO212" s="661"/>
      <c r="AP212" s="661"/>
      <c r="AQ212" s="661"/>
      <c r="AR212" s="661"/>
      <c r="AS212" s="661"/>
      <c r="AT212" s="661"/>
      <c r="AU212" s="661"/>
      <c r="AV212" s="661"/>
      <c r="AW212" s="661"/>
      <c r="AX212" s="661"/>
      <c r="AY212" s="661"/>
      <c r="AZ212" s="661"/>
      <c r="BA212" s="661"/>
      <c r="BB212" s="661"/>
      <c r="BC212" s="661"/>
      <c r="BD212" s="661"/>
      <c r="BE212" s="661"/>
      <c r="BF212" s="661"/>
      <c r="BG212" s="661"/>
      <c r="BH212" s="661"/>
      <c r="BI212" s="661"/>
      <c r="BJ212" s="661"/>
      <c r="BK212" s="661"/>
      <c r="BL212" s="661"/>
      <c r="BM212" s="661"/>
      <c r="BN212" s="661"/>
      <c r="BO212" s="661"/>
      <c r="BP212" s="661"/>
      <c r="BQ212" s="661"/>
      <c r="BR212" s="661"/>
      <c r="BS212" s="661"/>
      <c r="BT212" s="661"/>
      <c r="BU212" s="661"/>
      <c r="BV212" s="661"/>
      <c r="BW212" s="661"/>
      <c r="BX212" s="661"/>
      <c r="BY212" s="661"/>
      <c r="BZ212" s="661"/>
      <c r="CA212" s="661"/>
      <c r="CB212" s="662"/>
      <c r="CC212" s="275"/>
      <c r="CE212" s="692" t="str">
        <f>VLOOKUP(2002,Languages!$A$5:$C$1032,Languages!$A$2,FALSE)</f>
        <v>Tool</v>
      </c>
      <c r="CF212" s="693"/>
      <c r="CG212" s="693"/>
      <c r="CH212" s="693"/>
      <c r="CI212" s="693"/>
      <c r="CJ212" s="693"/>
      <c r="CK212" s="693"/>
      <c r="CL212" s="693"/>
      <c r="CM212" s="693"/>
      <c r="CN212" s="693"/>
      <c r="CO212" s="693"/>
      <c r="CP212" s="693"/>
      <c r="CQ212" s="693"/>
      <c r="CR212" s="693"/>
      <c r="CS212" s="694"/>
      <c r="DG212" s="10"/>
      <c r="DH212" s="10"/>
      <c r="DI212" s="10"/>
      <c r="DJ212" s="10"/>
      <c r="DK212" s="13"/>
      <c r="DL212" s="13"/>
      <c r="DM212" s="13"/>
    </row>
    <row r="213" spans="2:117" ht="11.25" customHeight="1">
      <c r="B213" s="275"/>
      <c r="C213" s="657"/>
      <c r="D213" s="658"/>
      <c r="E213" s="658"/>
      <c r="F213" s="658"/>
      <c r="G213" s="658"/>
      <c r="H213" s="658"/>
      <c r="I213" s="658"/>
      <c r="J213" s="658"/>
      <c r="K213" s="658"/>
      <c r="L213" s="658"/>
      <c r="M213" s="658"/>
      <c r="N213" s="658"/>
      <c r="O213" s="658"/>
      <c r="P213" s="658"/>
      <c r="Q213" s="658"/>
      <c r="R213" s="663"/>
      <c r="S213" s="663"/>
      <c r="T213" s="663"/>
      <c r="U213" s="663"/>
      <c r="V213" s="663"/>
      <c r="W213" s="663"/>
      <c r="X213" s="663"/>
      <c r="Y213" s="663"/>
      <c r="Z213" s="663"/>
      <c r="AA213" s="663"/>
      <c r="AB213" s="663"/>
      <c r="AC213" s="663"/>
      <c r="AD213" s="663"/>
      <c r="AE213" s="663"/>
      <c r="AF213" s="663"/>
      <c r="AG213" s="663"/>
      <c r="AH213" s="663"/>
      <c r="AI213" s="663"/>
      <c r="AJ213" s="663"/>
      <c r="AK213" s="663"/>
      <c r="AL213" s="663"/>
      <c r="AM213" s="663"/>
      <c r="AN213" s="663"/>
      <c r="AO213" s="663"/>
      <c r="AP213" s="663"/>
      <c r="AQ213" s="663"/>
      <c r="AR213" s="663"/>
      <c r="AS213" s="663"/>
      <c r="AT213" s="663"/>
      <c r="AU213" s="663"/>
      <c r="AV213" s="663"/>
      <c r="AW213" s="663"/>
      <c r="AX213" s="663"/>
      <c r="AY213" s="663"/>
      <c r="AZ213" s="663"/>
      <c r="BA213" s="663"/>
      <c r="BB213" s="663"/>
      <c r="BC213" s="663"/>
      <c r="BD213" s="663"/>
      <c r="BE213" s="663"/>
      <c r="BF213" s="663"/>
      <c r="BG213" s="663"/>
      <c r="BH213" s="663"/>
      <c r="BI213" s="663"/>
      <c r="BJ213" s="663"/>
      <c r="BK213" s="663"/>
      <c r="BL213" s="663"/>
      <c r="BM213" s="663"/>
      <c r="BN213" s="663"/>
      <c r="BO213" s="663"/>
      <c r="BP213" s="663"/>
      <c r="BQ213" s="663"/>
      <c r="BR213" s="663"/>
      <c r="BS213" s="663"/>
      <c r="BT213" s="663"/>
      <c r="BU213" s="663"/>
      <c r="BV213" s="663"/>
      <c r="BW213" s="663"/>
      <c r="BX213" s="663"/>
      <c r="BY213" s="663"/>
      <c r="BZ213" s="663"/>
      <c r="CA213" s="663"/>
      <c r="CB213" s="664"/>
      <c r="CC213" s="275"/>
      <c r="CE213" s="695"/>
      <c r="CF213" s="696"/>
      <c r="CG213" s="696"/>
      <c r="CH213" s="696"/>
      <c r="CI213" s="696"/>
      <c r="CJ213" s="696"/>
      <c r="CK213" s="696"/>
      <c r="CL213" s="696"/>
      <c r="CM213" s="696"/>
      <c r="CN213" s="696"/>
      <c r="CO213" s="696"/>
      <c r="CP213" s="696"/>
      <c r="CQ213" s="696"/>
      <c r="CR213" s="696"/>
      <c r="CS213" s="697"/>
      <c r="DG213" s="10"/>
      <c r="DH213" s="10"/>
      <c r="DI213" s="10"/>
      <c r="DJ213" s="10"/>
      <c r="DK213" s="13"/>
      <c r="DL213" s="13"/>
      <c r="DM213" s="13"/>
    </row>
    <row r="214" spans="2:117" ht="11.25" customHeight="1">
      <c r="B214" s="275"/>
      <c r="C214" s="659"/>
      <c r="D214" s="660"/>
      <c r="E214" s="660"/>
      <c r="F214" s="660"/>
      <c r="G214" s="660"/>
      <c r="H214" s="660"/>
      <c r="I214" s="660"/>
      <c r="J214" s="660"/>
      <c r="K214" s="660"/>
      <c r="L214" s="660"/>
      <c r="M214" s="660"/>
      <c r="N214" s="660"/>
      <c r="O214" s="660"/>
      <c r="P214" s="660"/>
      <c r="Q214" s="660"/>
      <c r="R214" s="665"/>
      <c r="S214" s="665"/>
      <c r="T214" s="665"/>
      <c r="U214" s="665"/>
      <c r="V214" s="665"/>
      <c r="W214" s="665"/>
      <c r="X214" s="665"/>
      <c r="Y214" s="665"/>
      <c r="Z214" s="665"/>
      <c r="AA214" s="665"/>
      <c r="AB214" s="665"/>
      <c r="AC214" s="665"/>
      <c r="AD214" s="665"/>
      <c r="AE214" s="665"/>
      <c r="AF214" s="665"/>
      <c r="AG214" s="665"/>
      <c r="AH214" s="665"/>
      <c r="AI214" s="665"/>
      <c r="AJ214" s="665"/>
      <c r="AK214" s="665"/>
      <c r="AL214" s="665"/>
      <c r="AM214" s="665"/>
      <c r="AN214" s="665"/>
      <c r="AO214" s="665"/>
      <c r="AP214" s="665"/>
      <c r="AQ214" s="665"/>
      <c r="AR214" s="665"/>
      <c r="AS214" s="665"/>
      <c r="AT214" s="665"/>
      <c r="AU214" s="665"/>
      <c r="AV214" s="665"/>
      <c r="AW214" s="665"/>
      <c r="AX214" s="665"/>
      <c r="AY214" s="665"/>
      <c r="AZ214" s="665"/>
      <c r="BA214" s="665"/>
      <c r="BB214" s="665"/>
      <c r="BC214" s="665"/>
      <c r="BD214" s="665"/>
      <c r="BE214" s="665"/>
      <c r="BF214" s="665"/>
      <c r="BG214" s="665"/>
      <c r="BH214" s="665"/>
      <c r="BI214" s="665"/>
      <c r="BJ214" s="665"/>
      <c r="BK214" s="665"/>
      <c r="BL214" s="665"/>
      <c r="BM214" s="665"/>
      <c r="BN214" s="665"/>
      <c r="BO214" s="665"/>
      <c r="BP214" s="665"/>
      <c r="BQ214" s="665"/>
      <c r="BR214" s="665"/>
      <c r="BS214" s="665"/>
      <c r="BT214" s="665"/>
      <c r="BU214" s="665"/>
      <c r="BV214" s="665"/>
      <c r="BW214" s="665"/>
      <c r="BX214" s="665"/>
      <c r="BY214" s="665"/>
      <c r="BZ214" s="665"/>
      <c r="CA214" s="665"/>
      <c r="CB214" s="666"/>
      <c r="CC214" s="275"/>
      <c r="CE214" s="695"/>
      <c r="CF214" s="696"/>
      <c r="CG214" s="696"/>
      <c r="CH214" s="696"/>
      <c r="CI214" s="696"/>
      <c r="CJ214" s="696"/>
      <c r="CK214" s="696"/>
      <c r="CL214" s="696"/>
      <c r="CM214" s="696"/>
      <c r="CN214" s="696"/>
      <c r="CO214" s="696"/>
      <c r="CP214" s="696"/>
      <c r="CQ214" s="696"/>
      <c r="CR214" s="696"/>
      <c r="CS214" s="697"/>
      <c r="DG214" s="10"/>
      <c r="DH214" s="10"/>
      <c r="DI214" s="10"/>
      <c r="DJ214" s="10"/>
      <c r="DK214" s="13"/>
      <c r="DL214" s="13"/>
      <c r="DM214"/>
    </row>
    <row r="215" spans="2:117" ht="11.25" customHeight="1">
      <c r="B215" s="275"/>
      <c r="C215" s="667"/>
      <c r="D215" s="668"/>
      <c r="E215" s="668"/>
      <c r="F215" s="668"/>
      <c r="G215" s="668"/>
      <c r="H215" s="668"/>
      <c r="I215" s="668"/>
      <c r="J215" s="668"/>
      <c r="K215" s="668"/>
      <c r="L215" s="668"/>
      <c r="M215" s="668"/>
      <c r="N215" s="668"/>
      <c r="O215" s="668"/>
      <c r="P215" s="668"/>
      <c r="Q215" s="668"/>
      <c r="R215" s="668"/>
      <c r="S215" s="668"/>
      <c r="T215" s="668"/>
      <c r="U215" s="668"/>
      <c r="V215" s="668"/>
      <c r="W215" s="668"/>
      <c r="X215" s="668"/>
      <c r="Y215" s="668"/>
      <c r="Z215" s="668"/>
      <c r="AA215" s="668"/>
      <c r="AB215" s="668"/>
      <c r="AC215" s="668"/>
      <c r="AD215" s="668"/>
      <c r="AE215" s="668"/>
      <c r="AF215" s="668"/>
      <c r="AG215" s="668"/>
      <c r="AH215" s="668"/>
      <c r="AI215" s="668"/>
      <c r="AJ215" s="668"/>
      <c r="AK215" s="668"/>
      <c r="AL215" s="668"/>
      <c r="AM215" s="668"/>
      <c r="AN215" s="668"/>
      <c r="AO215" s="668"/>
      <c r="AP215" s="668"/>
      <c r="AQ215" s="668"/>
      <c r="AR215" s="668"/>
      <c r="AS215" s="668"/>
      <c r="AT215" s="668"/>
      <c r="AU215" s="668"/>
      <c r="AV215" s="668"/>
      <c r="AW215" s="668"/>
      <c r="AX215" s="668"/>
      <c r="AY215" s="668"/>
      <c r="AZ215" s="668"/>
      <c r="BA215" s="668"/>
      <c r="BB215" s="668"/>
      <c r="BC215" s="668"/>
      <c r="BD215" s="668"/>
      <c r="BE215" s="668"/>
      <c r="BF215" s="668"/>
      <c r="BG215" s="668"/>
      <c r="BH215" s="668"/>
      <c r="BI215" s="668"/>
      <c r="BJ215" s="668"/>
      <c r="BK215" s="668"/>
      <c r="BL215" s="668"/>
      <c r="BM215" s="668"/>
      <c r="BN215" s="668"/>
      <c r="BO215" s="668"/>
      <c r="BP215" s="668"/>
      <c r="BQ215" s="668"/>
      <c r="BR215" s="668"/>
      <c r="BS215" s="668"/>
      <c r="BT215" s="668"/>
      <c r="BU215" s="668"/>
      <c r="BV215" s="668"/>
      <c r="BW215" s="668"/>
      <c r="BX215" s="668"/>
      <c r="BY215" s="668"/>
      <c r="BZ215" s="668"/>
      <c r="CA215" s="668"/>
      <c r="CB215" s="669"/>
      <c r="CC215" s="275"/>
      <c r="CE215" s="851"/>
      <c r="CF215" s="852"/>
      <c r="CG215" s="852"/>
      <c r="CH215" s="852"/>
      <c r="CI215" s="852"/>
      <c r="CJ215" s="852"/>
      <c r="CK215" s="852"/>
      <c r="CL215" s="852"/>
      <c r="CM215" s="852"/>
      <c r="CN215" s="852"/>
      <c r="CO215" s="852"/>
      <c r="CP215" s="852"/>
      <c r="CQ215" s="852"/>
      <c r="CR215" s="852"/>
      <c r="CS215" s="853"/>
      <c r="DG215" s="10"/>
      <c r="DH215" s="10"/>
      <c r="DI215" s="10"/>
      <c r="DJ215" s="10"/>
      <c r="DK215" s="13"/>
      <c r="DL215" s="13"/>
      <c r="DM215"/>
    </row>
    <row r="216" spans="2:117" ht="11.25" customHeight="1">
      <c r="B216" s="275"/>
      <c r="C216" s="679" t="str">
        <f>VLOOKUP(2701,Languages!$A$5:$C$1032,Languages!$A$2,FALSE)</f>
        <v>Read-Across</v>
      </c>
      <c r="D216" s="680"/>
      <c r="E216" s="680"/>
      <c r="F216" s="680"/>
      <c r="G216" s="680"/>
      <c r="H216" s="680"/>
      <c r="I216" s="680"/>
      <c r="J216" s="680"/>
      <c r="K216" s="680"/>
      <c r="L216" s="680"/>
      <c r="M216" s="680"/>
      <c r="N216" s="680"/>
      <c r="O216" s="680"/>
      <c r="P216" s="680"/>
      <c r="Q216" s="680"/>
      <c r="R216" s="680"/>
      <c r="S216" s="680"/>
      <c r="T216" s="680"/>
      <c r="U216" s="680"/>
      <c r="V216" s="680"/>
      <c r="W216" s="680"/>
      <c r="X216" s="680"/>
      <c r="Y216" s="680"/>
      <c r="Z216" s="680"/>
      <c r="AA216" s="680"/>
      <c r="AB216" s="680"/>
      <c r="AC216" s="680"/>
      <c r="AD216" s="680"/>
      <c r="AE216" s="680"/>
      <c r="AF216" s="680"/>
      <c r="AG216" s="680"/>
      <c r="AH216" s="680"/>
      <c r="AI216" s="680"/>
      <c r="AJ216" s="680"/>
      <c r="AK216" s="680"/>
      <c r="AL216" s="680"/>
      <c r="AM216" s="680"/>
      <c r="AN216" s="680"/>
      <c r="AO216" s="680"/>
      <c r="AP216" s="680"/>
      <c r="AQ216" s="680"/>
      <c r="AR216" s="680"/>
      <c r="AS216" s="680"/>
      <c r="AT216" s="680"/>
      <c r="AU216" s="680"/>
      <c r="AV216" s="680"/>
      <c r="AW216" s="680"/>
      <c r="AX216" s="680"/>
      <c r="AY216" s="680"/>
      <c r="AZ216" s="680"/>
      <c r="BA216" s="680"/>
      <c r="BB216" s="680"/>
      <c r="BC216" s="680"/>
      <c r="BD216" s="680"/>
      <c r="BE216" s="680"/>
      <c r="BF216" s="680"/>
      <c r="BG216" s="680"/>
      <c r="BH216" s="680"/>
      <c r="BI216" s="680"/>
      <c r="BJ216" s="680"/>
      <c r="BK216" s="680"/>
      <c r="BL216" s="680"/>
      <c r="BM216" s="680"/>
      <c r="BN216" s="680"/>
      <c r="BO216" s="680"/>
      <c r="BP216" s="680"/>
      <c r="BQ216" s="680"/>
      <c r="BR216" s="680"/>
      <c r="BS216" s="680"/>
      <c r="BT216" s="680"/>
      <c r="BU216" s="680"/>
      <c r="BV216" s="680"/>
      <c r="BW216" s="680"/>
      <c r="BX216" s="680"/>
      <c r="BY216" s="680"/>
      <c r="BZ216" s="680"/>
      <c r="CA216" s="680"/>
      <c r="CB216" s="681"/>
      <c r="CC216" s="275"/>
      <c r="CE216" s="851"/>
      <c r="CF216" s="852"/>
      <c r="CG216" s="852"/>
      <c r="CH216" s="852"/>
      <c r="CI216" s="852"/>
      <c r="CJ216" s="852"/>
      <c r="CK216" s="852"/>
      <c r="CL216" s="852"/>
      <c r="CM216" s="852"/>
      <c r="CN216" s="852"/>
      <c r="CO216" s="852"/>
      <c r="CP216" s="852"/>
      <c r="CQ216" s="852"/>
      <c r="CR216" s="852"/>
      <c r="CS216" s="853"/>
      <c r="DG216" s="10"/>
      <c r="DH216" s="10"/>
      <c r="DI216" s="10"/>
      <c r="DJ216" s="10"/>
      <c r="DK216" s="13"/>
      <c r="DL216" s="13"/>
      <c r="DM216"/>
    </row>
    <row r="217" spans="2:117" ht="11.25" customHeight="1" thickBot="1">
      <c r="B217" s="275"/>
      <c r="C217" s="673"/>
      <c r="D217" s="674"/>
      <c r="E217" s="674"/>
      <c r="F217" s="674"/>
      <c r="G217" s="674"/>
      <c r="H217" s="674"/>
      <c r="I217" s="674"/>
      <c r="J217" s="674"/>
      <c r="K217" s="674"/>
      <c r="L217" s="674"/>
      <c r="M217" s="674"/>
      <c r="N217" s="674"/>
      <c r="O217" s="674"/>
      <c r="P217" s="674"/>
      <c r="Q217" s="674"/>
      <c r="R217" s="674"/>
      <c r="S217" s="674"/>
      <c r="T217" s="674"/>
      <c r="U217" s="674"/>
      <c r="V217" s="674"/>
      <c r="W217" s="674"/>
      <c r="X217" s="674"/>
      <c r="Y217" s="674"/>
      <c r="Z217" s="674"/>
      <c r="AA217" s="674"/>
      <c r="AB217" s="674"/>
      <c r="AC217" s="674"/>
      <c r="AD217" s="674"/>
      <c r="AE217" s="674"/>
      <c r="AF217" s="674"/>
      <c r="AG217" s="674"/>
      <c r="AH217" s="674"/>
      <c r="AI217" s="674"/>
      <c r="AJ217" s="674"/>
      <c r="AK217" s="674"/>
      <c r="AL217" s="674"/>
      <c r="AM217" s="674"/>
      <c r="AN217" s="674"/>
      <c r="AO217" s="674"/>
      <c r="AP217" s="674"/>
      <c r="AQ217" s="674"/>
      <c r="AR217" s="674"/>
      <c r="AS217" s="674"/>
      <c r="AT217" s="674"/>
      <c r="AU217" s="674"/>
      <c r="AV217" s="674"/>
      <c r="AW217" s="674"/>
      <c r="AX217" s="674"/>
      <c r="AY217" s="674"/>
      <c r="AZ217" s="674"/>
      <c r="BA217" s="674"/>
      <c r="BB217" s="674"/>
      <c r="BC217" s="674"/>
      <c r="BD217" s="674"/>
      <c r="BE217" s="674"/>
      <c r="BF217" s="674"/>
      <c r="BG217" s="674"/>
      <c r="BH217" s="674"/>
      <c r="BI217" s="674"/>
      <c r="BJ217" s="674"/>
      <c r="BK217" s="674"/>
      <c r="BL217" s="674"/>
      <c r="BM217" s="674"/>
      <c r="BN217" s="674"/>
      <c r="BO217" s="674"/>
      <c r="BP217" s="674"/>
      <c r="BQ217" s="674"/>
      <c r="BR217" s="674"/>
      <c r="BS217" s="674"/>
      <c r="BT217" s="674"/>
      <c r="BU217" s="674"/>
      <c r="BV217" s="674"/>
      <c r="BW217" s="674"/>
      <c r="BX217" s="674"/>
      <c r="BY217" s="674"/>
      <c r="BZ217" s="674"/>
      <c r="CA217" s="674"/>
      <c r="CB217" s="675"/>
      <c r="CC217" s="275"/>
      <c r="CE217" s="854"/>
      <c r="CF217" s="855"/>
      <c r="CG217" s="855"/>
      <c r="CH217" s="855"/>
      <c r="CI217" s="855"/>
      <c r="CJ217" s="855"/>
      <c r="CK217" s="855"/>
      <c r="CL217" s="855"/>
      <c r="CM217" s="855"/>
      <c r="CN217" s="855"/>
      <c r="CO217" s="855"/>
      <c r="CP217" s="855"/>
      <c r="CQ217" s="855"/>
      <c r="CR217" s="855"/>
      <c r="CS217" s="856"/>
      <c r="DG217" s="10"/>
      <c r="DH217" s="10"/>
      <c r="DI217" s="10"/>
      <c r="DJ217" s="10"/>
      <c r="DK217" s="13"/>
      <c r="DL217" s="13"/>
      <c r="DM217"/>
    </row>
    <row r="218" spans="2:117" ht="11.25" customHeight="1">
      <c r="B218" s="205"/>
      <c r="C218" s="632" t="str">
        <f>VLOOKUP(2702,Languages!$A$5:$C$1032,Languages!$A$2,FALSE)</f>
        <v>Actions</v>
      </c>
      <c r="D218" s="633"/>
      <c r="E218" s="633"/>
      <c r="F218" s="633"/>
      <c r="G218" s="633"/>
      <c r="H218" s="633"/>
      <c r="I218" s="633"/>
      <c r="J218" s="633"/>
      <c r="K218" s="633"/>
      <c r="L218" s="633"/>
      <c r="M218" s="633"/>
      <c r="N218" s="633"/>
      <c r="O218" s="633"/>
      <c r="P218" s="633"/>
      <c r="Q218" s="633"/>
      <c r="R218" s="633"/>
      <c r="S218" s="633"/>
      <c r="T218" s="633"/>
      <c r="U218" s="633"/>
      <c r="V218" s="633"/>
      <c r="W218" s="633"/>
      <c r="X218" s="633"/>
      <c r="Y218" s="633"/>
      <c r="Z218" s="633"/>
      <c r="AA218" s="633"/>
      <c r="AB218" s="633"/>
      <c r="AC218" s="633"/>
      <c r="AD218" s="633"/>
      <c r="AE218" s="633"/>
      <c r="AF218" s="633"/>
      <c r="AG218" s="633"/>
      <c r="AH218" s="633"/>
      <c r="AI218" s="634"/>
      <c r="AJ218" s="632" t="str">
        <f>VLOOKUP(2703,Languages!$A$5:$C$1032,Languages!$A$2,FALSE)</f>
        <v>Responsible</v>
      </c>
      <c r="AK218" s="633"/>
      <c r="AL218" s="633"/>
      <c r="AM218" s="633"/>
      <c r="AN218" s="633"/>
      <c r="AO218" s="633"/>
      <c r="AP218" s="634"/>
      <c r="AQ218" s="632" t="str">
        <f>VLOOKUP(2704,Languages!$A$5:$C$1032,Languages!$A$2,FALSE)</f>
        <v>Planned date</v>
      </c>
      <c r="AR218" s="633"/>
      <c r="AS218" s="633"/>
      <c r="AT218" s="633"/>
      <c r="AU218" s="633"/>
      <c r="AV218" s="633"/>
      <c r="AW218" s="634"/>
      <c r="AX218" s="641" t="str">
        <f>VLOOKUP(2705,Languages!$A$5:$C$1032,Languages!$A$2,FALSE)</f>
        <v>Realization date</v>
      </c>
      <c r="AY218" s="642"/>
      <c r="AZ218" s="642"/>
      <c r="BA218" s="642"/>
      <c r="BB218" s="642"/>
      <c r="BC218" s="642"/>
      <c r="BD218" s="643"/>
      <c r="BE218" s="632" t="str">
        <f>VLOOKUP(2706,Languages!$A$5:$C$1032,Languages!$A$2,FALSE)</f>
        <v>Status</v>
      </c>
      <c r="BF218" s="633"/>
      <c r="BG218" s="633"/>
      <c r="BH218" s="633"/>
      <c r="BI218" s="633"/>
      <c r="BJ218" s="634"/>
      <c r="BK218" s="750" t="str">
        <f>VLOOKUP(2707,Languages!$A$5:$C$1032,Languages!$A$2,FALSE)</f>
        <v>Evidence of effectiveness</v>
      </c>
      <c r="BL218" s="751"/>
      <c r="BM218" s="751"/>
      <c r="BN218" s="751"/>
      <c r="BO218" s="751"/>
      <c r="BP218" s="751"/>
      <c r="BQ218" s="751"/>
      <c r="BR218" s="751"/>
      <c r="BS218" s="751"/>
      <c r="BT218" s="751"/>
      <c r="BU218" s="751"/>
      <c r="BV218" s="751"/>
      <c r="BW218" s="751"/>
      <c r="BX218" s="751"/>
      <c r="BY218" s="751"/>
      <c r="BZ218" s="751"/>
      <c r="CA218" s="751"/>
      <c r="CB218" s="752"/>
      <c r="CC218" s="205"/>
      <c r="DG218" s="10"/>
      <c r="DH218" s="10"/>
      <c r="DI218" s="10"/>
      <c r="DJ218" s="10"/>
      <c r="DK218" s="13"/>
      <c r="DL218" s="13"/>
      <c r="DM218"/>
    </row>
    <row r="219" spans="2:117" ht="11.25" customHeight="1">
      <c r="B219" s="26"/>
      <c r="C219" s="635"/>
      <c r="D219" s="636"/>
      <c r="E219" s="636"/>
      <c r="F219" s="636"/>
      <c r="G219" s="636"/>
      <c r="H219" s="636"/>
      <c r="I219" s="636"/>
      <c r="J219" s="636"/>
      <c r="K219" s="636"/>
      <c r="L219" s="636"/>
      <c r="M219" s="636"/>
      <c r="N219" s="636"/>
      <c r="O219" s="636"/>
      <c r="P219" s="636"/>
      <c r="Q219" s="636"/>
      <c r="R219" s="636"/>
      <c r="S219" s="636"/>
      <c r="T219" s="636"/>
      <c r="U219" s="636"/>
      <c r="V219" s="636"/>
      <c r="W219" s="636"/>
      <c r="X219" s="636"/>
      <c r="Y219" s="636"/>
      <c r="Z219" s="636"/>
      <c r="AA219" s="636"/>
      <c r="AB219" s="636"/>
      <c r="AC219" s="636"/>
      <c r="AD219" s="636"/>
      <c r="AE219" s="636"/>
      <c r="AF219" s="636"/>
      <c r="AG219" s="636"/>
      <c r="AH219" s="636"/>
      <c r="AI219" s="637"/>
      <c r="AJ219" s="635"/>
      <c r="AK219" s="636"/>
      <c r="AL219" s="636"/>
      <c r="AM219" s="636"/>
      <c r="AN219" s="636"/>
      <c r="AO219" s="636"/>
      <c r="AP219" s="637"/>
      <c r="AQ219" s="635"/>
      <c r="AR219" s="636"/>
      <c r="AS219" s="636"/>
      <c r="AT219" s="636"/>
      <c r="AU219" s="636"/>
      <c r="AV219" s="636"/>
      <c r="AW219" s="637"/>
      <c r="AX219" s="644"/>
      <c r="AY219" s="645"/>
      <c r="AZ219" s="645"/>
      <c r="BA219" s="645"/>
      <c r="BB219" s="645"/>
      <c r="BC219" s="645"/>
      <c r="BD219" s="646"/>
      <c r="BE219" s="635"/>
      <c r="BF219" s="636"/>
      <c r="BG219" s="636"/>
      <c r="BH219" s="636"/>
      <c r="BI219" s="636"/>
      <c r="BJ219" s="637"/>
      <c r="BK219" s="753"/>
      <c r="BL219" s="754"/>
      <c r="BM219" s="754"/>
      <c r="BN219" s="754"/>
      <c r="BO219" s="754"/>
      <c r="BP219" s="754"/>
      <c r="BQ219" s="754"/>
      <c r="BR219" s="754"/>
      <c r="BS219" s="754"/>
      <c r="BT219" s="754"/>
      <c r="BU219" s="754"/>
      <c r="BV219" s="754"/>
      <c r="BW219" s="754"/>
      <c r="BX219" s="754"/>
      <c r="BY219" s="754"/>
      <c r="BZ219" s="754"/>
      <c r="CA219" s="754"/>
      <c r="CB219" s="755"/>
      <c r="CC219" s="26"/>
      <c r="DG219" s="10"/>
      <c r="DH219" s="10"/>
      <c r="DI219" s="10"/>
      <c r="DJ219" s="10"/>
      <c r="DK219" s="13"/>
      <c r="DL219" s="13"/>
      <c r="DM219"/>
    </row>
    <row r="220" spans="2:117" ht="11.25" customHeight="1">
      <c r="B220" s="313"/>
      <c r="C220" s="638"/>
      <c r="D220" s="639"/>
      <c r="E220" s="639"/>
      <c r="F220" s="639"/>
      <c r="G220" s="639"/>
      <c r="H220" s="639"/>
      <c r="I220" s="639"/>
      <c r="J220" s="639"/>
      <c r="K220" s="639"/>
      <c r="L220" s="639"/>
      <c r="M220" s="639"/>
      <c r="N220" s="639"/>
      <c r="O220" s="639"/>
      <c r="P220" s="639"/>
      <c r="Q220" s="639"/>
      <c r="R220" s="639"/>
      <c r="S220" s="639"/>
      <c r="T220" s="639"/>
      <c r="U220" s="639"/>
      <c r="V220" s="639"/>
      <c r="W220" s="639"/>
      <c r="X220" s="639"/>
      <c r="Y220" s="639"/>
      <c r="Z220" s="639"/>
      <c r="AA220" s="639"/>
      <c r="AB220" s="639"/>
      <c r="AC220" s="639"/>
      <c r="AD220" s="639"/>
      <c r="AE220" s="639"/>
      <c r="AF220" s="639"/>
      <c r="AG220" s="639"/>
      <c r="AH220" s="639"/>
      <c r="AI220" s="640"/>
      <c r="AJ220" s="638"/>
      <c r="AK220" s="639"/>
      <c r="AL220" s="639"/>
      <c r="AM220" s="639"/>
      <c r="AN220" s="639"/>
      <c r="AO220" s="639"/>
      <c r="AP220" s="640"/>
      <c r="AQ220" s="638"/>
      <c r="AR220" s="639"/>
      <c r="AS220" s="639"/>
      <c r="AT220" s="639"/>
      <c r="AU220" s="639"/>
      <c r="AV220" s="639"/>
      <c r="AW220" s="640"/>
      <c r="AX220" s="647"/>
      <c r="AY220" s="648"/>
      <c r="AZ220" s="648"/>
      <c r="BA220" s="648"/>
      <c r="BB220" s="648"/>
      <c r="BC220" s="648"/>
      <c r="BD220" s="649"/>
      <c r="BE220" s="638"/>
      <c r="BF220" s="639"/>
      <c r="BG220" s="639"/>
      <c r="BH220" s="639"/>
      <c r="BI220" s="639"/>
      <c r="BJ220" s="640"/>
      <c r="BK220" s="756"/>
      <c r="BL220" s="757"/>
      <c r="BM220" s="757"/>
      <c r="BN220" s="757"/>
      <c r="BO220" s="757"/>
      <c r="BP220" s="757"/>
      <c r="BQ220" s="757"/>
      <c r="BR220" s="757"/>
      <c r="BS220" s="757"/>
      <c r="BT220" s="757"/>
      <c r="BU220" s="757"/>
      <c r="BV220" s="757"/>
      <c r="BW220" s="757"/>
      <c r="BX220" s="757"/>
      <c r="BY220" s="757"/>
      <c r="BZ220" s="757"/>
      <c r="CA220" s="757"/>
      <c r="CB220" s="758"/>
      <c r="CC220" s="276"/>
      <c r="DG220" s="10"/>
      <c r="DH220" s="10"/>
      <c r="DI220" s="10"/>
      <c r="DJ220" s="10"/>
      <c r="DK220" s="13"/>
      <c r="DL220" s="13"/>
      <c r="DM220"/>
    </row>
    <row r="221" spans="2:117" ht="33" customHeight="1">
      <c r="B221" s="313"/>
      <c r="C221" s="840" t="str">
        <f>VLOOKUP(2708,Languages!$A$5:$C$1032,Languages!$A$2,FALSE)</f>
        <v>Check if applicable to similar products / processes (Read-Across)</v>
      </c>
      <c r="D221" s="841"/>
      <c r="E221" s="841"/>
      <c r="F221" s="841"/>
      <c r="G221" s="841"/>
      <c r="H221" s="841"/>
      <c r="I221" s="841"/>
      <c r="J221" s="841"/>
      <c r="K221" s="841"/>
      <c r="L221" s="841"/>
      <c r="M221" s="841"/>
      <c r="N221" s="841"/>
      <c r="O221" s="841"/>
      <c r="P221" s="841"/>
      <c r="Q221" s="841"/>
      <c r="R221" s="841"/>
      <c r="S221" s="841"/>
      <c r="T221" s="841"/>
      <c r="U221" s="841"/>
      <c r="V221" s="841"/>
      <c r="W221" s="841"/>
      <c r="X221" s="841"/>
      <c r="Y221" s="841"/>
      <c r="Z221" s="841"/>
      <c r="AA221" s="841"/>
      <c r="AB221" s="841"/>
      <c r="AC221" s="841"/>
      <c r="AD221" s="841"/>
      <c r="AE221" s="841"/>
      <c r="AF221" s="841"/>
      <c r="AG221" s="841"/>
      <c r="AH221" s="841"/>
      <c r="AI221" s="842"/>
      <c r="AJ221" s="824"/>
      <c r="AK221" s="825"/>
      <c r="AL221" s="825"/>
      <c r="AM221" s="825"/>
      <c r="AN221" s="825"/>
      <c r="AO221" s="825"/>
      <c r="AP221" s="826"/>
      <c r="AQ221" s="824"/>
      <c r="AR221" s="825"/>
      <c r="AS221" s="825"/>
      <c r="AT221" s="825"/>
      <c r="AU221" s="825"/>
      <c r="AV221" s="825"/>
      <c r="AW221" s="826"/>
      <c r="AX221" s="824"/>
      <c r="AY221" s="825"/>
      <c r="AZ221" s="825"/>
      <c r="BA221" s="825"/>
      <c r="BB221" s="825"/>
      <c r="BC221" s="825"/>
      <c r="BD221" s="826"/>
      <c r="BE221" s="619"/>
      <c r="BF221" s="620"/>
      <c r="BG221" s="619"/>
      <c r="BH221" s="620"/>
      <c r="BI221" s="619"/>
      <c r="BJ221" s="620"/>
      <c r="BK221" s="843"/>
      <c r="BL221" s="844"/>
      <c r="BM221" s="844"/>
      <c r="BN221" s="844"/>
      <c r="BO221" s="844"/>
      <c r="BP221" s="844"/>
      <c r="BQ221" s="844"/>
      <c r="BR221" s="844"/>
      <c r="BS221" s="844"/>
      <c r="BT221" s="844"/>
      <c r="BU221" s="844"/>
      <c r="BV221" s="844"/>
      <c r="BW221" s="844"/>
      <c r="BX221" s="844"/>
      <c r="BY221" s="844"/>
      <c r="BZ221" s="844"/>
      <c r="CA221" s="844"/>
      <c r="CB221" s="845"/>
      <c r="CC221" s="276"/>
      <c r="DG221" s="10"/>
      <c r="DH221" s="10"/>
      <c r="DI221" s="10"/>
      <c r="DJ221" s="10"/>
      <c r="DK221" s="13"/>
      <c r="DL221" s="13"/>
      <c r="DM221"/>
    </row>
    <row r="222" spans="2:117" ht="33.75" customHeight="1">
      <c r="B222" s="205"/>
      <c r="C222" s="846"/>
      <c r="D222" s="847"/>
      <c r="E222" s="847"/>
      <c r="F222" s="847"/>
      <c r="G222" s="847"/>
      <c r="H222" s="847"/>
      <c r="I222" s="847"/>
      <c r="J222" s="847"/>
      <c r="K222" s="847"/>
      <c r="L222" s="847"/>
      <c r="M222" s="847"/>
      <c r="N222" s="847"/>
      <c r="O222" s="847"/>
      <c r="P222" s="847"/>
      <c r="Q222" s="847"/>
      <c r="R222" s="847"/>
      <c r="S222" s="847"/>
      <c r="T222" s="847"/>
      <c r="U222" s="847"/>
      <c r="V222" s="847"/>
      <c r="W222" s="847"/>
      <c r="X222" s="847"/>
      <c r="Y222" s="847"/>
      <c r="Z222" s="847"/>
      <c r="AA222" s="847"/>
      <c r="AB222" s="847"/>
      <c r="AC222" s="847"/>
      <c r="AD222" s="847"/>
      <c r="AE222" s="847"/>
      <c r="AF222" s="847"/>
      <c r="AG222" s="847"/>
      <c r="AH222" s="847"/>
      <c r="AI222" s="848"/>
      <c r="AJ222" s="846"/>
      <c r="AK222" s="847"/>
      <c r="AL222" s="847"/>
      <c r="AM222" s="847"/>
      <c r="AN222" s="847"/>
      <c r="AO222" s="847"/>
      <c r="AP222" s="848"/>
      <c r="AQ222" s="846"/>
      <c r="AR222" s="847"/>
      <c r="AS222" s="847"/>
      <c r="AT222" s="847"/>
      <c r="AU222" s="847"/>
      <c r="AV222" s="847"/>
      <c r="AW222" s="848"/>
      <c r="AX222" s="846"/>
      <c r="AY222" s="847"/>
      <c r="AZ222" s="847"/>
      <c r="BA222" s="847"/>
      <c r="BB222" s="847"/>
      <c r="BC222" s="847"/>
      <c r="BD222" s="848"/>
      <c r="BE222" s="849"/>
      <c r="BF222" s="850"/>
      <c r="BG222" s="849"/>
      <c r="BH222" s="850"/>
      <c r="BI222" s="849"/>
      <c r="BJ222" s="850"/>
      <c r="BK222" s="747"/>
      <c r="BL222" s="748"/>
      <c r="BM222" s="748"/>
      <c r="BN222" s="748"/>
      <c r="BO222" s="748"/>
      <c r="BP222" s="748"/>
      <c r="BQ222" s="748"/>
      <c r="BR222" s="748"/>
      <c r="BS222" s="748"/>
      <c r="BT222" s="748"/>
      <c r="BU222" s="748"/>
      <c r="BV222" s="748"/>
      <c r="BW222" s="748"/>
      <c r="BX222" s="748"/>
      <c r="BY222" s="748"/>
      <c r="BZ222" s="748"/>
      <c r="CA222" s="748"/>
      <c r="CB222" s="749"/>
      <c r="CC222" s="205"/>
      <c r="DG222" s="10"/>
      <c r="DH222" s="10"/>
      <c r="DI222" s="10"/>
      <c r="DJ222" s="10"/>
      <c r="DK222" s="13"/>
      <c r="DL222" s="13"/>
      <c r="DM222" s="13"/>
    </row>
    <row r="223" spans="2:117" ht="11.25" customHeight="1">
      <c r="B223" s="205"/>
      <c r="C223" s="679" t="str">
        <f>VLOOKUP(2709,Languages!$A$5:$C$1032,Languages!$A$2,FALSE)</f>
        <v>Lessons Learned</v>
      </c>
      <c r="D223" s="680"/>
      <c r="E223" s="680"/>
      <c r="F223" s="680"/>
      <c r="G223" s="680"/>
      <c r="H223" s="680"/>
      <c r="I223" s="680"/>
      <c r="J223" s="680"/>
      <c r="K223" s="680"/>
      <c r="L223" s="680"/>
      <c r="M223" s="680"/>
      <c r="N223" s="680"/>
      <c r="O223" s="680"/>
      <c r="P223" s="680"/>
      <c r="Q223" s="680"/>
      <c r="R223" s="680"/>
      <c r="S223" s="680"/>
      <c r="T223" s="680"/>
      <c r="U223" s="680"/>
      <c r="V223" s="680"/>
      <c r="W223" s="680"/>
      <c r="X223" s="680"/>
      <c r="Y223" s="680"/>
      <c r="Z223" s="680"/>
      <c r="AA223" s="680"/>
      <c r="AB223" s="680"/>
      <c r="AC223" s="680"/>
      <c r="AD223" s="680"/>
      <c r="AE223" s="680"/>
      <c r="AF223" s="680"/>
      <c r="AG223" s="680"/>
      <c r="AH223" s="680"/>
      <c r="AI223" s="680"/>
      <c r="AJ223" s="680"/>
      <c r="AK223" s="680"/>
      <c r="AL223" s="680"/>
      <c r="AM223" s="680"/>
      <c r="AN223" s="680"/>
      <c r="AO223" s="680"/>
      <c r="AP223" s="680"/>
      <c r="AQ223" s="680"/>
      <c r="AR223" s="680"/>
      <c r="AS223" s="680"/>
      <c r="AT223" s="680"/>
      <c r="AU223" s="680"/>
      <c r="AV223" s="680"/>
      <c r="AW223" s="680"/>
      <c r="AX223" s="680"/>
      <c r="AY223" s="680"/>
      <c r="AZ223" s="680"/>
      <c r="BA223" s="680"/>
      <c r="BB223" s="680"/>
      <c r="BC223" s="680"/>
      <c r="BD223" s="680"/>
      <c r="BE223" s="680"/>
      <c r="BF223" s="680"/>
      <c r="BG223" s="680"/>
      <c r="BH223" s="680"/>
      <c r="BI223" s="680"/>
      <c r="BJ223" s="680"/>
      <c r="BK223" s="680"/>
      <c r="BL223" s="680"/>
      <c r="BM223" s="680"/>
      <c r="BN223" s="680"/>
      <c r="BO223" s="680"/>
      <c r="BP223" s="680"/>
      <c r="BQ223" s="680"/>
      <c r="BR223" s="680"/>
      <c r="BS223" s="680"/>
      <c r="BT223" s="680"/>
      <c r="BU223" s="680"/>
      <c r="BV223" s="680"/>
      <c r="BW223" s="680"/>
      <c r="BX223" s="680"/>
      <c r="BY223" s="680"/>
      <c r="BZ223" s="680"/>
      <c r="CA223" s="680"/>
      <c r="CB223" s="681"/>
      <c r="CC223" s="205"/>
      <c r="DG223" s="10"/>
      <c r="DH223" s="10"/>
      <c r="DI223" s="10"/>
      <c r="DJ223" s="10"/>
      <c r="DK223" s="13"/>
      <c r="DL223" s="13"/>
      <c r="DM223" s="13"/>
    </row>
    <row r="224" spans="2:117" ht="11.25" customHeight="1">
      <c r="B224" s="205"/>
      <c r="C224" s="679"/>
      <c r="D224" s="680"/>
      <c r="E224" s="680"/>
      <c r="F224" s="680"/>
      <c r="G224" s="680"/>
      <c r="H224" s="680"/>
      <c r="I224" s="680"/>
      <c r="J224" s="680"/>
      <c r="K224" s="680"/>
      <c r="L224" s="680"/>
      <c r="M224" s="680"/>
      <c r="N224" s="680"/>
      <c r="O224" s="680"/>
      <c r="P224" s="680"/>
      <c r="Q224" s="680"/>
      <c r="R224" s="680"/>
      <c r="S224" s="680"/>
      <c r="T224" s="680"/>
      <c r="U224" s="680"/>
      <c r="V224" s="680"/>
      <c r="W224" s="680"/>
      <c r="X224" s="680"/>
      <c r="Y224" s="680"/>
      <c r="Z224" s="680"/>
      <c r="AA224" s="680"/>
      <c r="AB224" s="680"/>
      <c r="AC224" s="680"/>
      <c r="AD224" s="680"/>
      <c r="AE224" s="680"/>
      <c r="AF224" s="680"/>
      <c r="AG224" s="680"/>
      <c r="AH224" s="680"/>
      <c r="AI224" s="680"/>
      <c r="AJ224" s="680"/>
      <c r="AK224" s="680"/>
      <c r="AL224" s="680"/>
      <c r="AM224" s="680"/>
      <c r="AN224" s="680"/>
      <c r="AO224" s="680"/>
      <c r="AP224" s="680"/>
      <c r="AQ224" s="680"/>
      <c r="AR224" s="680"/>
      <c r="AS224" s="680"/>
      <c r="AT224" s="680"/>
      <c r="AU224" s="680"/>
      <c r="AV224" s="680"/>
      <c r="AW224" s="680"/>
      <c r="AX224" s="680"/>
      <c r="AY224" s="680"/>
      <c r="AZ224" s="680"/>
      <c r="BA224" s="680"/>
      <c r="BB224" s="680"/>
      <c r="BC224" s="680"/>
      <c r="BD224" s="680"/>
      <c r="BE224" s="680"/>
      <c r="BF224" s="680"/>
      <c r="BG224" s="680"/>
      <c r="BH224" s="680"/>
      <c r="BI224" s="680"/>
      <c r="BJ224" s="680"/>
      <c r="BK224" s="680"/>
      <c r="BL224" s="680"/>
      <c r="BM224" s="680"/>
      <c r="BN224" s="680"/>
      <c r="BO224" s="680"/>
      <c r="BP224" s="680"/>
      <c r="BQ224" s="680"/>
      <c r="BR224" s="680"/>
      <c r="BS224" s="680"/>
      <c r="BT224" s="680"/>
      <c r="BU224" s="680"/>
      <c r="BV224" s="680"/>
      <c r="BW224" s="680"/>
      <c r="BX224" s="680"/>
      <c r="BY224" s="680"/>
      <c r="BZ224" s="680"/>
      <c r="CA224" s="680"/>
      <c r="CB224" s="681"/>
      <c r="CC224" s="205"/>
      <c r="DG224" s="10"/>
      <c r="DH224" s="10"/>
      <c r="DI224" s="10"/>
      <c r="DJ224" s="10"/>
      <c r="DK224" s="13"/>
      <c r="DL224" s="13"/>
      <c r="DM224" s="13"/>
    </row>
    <row r="225" spans="2:117" ht="11.25" customHeight="1">
      <c r="B225" s="205"/>
      <c r="C225" s="673"/>
      <c r="D225" s="674"/>
      <c r="E225" s="674"/>
      <c r="F225" s="674"/>
      <c r="G225" s="674"/>
      <c r="H225" s="674"/>
      <c r="I225" s="674"/>
      <c r="J225" s="674"/>
      <c r="K225" s="674"/>
      <c r="L225" s="674"/>
      <c r="M225" s="674"/>
      <c r="N225" s="674"/>
      <c r="O225" s="674"/>
      <c r="P225" s="674"/>
      <c r="Q225" s="674"/>
      <c r="R225" s="674"/>
      <c r="S225" s="674"/>
      <c r="T225" s="674"/>
      <c r="U225" s="674"/>
      <c r="V225" s="674"/>
      <c r="W225" s="674"/>
      <c r="X225" s="674"/>
      <c r="Y225" s="674"/>
      <c r="Z225" s="674"/>
      <c r="AA225" s="674"/>
      <c r="AB225" s="674"/>
      <c r="AC225" s="674"/>
      <c r="AD225" s="674"/>
      <c r="AE225" s="674"/>
      <c r="AF225" s="674"/>
      <c r="AG225" s="674"/>
      <c r="AH225" s="674"/>
      <c r="AI225" s="674"/>
      <c r="AJ225" s="674"/>
      <c r="AK225" s="674"/>
      <c r="AL225" s="674"/>
      <c r="AM225" s="674"/>
      <c r="AN225" s="674"/>
      <c r="AO225" s="674"/>
      <c r="AP225" s="674"/>
      <c r="AQ225" s="674"/>
      <c r="AR225" s="674"/>
      <c r="AS225" s="674"/>
      <c r="AT225" s="674"/>
      <c r="AU225" s="674"/>
      <c r="AV225" s="674"/>
      <c r="AW225" s="674"/>
      <c r="AX225" s="674"/>
      <c r="AY225" s="674"/>
      <c r="AZ225" s="674"/>
      <c r="BA225" s="674"/>
      <c r="BB225" s="674"/>
      <c r="BC225" s="674"/>
      <c r="BD225" s="674"/>
      <c r="BE225" s="674"/>
      <c r="BF225" s="674"/>
      <c r="BG225" s="674"/>
      <c r="BH225" s="674"/>
      <c r="BI225" s="674"/>
      <c r="BJ225" s="674"/>
      <c r="BK225" s="674"/>
      <c r="BL225" s="674"/>
      <c r="BM225" s="674"/>
      <c r="BN225" s="674"/>
      <c r="BO225" s="674"/>
      <c r="BP225" s="674"/>
      <c r="BQ225" s="674"/>
      <c r="BR225" s="674"/>
      <c r="BS225" s="674"/>
      <c r="BT225" s="674"/>
      <c r="BU225" s="674"/>
      <c r="BV225" s="674"/>
      <c r="BW225" s="674"/>
      <c r="BX225" s="674"/>
      <c r="BY225" s="674"/>
      <c r="BZ225" s="674"/>
      <c r="CA225" s="674"/>
      <c r="CB225" s="675"/>
      <c r="CC225" s="205"/>
      <c r="DG225" s="10"/>
      <c r="DH225" s="10"/>
      <c r="DI225" s="10"/>
      <c r="DJ225" s="10"/>
      <c r="DK225" s="13"/>
      <c r="DL225" s="13"/>
      <c r="DM225" s="13"/>
    </row>
    <row r="226" spans="2:117" ht="11.25" customHeight="1">
      <c r="B226" s="149"/>
      <c r="C226" s="632" t="str">
        <f>VLOOKUP(2710,Languages!$A$5:$C$1032,Languages!$A$2,FALSE)</f>
        <v>Actions</v>
      </c>
      <c r="D226" s="633"/>
      <c r="E226" s="633"/>
      <c r="F226" s="633"/>
      <c r="G226" s="633"/>
      <c r="H226" s="633"/>
      <c r="I226" s="633"/>
      <c r="J226" s="633"/>
      <c r="K226" s="633"/>
      <c r="L226" s="633"/>
      <c r="M226" s="633"/>
      <c r="N226" s="633"/>
      <c r="O226" s="633"/>
      <c r="P226" s="633"/>
      <c r="Q226" s="633"/>
      <c r="R226" s="633"/>
      <c r="S226" s="633"/>
      <c r="T226" s="633"/>
      <c r="U226" s="633"/>
      <c r="V226" s="633"/>
      <c r="W226" s="633"/>
      <c r="X226" s="633"/>
      <c r="Y226" s="633"/>
      <c r="Z226" s="633"/>
      <c r="AA226" s="633"/>
      <c r="AB226" s="633"/>
      <c r="AC226" s="633"/>
      <c r="AD226" s="633"/>
      <c r="AE226" s="633"/>
      <c r="AF226" s="633"/>
      <c r="AG226" s="633"/>
      <c r="AH226" s="633"/>
      <c r="AI226" s="634"/>
      <c r="AJ226" s="632" t="str">
        <f>VLOOKUP(2711,Languages!$A$5:$C$1032,Languages!$A$2,FALSE)</f>
        <v>Responsible</v>
      </c>
      <c r="AK226" s="633"/>
      <c r="AL226" s="633"/>
      <c r="AM226" s="633"/>
      <c r="AN226" s="633"/>
      <c r="AO226" s="633"/>
      <c r="AP226" s="634"/>
      <c r="AQ226" s="632" t="str">
        <f>VLOOKUP(2712,Languages!$A$5:$C$1032,Languages!$A$2,FALSE)</f>
        <v>Planned date</v>
      </c>
      <c r="AR226" s="633"/>
      <c r="AS226" s="633"/>
      <c r="AT226" s="633"/>
      <c r="AU226" s="633"/>
      <c r="AV226" s="633"/>
      <c r="AW226" s="634"/>
      <c r="AX226" s="641" t="str">
        <f>VLOOKUP(2713,Languages!$A$5:$C$1032,Languages!$A$2,FALSE)</f>
        <v>Realization date</v>
      </c>
      <c r="AY226" s="642"/>
      <c r="AZ226" s="642"/>
      <c r="BA226" s="642"/>
      <c r="BB226" s="642"/>
      <c r="BC226" s="642"/>
      <c r="BD226" s="643"/>
      <c r="BE226" s="632" t="str">
        <f>VLOOKUP(2714,Languages!$A$5:$C$1032,Languages!$A$2,FALSE)</f>
        <v>Status</v>
      </c>
      <c r="BF226" s="633"/>
      <c r="BG226" s="633"/>
      <c r="BH226" s="633"/>
      <c r="BI226" s="633"/>
      <c r="BJ226" s="634"/>
      <c r="BK226" s="750" t="str">
        <f>VLOOKUP(2715,Languages!$A$5:$C$1032,Languages!$A$2,FALSE)</f>
        <v>Evidence of effectiveness</v>
      </c>
      <c r="BL226" s="751"/>
      <c r="BM226" s="751"/>
      <c r="BN226" s="751"/>
      <c r="BO226" s="751"/>
      <c r="BP226" s="751"/>
      <c r="BQ226" s="751"/>
      <c r="BR226" s="751"/>
      <c r="BS226" s="751"/>
      <c r="BT226" s="751"/>
      <c r="BU226" s="751"/>
      <c r="BV226" s="751"/>
      <c r="BW226" s="751"/>
      <c r="BX226" s="751"/>
      <c r="BY226" s="751"/>
      <c r="BZ226" s="751"/>
      <c r="CA226" s="751"/>
      <c r="CB226" s="752"/>
      <c r="CC226" s="149"/>
      <c r="DG226" s="10"/>
      <c r="DH226" s="10"/>
      <c r="DI226" s="10"/>
      <c r="DJ226" s="10"/>
      <c r="DK226" s="13"/>
      <c r="DL226" s="13"/>
      <c r="DM226" s="13"/>
    </row>
    <row r="227" spans="2:117" ht="11.25" customHeight="1">
      <c r="B227" s="149"/>
      <c r="C227" s="635"/>
      <c r="D227" s="636"/>
      <c r="E227" s="636"/>
      <c r="F227" s="636"/>
      <c r="G227" s="636"/>
      <c r="H227" s="636"/>
      <c r="I227" s="636"/>
      <c r="J227" s="636"/>
      <c r="K227" s="636"/>
      <c r="L227" s="636"/>
      <c r="M227" s="636"/>
      <c r="N227" s="636"/>
      <c r="O227" s="636"/>
      <c r="P227" s="636"/>
      <c r="Q227" s="636"/>
      <c r="R227" s="636"/>
      <c r="S227" s="636"/>
      <c r="T227" s="636"/>
      <c r="U227" s="636"/>
      <c r="V227" s="636"/>
      <c r="W227" s="636"/>
      <c r="X227" s="636"/>
      <c r="Y227" s="636"/>
      <c r="Z227" s="636"/>
      <c r="AA227" s="636"/>
      <c r="AB227" s="636"/>
      <c r="AC227" s="636"/>
      <c r="AD227" s="636"/>
      <c r="AE227" s="636"/>
      <c r="AF227" s="636"/>
      <c r="AG227" s="636"/>
      <c r="AH227" s="636"/>
      <c r="AI227" s="637"/>
      <c r="AJ227" s="635"/>
      <c r="AK227" s="636"/>
      <c r="AL227" s="636"/>
      <c r="AM227" s="636"/>
      <c r="AN227" s="636"/>
      <c r="AO227" s="636"/>
      <c r="AP227" s="637"/>
      <c r="AQ227" s="635"/>
      <c r="AR227" s="636"/>
      <c r="AS227" s="636"/>
      <c r="AT227" s="636"/>
      <c r="AU227" s="636"/>
      <c r="AV227" s="636"/>
      <c r="AW227" s="637"/>
      <c r="AX227" s="644"/>
      <c r="AY227" s="645"/>
      <c r="AZ227" s="645"/>
      <c r="BA227" s="645"/>
      <c r="BB227" s="645"/>
      <c r="BC227" s="645"/>
      <c r="BD227" s="646"/>
      <c r="BE227" s="635"/>
      <c r="BF227" s="636"/>
      <c r="BG227" s="636"/>
      <c r="BH227" s="636"/>
      <c r="BI227" s="636"/>
      <c r="BJ227" s="637"/>
      <c r="BK227" s="753"/>
      <c r="BL227" s="754"/>
      <c r="BM227" s="754"/>
      <c r="BN227" s="754"/>
      <c r="BO227" s="754"/>
      <c r="BP227" s="754"/>
      <c r="BQ227" s="754"/>
      <c r="BR227" s="754"/>
      <c r="BS227" s="754"/>
      <c r="BT227" s="754"/>
      <c r="BU227" s="754"/>
      <c r="BV227" s="754"/>
      <c r="BW227" s="754"/>
      <c r="BX227" s="754"/>
      <c r="BY227" s="754"/>
      <c r="BZ227" s="754"/>
      <c r="CA227" s="754"/>
      <c r="CB227" s="755"/>
      <c r="CC227" s="149"/>
      <c r="DG227" s="10"/>
      <c r="DH227" s="10"/>
      <c r="DI227" s="10"/>
      <c r="DJ227" s="10"/>
      <c r="DK227" s="13"/>
      <c r="DL227" s="13"/>
      <c r="DM227" s="13"/>
    </row>
    <row r="228" spans="2:117" ht="11.25" customHeight="1">
      <c r="B228" s="149"/>
      <c r="C228" s="638"/>
      <c r="D228" s="639"/>
      <c r="E228" s="639"/>
      <c r="F228" s="639"/>
      <c r="G228" s="639"/>
      <c r="H228" s="639"/>
      <c r="I228" s="639"/>
      <c r="J228" s="639"/>
      <c r="K228" s="639"/>
      <c r="L228" s="639"/>
      <c r="M228" s="639"/>
      <c r="N228" s="639"/>
      <c r="O228" s="639"/>
      <c r="P228" s="639"/>
      <c r="Q228" s="639"/>
      <c r="R228" s="639"/>
      <c r="S228" s="639"/>
      <c r="T228" s="639"/>
      <c r="U228" s="639"/>
      <c r="V228" s="639"/>
      <c r="W228" s="639"/>
      <c r="X228" s="639"/>
      <c r="Y228" s="639"/>
      <c r="Z228" s="639"/>
      <c r="AA228" s="639"/>
      <c r="AB228" s="639"/>
      <c r="AC228" s="639"/>
      <c r="AD228" s="639"/>
      <c r="AE228" s="639"/>
      <c r="AF228" s="639"/>
      <c r="AG228" s="639"/>
      <c r="AH228" s="639"/>
      <c r="AI228" s="640"/>
      <c r="AJ228" s="638"/>
      <c r="AK228" s="639"/>
      <c r="AL228" s="639"/>
      <c r="AM228" s="639"/>
      <c r="AN228" s="639"/>
      <c r="AO228" s="639"/>
      <c r="AP228" s="640"/>
      <c r="AQ228" s="638"/>
      <c r="AR228" s="639"/>
      <c r="AS228" s="639"/>
      <c r="AT228" s="639"/>
      <c r="AU228" s="639"/>
      <c r="AV228" s="639"/>
      <c r="AW228" s="640"/>
      <c r="AX228" s="647"/>
      <c r="AY228" s="648"/>
      <c r="AZ228" s="648"/>
      <c r="BA228" s="648"/>
      <c r="BB228" s="648"/>
      <c r="BC228" s="648"/>
      <c r="BD228" s="649"/>
      <c r="BE228" s="638"/>
      <c r="BF228" s="639"/>
      <c r="BG228" s="639"/>
      <c r="BH228" s="639"/>
      <c r="BI228" s="639"/>
      <c r="BJ228" s="640"/>
      <c r="BK228" s="756"/>
      <c r="BL228" s="757"/>
      <c r="BM228" s="757"/>
      <c r="BN228" s="757"/>
      <c r="BO228" s="757"/>
      <c r="BP228" s="757"/>
      <c r="BQ228" s="757"/>
      <c r="BR228" s="757"/>
      <c r="BS228" s="757"/>
      <c r="BT228" s="757"/>
      <c r="BU228" s="757"/>
      <c r="BV228" s="757"/>
      <c r="BW228" s="757"/>
      <c r="BX228" s="757"/>
      <c r="BY228" s="757"/>
      <c r="BZ228" s="757"/>
      <c r="CA228" s="757"/>
      <c r="CB228" s="758"/>
      <c r="CC228" s="149"/>
      <c r="DG228" s="10"/>
      <c r="DH228" s="10"/>
      <c r="DI228" s="10"/>
      <c r="DJ228" s="10"/>
      <c r="DK228" s="13"/>
      <c r="DL228" s="13"/>
      <c r="DM228" s="13"/>
    </row>
    <row r="229" spans="2:117" ht="33" customHeight="1">
      <c r="B229" s="149"/>
      <c r="C229" s="840" t="str">
        <f>VLOOKUP(2716,Languages!$A$5:$C$1032,Languages!$A$2,FALSE)</f>
        <v>Update / Rework of project-specific documentation 
[FMEA, drawings, work- and maintenance instructions,…]</v>
      </c>
      <c r="D229" s="841"/>
      <c r="E229" s="841"/>
      <c r="F229" s="841"/>
      <c r="G229" s="841"/>
      <c r="H229" s="841"/>
      <c r="I229" s="841"/>
      <c r="J229" s="841"/>
      <c r="K229" s="841"/>
      <c r="L229" s="841"/>
      <c r="M229" s="841"/>
      <c r="N229" s="841"/>
      <c r="O229" s="841"/>
      <c r="P229" s="841"/>
      <c r="Q229" s="841"/>
      <c r="R229" s="841"/>
      <c r="S229" s="841"/>
      <c r="T229" s="841"/>
      <c r="U229" s="841"/>
      <c r="V229" s="841"/>
      <c r="W229" s="841"/>
      <c r="X229" s="841"/>
      <c r="Y229" s="841"/>
      <c r="Z229" s="841"/>
      <c r="AA229" s="841"/>
      <c r="AB229" s="841"/>
      <c r="AC229" s="841"/>
      <c r="AD229" s="841"/>
      <c r="AE229" s="841"/>
      <c r="AF229" s="841"/>
      <c r="AG229" s="841"/>
      <c r="AH229" s="841"/>
      <c r="AI229" s="842"/>
      <c r="AJ229" s="824"/>
      <c r="AK229" s="825"/>
      <c r="AL229" s="825"/>
      <c r="AM229" s="825"/>
      <c r="AN229" s="825"/>
      <c r="AO229" s="825"/>
      <c r="AP229" s="826"/>
      <c r="AQ229" s="824"/>
      <c r="AR229" s="825"/>
      <c r="AS229" s="825"/>
      <c r="AT229" s="825"/>
      <c r="AU229" s="825"/>
      <c r="AV229" s="825"/>
      <c r="AW229" s="826"/>
      <c r="AX229" s="824"/>
      <c r="AY229" s="825"/>
      <c r="AZ229" s="825"/>
      <c r="BA229" s="825"/>
      <c r="BB229" s="825"/>
      <c r="BC229" s="825"/>
      <c r="BD229" s="826"/>
      <c r="BE229" s="619"/>
      <c r="BF229" s="620"/>
      <c r="BG229" s="619"/>
      <c r="BH229" s="620"/>
      <c r="BI229" s="619"/>
      <c r="BJ229" s="620"/>
      <c r="BK229" s="843"/>
      <c r="BL229" s="844"/>
      <c r="BM229" s="844"/>
      <c r="BN229" s="844"/>
      <c r="BO229" s="844"/>
      <c r="BP229" s="844"/>
      <c r="BQ229" s="844"/>
      <c r="BR229" s="844"/>
      <c r="BS229" s="844"/>
      <c r="BT229" s="844"/>
      <c r="BU229" s="844"/>
      <c r="BV229" s="844"/>
      <c r="BW229" s="844"/>
      <c r="BX229" s="844"/>
      <c r="BY229" s="844"/>
      <c r="BZ229" s="844"/>
      <c r="CA229" s="844"/>
      <c r="CB229" s="845"/>
      <c r="CC229" s="149"/>
      <c r="DG229" s="10"/>
      <c r="DH229" s="10"/>
      <c r="DI229" s="10"/>
      <c r="DJ229" s="10"/>
      <c r="DK229" s="13"/>
      <c r="DL229" s="13"/>
      <c r="DM229" s="13"/>
    </row>
    <row r="230" spans="2:117" ht="33.75" customHeight="1">
      <c r="B230" s="279"/>
      <c r="C230" s="846"/>
      <c r="D230" s="847"/>
      <c r="E230" s="847"/>
      <c r="F230" s="847"/>
      <c r="G230" s="847"/>
      <c r="H230" s="847"/>
      <c r="I230" s="847"/>
      <c r="J230" s="847"/>
      <c r="K230" s="847"/>
      <c r="L230" s="847"/>
      <c r="M230" s="847"/>
      <c r="N230" s="847"/>
      <c r="O230" s="847"/>
      <c r="P230" s="847"/>
      <c r="Q230" s="847"/>
      <c r="R230" s="847"/>
      <c r="S230" s="847"/>
      <c r="T230" s="847"/>
      <c r="U230" s="847"/>
      <c r="V230" s="847"/>
      <c r="W230" s="847"/>
      <c r="X230" s="847"/>
      <c r="Y230" s="847"/>
      <c r="Z230" s="847"/>
      <c r="AA230" s="847"/>
      <c r="AB230" s="847"/>
      <c r="AC230" s="847"/>
      <c r="AD230" s="847"/>
      <c r="AE230" s="847"/>
      <c r="AF230" s="847"/>
      <c r="AG230" s="847"/>
      <c r="AH230" s="847"/>
      <c r="AI230" s="848"/>
      <c r="AJ230" s="846"/>
      <c r="AK230" s="847"/>
      <c r="AL230" s="847"/>
      <c r="AM230" s="847"/>
      <c r="AN230" s="847"/>
      <c r="AO230" s="847"/>
      <c r="AP230" s="848"/>
      <c r="AQ230" s="846"/>
      <c r="AR230" s="847"/>
      <c r="AS230" s="847"/>
      <c r="AT230" s="847"/>
      <c r="AU230" s="847"/>
      <c r="AV230" s="847"/>
      <c r="AW230" s="848"/>
      <c r="AX230" s="846"/>
      <c r="AY230" s="847"/>
      <c r="AZ230" s="847"/>
      <c r="BA230" s="847"/>
      <c r="BB230" s="847"/>
      <c r="BC230" s="847"/>
      <c r="BD230" s="848"/>
      <c r="BE230" s="849"/>
      <c r="BF230" s="850"/>
      <c r="BG230" s="849"/>
      <c r="BH230" s="850"/>
      <c r="BI230" s="849"/>
      <c r="BJ230" s="850"/>
      <c r="BK230" s="747"/>
      <c r="BL230" s="748"/>
      <c r="BM230" s="748"/>
      <c r="BN230" s="748"/>
      <c r="BO230" s="748"/>
      <c r="BP230" s="748"/>
      <c r="BQ230" s="748"/>
      <c r="BR230" s="748"/>
      <c r="BS230" s="748"/>
      <c r="BT230" s="748"/>
      <c r="BU230" s="748"/>
      <c r="BV230" s="748"/>
      <c r="BW230" s="748"/>
      <c r="BX230" s="748"/>
      <c r="BY230" s="748"/>
      <c r="BZ230" s="748"/>
      <c r="CA230" s="748"/>
      <c r="CB230" s="749"/>
      <c r="CC230" s="149"/>
      <c r="DG230" s="10"/>
      <c r="DH230" s="10"/>
      <c r="DI230" s="10"/>
      <c r="DJ230" s="10"/>
      <c r="DK230" s="13"/>
      <c r="DL230" s="13"/>
      <c r="DM230" s="13"/>
    </row>
    <row r="231" spans="2:117" ht="11.25" customHeight="1">
      <c r="B231" s="315"/>
      <c r="C231" s="789"/>
      <c r="D231" s="789"/>
      <c r="E231" s="789"/>
      <c r="F231" s="789"/>
      <c r="G231" s="789"/>
      <c r="H231" s="789"/>
      <c r="I231" s="789"/>
      <c r="J231" s="789"/>
      <c r="K231" s="789"/>
      <c r="L231" s="789"/>
      <c r="M231" s="789"/>
      <c r="N231" s="789"/>
      <c r="O231" s="789"/>
      <c r="P231" s="789"/>
      <c r="Q231" s="789"/>
      <c r="R231" s="789"/>
      <c r="S231" s="789"/>
      <c r="T231" s="789"/>
      <c r="U231" s="789"/>
      <c r="V231" s="789"/>
      <c r="W231" s="789"/>
      <c r="X231" s="789"/>
      <c r="Y231" s="789"/>
      <c r="Z231" s="789"/>
      <c r="AA231" s="789"/>
      <c r="AB231" s="789"/>
      <c r="AC231" s="789"/>
      <c r="AD231" s="789"/>
      <c r="AE231" s="789"/>
      <c r="AF231" s="789"/>
      <c r="AG231" s="789"/>
      <c r="AH231" s="789"/>
      <c r="AI231" s="789"/>
      <c r="AJ231" s="789"/>
      <c r="AK231" s="789"/>
      <c r="AL231" s="789"/>
      <c r="AM231" s="789"/>
      <c r="AN231" s="789"/>
      <c r="AO231" s="789"/>
      <c r="AP231" s="789"/>
      <c r="AQ231" s="789"/>
      <c r="AR231" s="789"/>
      <c r="AS231" s="789"/>
      <c r="AT231" s="789"/>
      <c r="AU231" s="789"/>
      <c r="AV231" s="789"/>
      <c r="AW231" s="789"/>
      <c r="AX231" s="789"/>
      <c r="AY231" s="789"/>
      <c r="AZ231" s="789"/>
      <c r="BA231" s="789"/>
      <c r="BB231" s="789"/>
      <c r="BC231" s="789"/>
      <c r="BD231" s="789"/>
      <c r="BE231" s="789"/>
      <c r="BF231" s="789"/>
      <c r="BG231" s="789"/>
      <c r="BH231" s="789"/>
      <c r="BI231" s="789"/>
      <c r="BJ231" s="789"/>
      <c r="BK231" s="789"/>
      <c r="BL231" s="789"/>
      <c r="BM231" s="789"/>
      <c r="BN231" s="789"/>
      <c r="BO231" s="789"/>
      <c r="BP231" s="789"/>
      <c r="BQ231" s="789"/>
      <c r="BR231" s="789"/>
      <c r="BS231" s="789"/>
      <c r="BT231" s="789"/>
      <c r="BU231" s="789"/>
      <c r="BV231" s="789"/>
      <c r="BW231" s="789"/>
      <c r="BX231" s="789"/>
      <c r="BY231" s="789"/>
      <c r="BZ231" s="789"/>
      <c r="CA231" s="789"/>
      <c r="CB231" s="789"/>
      <c r="CC231" s="149"/>
      <c r="DG231" s="10"/>
      <c r="DH231" s="10"/>
      <c r="DI231" s="10"/>
      <c r="DJ231" s="10"/>
      <c r="DK231" s="13"/>
      <c r="DL231" s="13"/>
      <c r="DM231" s="13"/>
    </row>
    <row r="232" spans="2:117" ht="11.25" customHeight="1" thickBot="1">
      <c r="B232" s="205"/>
      <c r="C232" s="787"/>
      <c r="D232" s="787"/>
      <c r="E232" s="787"/>
      <c r="F232" s="787"/>
      <c r="G232" s="787"/>
      <c r="H232" s="787"/>
      <c r="I232" s="787"/>
      <c r="J232" s="787"/>
      <c r="K232" s="787"/>
      <c r="L232" s="787"/>
      <c r="M232" s="787"/>
      <c r="N232" s="787"/>
      <c r="O232" s="787"/>
      <c r="P232" s="787"/>
      <c r="Q232" s="787"/>
      <c r="R232" s="787"/>
      <c r="S232" s="787"/>
      <c r="T232" s="787"/>
      <c r="U232" s="787"/>
      <c r="V232" s="787"/>
      <c r="W232" s="787"/>
      <c r="X232" s="787"/>
      <c r="Y232" s="787"/>
      <c r="Z232" s="787"/>
      <c r="AA232" s="787"/>
      <c r="AB232" s="787"/>
      <c r="AC232" s="787"/>
      <c r="AD232" s="787"/>
      <c r="AE232" s="787"/>
      <c r="AF232" s="787"/>
      <c r="AG232" s="787"/>
      <c r="AH232" s="787"/>
      <c r="AI232" s="787"/>
      <c r="AJ232" s="787"/>
      <c r="AK232" s="787"/>
      <c r="AL232" s="787"/>
      <c r="AM232" s="787"/>
      <c r="AN232" s="787"/>
      <c r="AO232" s="787"/>
      <c r="AP232" s="787"/>
      <c r="AQ232" s="787"/>
      <c r="AR232" s="787"/>
      <c r="AS232" s="787"/>
      <c r="AT232" s="787"/>
      <c r="AU232" s="787"/>
      <c r="AV232" s="787"/>
      <c r="AW232" s="787"/>
      <c r="AX232" s="787"/>
      <c r="AY232" s="787"/>
      <c r="AZ232" s="787"/>
      <c r="BA232" s="787"/>
      <c r="BB232" s="787"/>
      <c r="BC232" s="787"/>
      <c r="BD232" s="787"/>
      <c r="BE232" s="787"/>
      <c r="BF232" s="787"/>
      <c r="BG232" s="787"/>
      <c r="BH232" s="787"/>
      <c r="BI232" s="787"/>
      <c r="BJ232" s="787"/>
      <c r="BK232" s="787"/>
      <c r="BL232" s="787"/>
      <c r="BM232" s="787"/>
      <c r="BN232" s="787"/>
      <c r="BO232" s="787"/>
      <c r="BP232" s="787"/>
      <c r="BQ232" s="787"/>
      <c r="BR232" s="787"/>
      <c r="BS232" s="787"/>
      <c r="BT232" s="787"/>
      <c r="BU232" s="787"/>
      <c r="BV232" s="787"/>
      <c r="BW232" s="787"/>
      <c r="BX232" s="787"/>
      <c r="BY232" s="787"/>
      <c r="BZ232" s="787"/>
      <c r="CA232" s="787"/>
      <c r="CB232" s="787"/>
      <c r="CC232" s="149"/>
      <c r="DG232" s="10"/>
      <c r="DH232" s="10"/>
      <c r="DI232" s="10"/>
      <c r="DJ232" s="10"/>
      <c r="DK232" s="13"/>
      <c r="DL232" s="13"/>
      <c r="DM232" s="13"/>
    </row>
    <row r="233" spans="2:117" ht="11.25" customHeight="1">
      <c r="B233" s="205"/>
      <c r="C233" s="655" t="s">
        <v>55</v>
      </c>
      <c r="D233" s="656"/>
      <c r="E233" s="656"/>
      <c r="F233" s="656"/>
      <c r="G233" s="656"/>
      <c r="H233" s="656"/>
      <c r="I233" s="656"/>
      <c r="J233" s="656"/>
      <c r="K233" s="656"/>
      <c r="L233" s="656"/>
      <c r="M233" s="656"/>
      <c r="N233" s="656"/>
      <c r="O233" s="656"/>
      <c r="P233" s="656"/>
      <c r="Q233" s="656"/>
      <c r="R233" s="661" t="str">
        <f>VLOOKUP(2800,Languages!$A$5:$C$1032,Languages!$A$2,FALSE)</f>
        <v>Completion</v>
      </c>
      <c r="S233" s="661"/>
      <c r="T233" s="661"/>
      <c r="U233" s="661"/>
      <c r="V233" s="661"/>
      <c r="W233" s="661"/>
      <c r="X233" s="661"/>
      <c r="Y233" s="661"/>
      <c r="Z233" s="661"/>
      <c r="AA233" s="661"/>
      <c r="AB233" s="661"/>
      <c r="AC233" s="661"/>
      <c r="AD233" s="661"/>
      <c r="AE233" s="661"/>
      <c r="AF233" s="661"/>
      <c r="AG233" s="661"/>
      <c r="AH233" s="661"/>
      <c r="AI233" s="661"/>
      <c r="AJ233" s="661"/>
      <c r="AK233" s="661"/>
      <c r="AL233" s="661"/>
      <c r="AM233" s="661"/>
      <c r="AN233" s="661"/>
      <c r="AO233" s="661"/>
      <c r="AP233" s="661"/>
      <c r="AQ233" s="661"/>
      <c r="AR233" s="661"/>
      <c r="AS233" s="661"/>
      <c r="AT233" s="661"/>
      <c r="AU233" s="661"/>
      <c r="AV233" s="661"/>
      <c r="AW233" s="661"/>
      <c r="AX233" s="661"/>
      <c r="AY233" s="661"/>
      <c r="AZ233" s="661"/>
      <c r="BA233" s="661"/>
      <c r="BB233" s="661"/>
      <c r="BC233" s="661"/>
      <c r="BD233" s="661"/>
      <c r="BE233" s="661"/>
      <c r="BF233" s="661"/>
      <c r="BG233" s="661"/>
      <c r="BH233" s="661"/>
      <c r="BI233" s="661"/>
      <c r="BJ233" s="661"/>
      <c r="BK233" s="661"/>
      <c r="BL233" s="661"/>
      <c r="BM233" s="661"/>
      <c r="BN233" s="661"/>
      <c r="BO233" s="661"/>
      <c r="BP233" s="661"/>
      <c r="BQ233" s="661"/>
      <c r="BR233" s="661"/>
      <c r="BS233" s="661"/>
      <c r="BT233" s="661"/>
      <c r="BU233" s="661"/>
      <c r="BV233" s="661"/>
      <c r="BW233" s="661"/>
      <c r="BX233" s="661"/>
      <c r="BY233" s="661"/>
      <c r="BZ233" s="661"/>
      <c r="CA233" s="661"/>
      <c r="CB233" s="662"/>
      <c r="CC233" s="149"/>
      <c r="CE233" s="692" t="str">
        <f>VLOOKUP(2002,Languages!$A$5:$C$1032,Languages!$A$2,FALSE)</f>
        <v>Tool</v>
      </c>
      <c r="CF233" s="693"/>
      <c r="CG233" s="693"/>
      <c r="CH233" s="693"/>
      <c r="CI233" s="693"/>
      <c r="CJ233" s="693"/>
      <c r="CK233" s="693"/>
      <c r="CL233" s="693"/>
      <c r="CM233" s="693"/>
      <c r="CN233" s="693"/>
      <c r="CO233" s="693"/>
      <c r="CP233" s="693"/>
      <c r="CQ233" s="693"/>
      <c r="CR233" s="693"/>
      <c r="CS233" s="694"/>
      <c r="DG233" s="10"/>
      <c r="DH233" s="10"/>
      <c r="DI233" s="10"/>
      <c r="DJ233" s="10"/>
      <c r="DK233" s="13"/>
      <c r="DL233" s="13"/>
      <c r="DM233" s="13"/>
    </row>
    <row r="234" spans="2:117" ht="11.25" customHeight="1">
      <c r="B234" s="205"/>
      <c r="C234" s="657"/>
      <c r="D234" s="658"/>
      <c r="E234" s="658"/>
      <c r="F234" s="658"/>
      <c r="G234" s="658"/>
      <c r="H234" s="658"/>
      <c r="I234" s="658"/>
      <c r="J234" s="658"/>
      <c r="K234" s="658"/>
      <c r="L234" s="658"/>
      <c r="M234" s="658"/>
      <c r="N234" s="658"/>
      <c r="O234" s="658"/>
      <c r="P234" s="658"/>
      <c r="Q234" s="658"/>
      <c r="R234" s="663"/>
      <c r="S234" s="663"/>
      <c r="T234" s="663"/>
      <c r="U234" s="663"/>
      <c r="V234" s="663"/>
      <c r="W234" s="663"/>
      <c r="X234" s="663"/>
      <c r="Y234" s="663"/>
      <c r="Z234" s="663"/>
      <c r="AA234" s="663"/>
      <c r="AB234" s="663"/>
      <c r="AC234" s="663"/>
      <c r="AD234" s="663"/>
      <c r="AE234" s="663"/>
      <c r="AF234" s="663"/>
      <c r="AG234" s="663"/>
      <c r="AH234" s="663"/>
      <c r="AI234" s="663"/>
      <c r="AJ234" s="663"/>
      <c r="AK234" s="663"/>
      <c r="AL234" s="663"/>
      <c r="AM234" s="663"/>
      <c r="AN234" s="663"/>
      <c r="AO234" s="663"/>
      <c r="AP234" s="663"/>
      <c r="AQ234" s="663"/>
      <c r="AR234" s="663"/>
      <c r="AS234" s="663"/>
      <c r="AT234" s="663"/>
      <c r="AU234" s="663"/>
      <c r="AV234" s="663"/>
      <c r="AW234" s="663"/>
      <c r="AX234" s="663"/>
      <c r="AY234" s="663"/>
      <c r="AZ234" s="663"/>
      <c r="BA234" s="663"/>
      <c r="BB234" s="663"/>
      <c r="BC234" s="663"/>
      <c r="BD234" s="663"/>
      <c r="BE234" s="663"/>
      <c r="BF234" s="663"/>
      <c r="BG234" s="663"/>
      <c r="BH234" s="663"/>
      <c r="BI234" s="663"/>
      <c r="BJ234" s="663"/>
      <c r="BK234" s="663"/>
      <c r="BL234" s="663"/>
      <c r="BM234" s="663"/>
      <c r="BN234" s="663"/>
      <c r="BO234" s="663"/>
      <c r="BP234" s="663"/>
      <c r="BQ234" s="663"/>
      <c r="BR234" s="663"/>
      <c r="BS234" s="663"/>
      <c r="BT234" s="663"/>
      <c r="BU234" s="663"/>
      <c r="BV234" s="663"/>
      <c r="BW234" s="663"/>
      <c r="BX234" s="663"/>
      <c r="BY234" s="663"/>
      <c r="BZ234" s="663"/>
      <c r="CA234" s="663"/>
      <c r="CB234" s="664"/>
      <c r="CC234" s="149"/>
      <c r="CE234" s="695"/>
      <c r="CF234" s="696"/>
      <c r="CG234" s="696"/>
      <c r="CH234" s="696"/>
      <c r="CI234" s="696"/>
      <c r="CJ234" s="696"/>
      <c r="CK234" s="696"/>
      <c r="CL234" s="696"/>
      <c r="CM234" s="696"/>
      <c r="CN234" s="696"/>
      <c r="CO234" s="696"/>
      <c r="CP234" s="696"/>
      <c r="CQ234" s="696"/>
      <c r="CR234" s="696"/>
      <c r="CS234" s="697"/>
      <c r="DG234" s="10"/>
      <c r="DH234" s="10"/>
      <c r="DI234" s="10"/>
      <c r="DJ234" s="10"/>
      <c r="DK234" s="13"/>
      <c r="DL234" s="13"/>
      <c r="DM234" s="13"/>
    </row>
    <row r="235" spans="2:117" ht="11.25" customHeight="1">
      <c r="B235" s="205"/>
      <c r="C235" s="659"/>
      <c r="D235" s="660"/>
      <c r="E235" s="660"/>
      <c r="F235" s="660"/>
      <c r="G235" s="660"/>
      <c r="H235" s="660"/>
      <c r="I235" s="660"/>
      <c r="J235" s="660"/>
      <c r="K235" s="660"/>
      <c r="L235" s="660"/>
      <c r="M235" s="660"/>
      <c r="N235" s="660"/>
      <c r="O235" s="660"/>
      <c r="P235" s="660"/>
      <c r="Q235" s="660"/>
      <c r="R235" s="665"/>
      <c r="S235" s="665"/>
      <c r="T235" s="665"/>
      <c r="U235" s="665"/>
      <c r="V235" s="665"/>
      <c r="W235" s="665"/>
      <c r="X235" s="665"/>
      <c r="Y235" s="665"/>
      <c r="Z235" s="665"/>
      <c r="AA235" s="665"/>
      <c r="AB235" s="665"/>
      <c r="AC235" s="665"/>
      <c r="AD235" s="665"/>
      <c r="AE235" s="665"/>
      <c r="AF235" s="665"/>
      <c r="AG235" s="665"/>
      <c r="AH235" s="665"/>
      <c r="AI235" s="665"/>
      <c r="AJ235" s="665"/>
      <c r="AK235" s="665"/>
      <c r="AL235" s="665"/>
      <c r="AM235" s="665"/>
      <c r="AN235" s="665"/>
      <c r="AO235" s="665"/>
      <c r="AP235" s="665"/>
      <c r="AQ235" s="665"/>
      <c r="AR235" s="665"/>
      <c r="AS235" s="665"/>
      <c r="AT235" s="665"/>
      <c r="AU235" s="665"/>
      <c r="AV235" s="665"/>
      <c r="AW235" s="665"/>
      <c r="AX235" s="665"/>
      <c r="AY235" s="665"/>
      <c r="AZ235" s="665"/>
      <c r="BA235" s="665"/>
      <c r="BB235" s="665"/>
      <c r="BC235" s="665"/>
      <c r="BD235" s="665"/>
      <c r="BE235" s="665"/>
      <c r="BF235" s="665"/>
      <c r="BG235" s="665"/>
      <c r="BH235" s="665"/>
      <c r="BI235" s="665"/>
      <c r="BJ235" s="665"/>
      <c r="BK235" s="665"/>
      <c r="BL235" s="665"/>
      <c r="BM235" s="665"/>
      <c r="BN235" s="665"/>
      <c r="BO235" s="665"/>
      <c r="BP235" s="665"/>
      <c r="BQ235" s="665"/>
      <c r="BR235" s="665"/>
      <c r="BS235" s="665"/>
      <c r="BT235" s="665"/>
      <c r="BU235" s="665"/>
      <c r="BV235" s="665"/>
      <c r="BW235" s="665"/>
      <c r="BX235" s="665"/>
      <c r="BY235" s="665"/>
      <c r="BZ235" s="665"/>
      <c r="CA235" s="665"/>
      <c r="CB235" s="666"/>
      <c r="CC235" s="149"/>
      <c r="CE235" s="695"/>
      <c r="CF235" s="696"/>
      <c r="CG235" s="696"/>
      <c r="CH235" s="696"/>
      <c r="CI235" s="696"/>
      <c r="CJ235" s="696"/>
      <c r="CK235" s="696"/>
      <c r="CL235" s="696"/>
      <c r="CM235" s="696"/>
      <c r="CN235" s="696"/>
      <c r="CO235" s="696"/>
      <c r="CP235" s="696"/>
      <c r="CQ235" s="696"/>
      <c r="CR235" s="696"/>
      <c r="CS235" s="697"/>
      <c r="DG235" s="10"/>
      <c r="DH235" s="10"/>
      <c r="DI235" s="10"/>
      <c r="DJ235" s="10"/>
      <c r="DK235" s="13"/>
      <c r="DL235" s="13"/>
      <c r="DM235" s="13"/>
    </row>
    <row r="236" spans="2:117" ht="11.25" customHeight="1">
      <c r="B236" s="205"/>
      <c r="C236" s="641"/>
      <c r="D236" s="642"/>
      <c r="E236" s="642"/>
      <c r="F236" s="642"/>
      <c r="G236" s="642"/>
      <c r="H236" s="642"/>
      <c r="I236" s="642"/>
      <c r="J236" s="642"/>
      <c r="K236" s="642"/>
      <c r="L236" s="642"/>
      <c r="M236" s="642"/>
      <c r="N236" s="642"/>
      <c r="O236" s="642"/>
      <c r="P236" s="642"/>
      <c r="Q236" s="642"/>
      <c r="R236" s="642"/>
      <c r="S236" s="642"/>
      <c r="T236" s="642"/>
      <c r="U236" s="642"/>
      <c r="V236" s="642"/>
      <c r="W236" s="642"/>
      <c r="X236" s="642"/>
      <c r="Y236" s="642"/>
      <c r="Z236" s="642"/>
      <c r="AA236" s="642"/>
      <c r="AB236" s="642"/>
      <c r="AC236" s="642"/>
      <c r="AD236" s="642"/>
      <c r="AE236" s="642"/>
      <c r="AF236" s="642"/>
      <c r="AG236" s="642"/>
      <c r="AH236" s="642"/>
      <c r="AI236" s="642"/>
      <c r="AJ236" s="642"/>
      <c r="AK236" s="642"/>
      <c r="AL236" s="642"/>
      <c r="AM236" s="642"/>
      <c r="AN236" s="642"/>
      <c r="AO236" s="642"/>
      <c r="AP236" s="642"/>
      <c r="AQ236" s="642"/>
      <c r="AR236" s="642"/>
      <c r="AS236" s="642"/>
      <c r="AT236" s="642"/>
      <c r="AU236" s="642"/>
      <c r="AV236" s="642"/>
      <c r="AW236" s="642"/>
      <c r="AX236" s="642"/>
      <c r="AY236" s="642"/>
      <c r="AZ236" s="642"/>
      <c r="BA236" s="642"/>
      <c r="BB236" s="642"/>
      <c r="BC236" s="642"/>
      <c r="BD236" s="642"/>
      <c r="BE236" s="642"/>
      <c r="BF236" s="642"/>
      <c r="BG236" s="642"/>
      <c r="BH236" s="642"/>
      <c r="BI236" s="642"/>
      <c r="BJ236" s="642"/>
      <c r="BK236" s="642"/>
      <c r="BL236" s="642"/>
      <c r="BM236" s="642"/>
      <c r="BN236" s="642"/>
      <c r="BO236" s="642"/>
      <c r="BP236" s="642"/>
      <c r="BQ236" s="642"/>
      <c r="BR236" s="642"/>
      <c r="BS236" s="642"/>
      <c r="BT236" s="642"/>
      <c r="BU236" s="642"/>
      <c r="BV236" s="642"/>
      <c r="BW236" s="642"/>
      <c r="BX236" s="642"/>
      <c r="BY236" s="642"/>
      <c r="BZ236" s="642"/>
      <c r="CA236" s="642"/>
      <c r="CB236" s="643"/>
      <c r="CE236" s="698"/>
      <c r="CF236" s="699"/>
      <c r="CG236" s="699"/>
      <c r="CH236" s="699"/>
      <c r="CI236" s="699"/>
      <c r="CJ236" s="699"/>
      <c r="CK236" s="699"/>
      <c r="CL236" s="699"/>
      <c r="CM236" s="699"/>
      <c r="CN236" s="699"/>
      <c r="CO236" s="699"/>
      <c r="CP236" s="699"/>
      <c r="CQ236" s="699"/>
      <c r="CR236" s="699"/>
      <c r="CS236" s="700"/>
      <c r="DG236" s="10"/>
      <c r="DH236" s="10"/>
      <c r="DI236" s="10"/>
      <c r="DJ236" s="10"/>
      <c r="DK236" s="13"/>
      <c r="DL236" s="13"/>
      <c r="DM236" s="13"/>
    </row>
    <row r="237" spans="2:117" ht="11.25" customHeight="1">
      <c r="B237" s="205"/>
      <c r="C237" s="647"/>
      <c r="D237" s="648"/>
      <c r="E237" s="648"/>
      <c r="F237" s="648"/>
      <c r="G237" s="648"/>
      <c r="H237" s="648"/>
      <c r="I237" s="648"/>
      <c r="J237" s="648"/>
      <c r="K237" s="648"/>
      <c r="L237" s="648"/>
      <c r="M237" s="648"/>
      <c r="N237" s="648"/>
      <c r="O237" s="648"/>
      <c r="P237" s="648"/>
      <c r="Q237" s="648"/>
      <c r="R237" s="648"/>
      <c r="S237" s="648"/>
      <c r="T237" s="648"/>
      <c r="U237" s="648"/>
      <c r="V237" s="648"/>
      <c r="W237" s="648"/>
      <c r="X237" s="648"/>
      <c r="Y237" s="648"/>
      <c r="Z237" s="648"/>
      <c r="AA237" s="648"/>
      <c r="AB237" s="648"/>
      <c r="AC237" s="648"/>
      <c r="AD237" s="648"/>
      <c r="AE237" s="648"/>
      <c r="AF237" s="648"/>
      <c r="AG237" s="648"/>
      <c r="AH237" s="648"/>
      <c r="AI237" s="648"/>
      <c r="AJ237" s="648"/>
      <c r="AK237" s="648"/>
      <c r="AL237" s="648"/>
      <c r="AM237" s="648"/>
      <c r="AN237" s="648"/>
      <c r="AO237" s="648"/>
      <c r="AP237" s="648"/>
      <c r="AQ237" s="648"/>
      <c r="AR237" s="648"/>
      <c r="AS237" s="648"/>
      <c r="AT237" s="648"/>
      <c r="AU237" s="648"/>
      <c r="AV237" s="648"/>
      <c r="AW237" s="648"/>
      <c r="AX237" s="648"/>
      <c r="AY237" s="648"/>
      <c r="AZ237" s="648"/>
      <c r="BA237" s="648"/>
      <c r="BB237" s="648"/>
      <c r="BC237" s="648"/>
      <c r="BD237" s="648"/>
      <c r="BE237" s="648"/>
      <c r="BF237" s="648"/>
      <c r="BG237" s="648"/>
      <c r="BH237" s="648"/>
      <c r="BI237" s="648"/>
      <c r="BJ237" s="648"/>
      <c r="BK237" s="648"/>
      <c r="BL237" s="648"/>
      <c r="BM237" s="648"/>
      <c r="BN237" s="648"/>
      <c r="BO237" s="648"/>
      <c r="BP237" s="648"/>
      <c r="BQ237" s="648"/>
      <c r="BR237" s="648"/>
      <c r="BS237" s="648"/>
      <c r="BT237" s="648"/>
      <c r="BU237" s="648"/>
      <c r="BV237" s="648"/>
      <c r="BW237" s="648"/>
      <c r="BX237" s="648"/>
      <c r="BY237" s="648"/>
      <c r="BZ237" s="648"/>
      <c r="CA237" s="648"/>
      <c r="CB237" s="649"/>
      <c r="CE237" s="698"/>
      <c r="CF237" s="699"/>
      <c r="CG237" s="699"/>
      <c r="CH237" s="699"/>
      <c r="CI237" s="699"/>
      <c r="CJ237" s="699"/>
      <c r="CK237" s="699"/>
      <c r="CL237" s="699"/>
      <c r="CM237" s="699"/>
      <c r="CN237" s="699"/>
      <c r="CO237" s="699"/>
      <c r="CP237" s="699"/>
      <c r="CQ237" s="699"/>
      <c r="CR237" s="699"/>
      <c r="CS237" s="700"/>
      <c r="DG237" s="10"/>
      <c r="DH237" s="10"/>
      <c r="DI237" s="10"/>
      <c r="DJ237" s="10"/>
      <c r="DK237" s="13"/>
      <c r="DL237" s="13"/>
      <c r="DM237" s="13"/>
    </row>
    <row r="238" spans="2:117" ht="11.25" customHeight="1">
      <c r="B238" s="205"/>
      <c r="C238" s="808" t="str">
        <f>VLOOKUP(2804,Languages!$A$5:$C$1032,Languages!$A$2,FALSE)</f>
        <v>Status 8D supplier</v>
      </c>
      <c r="D238" s="809"/>
      <c r="E238" s="809"/>
      <c r="F238" s="809"/>
      <c r="G238" s="809"/>
      <c r="H238" s="809"/>
      <c r="I238" s="809"/>
      <c r="J238" s="809"/>
      <c r="K238" s="809"/>
      <c r="L238" s="809"/>
      <c r="M238" s="809"/>
      <c r="N238" s="809"/>
      <c r="O238" s="809"/>
      <c r="P238" s="809"/>
      <c r="Q238" s="809"/>
      <c r="R238" s="809"/>
      <c r="S238" s="809"/>
      <c r="T238" s="809"/>
      <c r="U238" s="809"/>
      <c r="V238" s="809"/>
      <c r="W238" s="809"/>
      <c r="X238" s="809"/>
      <c r="Y238" s="809"/>
      <c r="Z238" s="809"/>
      <c r="AA238" s="810"/>
      <c r="AB238" s="403"/>
      <c r="AC238" s="404"/>
      <c r="AD238" s="404"/>
      <c r="AE238" s="404"/>
      <c r="AF238" s="650" t="str">
        <f>VLOOKUP(2805,Languages!$A$5:$C$1032,Languages!$A$2,FALSE)</f>
        <v>In process</v>
      </c>
      <c r="AG238" s="650"/>
      <c r="AH238" s="650"/>
      <c r="AI238" s="650"/>
      <c r="AJ238" s="650"/>
      <c r="AK238" s="650"/>
      <c r="AL238" s="650"/>
      <c r="AM238" s="650"/>
      <c r="AN238" s="650"/>
      <c r="AO238" s="404"/>
      <c r="AP238" s="404"/>
      <c r="AQ238" s="404"/>
      <c r="AR238" s="650" t="str">
        <f>VLOOKUP(2806,Languages!$A$5:$C$1032,Languages!$A$2,FALSE)</f>
        <v>Suggested for closure</v>
      </c>
      <c r="AS238" s="650"/>
      <c r="AT238" s="650"/>
      <c r="AU238" s="650"/>
      <c r="AV238" s="650"/>
      <c r="AW238" s="650"/>
      <c r="AX238" s="650"/>
      <c r="AY238" s="650"/>
      <c r="AZ238" s="650"/>
      <c r="BA238" s="650"/>
      <c r="BB238" s="650"/>
      <c r="BC238" s="650"/>
      <c r="BD238" s="650"/>
      <c r="BE238" s="650"/>
      <c r="BF238" s="650"/>
      <c r="BG238" s="650"/>
      <c r="BH238" s="650"/>
      <c r="BI238" s="650"/>
      <c r="BJ238" s="650"/>
      <c r="BK238" s="650"/>
      <c r="BL238" s="650"/>
      <c r="BM238" s="869"/>
      <c r="BN238" s="805" t="s">
        <v>532</v>
      </c>
      <c r="BO238" s="806"/>
      <c r="BP238" s="806"/>
      <c r="BQ238" s="806"/>
      <c r="BR238" s="806"/>
      <c r="BS238" s="806"/>
      <c r="BT238" s="806"/>
      <c r="BU238" s="806"/>
      <c r="BV238" s="806"/>
      <c r="BW238" s="806"/>
      <c r="BX238" s="806"/>
      <c r="BY238" s="806"/>
      <c r="BZ238" s="806"/>
      <c r="CA238" s="806"/>
      <c r="CB238" s="807"/>
      <c r="CE238" s="698"/>
      <c r="CF238" s="699"/>
      <c r="CG238" s="699"/>
      <c r="CH238" s="699"/>
      <c r="CI238" s="699"/>
      <c r="CJ238" s="699"/>
      <c r="CK238" s="699"/>
      <c r="CL238" s="699"/>
      <c r="CM238" s="699"/>
      <c r="CN238" s="699"/>
      <c r="CO238" s="699"/>
      <c r="CP238" s="699"/>
      <c r="CQ238" s="699"/>
      <c r="CR238" s="699"/>
      <c r="CS238" s="700"/>
      <c r="DG238" s="10"/>
      <c r="DH238" s="10"/>
      <c r="DI238" s="10"/>
      <c r="DJ238" s="10"/>
      <c r="DK238" s="13"/>
      <c r="DL238" s="13"/>
      <c r="DM238" s="13"/>
    </row>
    <row r="239" spans="2:117" ht="11.25" customHeight="1">
      <c r="B239" s="205"/>
      <c r="C239" s="811"/>
      <c r="D239" s="812"/>
      <c r="E239" s="812"/>
      <c r="F239" s="812"/>
      <c r="G239" s="812"/>
      <c r="H239" s="812"/>
      <c r="I239" s="812"/>
      <c r="J239" s="812"/>
      <c r="K239" s="812"/>
      <c r="L239" s="812"/>
      <c r="M239" s="812"/>
      <c r="N239" s="812"/>
      <c r="O239" s="812"/>
      <c r="P239" s="812"/>
      <c r="Q239" s="812"/>
      <c r="R239" s="812"/>
      <c r="S239" s="812"/>
      <c r="T239" s="812"/>
      <c r="U239" s="812"/>
      <c r="V239" s="812"/>
      <c r="W239" s="812"/>
      <c r="X239" s="812"/>
      <c r="Y239" s="812"/>
      <c r="Z239" s="812"/>
      <c r="AA239" s="813"/>
      <c r="AB239" s="653"/>
      <c r="AC239" s="654"/>
      <c r="AD239" s="719" t="s">
        <v>318</v>
      </c>
      <c r="AE239" s="720"/>
      <c r="AF239" s="651"/>
      <c r="AG239" s="651"/>
      <c r="AH239" s="651"/>
      <c r="AI239" s="651"/>
      <c r="AJ239" s="651"/>
      <c r="AK239" s="651"/>
      <c r="AL239" s="651"/>
      <c r="AM239" s="651"/>
      <c r="AN239" s="651"/>
      <c r="AO239" s="405"/>
      <c r="AP239" s="719"/>
      <c r="AQ239" s="720"/>
      <c r="AR239" s="651"/>
      <c r="AS239" s="651"/>
      <c r="AT239" s="651"/>
      <c r="AU239" s="651"/>
      <c r="AV239" s="651"/>
      <c r="AW239" s="651"/>
      <c r="AX239" s="651"/>
      <c r="AY239" s="651"/>
      <c r="AZ239" s="651"/>
      <c r="BA239" s="651"/>
      <c r="BB239" s="651"/>
      <c r="BC239" s="651"/>
      <c r="BD239" s="651"/>
      <c r="BE239" s="651"/>
      <c r="BF239" s="651"/>
      <c r="BG239" s="651"/>
      <c r="BH239" s="651"/>
      <c r="BI239" s="651"/>
      <c r="BJ239" s="651"/>
      <c r="BK239" s="651"/>
      <c r="BL239" s="651"/>
      <c r="BM239" s="870"/>
      <c r="BN239" s="799"/>
      <c r="BO239" s="800"/>
      <c r="BP239" s="800"/>
      <c r="BQ239" s="800"/>
      <c r="BR239" s="800"/>
      <c r="BS239" s="800"/>
      <c r="BT239" s="800"/>
      <c r="BU239" s="800"/>
      <c r="BV239" s="800"/>
      <c r="BW239" s="800"/>
      <c r="BX239" s="800"/>
      <c r="BY239" s="800"/>
      <c r="BZ239" s="800"/>
      <c r="CA239" s="800"/>
      <c r="CB239" s="801"/>
      <c r="CE239" s="698"/>
      <c r="CF239" s="699"/>
      <c r="CG239" s="699"/>
      <c r="CH239" s="699"/>
      <c r="CI239" s="699"/>
      <c r="CJ239" s="699"/>
      <c r="CK239" s="699"/>
      <c r="CL239" s="699"/>
      <c r="CM239" s="699"/>
      <c r="CN239" s="699"/>
      <c r="CO239" s="699"/>
      <c r="CP239" s="699"/>
      <c r="CQ239" s="699"/>
      <c r="CR239" s="699"/>
      <c r="CS239" s="700"/>
      <c r="DG239" s="10"/>
      <c r="DH239" s="10"/>
      <c r="DI239" s="10"/>
      <c r="DJ239" s="10"/>
      <c r="DK239" s="13"/>
      <c r="DL239" s="13"/>
      <c r="DM239" s="13"/>
    </row>
    <row r="240" spans="2:117" ht="11.25" customHeight="1">
      <c r="B240" s="275"/>
      <c r="C240" s="814"/>
      <c r="D240" s="815"/>
      <c r="E240" s="815"/>
      <c r="F240" s="815"/>
      <c r="G240" s="815"/>
      <c r="H240" s="815"/>
      <c r="I240" s="815"/>
      <c r="J240" s="815"/>
      <c r="K240" s="815"/>
      <c r="L240" s="815"/>
      <c r="M240" s="815"/>
      <c r="N240" s="815"/>
      <c r="O240" s="815"/>
      <c r="P240" s="815"/>
      <c r="Q240" s="815"/>
      <c r="R240" s="815"/>
      <c r="S240" s="815"/>
      <c r="T240" s="815"/>
      <c r="U240" s="815"/>
      <c r="V240" s="815"/>
      <c r="W240" s="815"/>
      <c r="X240" s="815"/>
      <c r="Y240" s="815"/>
      <c r="Z240" s="815"/>
      <c r="AA240" s="816"/>
      <c r="AB240" s="406"/>
      <c r="AC240" s="407"/>
      <c r="AD240" s="407"/>
      <c r="AE240" s="407"/>
      <c r="AF240" s="652"/>
      <c r="AG240" s="652"/>
      <c r="AH240" s="652"/>
      <c r="AI240" s="652"/>
      <c r="AJ240" s="652"/>
      <c r="AK240" s="652"/>
      <c r="AL240" s="652"/>
      <c r="AM240" s="652"/>
      <c r="AN240" s="652"/>
      <c r="AO240" s="407"/>
      <c r="AP240" s="407"/>
      <c r="AQ240" s="407"/>
      <c r="AR240" s="652"/>
      <c r="AS240" s="652"/>
      <c r="AT240" s="652"/>
      <c r="AU240" s="652"/>
      <c r="AV240" s="652"/>
      <c r="AW240" s="652"/>
      <c r="AX240" s="652"/>
      <c r="AY240" s="652"/>
      <c r="AZ240" s="652"/>
      <c r="BA240" s="652"/>
      <c r="BB240" s="652"/>
      <c r="BC240" s="652"/>
      <c r="BD240" s="652"/>
      <c r="BE240" s="652"/>
      <c r="BF240" s="652"/>
      <c r="BG240" s="652"/>
      <c r="BH240" s="652"/>
      <c r="BI240" s="652"/>
      <c r="BJ240" s="652"/>
      <c r="BK240" s="652"/>
      <c r="BL240" s="652"/>
      <c r="BM240" s="871"/>
      <c r="BN240" s="802"/>
      <c r="BO240" s="803"/>
      <c r="BP240" s="803"/>
      <c r="BQ240" s="803"/>
      <c r="BR240" s="803"/>
      <c r="BS240" s="803"/>
      <c r="BT240" s="803"/>
      <c r="BU240" s="803"/>
      <c r="BV240" s="803"/>
      <c r="BW240" s="803"/>
      <c r="BX240" s="803"/>
      <c r="BY240" s="803"/>
      <c r="BZ240" s="803"/>
      <c r="CA240" s="803"/>
      <c r="CB240" s="804"/>
      <c r="CE240" s="698"/>
      <c r="CF240" s="699"/>
      <c r="CG240" s="699"/>
      <c r="CH240" s="699"/>
      <c r="CI240" s="699"/>
      <c r="CJ240" s="699"/>
      <c r="CK240" s="699"/>
      <c r="CL240" s="699"/>
      <c r="CM240" s="699"/>
      <c r="CN240" s="699"/>
      <c r="CO240" s="699"/>
      <c r="CP240" s="699"/>
      <c r="CQ240" s="699"/>
      <c r="CR240" s="699"/>
      <c r="CS240" s="700"/>
      <c r="DG240" s="10"/>
      <c r="DH240" s="10"/>
      <c r="DI240" s="10"/>
      <c r="DJ240" s="10"/>
      <c r="DK240" s="13"/>
      <c r="DL240" s="13"/>
      <c r="DM240" s="13"/>
    </row>
    <row r="241" spans="2:117" ht="11.25" customHeight="1">
      <c r="B241" s="275"/>
      <c r="C241" s="879" t="str">
        <f>VLOOKUP(2815,Languages!$A$5:$C$1032,Languages!$A$2,FALSE)</f>
        <v>Comments / Notes</v>
      </c>
      <c r="D241" s="880"/>
      <c r="E241" s="880"/>
      <c r="F241" s="880"/>
      <c r="G241" s="880"/>
      <c r="H241" s="880"/>
      <c r="I241" s="880"/>
      <c r="J241" s="880"/>
      <c r="K241" s="880"/>
      <c r="L241" s="880"/>
      <c r="M241" s="880"/>
      <c r="N241" s="880"/>
      <c r="O241" s="880"/>
      <c r="P241" s="880"/>
      <c r="Q241" s="880"/>
      <c r="R241" s="880"/>
      <c r="S241" s="880"/>
      <c r="T241" s="880"/>
      <c r="U241" s="880"/>
      <c r="V241" s="880"/>
      <c r="W241" s="880"/>
      <c r="X241" s="880"/>
      <c r="Y241" s="880"/>
      <c r="Z241" s="880"/>
      <c r="AA241" s="881"/>
      <c r="AB241" s="872"/>
      <c r="AC241" s="873"/>
      <c r="AD241" s="873"/>
      <c r="AE241" s="873"/>
      <c r="AF241" s="873"/>
      <c r="AG241" s="873"/>
      <c r="AH241" s="873"/>
      <c r="AI241" s="873"/>
      <c r="AJ241" s="873"/>
      <c r="AK241" s="873"/>
      <c r="AL241" s="873"/>
      <c r="AM241" s="873"/>
      <c r="AN241" s="873"/>
      <c r="AO241" s="873"/>
      <c r="AP241" s="873"/>
      <c r="AQ241" s="873"/>
      <c r="AR241" s="873"/>
      <c r="AS241" s="873"/>
      <c r="AT241" s="873"/>
      <c r="AU241" s="873"/>
      <c r="AV241" s="873"/>
      <c r="AW241" s="873"/>
      <c r="AX241" s="873"/>
      <c r="AY241" s="873"/>
      <c r="AZ241" s="873"/>
      <c r="BA241" s="873"/>
      <c r="BB241" s="873"/>
      <c r="BC241" s="873"/>
      <c r="BD241" s="873"/>
      <c r="BE241" s="873"/>
      <c r="BF241" s="873"/>
      <c r="BG241" s="873"/>
      <c r="BH241" s="873"/>
      <c r="BI241" s="873"/>
      <c r="BJ241" s="873"/>
      <c r="BK241" s="873"/>
      <c r="BL241" s="873"/>
      <c r="BM241" s="873"/>
      <c r="BN241" s="873"/>
      <c r="BO241" s="873"/>
      <c r="BP241" s="873"/>
      <c r="BQ241" s="873"/>
      <c r="BR241" s="873"/>
      <c r="BS241" s="873"/>
      <c r="BT241" s="873"/>
      <c r="BU241" s="873"/>
      <c r="BV241" s="873"/>
      <c r="BW241" s="873"/>
      <c r="BX241" s="873"/>
      <c r="BY241" s="873"/>
      <c r="BZ241" s="873"/>
      <c r="CA241" s="873"/>
      <c r="CB241" s="874"/>
      <c r="CE241" s="698"/>
      <c r="CF241" s="699"/>
      <c r="CG241" s="699"/>
      <c r="CH241" s="699"/>
      <c r="CI241" s="699"/>
      <c r="CJ241" s="699"/>
      <c r="CK241" s="699"/>
      <c r="CL241" s="699"/>
      <c r="CM241" s="699"/>
      <c r="CN241" s="699"/>
      <c r="CO241" s="699"/>
      <c r="CP241" s="699"/>
      <c r="CQ241" s="699"/>
      <c r="CR241" s="699"/>
      <c r="CS241" s="700"/>
      <c r="DG241" s="10"/>
      <c r="DH241" s="10"/>
      <c r="DI241" s="10"/>
      <c r="DJ241" s="10"/>
      <c r="DK241" s="13"/>
      <c r="DL241" s="13"/>
      <c r="DM241" s="13"/>
    </row>
    <row r="242" spans="2:117" ht="11.25" customHeight="1">
      <c r="B242" s="152"/>
      <c r="C242" s="882"/>
      <c r="D242" s="883"/>
      <c r="E242" s="883"/>
      <c r="F242" s="883"/>
      <c r="G242" s="883"/>
      <c r="H242" s="883"/>
      <c r="I242" s="883"/>
      <c r="J242" s="883"/>
      <c r="K242" s="883"/>
      <c r="L242" s="883"/>
      <c r="M242" s="883"/>
      <c r="N242" s="883"/>
      <c r="O242" s="883"/>
      <c r="P242" s="883"/>
      <c r="Q242" s="883"/>
      <c r="R242" s="883"/>
      <c r="S242" s="883"/>
      <c r="T242" s="883"/>
      <c r="U242" s="883"/>
      <c r="V242" s="883"/>
      <c r="W242" s="883"/>
      <c r="X242" s="883"/>
      <c r="Y242" s="883"/>
      <c r="Z242" s="883"/>
      <c r="AA242" s="884"/>
      <c r="AB242" s="653"/>
      <c r="AC242" s="875"/>
      <c r="AD242" s="875"/>
      <c r="AE242" s="875"/>
      <c r="AF242" s="875"/>
      <c r="AG242" s="875"/>
      <c r="AH242" s="875"/>
      <c r="AI242" s="875"/>
      <c r="AJ242" s="875"/>
      <c r="AK242" s="875"/>
      <c r="AL242" s="875"/>
      <c r="AM242" s="875"/>
      <c r="AN242" s="875"/>
      <c r="AO242" s="875"/>
      <c r="AP242" s="875"/>
      <c r="AQ242" s="875"/>
      <c r="AR242" s="875"/>
      <c r="AS242" s="875"/>
      <c r="AT242" s="875"/>
      <c r="AU242" s="875"/>
      <c r="AV242" s="875"/>
      <c r="AW242" s="875"/>
      <c r="AX242" s="875"/>
      <c r="AY242" s="875"/>
      <c r="AZ242" s="875"/>
      <c r="BA242" s="875"/>
      <c r="BB242" s="875"/>
      <c r="BC242" s="875"/>
      <c r="BD242" s="875"/>
      <c r="BE242" s="875"/>
      <c r="BF242" s="875"/>
      <c r="BG242" s="875"/>
      <c r="BH242" s="875"/>
      <c r="BI242" s="875"/>
      <c r="BJ242" s="875"/>
      <c r="BK242" s="875"/>
      <c r="BL242" s="875"/>
      <c r="BM242" s="875"/>
      <c r="BN242" s="875"/>
      <c r="BO242" s="875"/>
      <c r="BP242" s="875"/>
      <c r="BQ242" s="875"/>
      <c r="BR242" s="875"/>
      <c r="BS242" s="875"/>
      <c r="BT242" s="875"/>
      <c r="BU242" s="875"/>
      <c r="BV242" s="875"/>
      <c r="BW242" s="875"/>
      <c r="BX242" s="875"/>
      <c r="BY242" s="875"/>
      <c r="BZ242" s="875"/>
      <c r="CA242" s="875"/>
      <c r="CB242" s="654"/>
      <c r="CE242" s="698"/>
      <c r="CF242" s="699"/>
      <c r="CG242" s="699"/>
      <c r="CH242" s="699"/>
      <c r="CI242" s="699"/>
      <c r="CJ242" s="699"/>
      <c r="CK242" s="699"/>
      <c r="CL242" s="699"/>
      <c r="CM242" s="699"/>
      <c r="CN242" s="699"/>
      <c r="CO242" s="699"/>
      <c r="CP242" s="699"/>
      <c r="CQ242" s="699"/>
      <c r="CR242" s="699"/>
      <c r="CS242" s="700"/>
      <c r="DG242" s="10"/>
      <c r="DH242" s="10"/>
      <c r="DI242" s="10"/>
      <c r="DJ242" s="10"/>
      <c r="DK242" s="13"/>
      <c r="DL242" s="13"/>
      <c r="DM242" s="13"/>
    </row>
    <row r="243" spans="2:117" ht="11.25" customHeight="1">
      <c r="B243" s="152"/>
      <c r="C243" s="882"/>
      <c r="D243" s="883"/>
      <c r="E243" s="883"/>
      <c r="F243" s="883"/>
      <c r="G243" s="883"/>
      <c r="H243" s="883"/>
      <c r="I243" s="883"/>
      <c r="J243" s="883"/>
      <c r="K243" s="883"/>
      <c r="L243" s="883"/>
      <c r="M243" s="883"/>
      <c r="N243" s="883"/>
      <c r="O243" s="883"/>
      <c r="P243" s="883"/>
      <c r="Q243" s="883"/>
      <c r="R243" s="883"/>
      <c r="S243" s="883"/>
      <c r="T243" s="883"/>
      <c r="U243" s="883"/>
      <c r="V243" s="883"/>
      <c r="W243" s="883"/>
      <c r="X243" s="883"/>
      <c r="Y243" s="883"/>
      <c r="Z243" s="883"/>
      <c r="AA243" s="884"/>
      <c r="AB243" s="653"/>
      <c r="AC243" s="875"/>
      <c r="AD243" s="875"/>
      <c r="AE243" s="875"/>
      <c r="AF243" s="875"/>
      <c r="AG243" s="875"/>
      <c r="AH243" s="875"/>
      <c r="AI243" s="875"/>
      <c r="AJ243" s="875"/>
      <c r="AK243" s="875"/>
      <c r="AL243" s="875"/>
      <c r="AM243" s="875"/>
      <c r="AN243" s="875"/>
      <c r="AO243" s="875"/>
      <c r="AP243" s="875"/>
      <c r="AQ243" s="875"/>
      <c r="AR243" s="875"/>
      <c r="AS243" s="875"/>
      <c r="AT243" s="875"/>
      <c r="AU243" s="875"/>
      <c r="AV243" s="875"/>
      <c r="AW243" s="875"/>
      <c r="AX243" s="875"/>
      <c r="AY243" s="875"/>
      <c r="AZ243" s="875"/>
      <c r="BA243" s="875"/>
      <c r="BB243" s="875"/>
      <c r="BC243" s="875"/>
      <c r="BD243" s="875"/>
      <c r="BE243" s="875"/>
      <c r="BF243" s="875"/>
      <c r="BG243" s="875"/>
      <c r="BH243" s="875"/>
      <c r="BI243" s="875"/>
      <c r="BJ243" s="875"/>
      <c r="BK243" s="875"/>
      <c r="BL243" s="875"/>
      <c r="BM243" s="875"/>
      <c r="BN243" s="875"/>
      <c r="BO243" s="875"/>
      <c r="BP243" s="875"/>
      <c r="BQ243" s="875"/>
      <c r="BR243" s="875"/>
      <c r="BS243" s="875"/>
      <c r="BT243" s="875"/>
      <c r="BU243" s="875"/>
      <c r="BV243" s="875"/>
      <c r="BW243" s="875"/>
      <c r="BX243" s="875"/>
      <c r="BY243" s="875"/>
      <c r="BZ243" s="875"/>
      <c r="CA243" s="875"/>
      <c r="CB243" s="654"/>
      <c r="CE243" s="698"/>
      <c r="CF243" s="699"/>
      <c r="CG243" s="699"/>
      <c r="CH243" s="699"/>
      <c r="CI243" s="699"/>
      <c r="CJ243" s="699"/>
      <c r="CK243" s="699"/>
      <c r="CL243" s="699"/>
      <c r="CM243" s="699"/>
      <c r="CN243" s="699"/>
      <c r="CO243" s="699"/>
      <c r="CP243" s="699"/>
      <c r="CQ243" s="699"/>
      <c r="CR243" s="699"/>
      <c r="CS243" s="700"/>
      <c r="DG243" s="10"/>
      <c r="DH243" s="10"/>
      <c r="DI243" s="10"/>
      <c r="DJ243" s="10"/>
      <c r="DK243" s="13"/>
      <c r="DL243" s="13"/>
      <c r="DM243" s="13"/>
    </row>
    <row r="244" spans="2:117" ht="11.25" customHeight="1" thickBot="1">
      <c r="B244" s="316"/>
      <c r="C244" s="882"/>
      <c r="D244" s="883"/>
      <c r="E244" s="883"/>
      <c r="F244" s="883"/>
      <c r="G244" s="883"/>
      <c r="H244" s="883"/>
      <c r="I244" s="883"/>
      <c r="J244" s="883"/>
      <c r="K244" s="883"/>
      <c r="L244" s="883"/>
      <c r="M244" s="883"/>
      <c r="N244" s="883"/>
      <c r="O244" s="883"/>
      <c r="P244" s="883"/>
      <c r="Q244" s="883"/>
      <c r="R244" s="883"/>
      <c r="S244" s="883"/>
      <c r="T244" s="883"/>
      <c r="U244" s="883"/>
      <c r="V244" s="883"/>
      <c r="W244" s="883"/>
      <c r="X244" s="883"/>
      <c r="Y244" s="883"/>
      <c r="Z244" s="883"/>
      <c r="AA244" s="884"/>
      <c r="AB244" s="653"/>
      <c r="AC244" s="875"/>
      <c r="AD244" s="875"/>
      <c r="AE244" s="875"/>
      <c r="AF244" s="875"/>
      <c r="AG244" s="875"/>
      <c r="AH244" s="875"/>
      <c r="AI244" s="875"/>
      <c r="AJ244" s="875"/>
      <c r="AK244" s="875"/>
      <c r="AL244" s="875"/>
      <c r="AM244" s="875"/>
      <c r="AN244" s="875"/>
      <c r="AO244" s="875"/>
      <c r="AP244" s="875"/>
      <c r="AQ244" s="875"/>
      <c r="AR244" s="875"/>
      <c r="AS244" s="875"/>
      <c r="AT244" s="875"/>
      <c r="AU244" s="875"/>
      <c r="AV244" s="875"/>
      <c r="AW244" s="875"/>
      <c r="AX244" s="875"/>
      <c r="AY244" s="875"/>
      <c r="AZ244" s="875"/>
      <c r="BA244" s="875"/>
      <c r="BB244" s="875"/>
      <c r="BC244" s="875"/>
      <c r="BD244" s="875"/>
      <c r="BE244" s="875"/>
      <c r="BF244" s="875"/>
      <c r="BG244" s="875"/>
      <c r="BH244" s="875"/>
      <c r="BI244" s="875"/>
      <c r="BJ244" s="875"/>
      <c r="BK244" s="875"/>
      <c r="BL244" s="875"/>
      <c r="BM244" s="875"/>
      <c r="BN244" s="875"/>
      <c r="BO244" s="875"/>
      <c r="BP244" s="875"/>
      <c r="BQ244" s="875"/>
      <c r="BR244" s="875"/>
      <c r="BS244" s="875"/>
      <c r="BT244" s="875"/>
      <c r="BU244" s="875"/>
      <c r="BV244" s="875"/>
      <c r="BW244" s="875"/>
      <c r="BX244" s="875"/>
      <c r="BY244" s="875"/>
      <c r="BZ244" s="875"/>
      <c r="CA244" s="875"/>
      <c r="CB244" s="654"/>
      <c r="CE244" s="701"/>
      <c r="CF244" s="702"/>
      <c r="CG244" s="702"/>
      <c r="CH244" s="702"/>
      <c r="CI244" s="702"/>
      <c r="CJ244" s="702"/>
      <c r="CK244" s="702"/>
      <c r="CL244" s="702"/>
      <c r="CM244" s="702"/>
      <c r="CN244" s="702"/>
      <c r="CO244" s="702"/>
      <c r="CP244" s="702"/>
      <c r="CQ244" s="702"/>
      <c r="CR244" s="702"/>
      <c r="CS244" s="703"/>
      <c r="DG244" s="10"/>
      <c r="DH244" s="10"/>
      <c r="DI244" s="10"/>
      <c r="DJ244" s="10"/>
      <c r="DK244" s="13"/>
      <c r="DL244" s="13"/>
      <c r="DM244" s="13"/>
    </row>
    <row r="245" spans="2:117" ht="11.25" customHeight="1">
      <c r="B245" s="205"/>
      <c r="C245" s="882"/>
      <c r="D245" s="883"/>
      <c r="E245" s="883"/>
      <c r="F245" s="883"/>
      <c r="G245" s="883"/>
      <c r="H245" s="883"/>
      <c r="I245" s="883"/>
      <c r="J245" s="883"/>
      <c r="K245" s="883"/>
      <c r="L245" s="883"/>
      <c r="M245" s="883"/>
      <c r="N245" s="883"/>
      <c r="O245" s="883"/>
      <c r="P245" s="883"/>
      <c r="Q245" s="883"/>
      <c r="R245" s="883"/>
      <c r="S245" s="883"/>
      <c r="T245" s="883"/>
      <c r="U245" s="883"/>
      <c r="V245" s="883"/>
      <c r="W245" s="883"/>
      <c r="X245" s="883"/>
      <c r="Y245" s="883"/>
      <c r="Z245" s="883"/>
      <c r="AA245" s="884"/>
      <c r="AB245" s="653"/>
      <c r="AC245" s="875"/>
      <c r="AD245" s="875"/>
      <c r="AE245" s="875"/>
      <c r="AF245" s="875"/>
      <c r="AG245" s="875"/>
      <c r="AH245" s="875"/>
      <c r="AI245" s="875"/>
      <c r="AJ245" s="875"/>
      <c r="AK245" s="875"/>
      <c r="AL245" s="875"/>
      <c r="AM245" s="875"/>
      <c r="AN245" s="875"/>
      <c r="AO245" s="875"/>
      <c r="AP245" s="875"/>
      <c r="AQ245" s="875"/>
      <c r="AR245" s="875"/>
      <c r="AS245" s="875"/>
      <c r="AT245" s="875"/>
      <c r="AU245" s="875"/>
      <c r="AV245" s="875"/>
      <c r="AW245" s="875"/>
      <c r="AX245" s="875"/>
      <c r="AY245" s="875"/>
      <c r="AZ245" s="875"/>
      <c r="BA245" s="875"/>
      <c r="BB245" s="875"/>
      <c r="BC245" s="875"/>
      <c r="BD245" s="875"/>
      <c r="BE245" s="875"/>
      <c r="BF245" s="875"/>
      <c r="BG245" s="875"/>
      <c r="BH245" s="875"/>
      <c r="BI245" s="875"/>
      <c r="BJ245" s="875"/>
      <c r="BK245" s="875"/>
      <c r="BL245" s="875"/>
      <c r="BM245" s="875"/>
      <c r="BN245" s="875"/>
      <c r="BO245" s="875"/>
      <c r="BP245" s="875"/>
      <c r="BQ245" s="875"/>
      <c r="BR245" s="875"/>
      <c r="BS245" s="875"/>
      <c r="BT245" s="875"/>
      <c r="BU245" s="875"/>
      <c r="BV245" s="875"/>
      <c r="BW245" s="875"/>
      <c r="BX245" s="875"/>
      <c r="BY245" s="875"/>
      <c r="BZ245" s="875"/>
      <c r="CA245" s="875"/>
      <c r="CB245" s="654"/>
      <c r="DG245" s="10"/>
      <c r="DH245" s="10"/>
      <c r="DI245" s="10"/>
      <c r="DJ245" s="10"/>
      <c r="DK245" s="13"/>
      <c r="DL245" s="13"/>
      <c r="DM245" s="13"/>
    </row>
    <row r="246" spans="2:117" ht="11.25" customHeight="1">
      <c r="B246" s="205"/>
      <c r="C246" s="882"/>
      <c r="D246" s="883"/>
      <c r="E246" s="883"/>
      <c r="F246" s="883"/>
      <c r="G246" s="883"/>
      <c r="H246" s="883"/>
      <c r="I246" s="883"/>
      <c r="J246" s="883"/>
      <c r="K246" s="883"/>
      <c r="L246" s="883"/>
      <c r="M246" s="883"/>
      <c r="N246" s="883"/>
      <c r="O246" s="883"/>
      <c r="P246" s="883"/>
      <c r="Q246" s="883"/>
      <c r="R246" s="883"/>
      <c r="S246" s="883"/>
      <c r="T246" s="883"/>
      <c r="U246" s="883"/>
      <c r="V246" s="883"/>
      <c r="W246" s="883"/>
      <c r="X246" s="883"/>
      <c r="Y246" s="883"/>
      <c r="Z246" s="883"/>
      <c r="AA246" s="884"/>
      <c r="AB246" s="653"/>
      <c r="AC246" s="875"/>
      <c r="AD246" s="875"/>
      <c r="AE246" s="875"/>
      <c r="AF246" s="875"/>
      <c r="AG246" s="875"/>
      <c r="AH246" s="875"/>
      <c r="AI246" s="875"/>
      <c r="AJ246" s="875"/>
      <c r="AK246" s="875"/>
      <c r="AL246" s="875"/>
      <c r="AM246" s="875"/>
      <c r="AN246" s="875"/>
      <c r="AO246" s="875"/>
      <c r="AP246" s="875"/>
      <c r="AQ246" s="875"/>
      <c r="AR246" s="875"/>
      <c r="AS246" s="875"/>
      <c r="AT246" s="875"/>
      <c r="AU246" s="875"/>
      <c r="AV246" s="875"/>
      <c r="AW246" s="875"/>
      <c r="AX246" s="875"/>
      <c r="AY246" s="875"/>
      <c r="AZ246" s="875"/>
      <c r="BA246" s="875"/>
      <c r="BB246" s="875"/>
      <c r="BC246" s="875"/>
      <c r="BD246" s="875"/>
      <c r="BE246" s="875"/>
      <c r="BF246" s="875"/>
      <c r="BG246" s="875"/>
      <c r="BH246" s="875"/>
      <c r="BI246" s="875"/>
      <c r="BJ246" s="875"/>
      <c r="BK246" s="875"/>
      <c r="BL246" s="875"/>
      <c r="BM246" s="875"/>
      <c r="BN246" s="875"/>
      <c r="BO246" s="875"/>
      <c r="BP246" s="875"/>
      <c r="BQ246" s="875"/>
      <c r="BR246" s="875"/>
      <c r="BS246" s="875"/>
      <c r="BT246" s="875"/>
      <c r="BU246" s="875"/>
      <c r="BV246" s="875"/>
      <c r="BW246" s="875"/>
      <c r="BX246" s="875"/>
      <c r="BY246" s="875"/>
      <c r="BZ246" s="875"/>
      <c r="CA246" s="875"/>
      <c r="CB246" s="654"/>
      <c r="DG246" s="10"/>
      <c r="DH246" s="10"/>
      <c r="DI246" s="10"/>
      <c r="DJ246" s="10"/>
      <c r="DK246" s="13"/>
      <c r="DL246" s="13"/>
      <c r="DM246" s="13"/>
    </row>
    <row r="247" spans="2:117" ht="11.25" customHeight="1">
      <c r="B247" s="205"/>
      <c r="C247" s="885"/>
      <c r="D247" s="886"/>
      <c r="E247" s="886"/>
      <c r="F247" s="886"/>
      <c r="G247" s="886"/>
      <c r="H247" s="886"/>
      <c r="I247" s="886"/>
      <c r="J247" s="886"/>
      <c r="K247" s="886"/>
      <c r="L247" s="886"/>
      <c r="M247" s="886"/>
      <c r="N247" s="886"/>
      <c r="O247" s="886"/>
      <c r="P247" s="886"/>
      <c r="Q247" s="886"/>
      <c r="R247" s="886"/>
      <c r="S247" s="886"/>
      <c r="T247" s="886"/>
      <c r="U247" s="886"/>
      <c r="V247" s="886"/>
      <c r="W247" s="886"/>
      <c r="X247" s="886"/>
      <c r="Y247" s="886"/>
      <c r="Z247" s="886"/>
      <c r="AA247" s="887"/>
      <c r="AB247" s="876"/>
      <c r="AC247" s="877"/>
      <c r="AD247" s="877"/>
      <c r="AE247" s="877"/>
      <c r="AF247" s="877"/>
      <c r="AG247" s="877"/>
      <c r="AH247" s="877"/>
      <c r="AI247" s="877"/>
      <c r="AJ247" s="877"/>
      <c r="AK247" s="877"/>
      <c r="AL247" s="877"/>
      <c r="AM247" s="877"/>
      <c r="AN247" s="877"/>
      <c r="AO247" s="877"/>
      <c r="AP247" s="877"/>
      <c r="AQ247" s="877"/>
      <c r="AR247" s="877"/>
      <c r="AS247" s="877"/>
      <c r="AT247" s="877"/>
      <c r="AU247" s="877"/>
      <c r="AV247" s="877"/>
      <c r="AW247" s="877"/>
      <c r="AX247" s="877"/>
      <c r="AY247" s="877"/>
      <c r="AZ247" s="877"/>
      <c r="BA247" s="877"/>
      <c r="BB247" s="877"/>
      <c r="BC247" s="877"/>
      <c r="BD247" s="877"/>
      <c r="BE247" s="877"/>
      <c r="BF247" s="877"/>
      <c r="BG247" s="877"/>
      <c r="BH247" s="877"/>
      <c r="BI247" s="877"/>
      <c r="BJ247" s="877"/>
      <c r="BK247" s="877"/>
      <c r="BL247" s="877"/>
      <c r="BM247" s="877"/>
      <c r="BN247" s="877"/>
      <c r="BO247" s="877"/>
      <c r="BP247" s="877"/>
      <c r="BQ247" s="877"/>
      <c r="BR247" s="877"/>
      <c r="BS247" s="877"/>
      <c r="BT247" s="877"/>
      <c r="BU247" s="877"/>
      <c r="BV247" s="877"/>
      <c r="BW247" s="877"/>
      <c r="BX247" s="877"/>
      <c r="BY247" s="877"/>
      <c r="BZ247" s="877"/>
      <c r="CA247" s="877"/>
      <c r="CB247" s="878"/>
      <c r="DG247" s="10"/>
      <c r="DH247" s="10"/>
      <c r="DI247" s="10"/>
      <c r="DJ247" s="10"/>
      <c r="DK247" s="13"/>
      <c r="DL247" s="13"/>
      <c r="DM247" s="13"/>
    </row>
    <row r="248" spans="2:117" ht="11.25" customHeight="1">
      <c r="B248" s="314"/>
      <c r="C248" s="790"/>
      <c r="D248" s="791"/>
      <c r="E248" s="791"/>
      <c r="F248" s="791"/>
      <c r="G248" s="791"/>
      <c r="H248" s="791"/>
      <c r="I248" s="791"/>
      <c r="J248" s="791"/>
      <c r="K248" s="791"/>
      <c r="L248" s="791"/>
      <c r="M248" s="791"/>
      <c r="N248" s="791"/>
      <c r="O248" s="791"/>
      <c r="P248" s="791"/>
      <c r="Q248" s="791"/>
      <c r="R248" s="791"/>
      <c r="S248" s="791"/>
      <c r="T248" s="791"/>
      <c r="U248" s="791"/>
      <c r="V248" s="791"/>
      <c r="W248" s="791"/>
      <c r="X248" s="791"/>
      <c r="Y248" s="791"/>
      <c r="Z248" s="791"/>
      <c r="AA248" s="791"/>
      <c r="AB248" s="791"/>
      <c r="AC248" s="791"/>
      <c r="AD248" s="791"/>
      <c r="AE248" s="791"/>
      <c r="AF248" s="791"/>
      <c r="AG248" s="791"/>
      <c r="AH248" s="791"/>
      <c r="AI248" s="791"/>
      <c r="AJ248" s="791"/>
      <c r="AK248" s="791"/>
      <c r="AL248" s="791"/>
      <c r="AM248" s="791"/>
      <c r="AN248" s="791"/>
      <c r="AO248" s="791"/>
      <c r="AP248" s="791"/>
      <c r="AQ248" s="791"/>
      <c r="AR248" s="791"/>
      <c r="AS248" s="791"/>
      <c r="AT248" s="791"/>
      <c r="AU248" s="791"/>
      <c r="AV248" s="791"/>
      <c r="AW248" s="791"/>
      <c r="AX248" s="791"/>
      <c r="AY248" s="791"/>
      <c r="AZ248" s="791"/>
      <c r="BA248" s="791"/>
      <c r="BB248" s="791"/>
      <c r="BC248" s="791"/>
      <c r="BD248" s="791"/>
      <c r="BE248" s="791"/>
      <c r="BF248" s="791"/>
      <c r="BG248" s="791"/>
      <c r="BH248" s="791"/>
      <c r="BI248" s="791"/>
      <c r="BJ248" s="791"/>
      <c r="BK248" s="791"/>
      <c r="BL248" s="791"/>
      <c r="BM248" s="791"/>
      <c r="BN248" s="791"/>
      <c r="BO248" s="791"/>
      <c r="BP248" s="791"/>
      <c r="BQ248" s="791"/>
      <c r="BR248" s="791"/>
      <c r="BS248" s="791"/>
      <c r="BT248" s="791"/>
      <c r="BU248" s="791"/>
      <c r="BV248" s="791"/>
      <c r="BW248" s="791"/>
      <c r="BX248" s="791"/>
      <c r="BY248" s="791"/>
      <c r="BZ248" s="791"/>
      <c r="CA248" s="791"/>
      <c r="CB248" s="792"/>
      <c r="DG248" s="10"/>
      <c r="DH248" s="10"/>
      <c r="DI248" s="10"/>
      <c r="DJ248" s="10"/>
      <c r="DK248" s="13"/>
      <c r="DL248" s="13"/>
      <c r="DM248" s="13"/>
    </row>
    <row r="249" spans="2:117" ht="11.25" customHeight="1">
      <c r="B249" s="314"/>
      <c r="C249" s="793" t="str">
        <f>VLOOKUP(2811,Languages!$A$5:$C$1006,Languages!$A$2,FALSE)</f>
        <v>Attached documents:</v>
      </c>
      <c r="D249" s="794"/>
      <c r="E249" s="794"/>
      <c r="F249" s="794"/>
      <c r="G249" s="794"/>
      <c r="H249" s="794"/>
      <c r="I249" s="794"/>
      <c r="J249" s="794"/>
      <c r="K249" s="794"/>
      <c r="L249" s="794"/>
      <c r="M249" s="794"/>
      <c r="N249" s="794"/>
      <c r="O249" s="794"/>
      <c r="P249" s="794"/>
      <c r="Q249" s="794"/>
      <c r="R249" s="794"/>
      <c r="S249" s="794"/>
      <c r="T249" s="794"/>
      <c r="U249" s="794"/>
      <c r="V249" s="794"/>
      <c r="W249" s="794"/>
      <c r="X249" s="794"/>
      <c r="Y249" s="794"/>
      <c r="Z249" s="794"/>
      <c r="AA249" s="794"/>
      <c r="AB249" s="794"/>
      <c r="AC249" s="794"/>
      <c r="AD249" s="794"/>
      <c r="AE249" s="794"/>
      <c r="AF249" s="794"/>
      <c r="AG249" s="794"/>
      <c r="AH249" s="794"/>
      <c r="AI249" s="794"/>
      <c r="AJ249" s="794"/>
      <c r="AK249" s="794"/>
      <c r="AL249" s="794"/>
      <c r="AM249" s="794"/>
      <c r="AN249" s="794"/>
      <c r="AO249" s="794"/>
      <c r="AP249" s="794"/>
      <c r="AQ249" s="794"/>
      <c r="AR249" s="794"/>
      <c r="AS249" s="794"/>
      <c r="AT249" s="794"/>
      <c r="AU249" s="794"/>
      <c r="AV249" s="794"/>
      <c r="AW249" s="794"/>
      <c r="AX249" s="794"/>
      <c r="AY249" s="794"/>
      <c r="AZ249" s="794"/>
      <c r="BA249" s="794"/>
      <c r="BB249" s="794"/>
      <c r="BC249" s="794"/>
      <c r="BD249" s="794"/>
      <c r="BE249" s="794"/>
      <c r="BF249" s="794"/>
      <c r="BG249" s="794"/>
      <c r="BH249" s="794"/>
      <c r="BI249" s="794"/>
      <c r="BJ249" s="794"/>
      <c r="BK249" s="794"/>
      <c r="BL249" s="794"/>
      <c r="BM249" s="794"/>
      <c r="BN249" s="794"/>
      <c r="BO249" s="794"/>
      <c r="BP249" s="794"/>
      <c r="BQ249" s="794"/>
      <c r="BR249" s="794"/>
      <c r="BS249" s="794"/>
      <c r="BT249" s="794"/>
      <c r="BU249" s="794"/>
      <c r="BV249" s="794"/>
      <c r="BW249" s="794"/>
      <c r="BX249" s="794"/>
      <c r="BY249" s="794"/>
      <c r="BZ249" s="794"/>
      <c r="CA249" s="794"/>
      <c r="CB249" s="795"/>
      <c r="DG249" s="10"/>
      <c r="DH249" s="10"/>
      <c r="DI249" s="10"/>
      <c r="DJ249" s="10"/>
      <c r="DK249" s="13"/>
      <c r="DL249" s="13"/>
      <c r="DM249" s="13"/>
    </row>
    <row r="250" spans="2:117" ht="11.25" customHeight="1">
      <c r="B250" s="150"/>
      <c r="C250" s="796"/>
      <c r="D250" s="797"/>
      <c r="E250" s="797"/>
      <c r="F250" s="797"/>
      <c r="G250" s="797"/>
      <c r="H250" s="797"/>
      <c r="I250" s="797"/>
      <c r="J250" s="797"/>
      <c r="K250" s="797"/>
      <c r="L250" s="797"/>
      <c r="M250" s="797"/>
      <c r="N250" s="797"/>
      <c r="O250" s="797"/>
      <c r="P250" s="797"/>
      <c r="Q250" s="797"/>
      <c r="R250" s="797"/>
      <c r="S250" s="797"/>
      <c r="T250" s="797"/>
      <c r="U250" s="797"/>
      <c r="V250" s="797"/>
      <c r="W250" s="797"/>
      <c r="X250" s="797"/>
      <c r="Y250" s="797"/>
      <c r="Z250" s="797"/>
      <c r="AA250" s="797"/>
      <c r="AB250" s="797"/>
      <c r="AC250" s="797"/>
      <c r="AD250" s="797"/>
      <c r="AE250" s="797"/>
      <c r="AF250" s="797"/>
      <c r="AG250" s="797"/>
      <c r="AH250" s="797"/>
      <c r="AI250" s="797"/>
      <c r="AJ250" s="797"/>
      <c r="AK250" s="797"/>
      <c r="AL250" s="797"/>
      <c r="AM250" s="797"/>
      <c r="AN250" s="797"/>
      <c r="AO250" s="797"/>
      <c r="AP250" s="797"/>
      <c r="AQ250" s="797"/>
      <c r="AR250" s="797"/>
      <c r="AS250" s="797"/>
      <c r="AT250" s="797"/>
      <c r="AU250" s="797"/>
      <c r="AV250" s="797"/>
      <c r="AW250" s="797"/>
      <c r="AX250" s="797"/>
      <c r="AY250" s="797"/>
      <c r="AZ250" s="797"/>
      <c r="BA250" s="797"/>
      <c r="BB250" s="797"/>
      <c r="BC250" s="797"/>
      <c r="BD250" s="797"/>
      <c r="BE250" s="797"/>
      <c r="BF250" s="797"/>
      <c r="BG250" s="797"/>
      <c r="BH250" s="797"/>
      <c r="BI250" s="797"/>
      <c r="BJ250" s="797"/>
      <c r="BK250" s="797"/>
      <c r="BL250" s="797"/>
      <c r="BM250" s="797"/>
      <c r="BN250" s="797"/>
      <c r="BO250" s="797"/>
      <c r="BP250" s="797"/>
      <c r="BQ250" s="797"/>
      <c r="BR250" s="797"/>
      <c r="BS250" s="797"/>
      <c r="BT250" s="797"/>
      <c r="BU250" s="797"/>
      <c r="BV250" s="797"/>
      <c r="BW250" s="797"/>
      <c r="BX250" s="797"/>
      <c r="BY250" s="797"/>
      <c r="BZ250" s="797"/>
      <c r="CA250" s="797"/>
      <c r="CB250" s="798"/>
      <c r="DG250" s="10"/>
      <c r="DH250" s="10"/>
      <c r="DI250" s="10"/>
      <c r="DJ250" s="10"/>
      <c r="DK250" s="13"/>
      <c r="DL250" s="13"/>
      <c r="DM250" s="13"/>
    </row>
    <row r="251" spans="2:117" ht="11.25" customHeight="1">
      <c r="B251" s="150"/>
      <c r="C251" s="799"/>
      <c r="D251" s="800"/>
      <c r="E251" s="800"/>
      <c r="F251" s="800"/>
      <c r="G251" s="800"/>
      <c r="H251" s="800"/>
      <c r="I251" s="800"/>
      <c r="J251" s="800"/>
      <c r="K251" s="800"/>
      <c r="L251" s="800"/>
      <c r="M251" s="800"/>
      <c r="N251" s="800"/>
      <c r="O251" s="800"/>
      <c r="P251" s="800"/>
      <c r="Q251" s="800"/>
      <c r="R251" s="800"/>
      <c r="S251" s="800"/>
      <c r="T251" s="800"/>
      <c r="U251" s="800"/>
      <c r="V251" s="800"/>
      <c r="W251" s="800"/>
      <c r="X251" s="800"/>
      <c r="Y251" s="800"/>
      <c r="Z251" s="800"/>
      <c r="AA251" s="800"/>
      <c r="AB251" s="800"/>
      <c r="AC251" s="800"/>
      <c r="AD251" s="800"/>
      <c r="AE251" s="800"/>
      <c r="AF251" s="800"/>
      <c r="AG251" s="800"/>
      <c r="AH251" s="800"/>
      <c r="AI251" s="800"/>
      <c r="AJ251" s="800"/>
      <c r="AK251" s="800"/>
      <c r="AL251" s="800"/>
      <c r="AM251" s="800"/>
      <c r="AN251" s="800"/>
      <c r="AO251" s="800"/>
      <c r="AP251" s="800"/>
      <c r="AQ251" s="800"/>
      <c r="AR251" s="800"/>
      <c r="AS251" s="800"/>
      <c r="AT251" s="800"/>
      <c r="AU251" s="800"/>
      <c r="AV251" s="800"/>
      <c r="AW251" s="800"/>
      <c r="AX251" s="800"/>
      <c r="AY251" s="800"/>
      <c r="AZ251" s="800"/>
      <c r="BA251" s="800"/>
      <c r="BB251" s="800"/>
      <c r="BC251" s="800"/>
      <c r="BD251" s="800"/>
      <c r="BE251" s="800"/>
      <c r="BF251" s="800"/>
      <c r="BG251" s="800"/>
      <c r="BH251" s="800"/>
      <c r="BI251" s="800"/>
      <c r="BJ251" s="800"/>
      <c r="BK251" s="800"/>
      <c r="BL251" s="800"/>
      <c r="BM251" s="800"/>
      <c r="BN251" s="800"/>
      <c r="BO251" s="800"/>
      <c r="BP251" s="800"/>
      <c r="BQ251" s="800"/>
      <c r="BR251" s="800"/>
      <c r="BS251" s="800"/>
      <c r="BT251" s="800"/>
      <c r="BU251" s="800"/>
      <c r="BV251" s="800"/>
      <c r="BW251" s="800"/>
      <c r="BX251" s="800"/>
      <c r="BY251" s="800"/>
      <c r="BZ251" s="800"/>
      <c r="CA251" s="800"/>
      <c r="CB251" s="801"/>
      <c r="DG251" s="10"/>
      <c r="DH251" s="10"/>
      <c r="DI251" s="10"/>
      <c r="DJ251" s="10"/>
      <c r="DK251" s="13"/>
      <c r="DL251" s="13"/>
      <c r="DM251" s="13"/>
    </row>
    <row r="252" spans="2:117" ht="11.25" customHeight="1">
      <c r="B252" s="150"/>
      <c r="C252" s="799"/>
      <c r="D252" s="800"/>
      <c r="E252" s="800"/>
      <c r="F252" s="800"/>
      <c r="G252" s="800"/>
      <c r="H252" s="800"/>
      <c r="I252" s="800"/>
      <c r="J252" s="800"/>
      <c r="K252" s="800"/>
      <c r="L252" s="800"/>
      <c r="M252" s="800"/>
      <c r="N252" s="800"/>
      <c r="O252" s="800"/>
      <c r="P252" s="800"/>
      <c r="Q252" s="800"/>
      <c r="R252" s="800"/>
      <c r="S252" s="800"/>
      <c r="T252" s="800"/>
      <c r="U252" s="800"/>
      <c r="V252" s="800"/>
      <c r="W252" s="800"/>
      <c r="X252" s="800"/>
      <c r="Y252" s="800"/>
      <c r="Z252" s="800"/>
      <c r="AA252" s="800"/>
      <c r="AB252" s="800"/>
      <c r="AC252" s="800"/>
      <c r="AD252" s="800"/>
      <c r="AE252" s="800"/>
      <c r="AF252" s="800"/>
      <c r="AG252" s="800"/>
      <c r="AH252" s="800"/>
      <c r="AI252" s="800"/>
      <c r="AJ252" s="800"/>
      <c r="AK252" s="800"/>
      <c r="AL252" s="800"/>
      <c r="AM252" s="800"/>
      <c r="AN252" s="800"/>
      <c r="AO252" s="800"/>
      <c r="AP252" s="800"/>
      <c r="AQ252" s="800"/>
      <c r="AR252" s="800"/>
      <c r="AS252" s="800"/>
      <c r="AT252" s="800"/>
      <c r="AU252" s="800"/>
      <c r="AV252" s="800"/>
      <c r="AW252" s="800"/>
      <c r="AX252" s="800"/>
      <c r="AY252" s="800"/>
      <c r="AZ252" s="800"/>
      <c r="BA252" s="800"/>
      <c r="BB252" s="800"/>
      <c r="BC252" s="800"/>
      <c r="BD252" s="800"/>
      <c r="BE252" s="800"/>
      <c r="BF252" s="800"/>
      <c r="BG252" s="800"/>
      <c r="BH252" s="800"/>
      <c r="BI252" s="800"/>
      <c r="BJ252" s="800"/>
      <c r="BK252" s="800"/>
      <c r="BL252" s="800"/>
      <c r="BM252" s="800"/>
      <c r="BN252" s="800"/>
      <c r="BO252" s="800"/>
      <c r="BP252" s="800"/>
      <c r="BQ252" s="800"/>
      <c r="BR252" s="800"/>
      <c r="BS252" s="800"/>
      <c r="BT252" s="800"/>
      <c r="BU252" s="800"/>
      <c r="BV252" s="800"/>
      <c r="BW252" s="800"/>
      <c r="BX252" s="800"/>
      <c r="BY252" s="800"/>
      <c r="BZ252" s="800"/>
      <c r="CA252" s="800"/>
      <c r="CB252" s="801"/>
      <c r="DG252" s="10"/>
      <c r="DH252" s="10"/>
      <c r="DI252" s="10"/>
      <c r="DJ252" s="10"/>
      <c r="DK252" s="13"/>
      <c r="DL252" s="13"/>
      <c r="DM252" s="13"/>
    </row>
    <row r="253" spans="2:117" ht="11.25" customHeight="1">
      <c r="B253" s="150"/>
      <c r="C253" s="799"/>
      <c r="D253" s="800"/>
      <c r="E253" s="800"/>
      <c r="F253" s="800"/>
      <c r="G253" s="800"/>
      <c r="H253" s="800"/>
      <c r="I253" s="800"/>
      <c r="J253" s="800"/>
      <c r="K253" s="800"/>
      <c r="L253" s="800"/>
      <c r="M253" s="800"/>
      <c r="N253" s="800"/>
      <c r="O253" s="800"/>
      <c r="P253" s="800"/>
      <c r="Q253" s="800"/>
      <c r="R253" s="800"/>
      <c r="S253" s="800"/>
      <c r="T253" s="800"/>
      <c r="U253" s="800"/>
      <c r="V253" s="800"/>
      <c r="W253" s="800"/>
      <c r="X253" s="800"/>
      <c r="Y253" s="800"/>
      <c r="Z253" s="800"/>
      <c r="AA253" s="800"/>
      <c r="AB253" s="800"/>
      <c r="AC253" s="800"/>
      <c r="AD253" s="800"/>
      <c r="AE253" s="800"/>
      <c r="AF253" s="800"/>
      <c r="AG253" s="800"/>
      <c r="AH253" s="800"/>
      <c r="AI253" s="800"/>
      <c r="AJ253" s="800"/>
      <c r="AK253" s="800"/>
      <c r="AL253" s="800"/>
      <c r="AM253" s="800"/>
      <c r="AN253" s="800"/>
      <c r="AO253" s="800"/>
      <c r="AP253" s="800"/>
      <c r="AQ253" s="800"/>
      <c r="AR253" s="800"/>
      <c r="AS253" s="800"/>
      <c r="AT253" s="800"/>
      <c r="AU253" s="800"/>
      <c r="AV253" s="800"/>
      <c r="AW253" s="800"/>
      <c r="AX253" s="800"/>
      <c r="AY253" s="800"/>
      <c r="AZ253" s="800"/>
      <c r="BA253" s="800"/>
      <c r="BB253" s="800"/>
      <c r="BC253" s="800"/>
      <c r="BD253" s="800"/>
      <c r="BE253" s="800"/>
      <c r="BF253" s="800"/>
      <c r="BG253" s="800"/>
      <c r="BH253" s="800"/>
      <c r="BI253" s="800"/>
      <c r="BJ253" s="800"/>
      <c r="BK253" s="800"/>
      <c r="BL253" s="800"/>
      <c r="BM253" s="800"/>
      <c r="BN253" s="800"/>
      <c r="BO253" s="800"/>
      <c r="BP253" s="800"/>
      <c r="BQ253" s="800"/>
      <c r="BR253" s="800"/>
      <c r="BS253" s="800"/>
      <c r="BT253" s="800"/>
      <c r="BU253" s="800"/>
      <c r="BV253" s="800"/>
      <c r="BW253" s="800"/>
      <c r="BX253" s="800"/>
      <c r="BY253" s="800"/>
      <c r="BZ253" s="800"/>
      <c r="CA253" s="800"/>
      <c r="CB253" s="801"/>
      <c r="DG253" s="10"/>
      <c r="DH253" s="10"/>
      <c r="DI253" s="10"/>
      <c r="DJ253" s="10"/>
      <c r="DK253" s="13"/>
      <c r="DL253" s="13"/>
      <c r="DM253" s="13"/>
    </row>
    <row r="254" spans="2:117" ht="11.25" customHeight="1">
      <c r="B254" s="150"/>
      <c r="C254" s="799"/>
      <c r="D254" s="800"/>
      <c r="E254" s="800"/>
      <c r="F254" s="800"/>
      <c r="G254" s="800"/>
      <c r="H254" s="800"/>
      <c r="I254" s="800"/>
      <c r="J254" s="800"/>
      <c r="K254" s="800"/>
      <c r="L254" s="800"/>
      <c r="M254" s="800"/>
      <c r="N254" s="800"/>
      <c r="O254" s="800"/>
      <c r="P254" s="800"/>
      <c r="Q254" s="800"/>
      <c r="R254" s="800"/>
      <c r="S254" s="800"/>
      <c r="T254" s="800"/>
      <c r="U254" s="800"/>
      <c r="V254" s="800"/>
      <c r="W254" s="800"/>
      <c r="X254" s="800"/>
      <c r="Y254" s="800"/>
      <c r="Z254" s="800"/>
      <c r="AA254" s="800"/>
      <c r="AB254" s="800"/>
      <c r="AC254" s="800"/>
      <c r="AD254" s="800"/>
      <c r="AE254" s="800"/>
      <c r="AF254" s="800"/>
      <c r="AG254" s="800"/>
      <c r="AH254" s="800"/>
      <c r="AI254" s="800"/>
      <c r="AJ254" s="800"/>
      <c r="AK254" s="800"/>
      <c r="AL254" s="800"/>
      <c r="AM254" s="800"/>
      <c r="AN254" s="800"/>
      <c r="AO254" s="800"/>
      <c r="AP254" s="800"/>
      <c r="AQ254" s="800"/>
      <c r="AR254" s="800"/>
      <c r="AS254" s="800"/>
      <c r="AT254" s="800"/>
      <c r="AU254" s="800"/>
      <c r="AV254" s="800"/>
      <c r="AW254" s="800"/>
      <c r="AX254" s="800"/>
      <c r="AY254" s="800"/>
      <c r="AZ254" s="800"/>
      <c r="BA254" s="800"/>
      <c r="BB254" s="800"/>
      <c r="BC254" s="800"/>
      <c r="BD254" s="800"/>
      <c r="BE254" s="800"/>
      <c r="BF254" s="800"/>
      <c r="BG254" s="800"/>
      <c r="BH254" s="800"/>
      <c r="BI254" s="800"/>
      <c r="BJ254" s="800"/>
      <c r="BK254" s="800"/>
      <c r="BL254" s="800"/>
      <c r="BM254" s="800"/>
      <c r="BN254" s="800"/>
      <c r="BO254" s="800"/>
      <c r="BP254" s="800"/>
      <c r="BQ254" s="800"/>
      <c r="BR254" s="800"/>
      <c r="BS254" s="800"/>
      <c r="BT254" s="800"/>
      <c r="BU254" s="800"/>
      <c r="BV254" s="800"/>
      <c r="BW254" s="800"/>
      <c r="BX254" s="800"/>
      <c r="BY254" s="800"/>
      <c r="BZ254" s="800"/>
      <c r="CA254" s="800"/>
      <c r="CB254" s="801"/>
      <c r="DG254" s="10"/>
      <c r="DH254" s="10"/>
      <c r="DI254" s="10"/>
      <c r="DJ254" s="10"/>
      <c r="DK254" s="13"/>
      <c r="DL254" s="13"/>
      <c r="DM254" s="13"/>
    </row>
    <row r="255" spans="2:117" ht="11.25" customHeight="1">
      <c r="B255" s="150"/>
      <c r="C255" s="799"/>
      <c r="D255" s="800"/>
      <c r="E255" s="800"/>
      <c r="F255" s="800"/>
      <c r="G255" s="800"/>
      <c r="H255" s="800"/>
      <c r="I255" s="800"/>
      <c r="J255" s="800"/>
      <c r="K255" s="800"/>
      <c r="L255" s="800"/>
      <c r="M255" s="800"/>
      <c r="N255" s="800"/>
      <c r="O255" s="800"/>
      <c r="P255" s="800"/>
      <c r="Q255" s="800"/>
      <c r="R255" s="800"/>
      <c r="S255" s="800"/>
      <c r="T255" s="800"/>
      <c r="U255" s="800"/>
      <c r="V255" s="800"/>
      <c r="W255" s="800"/>
      <c r="X255" s="800"/>
      <c r="Y255" s="800"/>
      <c r="Z255" s="800"/>
      <c r="AA255" s="800"/>
      <c r="AB255" s="800"/>
      <c r="AC255" s="800"/>
      <c r="AD255" s="800"/>
      <c r="AE255" s="800"/>
      <c r="AF255" s="800"/>
      <c r="AG255" s="800"/>
      <c r="AH255" s="800"/>
      <c r="AI255" s="800"/>
      <c r="AJ255" s="800"/>
      <c r="AK255" s="800"/>
      <c r="AL255" s="800"/>
      <c r="AM255" s="800"/>
      <c r="AN255" s="800"/>
      <c r="AO255" s="800"/>
      <c r="AP255" s="800"/>
      <c r="AQ255" s="800"/>
      <c r="AR255" s="800"/>
      <c r="AS255" s="800"/>
      <c r="AT255" s="800"/>
      <c r="AU255" s="800"/>
      <c r="AV255" s="800"/>
      <c r="AW255" s="800"/>
      <c r="AX255" s="800"/>
      <c r="AY255" s="800"/>
      <c r="AZ255" s="800"/>
      <c r="BA255" s="800"/>
      <c r="BB255" s="800"/>
      <c r="BC255" s="800"/>
      <c r="BD255" s="800"/>
      <c r="BE255" s="800"/>
      <c r="BF255" s="800"/>
      <c r="BG255" s="800"/>
      <c r="BH255" s="800"/>
      <c r="BI255" s="800"/>
      <c r="BJ255" s="800"/>
      <c r="BK255" s="800"/>
      <c r="BL255" s="800"/>
      <c r="BM255" s="800"/>
      <c r="BN255" s="800"/>
      <c r="BO255" s="800"/>
      <c r="BP255" s="800"/>
      <c r="BQ255" s="800"/>
      <c r="BR255" s="800"/>
      <c r="BS255" s="800"/>
      <c r="BT255" s="800"/>
      <c r="BU255" s="800"/>
      <c r="BV255" s="800"/>
      <c r="BW255" s="800"/>
      <c r="BX255" s="800"/>
      <c r="BY255" s="800"/>
      <c r="BZ255" s="800"/>
      <c r="CA255" s="800"/>
      <c r="CB255" s="801"/>
      <c r="DG255" s="10"/>
      <c r="DH255" s="10"/>
      <c r="DI255" s="10"/>
      <c r="DJ255" s="10"/>
      <c r="DK255" s="13"/>
      <c r="DL255" s="13"/>
      <c r="DM255" s="13"/>
    </row>
    <row r="256" spans="2:117" ht="11.25" customHeight="1">
      <c r="B256" s="150"/>
      <c r="C256" s="799"/>
      <c r="D256" s="800"/>
      <c r="E256" s="800"/>
      <c r="F256" s="800"/>
      <c r="G256" s="800"/>
      <c r="H256" s="800"/>
      <c r="I256" s="800"/>
      <c r="J256" s="800"/>
      <c r="K256" s="800"/>
      <c r="L256" s="800"/>
      <c r="M256" s="800"/>
      <c r="N256" s="800"/>
      <c r="O256" s="800"/>
      <c r="P256" s="800"/>
      <c r="Q256" s="800"/>
      <c r="R256" s="800"/>
      <c r="S256" s="800"/>
      <c r="T256" s="800"/>
      <c r="U256" s="800"/>
      <c r="V256" s="800"/>
      <c r="W256" s="800"/>
      <c r="X256" s="800"/>
      <c r="Y256" s="800"/>
      <c r="Z256" s="800"/>
      <c r="AA256" s="800"/>
      <c r="AB256" s="800"/>
      <c r="AC256" s="800"/>
      <c r="AD256" s="800"/>
      <c r="AE256" s="800"/>
      <c r="AF256" s="800"/>
      <c r="AG256" s="800"/>
      <c r="AH256" s="800"/>
      <c r="AI256" s="800"/>
      <c r="AJ256" s="800"/>
      <c r="AK256" s="800"/>
      <c r="AL256" s="800"/>
      <c r="AM256" s="800"/>
      <c r="AN256" s="800"/>
      <c r="AO256" s="800"/>
      <c r="AP256" s="800"/>
      <c r="AQ256" s="800"/>
      <c r="AR256" s="800"/>
      <c r="AS256" s="800"/>
      <c r="AT256" s="800"/>
      <c r="AU256" s="800"/>
      <c r="AV256" s="800"/>
      <c r="AW256" s="800"/>
      <c r="AX256" s="800"/>
      <c r="AY256" s="800"/>
      <c r="AZ256" s="800"/>
      <c r="BA256" s="800"/>
      <c r="BB256" s="800"/>
      <c r="BC256" s="800"/>
      <c r="BD256" s="800"/>
      <c r="BE256" s="800"/>
      <c r="BF256" s="800"/>
      <c r="BG256" s="800"/>
      <c r="BH256" s="800"/>
      <c r="BI256" s="800"/>
      <c r="BJ256" s="800"/>
      <c r="BK256" s="800"/>
      <c r="BL256" s="800"/>
      <c r="BM256" s="800"/>
      <c r="BN256" s="800"/>
      <c r="BO256" s="800"/>
      <c r="BP256" s="800"/>
      <c r="BQ256" s="800"/>
      <c r="BR256" s="800"/>
      <c r="BS256" s="800"/>
      <c r="BT256" s="800"/>
      <c r="BU256" s="800"/>
      <c r="BV256" s="800"/>
      <c r="BW256" s="800"/>
      <c r="BX256" s="800"/>
      <c r="BY256" s="800"/>
      <c r="BZ256" s="800"/>
      <c r="CA256" s="800"/>
      <c r="CB256" s="801"/>
      <c r="DG256" s="10"/>
      <c r="DH256" s="10"/>
      <c r="DI256" s="10"/>
      <c r="DJ256" s="10"/>
      <c r="DK256" s="13"/>
      <c r="DL256" s="13"/>
      <c r="DM256" s="13"/>
    </row>
    <row r="257" spans="2:133" ht="11.25" customHeight="1">
      <c r="B257" s="150"/>
      <c r="C257" s="802"/>
      <c r="D257" s="803"/>
      <c r="E257" s="803"/>
      <c r="F257" s="803"/>
      <c r="G257" s="803"/>
      <c r="H257" s="803"/>
      <c r="I257" s="803"/>
      <c r="J257" s="803"/>
      <c r="K257" s="803"/>
      <c r="L257" s="803"/>
      <c r="M257" s="803"/>
      <c r="N257" s="803"/>
      <c r="O257" s="803"/>
      <c r="P257" s="803"/>
      <c r="Q257" s="803"/>
      <c r="R257" s="803"/>
      <c r="S257" s="803"/>
      <c r="T257" s="803"/>
      <c r="U257" s="803"/>
      <c r="V257" s="803"/>
      <c r="W257" s="803"/>
      <c r="X257" s="803"/>
      <c r="Y257" s="803"/>
      <c r="Z257" s="803"/>
      <c r="AA257" s="803"/>
      <c r="AB257" s="803"/>
      <c r="AC257" s="803"/>
      <c r="AD257" s="803"/>
      <c r="AE257" s="803"/>
      <c r="AF257" s="803"/>
      <c r="AG257" s="803"/>
      <c r="AH257" s="803"/>
      <c r="AI257" s="803"/>
      <c r="AJ257" s="803"/>
      <c r="AK257" s="803"/>
      <c r="AL257" s="803"/>
      <c r="AM257" s="803"/>
      <c r="AN257" s="803"/>
      <c r="AO257" s="803"/>
      <c r="AP257" s="803"/>
      <c r="AQ257" s="803"/>
      <c r="AR257" s="803"/>
      <c r="AS257" s="803"/>
      <c r="AT257" s="803"/>
      <c r="AU257" s="803"/>
      <c r="AV257" s="803"/>
      <c r="AW257" s="803"/>
      <c r="AX257" s="803"/>
      <c r="AY257" s="803"/>
      <c r="AZ257" s="803"/>
      <c r="BA257" s="803"/>
      <c r="BB257" s="803"/>
      <c r="BC257" s="803"/>
      <c r="BD257" s="803"/>
      <c r="BE257" s="803"/>
      <c r="BF257" s="803"/>
      <c r="BG257" s="803"/>
      <c r="BH257" s="803"/>
      <c r="BI257" s="803"/>
      <c r="BJ257" s="803"/>
      <c r="BK257" s="803"/>
      <c r="BL257" s="803"/>
      <c r="BM257" s="803"/>
      <c r="BN257" s="803"/>
      <c r="BO257" s="803"/>
      <c r="BP257" s="803"/>
      <c r="BQ257" s="803"/>
      <c r="BR257" s="803"/>
      <c r="BS257" s="803"/>
      <c r="BT257" s="803"/>
      <c r="BU257" s="803"/>
      <c r="BV257" s="803"/>
      <c r="BW257" s="803"/>
      <c r="BX257" s="803"/>
      <c r="BY257" s="803"/>
      <c r="BZ257" s="803"/>
      <c r="CA257" s="803"/>
      <c r="CB257" s="804"/>
      <c r="DG257" s="10"/>
      <c r="DH257" s="10"/>
      <c r="DI257" s="10"/>
      <c r="DJ257" s="10"/>
      <c r="DK257" s="13"/>
      <c r="DL257" s="13"/>
      <c r="DM257" s="13"/>
    </row>
    <row r="258" spans="2:133" ht="11.25" customHeight="1">
      <c r="B258" s="150"/>
      <c r="C258" s="270"/>
      <c r="D258" s="270"/>
      <c r="E258" s="270"/>
      <c r="F258" s="270"/>
      <c r="G258" s="270"/>
      <c r="H258" s="270"/>
      <c r="I258" s="270"/>
      <c r="J258" s="270"/>
      <c r="K258" s="270"/>
      <c r="L258" s="270"/>
      <c r="M258" s="270"/>
      <c r="N258" s="270"/>
      <c r="O258" s="270"/>
      <c r="P258" s="270"/>
      <c r="Q258" s="270"/>
      <c r="R258" s="270"/>
      <c r="S258" s="270"/>
      <c r="T258" s="270"/>
      <c r="U258" s="270"/>
      <c r="V258" s="270"/>
      <c r="W258" s="270"/>
      <c r="X258" s="270"/>
      <c r="Y258" s="270"/>
      <c r="Z258" s="270"/>
      <c r="AA258" s="270"/>
      <c r="AB258" s="270"/>
      <c r="AC258" s="270"/>
      <c r="AD258" s="270"/>
      <c r="AE258" s="270"/>
      <c r="AF258" s="270"/>
      <c r="AG258" s="270"/>
      <c r="AH258" s="270"/>
      <c r="AI258" s="270"/>
      <c r="AJ258" s="270"/>
      <c r="AK258" s="270"/>
      <c r="AL258" s="270"/>
      <c r="AM258" s="270"/>
      <c r="AN258" s="270"/>
      <c r="AO258" s="270"/>
      <c r="AP258" s="270"/>
      <c r="AQ258" s="270"/>
      <c r="AR258" s="270"/>
      <c r="AS258" s="270"/>
      <c r="AT258" s="270"/>
      <c r="AU258" s="270"/>
      <c r="AV258" s="270"/>
      <c r="AW258" s="270"/>
      <c r="AX258" s="270"/>
      <c r="AY258" s="270"/>
      <c r="AZ258" s="270"/>
      <c r="BA258" s="270"/>
      <c r="BB258" s="270"/>
      <c r="BC258" s="270"/>
      <c r="BD258" s="270"/>
      <c r="BE258" s="270"/>
      <c r="BF258" s="270"/>
      <c r="BG258" s="270"/>
      <c r="BH258" s="270"/>
      <c r="BI258" s="270"/>
      <c r="BJ258" s="270"/>
      <c r="BK258" s="270"/>
      <c r="BL258" s="270"/>
      <c r="BM258" s="270"/>
      <c r="BN258" s="270"/>
      <c r="BO258" s="270"/>
      <c r="BP258" s="270"/>
      <c r="BQ258" s="270"/>
      <c r="BR258" s="270"/>
      <c r="BS258" s="270"/>
      <c r="BT258" s="282"/>
      <c r="BU258" s="282"/>
      <c r="BV258" s="282"/>
      <c r="BW258" s="282"/>
      <c r="BX258" s="282"/>
      <c r="BY258" s="282"/>
      <c r="BZ258" s="282"/>
      <c r="CA258" s="282"/>
      <c r="CB258" s="282"/>
      <c r="DG258" s="10"/>
      <c r="DH258" s="10"/>
      <c r="DI258" s="10"/>
      <c r="DJ258" s="10"/>
      <c r="DK258" s="13"/>
      <c r="DL258" s="13"/>
      <c r="DM258" s="13"/>
    </row>
    <row r="259" spans="2:133" ht="11.25" customHeight="1">
      <c r="B259" s="150"/>
      <c r="C259" s="270"/>
      <c r="D259" s="270"/>
      <c r="E259" s="270"/>
      <c r="F259" s="270"/>
      <c r="G259" s="270"/>
      <c r="H259" s="270"/>
      <c r="I259" s="270"/>
      <c r="J259" s="270"/>
      <c r="K259" s="270"/>
      <c r="L259" s="270"/>
      <c r="M259" s="270"/>
      <c r="N259" s="270"/>
      <c r="O259" s="270"/>
      <c r="P259" s="270"/>
      <c r="Q259" s="270"/>
      <c r="R259" s="270"/>
      <c r="S259" s="270"/>
      <c r="T259" s="270"/>
      <c r="U259" s="270"/>
      <c r="V259" s="270"/>
      <c r="W259" s="270"/>
      <c r="X259" s="270"/>
      <c r="Y259" s="270"/>
      <c r="Z259" s="270"/>
      <c r="AA259" s="270"/>
      <c r="AB259" s="270"/>
      <c r="AC259" s="270"/>
      <c r="AD259" s="270"/>
      <c r="AE259" s="270"/>
      <c r="AF259" s="270"/>
      <c r="AG259" s="270"/>
      <c r="AH259" s="270"/>
      <c r="AI259" s="270"/>
      <c r="AJ259" s="270"/>
      <c r="AK259" s="270"/>
      <c r="AL259" s="270"/>
      <c r="AM259" s="270"/>
      <c r="AN259" s="270"/>
      <c r="AO259" s="270"/>
      <c r="AP259" s="270"/>
      <c r="AQ259" s="270"/>
      <c r="AR259" s="270"/>
      <c r="AS259" s="270"/>
      <c r="AT259" s="270"/>
      <c r="AU259" s="270"/>
      <c r="AV259" s="270"/>
      <c r="AW259" s="270"/>
      <c r="AX259" s="270"/>
      <c r="AY259" s="270"/>
      <c r="AZ259" s="270"/>
      <c r="BA259" s="270"/>
      <c r="BB259" s="270"/>
      <c r="BC259" s="270"/>
      <c r="BD259" s="270"/>
      <c r="BE259" s="270"/>
      <c r="BF259" s="270"/>
      <c r="BG259" s="270"/>
      <c r="BH259" s="270"/>
      <c r="BI259" s="270"/>
      <c r="BJ259" s="270"/>
      <c r="BK259" s="270"/>
      <c r="BL259" s="270"/>
      <c r="BM259" s="270"/>
      <c r="BN259" s="270"/>
      <c r="BO259" s="270"/>
      <c r="BP259" s="270"/>
      <c r="BQ259" s="270"/>
      <c r="BR259" s="270"/>
      <c r="BS259" s="270"/>
      <c r="BT259" s="282"/>
      <c r="BU259" s="282"/>
      <c r="BV259" s="282"/>
      <c r="BW259" s="282"/>
      <c r="BX259" s="282"/>
      <c r="BY259" s="282"/>
      <c r="BZ259" s="282"/>
      <c r="CA259" s="282"/>
      <c r="CB259" s="282"/>
      <c r="DG259" s="10"/>
      <c r="DH259" s="10"/>
      <c r="DI259" s="10"/>
      <c r="DJ259" s="10"/>
      <c r="DK259" s="13"/>
      <c r="DL259" s="13"/>
      <c r="DM259" s="13"/>
    </row>
    <row r="260" spans="2:133" ht="11.25" customHeight="1">
      <c r="B260" s="279"/>
      <c r="C260" s="270"/>
      <c r="D260" s="270"/>
      <c r="E260" s="270"/>
      <c r="F260" s="270"/>
      <c r="G260" s="270"/>
      <c r="H260" s="270"/>
      <c r="I260" s="270"/>
      <c r="J260" s="270"/>
      <c r="K260" s="270"/>
      <c r="L260" s="270"/>
      <c r="M260" s="270"/>
      <c r="N260" s="270"/>
      <c r="O260" s="270"/>
      <c r="P260" s="270"/>
      <c r="Q260" s="270"/>
      <c r="R260" s="270"/>
      <c r="S260" s="270"/>
      <c r="T260" s="270"/>
      <c r="U260" s="270"/>
      <c r="V260" s="270"/>
      <c r="W260" s="270"/>
      <c r="X260" s="270"/>
      <c r="Y260" s="270"/>
      <c r="Z260" s="270"/>
      <c r="AA260" s="270"/>
      <c r="AB260" s="270"/>
      <c r="AC260" s="270"/>
      <c r="AD260" s="270"/>
      <c r="AE260" s="270"/>
      <c r="AF260" s="270"/>
      <c r="AG260" s="270"/>
      <c r="AH260" s="270"/>
      <c r="AI260" s="270"/>
      <c r="AJ260" s="270"/>
      <c r="AK260" s="270"/>
      <c r="AL260" s="270"/>
      <c r="AM260" s="270"/>
      <c r="AN260" s="270"/>
      <c r="AO260" s="270"/>
      <c r="AP260" s="270"/>
      <c r="AQ260" s="270"/>
      <c r="AR260" s="270"/>
      <c r="AS260" s="270"/>
      <c r="AT260" s="270"/>
      <c r="AU260" s="270"/>
      <c r="AV260" s="270"/>
      <c r="AW260" s="270"/>
      <c r="AX260" s="270"/>
      <c r="AY260" s="270"/>
      <c r="AZ260" s="270"/>
      <c r="BA260" s="270"/>
      <c r="BB260" s="270"/>
      <c r="BC260" s="270"/>
      <c r="BD260" s="270"/>
      <c r="BE260" s="270"/>
      <c r="BF260" s="270"/>
      <c r="BG260" s="270"/>
      <c r="BH260" s="270"/>
      <c r="BI260" s="270"/>
      <c r="BJ260" s="270"/>
      <c r="BK260" s="270"/>
      <c r="BL260" s="270"/>
      <c r="BM260" s="270"/>
      <c r="BN260" s="270"/>
      <c r="BO260" s="270"/>
      <c r="BP260" s="270"/>
      <c r="BQ260" s="270"/>
      <c r="BR260" s="270"/>
      <c r="BS260" s="270"/>
      <c r="BT260" s="282"/>
      <c r="BU260" s="282"/>
      <c r="BV260" s="282"/>
      <c r="BW260" s="282"/>
      <c r="BX260" s="282"/>
      <c r="BY260" s="282"/>
      <c r="BZ260" s="282"/>
      <c r="CA260" s="282"/>
      <c r="CB260" s="282"/>
      <c r="DG260" s="10"/>
      <c r="DH260" s="10"/>
      <c r="DI260" s="10"/>
      <c r="DJ260" s="10"/>
      <c r="DK260" s="13"/>
      <c r="DL260" s="13"/>
      <c r="DM260" s="13"/>
      <c r="DS260" s="16"/>
      <c r="DT260" s="16"/>
      <c r="DU260" s="16"/>
      <c r="DV260" s="16"/>
      <c r="DW260" s="16"/>
      <c r="DX260" s="16"/>
      <c r="DY260" s="16"/>
      <c r="DZ260" s="16"/>
      <c r="EA260" s="16"/>
      <c r="EB260" s="16"/>
      <c r="EC260" s="16"/>
    </row>
    <row r="261" spans="2:133" ht="11.25" customHeight="1">
      <c r="B261" s="316"/>
      <c r="C261" s="270"/>
      <c r="D261" s="270"/>
      <c r="E261" s="270"/>
      <c r="F261" s="270"/>
      <c r="G261" s="270"/>
      <c r="H261" s="270"/>
      <c r="I261" s="270"/>
      <c r="J261" s="270"/>
      <c r="K261" s="270"/>
      <c r="L261" s="270"/>
      <c r="M261" s="270"/>
      <c r="N261" s="270"/>
      <c r="O261" s="270"/>
      <c r="P261" s="270"/>
      <c r="Q261" s="270"/>
      <c r="R261" s="270"/>
      <c r="S261" s="270"/>
      <c r="T261" s="270"/>
      <c r="U261" s="270"/>
      <c r="V261" s="270"/>
      <c r="W261" s="270"/>
      <c r="X261" s="270"/>
      <c r="Y261" s="270"/>
      <c r="Z261" s="270"/>
      <c r="AA261" s="270"/>
      <c r="AB261" s="270"/>
      <c r="AC261" s="270"/>
      <c r="AD261" s="270"/>
      <c r="AE261" s="270"/>
      <c r="AF261" s="270"/>
      <c r="AG261" s="270"/>
      <c r="AH261" s="270"/>
      <c r="AI261" s="270"/>
      <c r="AJ261" s="270"/>
      <c r="AK261" s="270"/>
      <c r="AL261" s="270"/>
      <c r="AM261" s="270"/>
      <c r="AN261" s="270"/>
      <c r="AO261" s="270"/>
      <c r="AP261" s="270"/>
      <c r="AQ261" s="270"/>
      <c r="AR261" s="270"/>
      <c r="AS261" s="270"/>
      <c r="AT261" s="270"/>
      <c r="AU261" s="270"/>
      <c r="AV261" s="270"/>
      <c r="AW261" s="270"/>
      <c r="AX261" s="270"/>
      <c r="AY261" s="270"/>
      <c r="AZ261" s="270"/>
      <c r="BA261" s="270"/>
      <c r="BB261" s="270"/>
      <c r="BC261" s="270"/>
      <c r="BD261" s="270"/>
      <c r="BE261" s="270"/>
      <c r="BF261" s="270"/>
      <c r="BG261" s="270"/>
      <c r="BH261" s="270"/>
      <c r="BI261" s="270"/>
      <c r="BJ261" s="270"/>
      <c r="BK261" s="270"/>
      <c r="BL261" s="270"/>
      <c r="BM261" s="270"/>
      <c r="BN261" s="270"/>
      <c r="BO261" s="270"/>
      <c r="BP261" s="270"/>
      <c r="BQ261" s="270"/>
      <c r="BR261" s="270"/>
      <c r="BS261" s="270"/>
      <c r="BT261" s="282"/>
      <c r="BU261" s="282"/>
      <c r="BV261" s="282"/>
      <c r="BW261" s="282"/>
      <c r="BX261" s="282"/>
      <c r="BY261" s="282"/>
      <c r="BZ261" s="282"/>
      <c r="CA261" s="282"/>
      <c r="CB261" s="282"/>
      <c r="DG261" s="10"/>
      <c r="DH261" s="10"/>
      <c r="DI261" s="10"/>
      <c r="DJ261" s="10"/>
      <c r="DK261" s="13"/>
      <c r="DL261" s="13"/>
      <c r="DM261" s="13"/>
    </row>
    <row r="262" spans="2:133" ht="11.25" customHeight="1">
      <c r="B262" s="316"/>
      <c r="C262" s="270"/>
      <c r="D262" s="270"/>
      <c r="E262" s="270"/>
      <c r="F262" s="270"/>
      <c r="G262" s="270"/>
      <c r="H262" s="270"/>
      <c r="I262" s="270"/>
      <c r="J262" s="270"/>
      <c r="K262" s="270"/>
      <c r="L262" s="270"/>
      <c r="M262" s="270"/>
      <c r="N262" s="270"/>
      <c r="O262" s="270"/>
      <c r="P262" s="270"/>
      <c r="Q262" s="270"/>
      <c r="R262" s="270"/>
      <c r="S262" s="270"/>
      <c r="T262" s="270"/>
      <c r="U262" s="270"/>
      <c r="V262" s="270"/>
      <c r="W262" s="270"/>
      <c r="X262" s="270"/>
      <c r="Y262" s="270"/>
      <c r="Z262" s="270"/>
      <c r="AA262" s="270"/>
      <c r="AB262" s="270"/>
      <c r="AC262" s="270"/>
      <c r="AD262" s="270"/>
      <c r="AE262" s="270"/>
      <c r="AF262" s="270"/>
      <c r="AG262" s="270"/>
      <c r="AH262" s="270"/>
      <c r="AI262" s="270"/>
      <c r="AJ262" s="270"/>
      <c r="AK262" s="270"/>
      <c r="AL262" s="270"/>
      <c r="AM262" s="270"/>
      <c r="AN262" s="270"/>
      <c r="AO262" s="270"/>
      <c r="AP262" s="270"/>
      <c r="AQ262" s="270"/>
      <c r="AR262" s="270"/>
      <c r="AS262" s="270"/>
      <c r="AT262" s="270"/>
      <c r="AU262" s="270"/>
      <c r="AV262" s="270"/>
      <c r="AW262" s="270"/>
      <c r="AX262" s="270"/>
      <c r="AY262" s="270"/>
      <c r="AZ262" s="270"/>
      <c r="BA262" s="270"/>
      <c r="BB262" s="270"/>
      <c r="BC262" s="270"/>
      <c r="BD262" s="270"/>
      <c r="BE262" s="270"/>
      <c r="BF262" s="270"/>
      <c r="BG262" s="270"/>
      <c r="BH262" s="270"/>
      <c r="BI262" s="270"/>
      <c r="BJ262" s="270"/>
      <c r="BK262" s="270"/>
      <c r="BL262" s="270"/>
      <c r="BM262" s="270"/>
      <c r="BN262" s="270"/>
      <c r="BO262" s="270"/>
      <c r="BP262" s="270"/>
      <c r="BQ262" s="270"/>
      <c r="BR262" s="270"/>
      <c r="BS262" s="270"/>
      <c r="BT262" s="282"/>
      <c r="BU262" s="282"/>
      <c r="BV262" s="282"/>
      <c r="BW262" s="282"/>
      <c r="BX262" s="282"/>
      <c r="BY262" s="282"/>
      <c r="BZ262" s="282"/>
      <c r="CA262" s="282"/>
      <c r="CB262" s="282"/>
      <c r="DG262" s="10"/>
      <c r="DH262" s="10"/>
      <c r="DI262" s="10"/>
      <c r="DJ262" s="10"/>
      <c r="DK262" s="13"/>
      <c r="DL262" s="13"/>
      <c r="DM262" s="13"/>
    </row>
    <row r="263" spans="2:133" ht="11.25" customHeight="1">
      <c r="B263" s="316"/>
      <c r="C263" s="270"/>
      <c r="D263" s="270"/>
      <c r="E263" s="270"/>
      <c r="F263" s="270"/>
      <c r="G263" s="270"/>
      <c r="H263" s="270"/>
      <c r="I263" s="270"/>
      <c r="J263" s="270"/>
      <c r="K263" s="270"/>
      <c r="L263" s="270"/>
      <c r="M263" s="270"/>
      <c r="N263" s="270"/>
      <c r="O263" s="270"/>
      <c r="P263" s="270"/>
      <c r="Q263" s="270"/>
      <c r="R263" s="270"/>
      <c r="S263" s="270"/>
      <c r="T263" s="270"/>
      <c r="U263" s="270"/>
      <c r="V263" s="270"/>
      <c r="W263" s="270"/>
      <c r="X263" s="270"/>
      <c r="Y263" s="270"/>
      <c r="Z263" s="270"/>
      <c r="AA263" s="270"/>
      <c r="AB263" s="270"/>
      <c r="AC263" s="270"/>
      <c r="AD263" s="270"/>
      <c r="AE263" s="270"/>
      <c r="AF263" s="270"/>
      <c r="AG263" s="270"/>
      <c r="AH263" s="270"/>
      <c r="AI263" s="270"/>
      <c r="AJ263" s="270"/>
      <c r="AK263" s="270"/>
      <c r="AL263" s="270"/>
      <c r="AM263" s="270"/>
      <c r="AN263" s="270"/>
      <c r="AO263" s="270"/>
      <c r="AP263" s="270"/>
      <c r="AQ263" s="270"/>
      <c r="AR263" s="270"/>
      <c r="AS263" s="270"/>
      <c r="AT263" s="270"/>
      <c r="AU263" s="270"/>
      <c r="AV263" s="270"/>
      <c r="AW263" s="270"/>
      <c r="AX263" s="270"/>
      <c r="AY263" s="270"/>
      <c r="AZ263" s="270"/>
      <c r="BA263" s="270"/>
      <c r="BB263" s="270"/>
      <c r="BC263" s="270"/>
      <c r="BD263" s="270"/>
      <c r="BE263" s="270"/>
      <c r="BF263" s="270"/>
      <c r="BG263" s="270"/>
      <c r="BH263" s="270"/>
      <c r="BI263" s="270"/>
      <c r="BJ263" s="270"/>
      <c r="BK263" s="270"/>
      <c r="BL263" s="270"/>
      <c r="BM263" s="270"/>
      <c r="BN263" s="270"/>
      <c r="BO263" s="270"/>
      <c r="BP263" s="270"/>
      <c r="BQ263" s="270"/>
      <c r="BR263" s="270"/>
      <c r="BS263" s="270"/>
      <c r="BT263" s="282"/>
      <c r="BU263" s="282"/>
      <c r="BV263" s="282"/>
      <c r="BW263" s="282"/>
      <c r="BX263" s="282"/>
      <c r="BY263" s="282"/>
      <c r="BZ263" s="282"/>
      <c r="CA263" s="282"/>
      <c r="CB263" s="282"/>
      <c r="DG263" s="10"/>
      <c r="DH263" s="10"/>
      <c r="DI263" s="10"/>
      <c r="DJ263" s="10"/>
      <c r="DK263" s="13"/>
      <c r="DL263" s="13"/>
      <c r="DM263" s="13"/>
    </row>
    <row r="264" spans="2:133" ht="11.25" customHeight="1">
      <c r="B264" s="205"/>
      <c r="C264" s="282"/>
      <c r="D264" s="282"/>
      <c r="E264" s="282"/>
      <c r="F264" s="282"/>
      <c r="G264" s="282"/>
      <c r="H264" s="282"/>
      <c r="I264" s="282"/>
      <c r="J264" s="282"/>
      <c r="K264" s="282"/>
      <c r="L264" s="282"/>
      <c r="M264" s="282"/>
      <c r="N264" s="282"/>
      <c r="O264" s="282"/>
      <c r="P264" s="282"/>
      <c r="Q264" s="282"/>
      <c r="R264" s="282"/>
      <c r="S264" s="282"/>
      <c r="T264" s="282"/>
      <c r="U264" s="282"/>
      <c r="V264" s="282"/>
      <c r="W264" s="282"/>
      <c r="X264" s="282"/>
      <c r="Y264" s="282"/>
      <c r="Z264" s="282"/>
      <c r="AA264" s="282"/>
      <c r="AB264" s="282"/>
      <c r="AC264" s="282"/>
      <c r="AD264" s="282"/>
      <c r="AE264" s="282"/>
      <c r="AF264" s="282"/>
      <c r="AG264" s="282"/>
      <c r="AH264" s="282"/>
      <c r="AI264" s="282"/>
      <c r="AJ264" s="282"/>
      <c r="AK264" s="282"/>
      <c r="AL264" s="282"/>
      <c r="AM264" s="282"/>
      <c r="AN264" s="282"/>
      <c r="AO264" s="282"/>
      <c r="AP264" s="282"/>
      <c r="AQ264" s="282"/>
      <c r="AR264" s="282"/>
      <c r="AS264" s="282"/>
      <c r="AT264" s="282"/>
      <c r="AU264" s="282"/>
      <c r="AV264" s="282"/>
      <c r="AW264" s="282"/>
      <c r="AX264" s="282"/>
      <c r="AY264" s="282"/>
      <c r="AZ264" s="282"/>
      <c r="BA264" s="282"/>
      <c r="BB264" s="282"/>
      <c r="BC264" s="282"/>
      <c r="BD264" s="282"/>
      <c r="BE264" s="282"/>
      <c r="BF264" s="282"/>
      <c r="BG264" s="282"/>
      <c r="BH264" s="282"/>
      <c r="BI264" s="282"/>
      <c r="BJ264" s="282"/>
      <c r="BK264" s="282"/>
      <c r="BL264" s="282"/>
      <c r="BM264" s="282"/>
      <c r="BN264" s="282"/>
      <c r="BO264" s="282"/>
      <c r="BP264" s="282"/>
      <c r="BQ264" s="282"/>
      <c r="BR264" s="282"/>
      <c r="BS264" s="282"/>
      <c r="BT264" s="282"/>
      <c r="BU264" s="282"/>
      <c r="BV264" s="282"/>
      <c r="BW264" s="282"/>
      <c r="BX264" s="282"/>
      <c r="BY264" s="282"/>
      <c r="BZ264" s="282"/>
      <c r="CA264" s="282"/>
      <c r="CB264" s="282"/>
      <c r="DG264" s="10"/>
      <c r="DH264" s="10"/>
      <c r="DI264" s="10"/>
      <c r="DJ264" s="10"/>
      <c r="DK264" s="13"/>
      <c r="DL264" s="13"/>
      <c r="DM264" s="13"/>
    </row>
    <row r="265" spans="2:133" ht="11.25" customHeight="1">
      <c r="B265" s="205"/>
      <c r="C265" s="275"/>
      <c r="D265" s="275"/>
      <c r="E265" s="275"/>
      <c r="F265" s="275"/>
      <c r="G265" s="275"/>
      <c r="H265" s="275"/>
      <c r="I265" s="275"/>
      <c r="J265" s="275"/>
      <c r="K265" s="275"/>
      <c r="L265" s="275"/>
      <c r="M265" s="275"/>
      <c r="N265" s="275"/>
      <c r="O265" s="275"/>
      <c r="P265" s="275"/>
      <c r="Q265" s="275"/>
      <c r="R265" s="275"/>
      <c r="S265" s="275"/>
      <c r="T265" s="275"/>
      <c r="U265" s="275"/>
      <c r="V265" s="275"/>
      <c r="W265" s="275"/>
      <c r="X265" s="275"/>
      <c r="Y265" s="275"/>
      <c r="Z265" s="275"/>
      <c r="AA265" s="275"/>
      <c r="AB265" s="275"/>
      <c r="AC265" s="275"/>
      <c r="AD265" s="275"/>
      <c r="AE265" s="275"/>
      <c r="AF265" s="275"/>
      <c r="AG265" s="275"/>
      <c r="AH265" s="275"/>
      <c r="AI265" s="275"/>
      <c r="AJ265" s="275"/>
      <c r="AK265" s="275"/>
      <c r="AL265" s="275"/>
      <c r="AM265" s="275"/>
      <c r="AN265" s="275"/>
      <c r="AO265" s="275"/>
      <c r="AP265" s="275"/>
      <c r="AQ265" s="275"/>
      <c r="AR265" s="275"/>
      <c r="AS265" s="275"/>
      <c r="AT265" s="275"/>
      <c r="AU265" s="275"/>
      <c r="AV265" s="275"/>
      <c r="AW265" s="275"/>
      <c r="AX265" s="275"/>
      <c r="AY265" s="275"/>
      <c r="AZ265" s="275"/>
      <c r="BA265" s="275"/>
      <c r="BB265" s="275"/>
      <c r="BC265" s="275"/>
      <c r="BD265" s="275"/>
      <c r="BE265" s="275"/>
      <c r="BF265" s="275"/>
      <c r="BG265" s="275"/>
      <c r="BH265" s="275"/>
      <c r="BI265" s="275"/>
      <c r="BJ265" s="275"/>
      <c r="BK265" s="275"/>
      <c r="BL265" s="275"/>
      <c r="BM265" s="275"/>
      <c r="BN265" s="275"/>
      <c r="BO265" s="275"/>
      <c r="BP265" s="275"/>
      <c r="BQ265" s="275"/>
      <c r="BR265" s="275"/>
      <c r="BS265" s="275"/>
      <c r="BT265" s="275"/>
      <c r="BU265" s="275"/>
      <c r="BV265" s="275"/>
      <c r="BW265" s="275"/>
      <c r="BX265" s="275"/>
      <c r="BY265" s="275"/>
      <c r="BZ265" s="275"/>
      <c r="CA265" s="275"/>
      <c r="CB265" s="275"/>
      <c r="DG265" s="10"/>
      <c r="DH265" s="13"/>
      <c r="DI265" s="13"/>
      <c r="DJ265" s="13"/>
      <c r="DK265" s="19"/>
      <c r="DL265" s="19"/>
      <c r="DM265" s="19"/>
    </row>
    <row r="266" spans="2:133" ht="6.75" customHeight="1">
      <c r="B266" s="205"/>
      <c r="C266" s="275"/>
      <c r="D266" s="275"/>
      <c r="E266" s="275"/>
      <c r="F266" s="275"/>
      <c r="G266" s="275"/>
      <c r="H266" s="275"/>
      <c r="I266" s="275"/>
      <c r="J266" s="275"/>
      <c r="K266" s="275"/>
      <c r="L266" s="275"/>
      <c r="M266" s="275"/>
      <c r="N266" s="275"/>
      <c r="O266" s="275"/>
      <c r="P266" s="275"/>
      <c r="Q266" s="275"/>
      <c r="R266" s="275"/>
      <c r="S266" s="275"/>
      <c r="T266" s="275"/>
      <c r="U266" s="275"/>
      <c r="V266" s="275"/>
      <c r="W266" s="275"/>
      <c r="X266" s="275"/>
      <c r="Y266" s="275"/>
      <c r="Z266" s="275"/>
      <c r="AA266" s="275"/>
      <c r="AB266" s="275"/>
      <c r="AC266" s="275"/>
      <c r="AD266" s="275"/>
      <c r="AE266" s="275"/>
      <c r="AF266" s="275"/>
      <c r="AG266" s="275"/>
      <c r="AH266" s="275"/>
      <c r="AI266" s="275"/>
      <c r="AJ266" s="275"/>
      <c r="AK266" s="275"/>
      <c r="AL266" s="275"/>
      <c r="AM266" s="275"/>
      <c r="AN266" s="275"/>
      <c r="AO266" s="275"/>
      <c r="AP266" s="275"/>
      <c r="AQ266" s="275"/>
      <c r="AR266" s="275"/>
      <c r="AS266" s="275"/>
      <c r="AT266" s="275"/>
      <c r="AU266" s="275"/>
      <c r="AV266" s="275"/>
      <c r="AW266" s="275"/>
      <c r="AX266" s="275"/>
      <c r="AY266" s="275"/>
      <c r="AZ266" s="275"/>
      <c r="BA266" s="275"/>
      <c r="BB266" s="275"/>
      <c r="BC266" s="275"/>
      <c r="BD266" s="275"/>
      <c r="BE266" s="275"/>
      <c r="BF266" s="275"/>
      <c r="BG266" s="275"/>
      <c r="BH266" s="275"/>
      <c r="BI266" s="275"/>
      <c r="BJ266" s="275"/>
      <c r="BK266" s="275"/>
      <c r="BL266" s="275"/>
      <c r="BM266" s="275"/>
      <c r="BN266" s="275"/>
      <c r="BO266" s="275"/>
      <c r="BP266" s="275"/>
      <c r="BQ266" s="275"/>
      <c r="BR266" s="275"/>
      <c r="BS266" s="275"/>
      <c r="BT266" s="275"/>
      <c r="BU266" s="275"/>
      <c r="BV266" s="275"/>
      <c r="BW266" s="275"/>
      <c r="BX266" s="275"/>
      <c r="BY266" s="275"/>
      <c r="BZ266" s="275"/>
      <c r="CA266" s="275"/>
      <c r="CB266" s="275"/>
      <c r="DG266" s="10"/>
      <c r="DH266" s="13"/>
      <c r="DI266" s="13"/>
      <c r="DJ266" s="13"/>
      <c r="DK266" s="19"/>
      <c r="DL266" s="19"/>
      <c r="DM266" s="19"/>
    </row>
    <row r="267" spans="2:133" ht="12" customHeight="1">
      <c r="B267" s="205"/>
      <c r="C267" s="275"/>
      <c r="D267" s="275"/>
      <c r="E267" s="275"/>
      <c r="F267" s="275"/>
      <c r="G267" s="275"/>
      <c r="H267" s="275"/>
      <c r="I267" s="275"/>
      <c r="J267" s="275"/>
      <c r="K267" s="275"/>
      <c r="L267" s="275"/>
      <c r="M267" s="275"/>
      <c r="N267" s="275"/>
      <c r="O267" s="275"/>
      <c r="P267" s="275"/>
      <c r="Q267" s="275"/>
      <c r="R267" s="275"/>
      <c r="S267" s="275"/>
      <c r="T267" s="275"/>
      <c r="U267" s="275"/>
      <c r="V267" s="275"/>
      <c r="W267" s="275"/>
      <c r="X267" s="275"/>
      <c r="Y267" s="275"/>
      <c r="Z267" s="275"/>
      <c r="AA267" s="275"/>
      <c r="AB267" s="275"/>
      <c r="AC267" s="275"/>
      <c r="AD267" s="275"/>
      <c r="AE267" s="275"/>
      <c r="AF267" s="275"/>
      <c r="AG267" s="275"/>
      <c r="AH267" s="275"/>
      <c r="AI267" s="275"/>
      <c r="AJ267" s="275"/>
      <c r="AK267" s="275"/>
      <c r="AL267" s="275"/>
      <c r="AM267" s="275"/>
      <c r="AN267" s="275"/>
      <c r="AO267" s="275"/>
      <c r="AP267" s="275"/>
      <c r="AQ267" s="275"/>
      <c r="AR267" s="275"/>
      <c r="AS267" s="275"/>
      <c r="AT267" s="275"/>
      <c r="AU267" s="275"/>
      <c r="AV267" s="275"/>
      <c r="AW267" s="275"/>
      <c r="AX267" s="275"/>
      <c r="AY267" s="275"/>
      <c r="AZ267" s="275"/>
      <c r="BA267" s="275"/>
      <c r="BB267" s="275"/>
      <c r="BC267" s="275"/>
      <c r="BD267" s="275"/>
      <c r="BE267" s="275"/>
      <c r="BF267" s="275"/>
      <c r="BG267" s="275"/>
      <c r="BH267" s="275"/>
      <c r="BI267" s="275"/>
      <c r="BJ267" s="275"/>
      <c r="BK267" s="275"/>
      <c r="BL267" s="275"/>
      <c r="BM267" s="275"/>
      <c r="BN267" s="275"/>
      <c r="BO267" s="275"/>
      <c r="BP267" s="275"/>
      <c r="BQ267" s="275"/>
      <c r="BR267" s="275"/>
      <c r="BS267" s="275"/>
      <c r="BT267" s="275"/>
      <c r="BU267" s="275"/>
      <c r="BV267" s="275"/>
      <c r="BW267" s="275"/>
      <c r="BX267" s="275"/>
      <c r="BY267" s="275"/>
      <c r="BZ267" s="275"/>
      <c r="CA267" s="275"/>
      <c r="CB267" s="275"/>
      <c r="DG267" s="10"/>
      <c r="DH267" s="13"/>
      <c r="DI267" s="13"/>
      <c r="DJ267" s="13"/>
      <c r="DK267" s="19"/>
      <c r="DL267" s="19"/>
      <c r="DM267" s="19"/>
    </row>
    <row r="268" spans="2:133" ht="6.75" customHeight="1">
      <c r="B268" s="205"/>
      <c r="C268" s="275"/>
      <c r="D268" s="275"/>
      <c r="E268" s="275"/>
      <c r="F268" s="275"/>
      <c r="G268" s="275"/>
      <c r="H268" s="275"/>
      <c r="I268" s="275"/>
      <c r="J268" s="275"/>
      <c r="K268" s="275"/>
      <c r="L268" s="275"/>
      <c r="M268" s="275"/>
      <c r="N268" s="275"/>
      <c r="O268" s="275"/>
      <c r="P268" s="275"/>
      <c r="Q268" s="275"/>
      <c r="R268" s="275"/>
      <c r="S268" s="275"/>
      <c r="T268" s="275"/>
      <c r="U268" s="275"/>
      <c r="V268" s="275"/>
      <c r="W268" s="275"/>
      <c r="X268" s="275"/>
      <c r="Y268" s="275"/>
      <c r="Z268" s="275"/>
      <c r="AA268" s="275"/>
      <c r="AB268" s="275"/>
      <c r="AC268" s="275"/>
      <c r="AD268" s="275"/>
      <c r="AE268" s="275"/>
      <c r="AF268" s="275"/>
      <c r="AG268" s="275"/>
      <c r="AH268" s="275"/>
      <c r="AI268" s="275"/>
      <c r="AJ268" s="275"/>
      <c r="AK268" s="275"/>
      <c r="AL268" s="275"/>
      <c r="AM268" s="275"/>
      <c r="AN268" s="275"/>
      <c r="AO268" s="275"/>
      <c r="AP268" s="275"/>
      <c r="AQ268" s="275"/>
      <c r="AR268" s="275"/>
      <c r="AS268" s="275"/>
      <c r="AT268" s="275"/>
      <c r="AU268" s="275"/>
      <c r="AV268" s="275"/>
      <c r="AW268" s="275"/>
      <c r="AX268" s="275"/>
      <c r="AY268" s="275"/>
      <c r="AZ268" s="275"/>
      <c r="BA268" s="275"/>
      <c r="BB268" s="275"/>
      <c r="BC268" s="275"/>
      <c r="BD268" s="275"/>
      <c r="BE268" s="275"/>
      <c r="BF268" s="275"/>
      <c r="BG268" s="275"/>
      <c r="BH268" s="275"/>
      <c r="BI268" s="275"/>
      <c r="BJ268" s="275"/>
      <c r="BK268" s="275"/>
      <c r="BL268" s="275"/>
      <c r="BM268" s="275"/>
      <c r="BN268" s="275"/>
      <c r="BO268" s="275"/>
      <c r="BP268" s="275"/>
      <c r="BQ268" s="275"/>
      <c r="BR268" s="275"/>
      <c r="BS268" s="275"/>
      <c r="BT268" s="275"/>
      <c r="BU268" s="275"/>
      <c r="BV268" s="275"/>
      <c r="BW268" s="275"/>
      <c r="BX268" s="275"/>
      <c r="BY268" s="275"/>
      <c r="BZ268" s="275"/>
      <c r="CA268" s="275"/>
      <c r="CB268" s="275"/>
      <c r="DG268" s="10"/>
      <c r="DH268" s="13"/>
      <c r="DI268" s="13"/>
      <c r="DJ268" s="13"/>
      <c r="DK268" s="19"/>
      <c r="DL268" s="19"/>
      <c r="DM268" s="19"/>
    </row>
    <row r="269" spans="2:133" ht="11.25" customHeight="1">
      <c r="B269" s="205"/>
      <c r="C269" s="275"/>
      <c r="D269" s="275"/>
      <c r="E269" s="275"/>
      <c r="F269" s="275"/>
      <c r="G269" s="275"/>
      <c r="H269" s="275"/>
      <c r="I269" s="275"/>
      <c r="J269" s="275"/>
      <c r="K269" s="275"/>
      <c r="L269" s="275"/>
      <c r="M269" s="275"/>
      <c r="N269" s="275"/>
      <c r="O269" s="275"/>
      <c r="P269" s="275"/>
      <c r="Q269" s="275"/>
      <c r="R269" s="275"/>
      <c r="S269" s="275"/>
      <c r="T269" s="275"/>
      <c r="U269" s="275"/>
      <c r="V269" s="275"/>
      <c r="W269" s="275"/>
      <c r="X269" s="275"/>
      <c r="Y269" s="275"/>
      <c r="Z269" s="275"/>
      <c r="AA269" s="275"/>
      <c r="AB269" s="275"/>
      <c r="AC269" s="275"/>
      <c r="AD269" s="275"/>
      <c r="AE269" s="275"/>
      <c r="AF269" s="275"/>
      <c r="AG269" s="275"/>
      <c r="AH269" s="275"/>
      <c r="AI269" s="275"/>
      <c r="AJ269" s="275"/>
      <c r="AK269" s="275"/>
      <c r="AL269" s="275"/>
      <c r="AM269" s="275"/>
      <c r="AN269" s="275"/>
      <c r="AO269" s="275"/>
      <c r="AP269" s="275"/>
      <c r="AQ269" s="275"/>
      <c r="AR269" s="275"/>
      <c r="AS269" s="275"/>
      <c r="AT269" s="275"/>
      <c r="AU269" s="275"/>
      <c r="AV269" s="275"/>
      <c r="AW269" s="275"/>
      <c r="AX269" s="275"/>
      <c r="AY269" s="275"/>
      <c r="AZ269" s="275"/>
      <c r="BA269" s="275"/>
      <c r="BB269" s="275"/>
      <c r="BC269" s="275"/>
      <c r="BD269" s="275"/>
      <c r="BE269" s="275"/>
      <c r="BF269" s="275"/>
      <c r="BG269" s="275"/>
      <c r="BH269" s="275"/>
      <c r="BI269" s="275"/>
      <c r="BJ269" s="275"/>
      <c r="BK269" s="275"/>
      <c r="BL269" s="275"/>
      <c r="BM269" s="275"/>
      <c r="BN269" s="275"/>
      <c r="BO269" s="275"/>
      <c r="BP269" s="275"/>
      <c r="BQ269" s="275"/>
      <c r="BR269" s="275"/>
      <c r="BS269" s="275"/>
      <c r="BT269" s="275"/>
      <c r="BU269" s="275"/>
      <c r="BV269" s="275"/>
      <c r="BW269" s="275"/>
      <c r="BX269" s="275"/>
      <c r="BY269" s="275"/>
      <c r="BZ269" s="275"/>
      <c r="CA269" s="275"/>
      <c r="CB269" s="275"/>
      <c r="DG269" s="10"/>
      <c r="DH269" s="13"/>
      <c r="DI269" s="13"/>
      <c r="DJ269" s="13"/>
      <c r="DK269" s="206"/>
      <c r="DL269" s="13"/>
      <c r="DM269" s="13"/>
    </row>
    <row r="270" spans="2:133" ht="12" customHeight="1">
      <c r="B270" s="205"/>
      <c r="C270" s="275"/>
      <c r="D270" s="275"/>
      <c r="E270" s="275"/>
      <c r="F270" s="275"/>
      <c r="G270" s="275"/>
      <c r="H270" s="275"/>
      <c r="I270" s="275"/>
      <c r="J270" s="275"/>
      <c r="K270" s="275"/>
      <c r="L270" s="275"/>
      <c r="M270" s="275"/>
      <c r="N270" s="275"/>
      <c r="O270" s="275"/>
      <c r="P270" s="275"/>
      <c r="Q270" s="275"/>
      <c r="R270" s="275"/>
      <c r="S270" s="275"/>
      <c r="T270" s="275"/>
      <c r="U270" s="275"/>
      <c r="V270" s="275"/>
      <c r="W270" s="275"/>
      <c r="X270" s="275"/>
      <c r="Y270" s="275"/>
      <c r="Z270" s="275"/>
      <c r="AA270" s="275"/>
      <c r="AB270" s="275"/>
      <c r="AC270" s="275"/>
      <c r="AD270" s="275"/>
      <c r="AE270" s="275"/>
      <c r="AF270" s="275"/>
      <c r="AG270" s="275"/>
      <c r="AH270" s="275"/>
      <c r="AI270" s="275"/>
      <c r="AJ270" s="275"/>
      <c r="AK270" s="275"/>
      <c r="AL270" s="275"/>
      <c r="AM270" s="275"/>
      <c r="AN270" s="275"/>
      <c r="AO270" s="275"/>
      <c r="AP270" s="275"/>
      <c r="AQ270" s="275"/>
      <c r="AR270" s="275"/>
      <c r="AS270" s="275"/>
      <c r="AT270" s="275"/>
      <c r="AU270" s="275"/>
      <c r="AV270" s="275"/>
      <c r="AW270" s="275"/>
      <c r="AX270" s="275"/>
      <c r="AY270" s="275"/>
      <c r="AZ270" s="275"/>
      <c r="BA270" s="275"/>
      <c r="BB270" s="275"/>
      <c r="BC270" s="275"/>
      <c r="BD270" s="275"/>
      <c r="BE270" s="275"/>
      <c r="BF270" s="275"/>
      <c r="BG270" s="275"/>
      <c r="BH270" s="275"/>
      <c r="BI270" s="275"/>
      <c r="BJ270" s="275"/>
      <c r="BK270" s="275"/>
      <c r="BL270" s="275"/>
      <c r="BM270" s="275"/>
      <c r="BN270" s="275"/>
      <c r="BO270" s="275"/>
      <c r="BP270" s="275"/>
      <c r="BQ270" s="275"/>
      <c r="BR270" s="275"/>
      <c r="BS270" s="275"/>
      <c r="BT270" s="275"/>
      <c r="BU270" s="275"/>
      <c r="BV270" s="275"/>
      <c r="BW270" s="275"/>
      <c r="BX270" s="275"/>
      <c r="BY270" s="275"/>
      <c r="BZ270" s="275"/>
      <c r="CA270" s="275"/>
      <c r="CB270" s="275"/>
      <c r="DG270" s="10"/>
      <c r="DH270" s="13"/>
      <c r="DI270" s="13"/>
      <c r="DJ270" s="13"/>
      <c r="DL270" s="13"/>
      <c r="DM270" s="13"/>
    </row>
    <row r="271" spans="2:133" ht="12" customHeight="1">
      <c r="B271" s="205"/>
      <c r="C271" s="275"/>
      <c r="D271" s="275"/>
      <c r="E271" s="275"/>
      <c r="F271" s="275"/>
      <c r="G271" s="275"/>
      <c r="H271" s="275"/>
      <c r="I271" s="275"/>
      <c r="J271" s="275"/>
      <c r="K271" s="275"/>
      <c r="L271" s="275"/>
      <c r="M271" s="275"/>
      <c r="N271" s="275"/>
      <c r="O271" s="275"/>
      <c r="P271" s="275"/>
      <c r="Q271" s="275"/>
      <c r="R271" s="275"/>
      <c r="S271" s="275"/>
      <c r="T271" s="275"/>
      <c r="U271" s="275"/>
      <c r="V271" s="275"/>
      <c r="W271" s="275"/>
      <c r="X271" s="275"/>
      <c r="Y271" s="275"/>
      <c r="Z271" s="275"/>
      <c r="AA271" s="275"/>
      <c r="AB271" s="275"/>
      <c r="AC271" s="275"/>
      <c r="AD271" s="275"/>
      <c r="AE271" s="275"/>
      <c r="AF271" s="275"/>
      <c r="AG271" s="275"/>
      <c r="AH271" s="275"/>
      <c r="AI271" s="275"/>
      <c r="AJ271" s="275"/>
      <c r="AK271" s="275"/>
      <c r="AL271" s="275"/>
      <c r="AM271" s="275"/>
      <c r="AN271" s="275"/>
      <c r="AO271" s="275"/>
      <c r="AP271" s="275"/>
      <c r="AQ271" s="275"/>
      <c r="AR271" s="275"/>
      <c r="AS271" s="275"/>
      <c r="AT271" s="275"/>
      <c r="AU271" s="275"/>
      <c r="AV271" s="275"/>
      <c r="AW271" s="275"/>
      <c r="AX271" s="275"/>
      <c r="AY271" s="275"/>
      <c r="AZ271" s="275"/>
      <c r="BA271" s="275"/>
      <c r="BB271" s="275"/>
      <c r="BC271" s="275"/>
      <c r="BD271" s="275"/>
      <c r="BE271" s="275"/>
      <c r="BF271" s="275"/>
      <c r="BG271" s="275"/>
      <c r="BH271" s="275"/>
      <c r="BI271" s="275"/>
      <c r="BJ271" s="275"/>
      <c r="BK271" s="275"/>
      <c r="BL271" s="275"/>
      <c r="BM271" s="275"/>
      <c r="BN271" s="275"/>
      <c r="BO271" s="275"/>
      <c r="BP271" s="275"/>
      <c r="BQ271" s="275"/>
      <c r="BR271" s="275"/>
      <c r="BS271" s="275"/>
      <c r="BT271" s="275"/>
      <c r="BU271" s="275"/>
      <c r="BV271" s="275"/>
      <c r="BW271" s="275"/>
      <c r="BX271" s="275"/>
      <c r="BY271" s="275"/>
      <c r="BZ271" s="275"/>
      <c r="CA271" s="275"/>
      <c r="CB271" s="275"/>
      <c r="DG271" s="10"/>
      <c r="DK271" s="278"/>
      <c r="DL271" s="13"/>
      <c r="DM271" s="13"/>
    </row>
    <row r="272" spans="2:133" ht="12" customHeight="1">
      <c r="B272" s="205"/>
      <c r="C272" s="275"/>
      <c r="D272" s="275"/>
      <c r="E272" s="275"/>
      <c r="F272" s="275"/>
      <c r="G272" s="275"/>
      <c r="H272" s="275"/>
      <c r="I272" s="275"/>
      <c r="J272" s="275"/>
      <c r="K272" s="275"/>
      <c r="L272" s="275"/>
      <c r="M272" s="275"/>
      <c r="N272" s="275"/>
      <c r="O272" s="275"/>
      <c r="P272" s="275"/>
      <c r="Q272" s="275"/>
      <c r="R272" s="275"/>
      <c r="S272" s="275"/>
      <c r="T272" s="275"/>
      <c r="U272" s="275"/>
      <c r="V272" s="275"/>
      <c r="W272" s="275"/>
      <c r="X272" s="275"/>
      <c r="Y272" s="275"/>
      <c r="Z272" s="275"/>
      <c r="AA272" s="275"/>
      <c r="AB272" s="275"/>
      <c r="AC272" s="275"/>
      <c r="AD272" s="275"/>
      <c r="AE272" s="275"/>
      <c r="AF272" s="275"/>
      <c r="AG272" s="275"/>
      <c r="AH272" s="275"/>
      <c r="AI272" s="275"/>
      <c r="AJ272" s="275"/>
      <c r="AK272" s="275"/>
      <c r="AL272" s="275"/>
      <c r="AM272" s="275"/>
      <c r="AN272" s="275"/>
      <c r="AO272" s="275"/>
      <c r="AP272" s="275"/>
      <c r="AQ272" s="275"/>
      <c r="AR272" s="275"/>
      <c r="AS272" s="275"/>
      <c r="AT272" s="275"/>
      <c r="AU272" s="275"/>
      <c r="AV272" s="275"/>
      <c r="AW272" s="275"/>
      <c r="AX272" s="275"/>
      <c r="AY272" s="275"/>
      <c r="AZ272" s="275"/>
      <c r="BA272" s="275"/>
      <c r="BB272" s="275"/>
      <c r="BC272" s="275"/>
      <c r="BD272" s="275"/>
      <c r="BE272" s="275"/>
      <c r="BF272" s="275"/>
      <c r="BG272" s="275"/>
      <c r="BH272" s="275"/>
      <c r="BI272" s="275"/>
      <c r="BJ272" s="275"/>
      <c r="BK272" s="275"/>
      <c r="BL272" s="275"/>
      <c r="BM272" s="275"/>
      <c r="BN272" s="275"/>
      <c r="BO272" s="275"/>
      <c r="BP272" s="275"/>
      <c r="BQ272" s="275"/>
      <c r="BR272" s="275"/>
      <c r="BS272" s="275"/>
      <c r="BT272" s="275"/>
      <c r="BU272" s="275"/>
      <c r="BV272" s="275"/>
      <c r="BW272" s="275"/>
      <c r="BX272" s="275"/>
      <c r="BY272" s="275"/>
      <c r="BZ272" s="275"/>
      <c r="CA272" s="275"/>
      <c r="CB272" s="275"/>
      <c r="DG272" s="10"/>
      <c r="DK272" s="278"/>
      <c r="DL272" s="13"/>
      <c r="DM272" s="13"/>
    </row>
    <row r="273" spans="2:139" ht="12" customHeight="1">
      <c r="B273" s="205"/>
      <c r="C273" s="275"/>
      <c r="D273" s="275"/>
      <c r="E273" s="275"/>
      <c r="F273" s="275"/>
      <c r="G273" s="275"/>
      <c r="H273" s="275"/>
      <c r="I273" s="275"/>
      <c r="J273" s="275"/>
      <c r="K273" s="275"/>
      <c r="L273" s="275"/>
      <c r="M273" s="275"/>
      <c r="N273" s="275"/>
      <c r="O273" s="275"/>
      <c r="P273" s="275"/>
      <c r="Q273" s="275"/>
      <c r="R273" s="275"/>
      <c r="S273" s="275"/>
      <c r="T273" s="275"/>
      <c r="U273" s="275"/>
      <c r="V273" s="275"/>
      <c r="W273" s="275"/>
      <c r="X273" s="275"/>
      <c r="Y273" s="275"/>
      <c r="Z273" s="275"/>
      <c r="AA273" s="275"/>
      <c r="AB273" s="275"/>
      <c r="AC273" s="275"/>
      <c r="AD273" s="275"/>
      <c r="AE273" s="275"/>
      <c r="AF273" s="275"/>
      <c r="AG273" s="275"/>
      <c r="AH273" s="275"/>
      <c r="AI273" s="275"/>
      <c r="AJ273" s="275"/>
      <c r="AK273" s="275"/>
      <c r="AL273" s="275"/>
      <c r="AM273" s="275"/>
      <c r="AN273" s="275"/>
      <c r="AO273" s="275"/>
      <c r="AP273" s="275"/>
      <c r="AQ273" s="275"/>
      <c r="AR273" s="275"/>
      <c r="AS273" s="275"/>
      <c r="AT273" s="275"/>
      <c r="AU273" s="275"/>
      <c r="AV273" s="275"/>
      <c r="AW273" s="275"/>
      <c r="AX273" s="275"/>
      <c r="AY273" s="275"/>
      <c r="AZ273" s="275"/>
      <c r="BA273" s="275"/>
      <c r="BB273" s="275"/>
      <c r="BC273" s="275"/>
      <c r="BD273" s="275"/>
      <c r="BE273" s="275"/>
      <c r="BF273" s="275"/>
      <c r="BG273" s="275"/>
      <c r="BH273" s="275"/>
      <c r="BI273" s="275"/>
      <c r="BJ273" s="275"/>
      <c r="BK273" s="275"/>
      <c r="BL273" s="275"/>
      <c r="BM273" s="275"/>
      <c r="BN273" s="275"/>
      <c r="BO273" s="275"/>
      <c r="BP273" s="275"/>
      <c r="BQ273" s="275"/>
      <c r="BR273" s="275"/>
      <c r="BS273" s="275"/>
      <c r="BT273" s="275"/>
      <c r="BU273" s="275"/>
      <c r="BV273" s="275"/>
      <c r="BW273" s="275"/>
      <c r="BX273" s="275"/>
      <c r="BY273" s="275"/>
      <c r="BZ273" s="275"/>
      <c r="CA273" s="275"/>
      <c r="CB273" s="275"/>
      <c r="DG273" s="10"/>
      <c r="DK273" s="278"/>
      <c r="DL273" s="13"/>
      <c r="DM273" s="13"/>
    </row>
    <row r="274" spans="2:139" ht="12" customHeight="1">
      <c r="B274" s="205"/>
      <c r="C274" s="275"/>
      <c r="D274" s="275"/>
      <c r="E274" s="275"/>
      <c r="F274" s="275"/>
      <c r="G274" s="275"/>
      <c r="H274" s="275"/>
      <c r="I274" s="275"/>
      <c r="J274" s="275"/>
      <c r="K274" s="275"/>
      <c r="L274" s="275"/>
      <c r="M274" s="275"/>
      <c r="N274" s="275"/>
      <c r="O274" s="275"/>
      <c r="P274" s="275"/>
      <c r="Q274" s="275"/>
      <c r="R274" s="275"/>
      <c r="S274" s="275"/>
      <c r="T274" s="275"/>
      <c r="U274" s="275"/>
      <c r="V274" s="275"/>
      <c r="W274" s="275"/>
      <c r="X274" s="275"/>
      <c r="Y274" s="275"/>
      <c r="Z274" s="275"/>
      <c r="AA274" s="275"/>
      <c r="AB274" s="275"/>
      <c r="AC274" s="275"/>
      <c r="AD274" s="275"/>
      <c r="AE274" s="275"/>
      <c r="AF274" s="275"/>
      <c r="AG274" s="275"/>
      <c r="AH274" s="275"/>
      <c r="AI274" s="275"/>
      <c r="AJ274" s="275"/>
      <c r="AK274" s="275"/>
      <c r="AL274" s="275"/>
      <c r="AM274" s="275"/>
      <c r="AN274" s="275"/>
      <c r="AO274" s="275"/>
      <c r="AP274" s="275"/>
      <c r="AQ274" s="275"/>
      <c r="AR274" s="275"/>
      <c r="AS274" s="275"/>
      <c r="AT274" s="275"/>
      <c r="AU274" s="275"/>
      <c r="AV274" s="275"/>
      <c r="AW274" s="275"/>
      <c r="AX274" s="275"/>
      <c r="AY274" s="275"/>
      <c r="AZ274" s="275"/>
      <c r="BA274" s="275"/>
      <c r="BB274" s="275"/>
      <c r="BC274" s="275"/>
      <c r="BD274" s="275"/>
      <c r="BE274" s="275"/>
      <c r="BF274" s="275"/>
      <c r="BG274" s="275"/>
      <c r="BH274" s="275"/>
      <c r="BI274" s="275"/>
      <c r="BJ274" s="275"/>
      <c r="BK274" s="275"/>
      <c r="BL274" s="275"/>
      <c r="BM274" s="275"/>
      <c r="BN274" s="275"/>
      <c r="BO274" s="275"/>
      <c r="BP274" s="275"/>
      <c r="BQ274" s="275"/>
      <c r="BR274" s="275"/>
      <c r="BS274" s="275"/>
      <c r="BT274" s="275"/>
      <c r="BU274" s="275"/>
      <c r="BV274" s="275"/>
      <c r="BW274" s="275"/>
      <c r="BX274" s="275"/>
      <c r="BY274" s="275"/>
      <c r="BZ274" s="275"/>
      <c r="CA274" s="275"/>
      <c r="CB274" s="275"/>
      <c r="DG274" s="10"/>
      <c r="DK274" s="278"/>
      <c r="DL274" s="13"/>
      <c r="DM274" s="13"/>
    </row>
    <row r="275" spans="2:139" ht="12" customHeight="1">
      <c r="B275" s="205"/>
      <c r="C275" s="275"/>
      <c r="D275" s="275"/>
      <c r="E275" s="275"/>
      <c r="F275" s="275"/>
      <c r="G275" s="275"/>
      <c r="H275" s="275"/>
      <c r="I275" s="275"/>
      <c r="J275" s="275"/>
      <c r="K275" s="275"/>
      <c r="L275" s="275"/>
      <c r="M275" s="275"/>
      <c r="N275" s="275"/>
      <c r="O275" s="275"/>
      <c r="P275" s="275"/>
      <c r="Q275" s="275"/>
      <c r="R275" s="275"/>
      <c r="S275" s="275"/>
      <c r="T275" s="275"/>
      <c r="U275" s="275"/>
      <c r="V275" s="275"/>
      <c r="W275" s="275"/>
      <c r="X275" s="275"/>
      <c r="Y275" s="275"/>
      <c r="Z275" s="275"/>
      <c r="AA275" s="275"/>
      <c r="AB275" s="275"/>
      <c r="AC275" s="275"/>
      <c r="AD275" s="275"/>
      <c r="AE275" s="275"/>
      <c r="AF275" s="275"/>
      <c r="AG275" s="275"/>
      <c r="AH275" s="275"/>
      <c r="AI275" s="275"/>
      <c r="AJ275" s="275"/>
      <c r="AK275" s="275"/>
      <c r="AL275" s="275"/>
      <c r="AM275" s="275"/>
      <c r="AN275" s="275"/>
      <c r="AO275" s="275"/>
      <c r="AP275" s="275"/>
      <c r="AQ275" s="275"/>
      <c r="AR275" s="275"/>
      <c r="AS275" s="275"/>
      <c r="AT275" s="275"/>
      <c r="AU275" s="275"/>
      <c r="AV275" s="275"/>
      <c r="AW275" s="275"/>
      <c r="AX275" s="275"/>
      <c r="AY275" s="275"/>
      <c r="AZ275" s="275"/>
      <c r="BA275" s="275"/>
      <c r="BB275" s="275"/>
      <c r="BC275" s="275"/>
      <c r="BD275" s="275"/>
      <c r="BE275" s="275"/>
      <c r="BF275" s="275"/>
      <c r="BG275" s="275"/>
      <c r="BH275" s="275"/>
      <c r="BI275" s="275"/>
      <c r="BJ275" s="275"/>
      <c r="BK275" s="275"/>
      <c r="BL275" s="275"/>
      <c r="BM275" s="275"/>
      <c r="BN275" s="275"/>
      <c r="BO275" s="275"/>
      <c r="BP275" s="275"/>
      <c r="BQ275" s="275"/>
      <c r="BR275" s="275"/>
      <c r="BS275" s="275"/>
      <c r="BT275" s="275"/>
      <c r="BU275" s="275"/>
      <c r="BV275" s="275"/>
      <c r="BW275" s="275"/>
      <c r="BX275" s="275"/>
      <c r="BY275" s="275"/>
      <c r="BZ275" s="275"/>
      <c r="CA275" s="275"/>
      <c r="CB275" s="275"/>
      <c r="DG275" s="10"/>
      <c r="DH275" s="788"/>
      <c r="DI275" s="788"/>
      <c r="DJ275" s="788"/>
      <c r="DK275" s="278"/>
      <c r="DL275" s="13"/>
      <c r="DM275" s="13"/>
    </row>
    <row r="276" spans="2:139" s="12" customFormat="1" ht="12" customHeight="1">
      <c r="B276" s="113"/>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3"/>
      <c r="AL276" s="113"/>
      <c r="AM276" s="113"/>
      <c r="AN276" s="113"/>
      <c r="AO276" s="113"/>
      <c r="AP276" s="113"/>
      <c r="AQ276" s="113"/>
      <c r="AR276" s="113"/>
      <c r="AS276" s="113"/>
      <c r="AT276" s="113"/>
      <c r="AU276" s="113"/>
      <c r="AV276" s="113"/>
      <c r="AW276" s="113"/>
      <c r="AX276" s="113"/>
      <c r="AY276" s="113"/>
      <c r="AZ276" s="113"/>
      <c r="BA276" s="113"/>
      <c r="BB276" s="113"/>
      <c r="BC276" s="113"/>
      <c r="BD276" s="113"/>
      <c r="BE276" s="113"/>
      <c r="BF276" s="113"/>
      <c r="BG276" s="113"/>
      <c r="BH276" s="113"/>
      <c r="BI276" s="113"/>
      <c r="BJ276" s="113"/>
      <c r="BK276" s="113"/>
      <c r="BL276" s="113"/>
      <c r="BM276" s="113"/>
      <c r="BN276" s="113"/>
      <c r="BO276" s="113"/>
      <c r="BP276" s="113"/>
      <c r="BQ276" s="113"/>
      <c r="BR276" s="113"/>
      <c r="BS276" s="113"/>
      <c r="BT276" s="113"/>
      <c r="BU276" s="113"/>
      <c r="BV276" s="113"/>
      <c r="BW276" s="113"/>
      <c r="BX276" s="113"/>
      <c r="BY276" s="113"/>
      <c r="BZ276" s="113"/>
      <c r="CA276" s="113"/>
      <c r="CB276" s="275"/>
      <c r="CC276"/>
      <c r="CD276" s="337"/>
      <c r="CE276" s="337"/>
      <c r="CF276" s="337"/>
      <c r="CG276" s="337"/>
      <c r="CH276" s="337"/>
      <c r="CI276" s="337"/>
      <c r="CJ276" s="337"/>
      <c r="CK276" s="337"/>
      <c r="CL276" s="337"/>
      <c r="CM276" s="337"/>
      <c r="CN276" s="337"/>
      <c r="CO276" s="337"/>
      <c r="CP276" s="337"/>
      <c r="CQ276" s="337"/>
      <c r="CR276" s="337"/>
      <c r="CS276" s="337"/>
      <c r="CT276" s="337"/>
      <c r="CU276"/>
      <c r="CV276"/>
      <c r="CW276"/>
      <c r="CX276"/>
      <c r="CY276"/>
      <c r="CZ276"/>
      <c r="DA276"/>
      <c r="DB276"/>
      <c r="DC276"/>
      <c r="DD276"/>
      <c r="DE276"/>
      <c r="DF276"/>
      <c r="DG276" s="10"/>
      <c r="DH276" s="788"/>
      <c r="DI276" s="788"/>
      <c r="DJ276" s="788"/>
      <c r="DK276" s="207"/>
      <c r="DL276" s="207"/>
      <c r="DM276" s="207"/>
    </row>
    <row r="277" spans="2:139" ht="11.25" customHeight="1">
      <c r="CB277" s="275"/>
      <c r="DG277" s="10"/>
    </row>
    <row r="278" spans="2:139">
      <c r="CB278" s="275"/>
      <c r="DG278" s="10"/>
    </row>
    <row r="279" spans="2:139">
      <c r="CB279" s="275"/>
      <c r="DG279" s="10"/>
    </row>
    <row r="280" spans="2:139">
      <c r="CB280" s="275"/>
      <c r="DG280" s="10"/>
    </row>
    <row r="281" spans="2:139">
      <c r="CB281" s="275"/>
      <c r="DG281" s="10"/>
    </row>
    <row r="282" spans="2:139" ht="12.75" customHeight="1">
      <c r="CB282" s="275"/>
      <c r="DG282" s="10"/>
    </row>
    <row r="283" spans="2:139" ht="9.9499999999999993" customHeight="1">
      <c r="CB283" s="275"/>
      <c r="DG283" s="10"/>
    </row>
    <row r="284" spans="2:139">
      <c r="CB284" s="275"/>
      <c r="DG284" s="10"/>
    </row>
    <row r="285" spans="2:139">
      <c r="CB285" s="275"/>
      <c r="DG285" s="10"/>
    </row>
    <row r="286" spans="2:139" s="6" customFormat="1" ht="12.75" customHeight="1">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s="337"/>
      <c r="CE286" s="337"/>
      <c r="CF286" s="337"/>
      <c r="CG286" s="337"/>
      <c r="CH286" s="337"/>
      <c r="CI286" s="337"/>
      <c r="CJ286" s="337"/>
      <c r="CK286" s="337"/>
      <c r="CL286" s="337"/>
      <c r="CM286" s="337"/>
      <c r="CN286" s="337"/>
      <c r="CO286" s="337"/>
      <c r="CP286" s="337"/>
      <c r="CQ286" s="337"/>
      <c r="CR286" s="337"/>
      <c r="CS286" s="337"/>
      <c r="CT286" s="337"/>
      <c r="CU286"/>
      <c r="CV286"/>
      <c r="CW286"/>
      <c r="CX286"/>
      <c r="CY286"/>
      <c r="CZ286"/>
      <c r="DA286"/>
      <c r="DB286"/>
      <c r="DC286"/>
      <c r="DD286"/>
      <c r="DE286"/>
      <c r="DF286"/>
      <c r="DN286"/>
      <c r="DO286"/>
      <c r="DP286"/>
      <c r="DQ286"/>
      <c r="DR286"/>
      <c r="DS286"/>
      <c r="DT286"/>
      <c r="DU286"/>
      <c r="DV286"/>
      <c r="DW286"/>
      <c r="DX286"/>
      <c r="DY286"/>
      <c r="DZ286"/>
      <c r="EA286"/>
      <c r="EB286"/>
      <c r="EC286"/>
      <c r="ED286"/>
      <c r="EE286"/>
      <c r="EF286"/>
      <c r="EG286"/>
      <c r="EH286"/>
      <c r="EI286"/>
    </row>
    <row r="288" spans="2:139" s="6" customFormat="1">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s="337"/>
      <c r="CE288" s="337"/>
      <c r="CF288" s="337"/>
      <c r="CG288" s="337"/>
      <c r="CH288" s="337"/>
      <c r="CI288" s="337"/>
      <c r="CJ288" s="337"/>
      <c r="CK288" s="337"/>
      <c r="CL288" s="337"/>
      <c r="CM288" s="337"/>
      <c r="CN288" s="337"/>
      <c r="CO288" s="337"/>
      <c r="CP288" s="337"/>
      <c r="CQ288" s="323"/>
      <c r="CR288" s="323"/>
      <c r="CS288" s="323"/>
      <c r="CT288" s="323"/>
      <c r="CU288" s="285"/>
      <c r="CV288" s="285"/>
      <c r="CW288" s="285"/>
      <c r="CX288" s="285"/>
      <c r="CY288" s="285"/>
      <c r="CZ288" s="285"/>
      <c r="DA288" s="285"/>
      <c r="DB288" s="285"/>
      <c r="DC288" s="285"/>
      <c r="DD288" s="285"/>
      <c r="DE288" s="285"/>
      <c r="DF288" s="285"/>
      <c r="DN288"/>
      <c r="DO288"/>
      <c r="DP288"/>
      <c r="DQ288"/>
      <c r="DR288"/>
      <c r="DS288"/>
      <c r="DT288"/>
      <c r="DU288"/>
      <c r="DV288"/>
      <c r="DW288"/>
      <c r="DX288"/>
      <c r="DY288"/>
      <c r="DZ288"/>
      <c r="EA288"/>
      <c r="EB288"/>
      <c r="EC288"/>
      <c r="ED288"/>
      <c r="EE288"/>
      <c r="EF288"/>
      <c r="EG288"/>
      <c r="EH288"/>
      <c r="EI288"/>
    </row>
    <row r="289" spans="2:139" s="6" customFormat="1" ht="12.75" customHeight="1">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s="337"/>
      <c r="CE289" s="337"/>
      <c r="CF289" s="337"/>
      <c r="CG289" s="337"/>
      <c r="CH289" s="337"/>
      <c r="CI289" s="337"/>
      <c r="CJ289" s="337"/>
      <c r="CK289" s="337"/>
      <c r="CL289" s="337"/>
      <c r="CM289" s="337"/>
      <c r="CN289" s="337"/>
      <c r="CO289" s="337"/>
      <c r="CP289" s="337"/>
      <c r="CQ289" s="323"/>
      <c r="CR289" s="323"/>
      <c r="CS289" s="383"/>
      <c r="CT289" s="385"/>
      <c r="CU289" s="131"/>
      <c r="CV289" s="131"/>
      <c r="CW289" s="131"/>
      <c r="CX289" s="131"/>
      <c r="CY289" s="131"/>
      <c r="CZ289" s="131"/>
      <c r="DA289" s="131"/>
      <c r="DB289" s="131"/>
      <c r="DC289" s="131"/>
      <c r="DD289" s="131"/>
      <c r="DE289" s="131"/>
      <c r="DF289" s="131"/>
      <c r="DN289"/>
      <c r="DO289"/>
      <c r="DP289"/>
      <c r="DQ289"/>
      <c r="DR289"/>
      <c r="DS289"/>
      <c r="DT289"/>
      <c r="DU289"/>
      <c r="DV289"/>
      <c r="DW289"/>
      <c r="DX289"/>
      <c r="DY289"/>
      <c r="DZ289"/>
      <c r="EA289"/>
      <c r="EB289"/>
      <c r="EC289"/>
      <c r="ED289"/>
      <c r="EE289"/>
      <c r="EF289"/>
      <c r="EG289"/>
      <c r="EH289"/>
      <c r="EI289"/>
    </row>
    <row r="290" spans="2:139" s="6" customFormat="1" ht="12.75" customHeight="1">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s="337"/>
      <c r="CE290" s="337"/>
      <c r="CF290" s="337"/>
      <c r="CG290" s="337"/>
      <c r="CH290" s="337"/>
      <c r="CI290" s="337"/>
      <c r="CJ290" s="337"/>
      <c r="CK290" s="337"/>
      <c r="CL290" s="337"/>
      <c r="CM290" s="337"/>
      <c r="CN290" s="337"/>
      <c r="CO290" s="337"/>
      <c r="CP290" s="337"/>
      <c r="CQ290" s="323"/>
      <c r="CR290" s="323"/>
      <c r="CS290" s="323"/>
      <c r="CT290" s="323"/>
      <c r="CU290" s="285"/>
      <c r="CV290" s="285"/>
      <c r="CW290" s="285"/>
      <c r="CX290" s="285"/>
      <c r="CY290" s="285"/>
      <c r="CZ290" s="285"/>
      <c r="DA290" s="285"/>
      <c r="DB290" s="285"/>
      <c r="DC290" s="285"/>
      <c r="DD290" s="285"/>
      <c r="DE290" s="285"/>
      <c r="DF290" s="285"/>
      <c r="DN290"/>
      <c r="DO290"/>
      <c r="DP290"/>
      <c r="DQ290"/>
      <c r="DR290"/>
      <c r="DS290"/>
      <c r="DT290"/>
      <c r="DU290"/>
      <c r="DV290"/>
      <c r="DW290"/>
      <c r="DX290"/>
      <c r="DY290"/>
      <c r="DZ290"/>
      <c r="EA290"/>
      <c r="EB290"/>
      <c r="EC290"/>
      <c r="ED290"/>
      <c r="EE290"/>
      <c r="EF290"/>
      <c r="EG290"/>
      <c r="EH290"/>
      <c r="EI290"/>
    </row>
    <row r="291" spans="2:139" s="6" customFormat="1" ht="12.75" customHeight="1">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s="337"/>
      <c r="CE291" s="337"/>
      <c r="CF291" s="337"/>
      <c r="CG291" s="337"/>
      <c r="CH291" s="337"/>
      <c r="CI291" s="337"/>
      <c r="CJ291" s="337"/>
      <c r="CK291" s="337"/>
      <c r="CL291" s="337"/>
      <c r="CM291" s="337"/>
      <c r="CN291" s="337"/>
      <c r="CO291" s="337"/>
      <c r="CP291" s="337"/>
      <c r="CQ291" s="323"/>
      <c r="CR291" s="323"/>
      <c r="CS291" s="323"/>
      <c r="CT291" s="323"/>
      <c r="CU291" s="285"/>
      <c r="CV291" s="285"/>
      <c r="CW291" s="285"/>
      <c r="CX291" s="285"/>
      <c r="CY291" s="285"/>
      <c r="CZ291" s="285"/>
      <c r="DA291" s="285"/>
      <c r="DB291" s="285"/>
      <c r="DC291" s="285"/>
      <c r="DD291" s="285"/>
      <c r="DE291" s="285"/>
      <c r="DF291" s="285"/>
      <c r="DN291"/>
      <c r="DO291"/>
      <c r="DP291"/>
      <c r="DQ291"/>
      <c r="DR291"/>
      <c r="DS291"/>
      <c r="DT291"/>
      <c r="DU291"/>
      <c r="DV291"/>
      <c r="DW291"/>
      <c r="DX291"/>
      <c r="DY291"/>
      <c r="DZ291"/>
      <c r="EA291"/>
      <c r="EB291"/>
      <c r="EC291"/>
      <c r="ED291"/>
      <c r="EE291"/>
      <c r="EF291"/>
      <c r="EG291"/>
      <c r="EH291"/>
      <c r="EI291"/>
    </row>
    <row r="292" spans="2:139" s="6" customFormat="1" ht="12.75" customHeight="1">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s="337"/>
      <c r="CE292" s="337"/>
      <c r="CF292" s="337"/>
      <c r="CG292" s="337"/>
      <c r="CH292" s="337"/>
      <c r="CI292" s="337"/>
      <c r="CJ292" s="337"/>
      <c r="CK292" s="337"/>
      <c r="CL292" s="337"/>
      <c r="CM292" s="337"/>
      <c r="CN292" s="337"/>
      <c r="CO292" s="337"/>
      <c r="CP292" s="337"/>
      <c r="CQ292" s="323"/>
      <c r="CR292" s="323"/>
      <c r="CS292" s="323"/>
      <c r="CT292" s="323"/>
      <c r="CU292" s="285"/>
      <c r="CV292" s="285"/>
      <c r="CW292" s="285"/>
      <c r="CX292" s="285"/>
      <c r="CY292" s="285"/>
      <c r="CZ292" s="285"/>
      <c r="DA292" s="285"/>
      <c r="DB292" s="285"/>
      <c r="DC292" s="285"/>
      <c r="DD292" s="285"/>
      <c r="DE292" s="285"/>
      <c r="DF292" s="285"/>
      <c r="DN292"/>
      <c r="DO292"/>
      <c r="DP292"/>
      <c r="DQ292"/>
      <c r="DR292"/>
      <c r="DS292"/>
      <c r="DT292"/>
      <c r="DU292"/>
      <c r="DV292"/>
      <c r="DW292"/>
      <c r="DX292"/>
      <c r="DY292"/>
      <c r="DZ292"/>
      <c r="EA292"/>
      <c r="EB292"/>
      <c r="EC292"/>
      <c r="ED292"/>
      <c r="EE292"/>
      <c r="EF292"/>
      <c r="EG292"/>
      <c r="EH292"/>
      <c r="EI292"/>
    </row>
    <row r="293" spans="2:139" s="6" customFormat="1">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s="337"/>
      <c r="CE293" s="337"/>
      <c r="CF293" s="337"/>
      <c r="CG293" s="337"/>
      <c r="CH293" s="337"/>
      <c r="CI293" s="337"/>
      <c r="CJ293" s="337"/>
      <c r="CK293" s="337"/>
      <c r="CL293" s="337"/>
      <c r="CM293" s="337"/>
      <c r="CN293" s="337"/>
      <c r="CO293" s="337"/>
      <c r="CP293" s="337"/>
      <c r="CQ293" s="323"/>
      <c r="CR293" s="323"/>
      <c r="CS293" s="323"/>
      <c r="CT293" s="323"/>
      <c r="CU293" s="285"/>
      <c r="CV293" s="285"/>
      <c r="CW293" s="285"/>
      <c r="CX293" s="285"/>
      <c r="CY293" s="285"/>
      <c r="CZ293" s="285"/>
      <c r="DA293" s="285"/>
      <c r="DB293" s="285"/>
      <c r="DC293" s="285"/>
      <c r="DD293" s="285"/>
      <c r="DE293" s="285"/>
      <c r="DF293" s="285"/>
      <c r="DN293"/>
      <c r="DO293"/>
      <c r="DP293"/>
      <c r="DQ293"/>
      <c r="DR293"/>
      <c r="DS293"/>
      <c r="DT293"/>
      <c r="DU293"/>
      <c r="DV293"/>
      <c r="DW293"/>
      <c r="DX293"/>
      <c r="DY293"/>
      <c r="DZ293"/>
      <c r="EA293"/>
      <c r="EB293"/>
      <c r="EC293"/>
      <c r="ED293"/>
      <c r="EE293"/>
      <c r="EF293"/>
      <c r="EG293"/>
      <c r="EH293"/>
      <c r="EI293"/>
    </row>
    <row r="294" spans="2:139" s="6" customFormat="1">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s="337"/>
      <c r="CE294" s="337"/>
      <c r="CF294" s="337"/>
      <c r="CG294" s="337"/>
      <c r="CH294" s="337"/>
      <c r="CI294" s="337"/>
      <c r="CJ294" s="337"/>
      <c r="CK294" s="337"/>
      <c r="CL294" s="337"/>
      <c r="CM294" s="337"/>
      <c r="CN294" s="337"/>
      <c r="CO294" s="337"/>
      <c r="CP294" s="337"/>
      <c r="CQ294" s="323"/>
      <c r="CR294" s="323"/>
      <c r="CS294" s="323"/>
      <c r="CT294" s="323"/>
      <c r="CU294" s="285"/>
      <c r="CV294" s="285"/>
      <c r="CW294" s="285"/>
      <c r="CX294" s="285"/>
      <c r="CY294" s="285"/>
      <c r="CZ294" s="285"/>
      <c r="DA294" s="285"/>
      <c r="DB294" s="285"/>
      <c r="DC294" s="285"/>
      <c r="DD294" s="285"/>
      <c r="DE294" s="285"/>
      <c r="DF294" s="285"/>
      <c r="DN294"/>
      <c r="DO294"/>
      <c r="DP294"/>
      <c r="DQ294"/>
      <c r="DR294"/>
      <c r="DS294"/>
      <c r="DT294"/>
      <c r="DU294"/>
      <c r="DV294"/>
      <c r="DW294"/>
      <c r="DX294"/>
      <c r="DY294"/>
      <c r="DZ294"/>
      <c r="EA294"/>
      <c r="EB294"/>
      <c r="EC294"/>
      <c r="ED294"/>
      <c r="EE294"/>
      <c r="EF294"/>
      <c r="EG294"/>
      <c r="EH294"/>
      <c r="EI294"/>
    </row>
    <row r="295" spans="2:139" s="6" customFormat="1">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s="337"/>
      <c r="CE295" s="337"/>
      <c r="CF295" s="337"/>
      <c r="CG295" s="337"/>
      <c r="CH295" s="337"/>
      <c r="CI295" s="337"/>
      <c r="CJ295" s="337"/>
      <c r="CK295" s="337"/>
      <c r="CL295" s="337"/>
      <c r="CM295" s="337"/>
      <c r="CN295" s="337"/>
      <c r="CO295" s="337"/>
      <c r="CP295" s="337"/>
      <c r="CQ295" s="323"/>
      <c r="CR295" s="323"/>
      <c r="CS295" s="383"/>
      <c r="CT295" s="385"/>
      <c r="CU295" s="131"/>
      <c r="CV295" s="131"/>
      <c r="CW295" s="131"/>
      <c r="CX295" s="131"/>
      <c r="CY295" s="131"/>
      <c r="CZ295" s="131"/>
      <c r="DA295" s="131"/>
      <c r="DB295" s="131"/>
      <c r="DC295" s="131"/>
      <c r="DD295" s="131"/>
      <c r="DE295" s="131"/>
      <c r="DF295" s="131"/>
      <c r="DN295"/>
      <c r="DO295"/>
      <c r="DP295"/>
      <c r="DQ295"/>
      <c r="DR295"/>
      <c r="DS295"/>
      <c r="DT295"/>
      <c r="DU295"/>
      <c r="DV295"/>
      <c r="DW295"/>
      <c r="DX295"/>
      <c r="DY295"/>
      <c r="DZ295"/>
      <c r="EA295"/>
      <c r="EB295"/>
      <c r="EC295"/>
      <c r="ED295"/>
      <c r="EE295"/>
      <c r="EF295"/>
      <c r="EG295"/>
      <c r="EH295"/>
      <c r="EI295"/>
    </row>
    <row r="296" spans="2:139" s="6" customFormat="1">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s="337"/>
      <c r="CE296" s="337"/>
      <c r="CF296" s="337"/>
      <c r="CG296" s="337"/>
      <c r="CH296" s="337"/>
      <c r="CI296" s="337"/>
      <c r="CJ296" s="337"/>
      <c r="CK296" s="337"/>
      <c r="CL296" s="337"/>
      <c r="CM296" s="337"/>
      <c r="CN296" s="337"/>
      <c r="CO296" s="337"/>
      <c r="CP296" s="337"/>
      <c r="CQ296" s="323"/>
      <c r="CR296" s="323"/>
      <c r="CS296" s="323"/>
      <c r="CT296" s="323"/>
      <c r="CU296" s="285"/>
      <c r="CV296" s="285"/>
      <c r="CW296" s="285"/>
      <c r="CX296" s="285"/>
      <c r="CY296" s="285"/>
      <c r="CZ296" s="285"/>
      <c r="DA296" s="285"/>
      <c r="DB296" s="285"/>
      <c r="DC296" s="285"/>
      <c r="DD296" s="285"/>
      <c r="DE296" s="285"/>
      <c r="DF296" s="285"/>
      <c r="DN296"/>
      <c r="DO296"/>
      <c r="DP296"/>
      <c r="DQ296"/>
      <c r="DR296"/>
      <c r="DS296"/>
      <c r="DT296"/>
      <c r="DU296"/>
      <c r="DV296"/>
      <c r="DW296"/>
      <c r="DX296"/>
      <c r="DY296"/>
      <c r="DZ296"/>
      <c r="EA296"/>
      <c r="EB296"/>
      <c r="EC296"/>
      <c r="ED296"/>
      <c r="EE296"/>
      <c r="EF296"/>
      <c r="EG296"/>
      <c r="EH296"/>
      <c r="EI296"/>
    </row>
    <row r="297" spans="2:139" s="6" customFormat="1">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s="337"/>
      <c r="CE297" s="337"/>
      <c r="CF297" s="337"/>
      <c r="CG297" s="337"/>
      <c r="CH297" s="337"/>
      <c r="CI297" s="337"/>
      <c r="CJ297" s="337"/>
      <c r="CK297" s="337"/>
      <c r="CL297" s="337"/>
      <c r="CM297" s="337"/>
      <c r="CN297" s="337"/>
      <c r="CO297" s="337"/>
      <c r="CP297" s="337"/>
      <c r="CQ297" s="323"/>
      <c r="CR297" s="323"/>
      <c r="CS297" s="323"/>
      <c r="CT297" s="323"/>
      <c r="CU297" s="285"/>
      <c r="CV297" s="285"/>
      <c r="CW297" s="285"/>
      <c r="CX297" s="285"/>
      <c r="CY297" s="285"/>
      <c r="CZ297" s="285"/>
      <c r="DA297" s="285"/>
      <c r="DB297" s="285"/>
      <c r="DC297" s="285"/>
      <c r="DD297" s="285"/>
      <c r="DE297" s="285"/>
      <c r="DF297" s="285"/>
      <c r="DN297"/>
      <c r="DO297"/>
      <c r="DP297"/>
      <c r="DQ297"/>
      <c r="DR297"/>
      <c r="DS297"/>
      <c r="DT297"/>
      <c r="DU297"/>
      <c r="DV297"/>
      <c r="DW297"/>
      <c r="DX297"/>
      <c r="DY297"/>
      <c r="DZ297"/>
      <c r="EA297"/>
      <c r="EB297"/>
      <c r="EC297"/>
      <c r="ED297"/>
      <c r="EE297"/>
      <c r="EF297"/>
      <c r="EG297"/>
      <c r="EH297"/>
      <c r="EI297"/>
    </row>
    <row r="298" spans="2:139" s="6" customFormat="1">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s="337"/>
      <c r="CE298" s="337"/>
      <c r="CF298" s="337"/>
      <c r="CG298" s="337"/>
      <c r="CH298" s="337"/>
      <c r="CI298" s="337"/>
      <c r="CJ298" s="337"/>
      <c r="CK298" s="337"/>
      <c r="CL298" s="337"/>
      <c r="CM298" s="337"/>
      <c r="CN298" s="337"/>
      <c r="CO298" s="337"/>
      <c r="CP298" s="337"/>
      <c r="CQ298" s="323"/>
      <c r="CR298" s="323"/>
      <c r="CS298" s="323"/>
      <c r="CT298" s="323"/>
      <c r="CU298" s="285"/>
      <c r="CV298" s="285"/>
      <c r="CW298" s="285"/>
      <c r="CX298" s="285"/>
      <c r="CY298" s="285"/>
      <c r="CZ298" s="285"/>
      <c r="DA298" s="285"/>
      <c r="DB298" s="285"/>
      <c r="DC298" s="285"/>
      <c r="DD298" s="285"/>
      <c r="DE298" s="285"/>
      <c r="DF298" s="285"/>
      <c r="DN298"/>
      <c r="DO298"/>
      <c r="DP298"/>
      <c r="DQ298"/>
      <c r="DR298"/>
      <c r="DS298"/>
      <c r="DT298"/>
      <c r="DU298"/>
      <c r="DV298"/>
      <c r="DW298"/>
      <c r="DX298"/>
      <c r="DY298"/>
      <c r="DZ298"/>
      <c r="EA298"/>
      <c r="EB298"/>
      <c r="EC298"/>
      <c r="ED298"/>
      <c r="EE298"/>
      <c r="EF298"/>
      <c r="EG298"/>
      <c r="EH298"/>
      <c r="EI298"/>
    </row>
    <row r="299" spans="2:139" s="6" customFormat="1">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s="337"/>
      <c r="CE299" s="337"/>
      <c r="CF299" s="337"/>
      <c r="CG299" s="337"/>
      <c r="CH299" s="337"/>
      <c r="CI299" s="337"/>
      <c r="CJ299" s="337"/>
      <c r="CK299" s="337"/>
      <c r="CL299" s="337"/>
      <c r="CM299" s="337"/>
      <c r="CN299" s="337"/>
      <c r="CO299" s="337"/>
      <c r="CP299" s="337"/>
      <c r="CQ299" s="323"/>
      <c r="CR299" s="323"/>
      <c r="CS299" s="383"/>
      <c r="CT299" s="385"/>
      <c r="CU299" s="131"/>
      <c r="CV299" s="131"/>
      <c r="CW299" s="131"/>
      <c r="CX299" s="131"/>
      <c r="CY299" s="131"/>
      <c r="CZ299" s="131"/>
      <c r="DA299" s="131"/>
      <c r="DB299" s="131"/>
      <c r="DC299" s="131"/>
      <c r="DD299" s="131"/>
      <c r="DE299" s="131"/>
      <c r="DF299" s="131"/>
      <c r="DN299"/>
      <c r="DO299"/>
      <c r="DP299"/>
      <c r="DQ299"/>
      <c r="DR299"/>
      <c r="DS299"/>
      <c r="DT299"/>
      <c r="DU299"/>
      <c r="DV299"/>
      <c r="DW299"/>
      <c r="DX299"/>
      <c r="DY299"/>
      <c r="DZ299"/>
      <c r="EA299"/>
      <c r="EB299"/>
      <c r="EC299"/>
      <c r="ED299"/>
      <c r="EE299"/>
      <c r="EF299"/>
      <c r="EG299"/>
      <c r="EH299"/>
      <c r="EI299"/>
    </row>
    <row r="300" spans="2:139" s="6" customFormat="1">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s="337"/>
      <c r="CE300" s="337"/>
      <c r="CF300" s="337"/>
      <c r="CG300" s="337"/>
      <c r="CH300" s="337"/>
      <c r="CI300" s="337"/>
      <c r="CJ300" s="337"/>
      <c r="CK300" s="337"/>
      <c r="CL300" s="337"/>
      <c r="CM300" s="337"/>
      <c r="CN300" s="337"/>
      <c r="CO300" s="337"/>
      <c r="CP300" s="337"/>
      <c r="CQ300" s="323"/>
      <c r="CR300" s="323"/>
      <c r="CS300" s="323"/>
      <c r="CT300" s="323"/>
      <c r="CU300" s="285"/>
      <c r="CV300" s="285"/>
      <c r="CW300" s="285"/>
      <c r="CX300" s="285"/>
      <c r="CY300" s="285"/>
      <c r="CZ300" s="285"/>
      <c r="DA300" s="285"/>
      <c r="DB300" s="285"/>
      <c r="DC300" s="285"/>
      <c r="DD300" s="285"/>
      <c r="DE300" s="285"/>
      <c r="DF300" s="285"/>
      <c r="DN300"/>
      <c r="DO300"/>
      <c r="DP300"/>
      <c r="DQ300"/>
      <c r="DR300"/>
      <c r="DS300"/>
      <c r="DT300"/>
      <c r="DU300"/>
      <c r="DV300"/>
      <c r="DW300"/>
      <c r="DX300"/>
      <c r="DY300"/>
      <c r="DZ300"/>
      <c r="EA300"/>
      <c r="EB300"/>
      <c r="EC300"/>
      <c r="ED300"/>
      <c r="EE300"/>
      <c r="EF300"/>
      <c r="EG300"/>
      <c r="EH300"/>
      <c r="EI300"/>
    </row>
    <row r="301" spans="2:139" s="6" customFormat="1">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s="337"/>
      <c r="CE301" s="337"/>
      <c r="CF301" s="337"/>
      <c r="CG301" s="337"/>
      <c r="CH301" s="337"/>
      <c r="CI301" s="337"/>
      <c r="CJ301" s="337"/>
      <c r="CK301" s="337"/>
      <c r="CL301" s="337"/>
      <c r="CM301" s="337"/>
      <c r="CN301" s="337"/>
      <c r="CO301" s="337"/>
      <c r="CP301" s="337"/>
      <c r="CQ301" s="323"/>
      <c r="CR301" s="323"/>
      <c r="CS301" s="323"/>
      <c r="CT301" s="323"/>
      <c r="CU301" s="285"/>
      <c r="CV301" s="285"/>
      <c r="CW301" s="285"/>
      <c r="CX301" s="285"/>
      <c r="CY301" s="285"/>
      <c r="CZ301" s="285"/>
      <c r="DA301" s="285"/>
      <c r="DB301" s="285"/>
      <c r="DC301" s="285"/>
      <c r="DD301" s="285"/>
      <c r="DE301" s="285"/>
      <c r="DF301" s="285"/>
      <c r="DN301"/>
      <c r="DO301"/>
      <c r="DP301"/>
      <c r="DQ301"/>
      <c r="DR301"/>
      <c r="DS301"/>
      <c r="DT301"/>
      <c r="DU301"/>
      <c r="DV301"/>
      <c r="DW301"/>
      <c r="DX301"/>
      <c r="DY301"/>
      <c r="DZ301"/>
      <c r="EA301"/>
      <c r="EB301"/>
      <c r="EC301"/>
      <c r="ED301"/>
      <c r="EE301"/>
      <c r="EF301"/>
      <c r="EG301"/>
      <c r="EH301"/>
      <c r="EI301"/>
    </row>
    <row r="302" spans="2:139" s="6" customFormat="1">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s="337"/>
      <c r="CE302" s="337"/>
      <c r="CF302" s="337"/>
      <c r="CG302" s="337"/>
      <c r="CH302" s="337"/>
      <c r="CI302" s="337"/>
      <c r="CJ302" s="337"/>
      <c r="CK302" s="337"/>
      <c r="CL302" s="337"/>
      <c r="CM302" s="337"/>
      <c r="CN302" s="337"/>
      <c r="CO302" s="337"/>
      <c r="CP302" s="337"/>
      <c r="CQ302" s="323"/>
      <c r="CR302" s="323"/>
      <c r="CS302" s="323"/>
      <c r="CT302" s="323"/>
      <c r="CU302" s="285"/>
      <c r="CV302" s="285"/>
      <c r="CW302" s="285"/>
      <c r="CX302" s="285"/>
      <c r="CY302" s="285"/>
      <c r="CZ302" s="285"/>
      <c r="DA302" s="285"/>
      <c r="DB302" s="285"/>
      <c r="DC302" s="285"/>
      <c r="DD302" s="285"/>
      <c r="DE302" s="285"/>
      <c r="DF302" s="285"/>
      <c r="DN302"/>
      <c r="DO302"/>
      <c r="DP302"/>
      <c r="DQ302"/>
      <c r="DR302"/>
      <c r="DS302"/>
      <c r="DT302"/>
      <c r="DU302"/>
      <c r="DV302"/>
      <c r="DW302"/>
      <c r="DX302"/>
      <c r="DY302"/>
      <c r="DZ302"/>
      <c r="EA302"/>
      <c r="EB302"/>
      <c r="EC302"/>
      <c r="ED302"/>
      <c r="EE302"/>
      <c r="EF302"/>
      <c r="EG302"/>
      <c r="EH302"/>
      <c r="EI302"/>
    </row>
    <row r="303" spans="2:139" s="6" customFormat="1">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s="337"/>
      <c r="CE303" s="337"/>
      <c r="CF303" s="337"/>
      <c r="CG303" s="337"/>
      <c r="CH303" s="337"/>
      <c r="CI303" s="337"/>
      <c r="CJ303" s="337"/>
      <c r="CK303" s="337"/>
      <c r="CL303" s="337"/>
      <c r="CM303" s="337"/>
      <c r="CN303" s="337"/>
      <c r="CO303" s="337"/>
      <c r="CP303" s="337"/>
      <c r="CQ303" s="323"/>
      <c r="CR303" s="323"/>
      <c r="CS303" s="384"/>
      <c r="CT303" s="384"/>
      <c r="CU303" s="200"/>
      <c r="CV303" s="200"/>
      <c r="CW303" s="200"/>
      <c r="CX303" s="200"/>
      <c r="CY303" s="200"/>
      <c r="CZ303" s="200"/>
      <c r="DA303" s="131"/>
      <c r="DB303" s="131"/>
      <c r="DC303" s="131"/>
      <c r="DD303" s="131"/>
      <c r="DE303" s="131"/>
      <c r="DF303" s="131"/>
      <c r="DN303"/>
      <c r="DO303"/>
      <c r="DP303"/>
      <c r="DQ303"/>
      <c r="DR303"/>
      <c r="DS303"/>
      <c r="DT303"/>
      <c r="DU303"/>
      <c r="DV303"/>
      <c r="DW303"/>
      <c r="DX303"/>
      <c r="DY303"/>
      <c r="DZ303"/>
      <c r="EA303"/>
      <c r="EB303"/>
      <c r="EC303"/>
      <c r="ED303"/>
      <c r="EE303"/>
      <c r="EF303"/>
      <c r="EG303"/>
      <c r="EH303"/>
      <c r="EI303"/>
    </row>
    <row r="304" spans="2:139" s="6" customFormat="1">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s="337"/>
      <c r="CE304" s="337"/>
      <c r="CF304" s="337"/>
      <c r="CG304" s="337"/>
      <c r="CH304" s="337"/>
      <c r="CI304" s="337"/>
      <c r="CJ304" s="337"/>
      <c r="CK304" s="337"/>
      <c r="CL304" s="337"/>
      <c r="CM304" s="337"/>
      <c r="CN304" s="337"/>
      <c r="CO304" s="337"/>
      <c r="CP304" s="337"/>
      <c r="CQ304" s="323"/>
      <c r="CR304" s="323"/>
      <c r="CS304" s="323"/>
      <c r="CT304" s="323"/>
      <c r="CU304" s="285"/>
      <c r="CV304" s="285"/>
      <c r="CW304" s="285"/>
      <c r="CX304" s="285"/>
      <c r="CY304" s="285"/>
      <c r="CZ304" s="285"/>
      <c r="DA304" s="285"/>
      <c r="DB304" s="285"/>
      <c r="DC304" s="285"/>
      <c r="DD304" s="285"/>
      <c r="DE304" s="285"/>
      <c r="DF304" s="285"/>
      <c r="DN304"/>
      <c r="DO304"/>
      <c r="DP304"/>
      <c r="DQ304"/>
      <c r="DR304"/>
      <c r="DS304"/>
      <c r="DT304"/>
      <c r="DU304"/>
      <c r="DV304"/>
      <c r="DW304"/>
      <c r="DX304"/>
      <c r="DY304"/>
      <c r="DZ304"/>
      <c r="EA304"/>
      <c r="EB304"/>
      <c r="EC304"/>
      <c r="ED304"/>
      <c r="EE304"/>
      <c r="EF304"/>
      <c r="EG304"/>
      <c r="EH304"/>
      <c r="EI304"/>
    </row>
  </sheetData>
  <sheetProtection formatCells="0" formatColumns="0" formatRows="0" selectLockedCells="1"/>
  <mergeCells count="523">
    <mergeCell ref="AR238:BM240"/>
    <mergeCell ref="AB241:CB247"/>
    <mergeCell ref="C241:AA247"/>
    <mergeCell ref="C41:Q46"/>
    <mergeCell ref="R44:AO46"/>
    <mergeCell ref="C47:Q49"/>
    <mergeCell ref="CE82:CS84"/>
    <mergeCell ref="BE38:CB49"/>
    <mergeCell ref="AS35:BD37"/>
    <mergeCell ref="AS38:BD49"/>
    <mergeCell ref="AB109:AO112"/>
    <mergeCell ref="AP109:CB112"/>
    <mergeCell ref="C100:AA102"/>
    <mergeCell ref="C106:AA108"/>
    <mergeCell ref="C70:CB71"/>
    <mergeCell ref="C79:CB81"/>
    <mergeCell ref="C74:CB75"/>
    <mergeCell ref="AP76:CB77"/>
    <mergeCell ref="C76:AO77"/>
    <mergeCell ref="AB106:CB108"/>
    <mergeCell ref="C103:AA105"/>
    <mergeCell ref="C72:CB72"/>
    <mergeCell ref="AA39:AB39"/>
    <mergeCell ref="AH39:AI39"/>
    <mergeCell ref="R47:AO49"/>
    <mergeCell ref="C114:Q115"/>
    <mergeCell ref="R114:AO115"/>
    <mergeCell ref="AP114:BD115"/>
    <mergeCell ref="BE114:CB115"/>
    <mergeCell ref="R56:AO58"/>
    <mergeCell ref="R59:CB64"/>
    <mergeCell ref="AP35:AR49"/>
    <mergeCell ref="AB103:CB105"/>
    <mergeCell ref="C73:CB73"/>
    <mergeCell ref="AB82:CB84"/>
    <mergeCell ref="AB85:CB87"/>
    <mergeCell ref="C78:AO78"/>
    <mergeCell ref="AP78:CB78"/>
    <mergeCell ref="AB91:CB93"/>
    <mergeCell ref="AB94:CB96"/>
    <mergeCell ref="AB88:CB90"/>
    <mergeCell ref="C91:AA93"/>
    <mergeCell ref="C94:AA96"/>
    <mergeCell ref="C113:CB113"/>
    <mergeCell ref="C82:AA84"/>
    <mergeCell ref="C85:AA87"/>
    <mergeCell ref="C109:AA112"/>
    <mergeCell ref="C50:Q52"/>
    <mergeCell ref="C97:AA99"/>
    <mergeCell ref="CE215:CS217"/>
    <mergeCell ref="CE233:CS235"/>
    <mergeCell ref="CE236:CS238"/>
    <mergeCell ref="CE159:CS161"/>
    <mergeCell ref="CE165:CS167"/>
    <mergeCell ref="CE162:CS164"/>
    <mergeCell ref="CE169:CS169"/>
    <mergeCell ref="CE168:CS168"/>
    <mergeCell ref="CE189:CS191"/>
    <mergeCell ref="CE192:CS194"/>
    <mergeCell ref="CE186:CS188"/>
    <mergeCell ref="CE212:CS214"/>
    <mergeCell ref="BE229:BF229"/>
    <mergeCell ref="BG229:BH229"/>
    <mergeCell ref="BI229:BJ229"/>
    <mergeCell ref="C215:CB215"/>
    <mergeCell ref="C216:CB217"/>
    <mergeCell ref="BG156:BH156"/>
    <mergeCell ref="BI156:BJ156"/>
    <mergeCell ref="BK156:CB156"/>
    <mergeCell ref="R212:CB214"/>
    <mergeCell ref="BE208:BF208"/>
    <mergeCell ref="BG208:BH208"/>
    <mergeCell ref="BI208:BJ208"/>
    <mergeCell ref="BI205:BJ205"/>
    <mergeCell ref="C206:AI206"/>
    <mergeCell ref="AJ206:AP206"/>
    <mergeCell ref="AQ206:AW206"/>
    <mergeCell ref="AX206:BD206"/>
    <mergeCell ref="C210:CB210"/>
    <mergeCell ref="C211:CB211"/>
    <mergeCell ref="BK208:CB208"/>
    <mergeCell ref="C209:AI209"/>
    <mergeCell ref="AJ209:AP209"/>
    <mergeCell ref="AQ209:AW209"/>
    <mergeCell ref="AX209:BD209"/>
    <mergeCell ref="BK206:CB206"/>
    <mergeCell ref="AJ207:AP207"/>
    <mergeCell ref="AQ207:AW207"/>
    <mergeCell ref="C205:AI205"/>
    <mergeCell ref="AJ205:AP205"/>
    <mergeCell ref="AQ205:AW205"/>
    <mergeCell ref="BE205:BF205"/>
    <mergeCell ref="BG205:BH205"/>
    <mergeCell ref="C207:AI207"/>
    <mergeCell ref="BK205:CB205"/>
    <mergeCell ref="AX205:BD205"/>
    <mergeCell ref="BI222:BJ222"/>
    <mergeCell ref="BK222:CB222"/>
    <mergeCell ref="C223:CB225"/>
    <mergeCell ref="BE209:BF209"/>
    <mergeCell ref="BG209:BH209"/>
    <mergeCell ref="BI209:BJ209"/>
    <mergeCell ref="BK209:CB209"/>
    <mergeCell ref="BK199:CB199"/>
    <mergeCell ref="AX208:BD208"/>
    <mergeCell ref="BK207:CB207"/>
    <mergeCell ref="AJ199:AP199"/>
    <mergeCell ref="BG207:BH207"/>
    <mergeCell ref="C218:AI220"/>
    <mergeCell ref="AJ218:AP220"/>
    <mergeCell ref="AQ218:AW220"/>
    <mergeCell ref="BE202:BJ204"/>
    <mergeCell ref="C208:AI208"/>
    <mergeCell ref="AJ208:AP208"/>
    <mergeCell ref="AQ208:AW208"/>
    <mergeCell ref="C200:CB201"/>
    <mergeCell ref="C202:AI204"/>
    <mergeCell ref="AJ202:AP204"/>
    <mergeCell ref="AQ202:AW204"/>
    <mergeCell ref="AX202:BD204"/>
    <mergeCell ref="C229:AI229"/>
    <mergeCell ref="C230:AI230"/>
    <mergeCell ref="AJ230:AP230"/>
    <mergeCell ref="AQ230:AW230"/>
    <mergeCell ref="AX230:BD230"/>
    <mergeCell ref="BE230:BF230"/>
    <mergeCell ref="BG230:BH230"/>
    <mergeCell ref="BK229:CB229"/>
    <mergeCell ref="C222:AI222"/>
    <mergeCell ref="AJ222:AP222"/>
    <mergeCell ref="AQ222:AW222"/>
    <mergeCell ref="AX222:BD222"/>
    <mergeCell ref="BE222:BF222"/>
    <mergeCell ref="BG222:BH222"/>
    <mergeCell ref="C226:AI228"/>
    <mergeCell ref="AJ226:AP228"/>
    <mergeCell ref="AQ226:AW228"/>
    <mergeCell ref="AX226:BD228"/>
    <mergeCell ref="BE226:BJ228"/>
    <mergeCell ref="BK226:CB228"/>
    <mergeCell ref="AJ229:AP229"/>
    <mergeCell ref="AQ229:AW229"/>
    <mergeCell ref="AX229:BD229"/>
    <mergeCell ref="BI230:BJ230"/>
    <mergeCell ref="C221:AI221"/>
    <mergeCell ref="AJ221:AP221"/>
    <mergeCell ref="AQ221:AW221"/>
    <mergeCell ref="AX221:BD221"/>
    <mergeCell ref="BE221:BF221"/>
    <mergeCell ref="BG221:BH221"/>
    <mergeCell ref="C212:Q214"/>
    <mergeCell ref="BI221:BJ221"/>
    <mergeCell ref="BK221:CB221"/>
    <mergeCell ref="AX218:BD220"/>
    <mergeCell ref="BE218:BJ220"/>
    <mergeCell ref="BK218:CB220"/>
    <mergeCell ref="B1:CB1"/>
    <mergeCell ref="AQ199:AW199"/>
    <mergeCell ref="C199:AI199"/>
    <mergeCell ref="C177:AI178"/>
    <mergeCell ref="AJ177:AP178"/>
    <mergeCell ref="AQ177:CB178"/>
    <mergeCell ref="C182:AI183"/>
    <mergeCell ref="AJ182:AP183"/>
    <mergeCell ref="AQ182:CB183"/>
    <mergeCell ref="BE197:BF197"/>
    <mergeCell ref="BG197:BH197"/>
    <mergeCell ref="AJ192:AP194"/>
    <mergeCell ref="AQ192:AW194"/>
    <mergeCell ref="AX192:BD194"/>
    <mergeCell ref="C197:AI197"/>
    <mergeCell ref="AJ197:AP197"/>
    <mergeCell ref="BI199:BJ199"/>
    <mergeCell ref="BK198:CB198"/>
    <mergeCell ref="BE199:BF199"/>
    <mergeCell ref="BG199:BH199"/>
    <mergeCell ref="AX195:BD195"/>
    <mergeCell ref="BE195:BF195"/>
    <mergeCell ref="BG195:BH195"/>
    <mergeCell ref="BI197:BJ197"/>
    <mergeCell ref="BK202:CB204"/>
    <mergeCell ref="AX207:BD207"/>
    <mergeCell ref="BE207:BF207"/>
    <mergeCell ref="BI207:BJ207"/>
    <mergeCell ref="BE206:BF206"/>
    <mergeCell ref="BG206:BH206"/>
    <mergeCell ref="BI206:BJ206"/>
    <mergeCell ref="AX199:BD199"/>
    <mergeCell ref="C157:CB157"/>
    <mergeCell ref="C158:CB158"/>
    <mergeCell ref="C198:AI198"/>
    <mergeCell ref="AJ198:AP198"/>
    <mergeCell ref="BK195:CB195"/>
    <mergeCell ref="C196:AI196"/>
    <mergeCell ref="AJ196:AP196"/>
    <mergeCell ref="AQ196:AW196"/>
    <mergeCell ref="AX196:BD196"/>
    <mergeCell ref="BE196:BF196"/>
    <mergeCell ref="BG196:BH196"/>
    <mergeCell ref="BI196:BJ196"/>
    <mergeCell ref="BK196:CB196"/>
    <mergeCell ref="C195:AI195"/>
    <mergeCell ref="AJ195:AP195"/>
    <mergeCell ref="AQ195:AW195"/>
    <mergeCell ref="BI195:BJ195"/>
    <mergeCell ref="C190:CB191"/>
    <mergeCell ref="BK197:CB197"/>
    <mergeCell ref="BI198:BJ198"/>
    <mergeCell ref="C184:CB184"/>
    <mergeCell ref="C185:CB185"/>
    <mergeCell ref="C186:Q188"/>
    <mergeCell ref="R186:CB188"/>
    <mergeCell ref="C189:CB189"/>
    <mergeCell ref="BE192:BJ194"/>
    <mergeCell ref="AQ197:AW197"/>
    <mergeCell ref="AX197:BD197"/>
    <mergeCell ref="BK192:CB194"/>
    <mergeCell ref="AQ198:AW198"/>
    <mergeCell ref="AX198:BD198"/>
    <mergeCell ref="BE198:BF198"/>
    <mergeCell ref="BG198:BH198"/>
    <mergeCell ref="C172:AI172"/>
    <mergeCell ref="AJ172:AP172"/>
    <mergeCell ref="AQ172:AW172"/>
    <mergeCell ref="AX172:BD172"/>
    <mergeCell ref="BE172:BF172"/>
    <mergeCell ref="BG172:BH172"/>
    <mergeCell ref="C181:CB181"/>
    <mergeCell ref="C192:AI194"/>
    <mergeCell ref="BI172:BJ172"/>
    <mergeCell ref="BK172:CB172"/>
    <mergeCell ref="C173:AI173"/>
    <mergeCell ref="AJ173:AP173"/>
    <mergeCell ref="AQ173:AW173"/>
    <mergeCell ref="AX173:BD173"/>
    <mergeCell ref="BE173:BF173"/>
    <mergeCell ref="BG173:BH173"/>
    <mergeCell ref="BI173:BJ173"/>
    <mergeCell ref="BK173:CB173"/>
    <mergeCell ref="BE171:BF171"/>
    <mergeCell ref="BG171:BH171"/>
    <mergeCell ref="BI171:BJ171"/>
    <mergeCell ref="BK171:CB171"/>
    <mergeCell ref="C170:AI170"/>
    <mergeCell ref="AJ170:AP170"/>
    <mergeCell ref="AQ170:AW170"/>
    <mergeCell ref="AX170:BD170"/>
    <mergeCell ref="BE170:BF170"/>
    <mergeCell ref="BG170:BH170"/>
    <mergeCell ref="BI170:BJ170"/>
    <mergeCell ref="BK170:CB170"/>
    <mergeCell ref="C171:AI171"/>
    <mergeCell ref="AJ171:AP171"/>
    <mergeCell ref="AQ171:AW171"/>
    <mergeCell ref="AX171:BD171"/>
    <mergeCell ref="BK165:CB167"/>
    <mergeCell ref="C168:AI168"/>
    <mergeCell ref="BK168:CB168"/>
    <mergeCell ref="C169:AI169"/>
    <mergeCell ref="AJ169:AP169"/>
    <mergeCell ref="AQ169:AW169"/>
    <mergeCell ref="AX169:BD169"/>
    <mergeCell ref="BE169:BF169"/>
    <mergeCell ref="BG169:BH169"/>
    <mergeCell ref="BI169:BJ169"/>
    <mergeCell ref="BK169:CB169"/>
    <mergeCell ref="AJ168:AP168"/>
    <mergeCell ref="AQ168:AW168"/>
    <mergeCell ref="AX168:BD168"/>
    <mergeCell ref="BE168:BF168"/>
    <mergeCell ref="BG168:BH168"/>
    <mergeCell ref="BI168:BJ168"/>
    <mergeCell ref="BK155:CB155"/>
    <mergeCell ref="C155:AI155"/>
    <mergeCell ref="AJ155:AP155"/>
    <mergeCell ref="AQ155:AW155"/>
    <mergeCell ref="AX155:BD155"/>
    <mergeCell ref="BE155:BF155"/>
    <mergeCell ref="BG155:BH155"/>
    <mergeCell ref="C156:AI156"/>
    <mergeCell ref="AJ156:AP156"/>
    <mergeCell ref="AQ156:AW156"/>
    <mergeCell ref="AX156:BD156"/>
    <mergeCell ref="BE156:BF156"/>
    <mergeCell ref="BK138:CB138"/>
    <mergeCell ref="C137:AI137"/>
    <mergeCell ref="AJ137:AP137"/>
    <mergeCell ref="AQ137:AW137"/>
    <mergeCell ref="AX137:BD137"/>
    <mergeCell ref="BE137:BF137"/>
    <mergeCell ref="BG137:BH137"/>
    <mergeCell ref="BK151:CB153"/>
    <mergeCell ref="C154:AI154"/>
    <mergeCell ref="AJ154:AP154"/>
    <mergeCell ref="AQ154:AW154"/>
    <mergeCell ref="AX154:BD154"/>
    <mergeCell ref="BE154:BF154"/>
    <mergeCell ref="BG154:BH154"/>
    <mergeCell ref="BI154:BJ154"/>
    <mergeCell ref="BK154:CB154"/>
    <mergeCell ref="C145:AI145"/>
    <mergeCell ref="AJ145:AP145"/>
    <mergeCell ref="AQ145:AW145"/>
    <mergeCell ref="BK141:CB143"/>
    <mergeCell ref="BG148:BH148"/>
    <mergeCell ref="BI148:BJ148"/>
    <mergeCell ref="BK148:CB148"/>
    <mergeCell ref="C148:AI148"/>
    <mergeCell ref="BI136:BJ136"/>
    <mergeCell ref="C135:AI135"/>
    <mergeCell ref="AJ135:AP135"/>
    <mergeCell ref="AQ135:AW135"/>
    <mergeCell ref="AX135:BD135"/>
    <mergeCell ref="C138:AI138"/>
    <mergeCell ref="AJ138:AP138"/>
    <mergeCell ref="AQ138:AW138"/>
    <mergeCell ref="AX138:BD138"/>
    <mergeCell ref="BE138:BF138"/>
    <mergeCell ref="BG138:BH138"/>
    <mergeCell ref="BI138:BJ138"/>
    <mergeCell ref="C136:AI136"/>
    <mergeCell ref="BE136:BF136"/>
    <mergeCell ref="BG136:BH136"/>
    <mergeCell ref="CE242:CS244"/>
    <mergeCell ref="AP239:AQ239"/>
    <mergeCell ref="C32:Q34"/>
    <mergeCell ref="C67:Q69"/>
    <mergeCell ref="R67:CB69"/>
    <mergeCell ref="C66:CB66"/>
    <mergeCell ref="C65:CB65"/>
    <mergeCell ref="AP56:BD58"/>
    <mergeCell ref="BE56:CB58"/>
    <mergeCell ref="AP53:BD55"/>
    <mergeCell ref="C59:Q64"/>
    <mergeCell ref="R53:AO55"/>
    <mergeCell ref="C53:Q55"/>
    <mergeCell ref="BE53:CB55"/>
    <mergeCell ref="C56:Q58"/>
    <mergeCell ref="BE50:CB52"/>
    <mergeCell ref="C38:Q40"/>
    <mergeCell ref="R35:AO37"/>
    <mergeCell ref="C35:Q37"/>
    <mergeCell ref="AP50:BD52"/>
    <mergeCell ref="V38:Z40"/>
    <mergeCell ref="AC38:AG40"/>
    <mergeCell ref="AJ38:AN40"/>
    <mergeCell ref="T39:U39"/>
    <mergeCell ref="AP29:BD31"/>
    <mergeCell ref="C5:Q7"/>
    <mergeCell ref="DH275:DJ276"/>
    <mergeCell ref="C231:CB231"/>
    <mergeCell ref="C232:CB232"/>
    <mergeCell ref="C233:Q235"/>
    <mergeCell ref="R233:CB235"/>
    <mergeCell ref="C236:CB237"/>
    <mergeCell ref="C248:CB248"/>
    <mergeCell ref="C249:CB250"/>
    <mergeCell ref="C251:CB257"/>
    <mergeCell ref="BN238:CB240"/>
    <mergeCell ref="C238:AA240"/>
    <mergeCell ref="CE239:CS241"/>
    <mergeCell ref="AD239:AE239"/>
    <mergeCell ref="C131:AI133"/>
    <mergeCell ref="AJ131:AP133"/>
    <mergeCell ref="R116:AO117"/>
    <mergeCell ref="AP116:BD117"/>
    <mergeCell ref="BE116:CB117"/>
    <mergeCell ref="C118:Q119"/>
    <mergeCell ref="R118:AO119"/>
    <mergeCell ref="AP118:BD119"/>
    <mergeCell ref="BE118:CB119"/>
    <mergeCell ref="C120:Q121"/>
    <mergeCell ref="R120:AO121"/>
    <mergeCell ref="AP120:BD121"/>
    <mergeCell ref="BE120:CB121"/>
    <mergeCell ref="AC127:AD128"/>
    <mergeCell ref="C116:Q117"/>
    <mergeCell ref="Q127:Z128"/>
    <mergeCell ref="BG127:BH128"/>
    <mergeCell ref="AG127:AP128"/>
    <mergeCell ref="AQ127:AR128"/>
    <mergeCell ref="AS127:AT128"/>
    <mergeCell ref="AA127:AB128"/>
    <mergeCell ref="AW127:BF128"/>
    <mergeCell ref="BW127:BX128"/>
    <mergeCell ref="C122:CB122"/>
    <mergeCell ref="C123:CB123"/>
    <mergeCell ref="C124:Q126"/>
    <mergeCell ref="AU127:AV128"/>
    <mergeCell ref="BI127:BJ128"/>
    <mergeCell ref="BK127:BL128"/>
    <mergeCell ref="BY127:BZ128"/>
    <mergeCell ref="CA127:CB128"/>
    <mergeCell ref="C4:CB4"/>
    <mergeCell ref="C3:CB3"/>
    <mergeCell ref="R124:CB126"/>
    <mergeCell ref="BK230:CB230"/>
    <mergeCell ref="BK131:CB133"/>
    <mergeCell ref="C88:AA90"/>
    <mergeCell ref="R5:CB7"/>
    <mergeCell ref="C8:Q12"/>
    <mergeCell ref="C13:Q17"/>
    <mergeCell ref="R8:CB12"/>
    <mergeCell ref="R13:CB17"/>
    <mergeCell ref="R26:AO28"/>
    <mergeCell ref="R29:AO31"/>
    <mergeCell ref="C19:CB19"/>
    <mergeCell ref="C18:CB18"/>
    <mergeCell ref="R23:AO25"/>
    <mergeCell ref="C20:Q22"/>
    <mergeCell ref="R20:CB22"/>
    <mergeCell ref="C23:Q25"/>
    <mergeCell ref="C29:Q31"/>
    <mergeCell ref="C26:Q28"/>
    <mergeCell ref="AQ141:AW143"/>
    <mergeCell ref="AX141:BD143"/>
    <mergeCell ref="BE141:BJ143"/>
    <mergeCell ref="CF1:CR1"/>
    <mergeCell ref="CS1:CT1"/>
    <mergeCell ref="CD1:CE1"/>
    <mergeCell ref="CE124:CS126"/>
    <mergeCell ref="CE127:CS129"/>
    <mergeCell ref="CE130:CS132"/>
    <mergeCell ref="CE79:CS81"/>
    <mergeCell ref="CE85:CS87"/>
    <mergeCell ref="AB97:CB99"/>
    <mergeCell ref="AB100:CB102"/>
    <mergeCell ref="R32:AO34"/>
    <mergeCell ref="T42:U42"/>
    <mergeCell ref="AA42:AB42"/>
    <mergeCell ref="AC41:AG43"/>
    <mergeCell ref="V41:Z43"/>
    <mergeCell ref="AP32:BD34"/>
    <mergeCell ref="BE32:CB34"/>
    <mergeCell ref="BE35:CB37"/>
    <mergeCell ref="AP26:BD28"/>
    <mergeCell ref="BE23:CB25"/>
    <mergeCell ref="AP23:BD25"/>
    <mergeCell ref="BE26:CB28"/>
    <mergeCell ref="BE29:CB31"/>
    <mergeCell ref="R50:AO52"/>
    <mergeCell ref="BE134:BF134"/>
    <mergeCell ref="BM127:BV128"/>
    <mergeCell ref="BE135:BF135"/>
    <mergeCell ref="BG135:BH135"/>
    <mergeCell ref="BI135:BJ135"/>
    <mergeCell ref="BK135:CB135"/>
    <mergeCell ref="BI137:BJ137"/>
    <mergeCell ref="BK137:CB137"/>
    <mergeCell ref="C149:CB150"/>
    <mergeCell ref="BK147:CB147"/>
    <mergeCell ref="C127:P128"/>
    <mergeCell ref="AE127:AF128"/>
    <mergeCell ref="C144:AI144"/>
    <mergeCell ref="AJ144:AP144"/>
    <mergeCell ref="AQ144:AW144"/>
    <mergeCell ref="AX144:BD144"/>
    <mergeCell ref="BE144:BF144"/>
    <mergeCell ref="BG144:BH144"/>
    <mergeCell ref="BI144:BJ144"/>
    <mergeCell ref="BK144:CB144"/>
    <mergeCell ref="C139:CB140"/>
    <mergeCell ref="C141:AI143"/>
    <mergeCell ref="AJ141:AP143"/>
    <mergeCell ref="C129:CB130"/>
    <mergeCell ref="C151:AI153"/>
    <mergeCell ref="AJ151:AP153"/>
    <mergeCell ref="AQ151:AW153"/>
    <mergeCell ref="AX151:BD153"/>
    <mergeCell ref="BE151:BJ153"/>
    <mergeCell ref="C147:AI147"/>
    <mergeCell ref="AJ147:AP147"/>
    <mergeCell ref="AQ147:AW147"/>
    <mergeCell ref="AF238:AN240"/>
    <mergeCell ref="AB239:AC239"/>
    <mergeCell ref="BI147:BJ147"/>
    <mergeCell ref="BI155:BJ155"/>
    <mergeCell ref="C159:Q161"/>
    <mergeCell ref="R159:CB161"/>
    <mergeCell ref="C162:CB162"/>
    <mergeCell ref="C179:CB180"/>
    <mergeCell ref="C176:CB176"/>
    <mergeCell ref="C174:CB175"/>
    <mergeCell ref="C163:CB164"/>
    <mergeCell ref="C165:AI167"/>
    <mergeCell ref="AJ165:AP167"/>
    <mergeCell ref="AQ165:AW167"/>
    <mergeCell ref="AX165:BD167"/>
    <mergeCell ref="BE165:BJ167"/>
    <mergeCell ref="BK134:CB134"/>
    <mergeCell ref="C134:AI134"/>
    <mergeCell ref="AQ131:AW133"/>
    <mergeCell ref="AX131:BD133"/>
    <mergeCell ref="C146:AI146"/>
    <mergeCell ref="AJ146:AP146"/>
    <mergeCell ref="AQ146:AW146"/>
    <mergeCell ref="AX146:BD146"/>
    <mergeCell ref="BE146:BF146"/>
    <mergeCell ref="AX145:BD145"/>
    <mergeCell ref="BE145:BF145"/>
    <mergeCell ref="BG145:BH145"/>
    <mergeCell ref="BI145:BJ145"/>
    <mergeCell ref="BK145:CB145"/>
    <mergeCell ref="BE131:BJ133"/>
    <mergeCell ref="AJ134:AP134"/>
    <mergeCell ref="AQ134:AW134"/>
    <mergeCell ref="AX134:BD134"/>
    <mergeCell ref="BI134:BJ134"/>
    <mergeCell ref="BG134:BH134"/>
    <mergeCell ref="AJ136:AP136"/>
    <mergeCell ref="AQ136:AW136"/>
    <mergeCell ref="AX136:BD136"/>
    <mergeCell ref="BK136:CB136"/>
    <mergeCell ref="BG146:BH146"/>
    <mergeCell ref="BI146:BJ146"/>
    <mergeCell ref="BK146:CB146"/>
    <mergeCell ref="AX147:BD147"/>
    <mergeCell ref="BE147:BF147"/>
    <mergeCell ref="BG147:BH147"/>
    <mergeCell ref="AJ148:AP148"/>
    <mergeCell ref="AQ148:AW148"/>
    <mergeCell ref="AX148:BD148"/>
    <mergeCell ref="BE148:BF148"/>
  </mergeCells>
  <conditionalFormatting sqref="AB109:AO112">
    <cfRule type="cellIs" dxfId="81" priority="15" operator="equal">
      <formula>"C"</formula>
    </cfRule>
    <cfRule type="cellIs" dxfId="80" priority="16" operator="equal">
      <formula>"B"</formula>
    </cfRule>
    <cfRule type="cellIs" dxfId="79" priority="17" operator="equal">
      <formula>"A"</formula>
    </cfRule>
  </conditionalFormatting>
  <conditionalFormatting sqref="BE205:BJ209 BE221:BJ222 BE229:BJ230 BE195:BJ199 BE168:BJ173 BE154:BJ156 BE144:BJ146 BE134:BJ136">
    <cfRule type="cellIs" dxfId="78" priority="8" operator="equal">
      <formula>"x"</formula>
    </cfRule>
  </conditionalFormatting>
  <conditionalFormatting sqref="BE205:BJ209 BE221:BJ222 BE229:BJ230 BE195:BJ199 BE168:BJ173 BE154:BJ156 BE144:BJ146 BE134:BJ136">
    <cfRule type="cellIs" dxfId="77" priority="7" operator="equal">
      <formula>"X"</formula>
    </cfRule>
  </conditionalFormatting>
  <pageMargins left="0.70866141732283472" right="0.70866141732283472" top="0.86614173228346458" bottom="0.86614173228346458" header="0.23622047244094491" footer="0.23622047244094491"/>
  <pageSetup paperSize="9" scale="18"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3" manualBreakCount="3">
    <brk id="78" max="79" man="1"/>
    <brk id="157" max="79" man="1"/>
    <brk id="210" max="79" man="1"/>
  </rowBreaks>
  <drawing r:id="rId2"/>
  <legacyDrawingHF r:id="rId3"/>
  <extLst>
    <ext xmlns:x14="http://schemas.microsoft.com/office/spreadsheetml/2009/9/main" uri="{78C0D931-6437-407d-A8EE-F0AAD7539E65}">
      <x14:conditionalFormattings>
        <x14:conditionalFormatting xmlns:xm="http://schemas.microsoft.com/office/excel/2006/main">
          <x14:cfRule type="cellIs" priority="19" operator="equal" id="{0E320C15-63FF-415B-8BB3-FE7A9DD2AFC2}">
            <xm:f>Buttons!$E$3</xm:f>
            <x14:dxf>
              <font>
                <color rgb="FFFF0000"/>
              </font>
            </x14:dxf>
          </x14:cfRule>
          <xm:sqref>AJ177:AP178 AJ182:AP183</xm:sqref>
        </x14:conditionalFormatting>
        <x14:conditionalFormatting xmlns:xm="http://schemas.microsoft.com/office/excel/2006/main">
          <x14:cfRule type="cellIs" priority="4" operator="equal" id="{87F7A59F-91EA-417B-B12A-D73717F005F2}">
            <xm:f>Buttons!$B$16</xm:f>
            <x14:dxf>
              <fill>
                <patternFill>
                  <bgColor theme="0" tint="-0.14996795556505021"/>
                </patternFill>
              </fill>
            </x14:dxf>
          </x14:cfRule>
          <x14:cfRule type="cellIs" priority="5" operator="equal" id="{97AAFCE7-E226-435E-95FF-EB2CCABF54F2}">
            <xm:f>Buttons!$B$17</xm:f>
            <x14:dxf>
              <font>
                <color rgb="FF006100"/>
              </font>
              <fill>
                <patternFill>
                  <bgColor rgb="FFC6EFCE"/>
                </patternFill>
              </fill>
            </x14:dxf>
          </x14:cfRule>
          <x14:cfRule type="cellIs" priority="6" operator="equal" id="{9892E1A7-AB0E-4BC1-B44B-AD876B465230}">
            <xm:f>Buttons!$B$18</xm:f>
            <x14:dxf>
              <font>
                <color rgb="FF9C0006"/>
              </font>
              <fill>
                <patternFill>
                  <bgColor rgb="FFFFC7CE"/>
                </patternFill>
              </fill>
            </x14:dxf>
          </x14:cfRule>
          <xm:sqref>BN238:CB240</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0000000}">
          <x14:formula1>
            <xm:f>Buttons!$B$13:$B$14</xm:f>
          </x14:formula1>
          <xm:sqref>AJ177:AP178 AJ182:AP183</xm:sqref>
        </x14:dataValidation>
        <x14:dataValidation type="list" allowBlank="1" showInputMessage="1" showErrorMessage="1" xr:uid="{00000000-0002-0000-0100-000001000000}">
          <x14:formula1>
            <xm:f>Buttons!$B$5:$B$6</xm:f>
          </x14:formula1>
          <xm:sqref>T39:U39 AA39:AB39 AH39:AI39 AA42:AB42 T42:U42 AD239:AE239 AP239:AQ239</xm:sqref>
        </x14:dataValidation>
        <x14:dataValidation type="list" allowBlank="1" showInputMessage="1" showErrorMessage="1" xr:uid="{00000000-0002-0000-0100-000002000000}">
          <x14:formula1>
            <xm:f>Buttons!$B$8:$B$11</xm:f>
          </x14:formula1>
          <xm:sqref>AB109:AO112</xm:sqref>
        </x14:dataValidation>
        <x14:dataValidation type="list" allowBlank="1" showInputMessage="1" showErrorMessage="1" xr:uid="{00000000-0002-0000-0100-000003000000}">
          <x14:formula1>
            <xm:f>Buttons!$B$16:$B$18</xm:f>
          </x14:formula1>
          <xm:sqref>BN238:CB240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5">
    <pageSetUpPr fitToPage="1"/>
  </sheetPr>
  <dimension ref="A1:AH99"/>
  <sheetViews>
    <sheetView showGridLines="0" tabSelected="1" zoomScaleNormal="100" zoomScaleSheetLayoutView="100" workbookViewId="0">
      <pane ySplit="1" topLeftCell="A2" activePane="bottomLeft" state="frozen"/>
      <selection activeCell="D3" sqref="D3"/>
      <selection pane="bottomLeft" activeCell="D3" sqref="D3"/>
    </sheetView>
  </sheetViews>
  <sheetFormatPr baseColWidth="10" defaultColWidth="11" defaultRowHeight="12.75"/>
  <cols>
    <col min="1" max="1" width="1.875" style="408" customWidth="1"/>
    <col min="2" max="2" width="1.875" customWidth="1"/>
    <col min="3" max="3" width="15.625" customWidth="1"/>
    <col min="4" max="19" width="10.625" customWidth="1"/>
  </cols>
  <sheetData>
    <row r="1" spans="2:34" s="392" customFormat="1" ht="33.75" customHeight="1">
      <c r="B1" s="947" t="str">
        <f>VLOOKUP(5001,Languages!A5:C455,Languages!A2,FALSE)</f>
        <v>Statistic</v>
      </c>
      <c r="C1" s="947"/>
      <c r="D1" s="947"/>
      <c r="E1" s="947"/>
      <c r="F1" s="947"/>
      <c r="G1" s="947"/>
      <c r="H1" s="947"/>
      <c r="I1" s="947"/>
      <c r="J1" s="947"/>
      <c r="K1" s="947"/>
      <c r="L1" s="947"/>
      <c r="M1" s="947"/>
      <c r="N1" s="947"/>
      <c r="O1" s="947"/>
      <c r="P1" s="947"/>
      <c r="Q1" s="947"/>
      <c r="R1" s="947"/>
      <c r="S1" s="947"/>
    </row>
    <row r="2" spans="2:34" ht="11.25" customHeight="1">
      <c r="C2" s="111"/>
      <c r="D2" s="108"/>
      <c r="E2" s="108"/>
    </row>
    <row r="3" spans="2:34" ht="22.5" customHeight="1">
      <c r="C3" s="944" t="str">
        <f>VLOOKUP(5002,Languages!A5:C455,Languages!A2,FALSE)</f>
        <v>Occurrence n.o.k.-parts - temporal course and validation of measures</v>
      </c>
      <c r="D3" s="944"/>
      <c r="E3" s="944"/>
      <c r="F3" s="944"/>
      <c r="G3" s="944"/>
      <c r="H3" s="944"/>
      <c r="I3" s="944"/>
      <c r="J3" s="944"/>
      <c r="K3" s="944"/>
      <c r="L3" s="944"/>
      <c r="M3" s="944"/>
      <c r="N3" s="944"/>
      <c r="O3" s="944"/>
      <c r="P3" s="944"/>
      <c r="Q3" s="944"/>
      <c r="R3" s="944"/>
      <c r="S3" s="944"/>
    </row>
    <row r="5" spans="2:34" ht="15.75">
      <c r="C5" s="948" t="str">
        <f>VLOOKUP(5003,Languages!A5:C455,Languages!A2,FALSE)</f>
        <v>N.o.k.-parts</v>
      </c>
      <c r="D5" s="949"/>
      <c r="E5" s="949"/>
      <c r="F5" s="949"/>
      <c r="G5" s="949"/>
      <c r="H5" s="949"/>
      <c r="I5" s="949"/>
      <c r="J5" s="949"/>
      <c r="K5" s="949"/>
      <c r="L5" s="949"/>
      <c r="M5" s="949"/>
      <c r="N5" s="949"/>
      <c r="O5" s="949"/>
      <c r="P5" s="949"/>
      <c r="Q5" s="949"/>
      <c r="R5" s="949"/>
      <c r="S5" s="950"/>
      <c r="T5" s="69"/>
      <c r="U5" s="69"/>
      <c r="V5" s="69"/>
      <c r="W5" s="69"/>
      <c r="X5" s="69"/>
      <c r="Y5" s="69"/>
      <c r="Z5" s="69"/>
      <c r="AA5" s="69"/>
      <c r="AB5" s="69"/>
      <c r="AC5" s="69"/>
      <c r="AD5" s="69"/>
      <c r="AE5" s="69"/>
      <c r="AF5" s="69"/>
      <c r="AG5" s="69"/>
      <c r="AH5" s="69"/>
    </row>
    <row r="6" spans="2:34">
      <c r="C6" s="280" t="str">
        <f>VLOOKUP(5004,Languages!A5:C455,Languages!A2,FALSE)</f>
        <v>Date</v>
      </c>
      <c r="D6" s="81"/>
      <c r="E6" s="81"/>
      <c r="F6" s="81"/>
      <c r="G6" s="81"/>
      <c r="H6" s="81"/>
      <c r="I6" s="81"/>
      <c r="J6" s="81"/>
      <c r="K6" s="81"/>
      <c r="L6" s="81"/>
      <c r="M6" s="81"/>
      <c r="N6" s="81"/>
      <c r="O6" s="81"/>
      <c r="P6" s="81"/>
      <c r="Q6" s="81"/>
      <c r="R6" s="81"/>
      <c r="S6" s="81"/>
      <c r="T6" s="70"/>
      <c r="U6" s="70"/>
      <c r="V6" s="70"/>
      <c r="W6" s="70"/>
      <c r="X6" s="70"/>
      <c r="Y6" s="70"/>
      <c r="Z6" s="70"/>
      <c r="AA6" s="70"/>
      <c r="AB6" s="70"/>
      <c r="AC6" s="70"/>
      <c r="AD6" s="70"/>
      <c r="AE6" s="70"/>
      <c r="AF6" s="70"/>
      <c r="AG6" s="70"/>
      <c r="AH6" s="70"/>
    </row>
    <row r="7" spans="2:34">
      <c r="C7" s="283" t="str">
        <f>VLOOKUP(5005,Languages!A5:C455,Languages!A2,FALSE)</f>
        <v>Customer</v>
      </c>
      <c r="D7" s="76"/>
      <c r="E7" s="76"/>
      <c r="F7" s="76"/>
      <c r="G7" s="76"/>
      <c r="H7" s="76"/>
      <c r="I7" s="76"/>
      <c r="J7" s="76"/>
      <c r="K7" s="76"/>
      <c r="L7" s="76"/>
      <c r="M7" s="76"/>
      <c r="N7" s="76"/>
      <c r="O7" s="76"/>
      <c r="P7" s="76"/>
      <c r="Q7" s="76"/>
      <c r="R7" s="76"/>
      <c r="S7" s="76"/>
      <c r="T7" s="71"/>
      <c r="U7" s="71"/>
      <c r="V7" s="71"/>
      <c r="W7" s="71"/>
      <c r="X7" s="71"/>
      <c r="Y7" s="71"/>
      <c r="Z7" s="71"/>
      <c r="AA7" s="71"/>
      <c r="AB7" s="71"/>
      <c r="AC7" s="71"/>
      <c r="AD7" s="71"/>
      <c r="AE7" s="71"/>
      <c r="AF7" s="71"/>
      <c r="AG7" s="71"/>
      <c r="AH7" s="71"/>
    </row>
    <row r="8" spans="2:34">
      <c r="C8" s="283" t="str">
        <f>VLOOKUP(5006,Languages!A5:C455,Languages!A2,FALSE)</f>
        <v>Internal</v>
      </c>
      <c r="D8" s="76"/>
      <c r="E8" s="76"/>
      <c r="F8" s="76"/>
      <c r="G8" s="76"/>
      <c r="H8" s="76"/>
      <c r="I8" s="76"/>
      <c r="J8" s="76"/>
      <c r="K8" s="76"/>
      <c r="L8" s="76"/>
      <c r="M8" s="76"/>
      <c r="N8" s="76"/>
      <c r="O8" s="76"/>
      <c r="P8" s="76"/>
      <c r="Q8" s="76"/>
      <c r="R8" s="76"/>
      <c r="S8" s="76"/>
      <c r="T8" s="71"/>
      <c r="U8" s="71"/>
      <c r="V8" s="71"/>
      <c r="W8" s="71"/>
      <c r="X8" s="71"/>
      <c r="Y8" s="71"/>
      <c r="Z8" s="71"/>
      <c r="AA8" s="71"/>
      <c r="AB8" s="71"/>
      <c r="AC8" s="71"/>
      <c r="AD8" s="71"/>
      <c r="AE8" s="71"/>
      <c r="AF8" s="71"/>
      <c r="AG8" s="71"/>
      <c r="AH8" s="71"/>
    </row>
    <row r="9" spans="2:34">
      <c r="C9" s="284" t="s">
        <v>18</v>
      </c>
      <c r="D9" s="76"/>
      <c r="E9" s="76"/>
      <c r="F9" s="76"/>
      <c r="G9" s="76"/>
      <c r="H9" s="76"/>
      <c r="I9" s="76"/>
      <c r="J9" s="76"/>
      <c r="K9" s="76"/>
      <c r="L9" s="76"/>
      <c r="M9" s="76"/>
      <c r="N9" s="76"/>
      <c r="O9" s="76"/>
      <c r="P9" s="76"/>
      <c r="Q9" s="76"/>
      <c r="R9" s="76"/>
      <c r="S9" s="76"/>
      <c r="T9" s="71"/>
      <c r="U9" s="71"/>
      <c r="V9" s="71"/>
      <c r="W9" s="71"/>
      <c r="X9" s="71"/>
      <c r="Y9" s="71"/>
      <c r="Z9" s="71"/>
      <c r="AA9" s="71"/>
      <c r="AB9" s="71"/>
      <c r="AC9" s="71"/>
      <c r="AD9" s="71"/>
      <c r="AE9" s="71"/>
      <c r="AF9" s="71"/>
      <c r="AG9" s="71"/>
      <c r="AH9" s="71"/>
    </row>
    <row r="11" spans="2:34">
      <c r="C11" s="335" t="str">
        <f>VLOOKUP(5004,Languages!A5:C455,Languages!A2,FALSE)</f>
        <v>Date</v>
      </c>
      <c r="D11" s="334"/>
      <c r="E11" s="82"/>
      <c r="F11" s="82"/>
      <c r="G11" s="82"/>
      <c r="H11" s="82"/>
      <c r="I11" s="82"/>
      <c r="J11" s="82"/>
      <c r="K11" s="82"/>
      <c r="L11" s="82"/>
      <c r="M11" s="82"/>
      <c r="N11" s="82"/>
      <c r="O11" s="82"/>
      <c r="P11" s="82"/>
      <c r="Q11" s="82"/>
      <c r="R11" s="82"/>
      <c r="S11" s="83"/>
    </row>
    <row r="12" spans="2:34">
      <c r="C12" s="335" t="str">
        <f>VLOOKUP(5005,Languages!A5:C455,Languages!A2,FALSE)</f>
        <v>Customer</v>
      </c>
      <c r="D12" s="77"/>
      <c r="E12" s="77"/>
      <c r="F12" s="77"/>
      <c r="G12" s="77"/>
      <c r="H12" s="77"/>
      <c r="I12" s="77"/>
      <c r="J12" s="77"/>
      <c r="K12" s="77"/>
      <c r="L12" s="77"/>
      <c r="M12" s="77"/>
      <c r="N12" s="77"/>
      <c r="O12" s="77"/>
      <c r="P12" s="77"/>
      <c r="Q12" s="77"/>
      <c r="R12" s="77"/>
      <c r="S12" s="79"/>
    </row>
    <row r="13" spans="2:34">
      <c r="C13" s="335" t="str">
        <f>VLOOKUP(5006,Languages!A5:C455,Languages!A2,FALSE)</f>
        <v>Internal</v>
      </c>
      <c r="D13" s="78"/>
      <c r="E13" s="78"/>
      <c r="F13" s="78"/>
      <c r="G13" s="78"/>
      <c r="H13" s="78"/>
      <c r="I13" s="78"/>
      <c r="J13" s="78"/>
      <c r="K13" s="78"/>
      <c r="L13" s="78"/>
      <c r="M13" s="78"/>
      <c r="N13" s="78"/>
      <c r="O13" s="78"/>
      <c r="P13" s="78"/>
      <c r="Q13" s="78"/>
      <c r="R13" s="78"/>
      <c r="S13" s="80"/>
    </row>
    <row r="14" spans="2:34">
      <c r="C14" s="336" t="s">
        <v>18</v>
      </c>
      <c r="D14" s="78"/>
      <c r="E14" s="78"/>
      <c r="F14" s="78"/>
      <c r="G14" s="78"/>
      <c r="H14" s="78"/>
      <c r="I14" s="78"/>
      <c r="J14" s="78"/>
      <c r="K14" s="78"/>
      <c r="L14" s="78"/>
      <c r="M14" s="78"/>
      <c r="N14" s="78"/>
      <c r="O14" s="78"/>
      <c r="P14" s="78"/>
      <c r="Q14" s="78"/>
      <c r="R14" s="78"/>
      <c r="S14" s="80"/>
    </row>
    <row r="16" spans="2:34">
      <c r="C16" s="283" t="str">
        <f>VLOOKUP(5004,Languages!A5:C455,Languages!A2,FALSE)</f>
        <v>Date</v>
      </c>
      <c r="D16" s="83"/>
      <c r="E16" s="83"/>
      <c r="F16" s="83"/>
      <c r="G16" s="83"/>
      <c r="H16" s="83"/>
      <c r="I16" s="83"/>
      <c r="J16" s="83"/>
      <c r="K16" s="83"/>
      <c r="L16" s="83"/>
      <c r="M16" s="83"/>
      <c r="N16" s="83"/>
      <c r="O16" s="83"/>
      <c r="P16" s="83"/>
      <c r="Q16" s="83"/>
      <c r="R16" s="83"/>
      <c r="S16" s="83"/>
      <c r="T16" s="72"/>
      <c r="U16" s="70"/>
      <c r="V16" s="70"/>
      <c r="W16" s="70"/>
      <c r="X16" s="70"/>
      <c r="Y16" s="70"/>
      <c r="Z16" s="70"/>
      <c r="AA16" s="70"/>
      <c r="AB16" s="70"/>
      <c r="AC16" s="70"/>
      <c r="AD16" s="70"/>
      <c r="AE16" s="70"/>
      <c r="AF16" s="70"/>
      <c r="AG16" s="70"/>
      <c r="AH16" s="70"/>
    </row>
    <row r="17" spans="3:34">
      <c r="C17" s="283" t="str">
        <f>VLOOKUP(5005,Languages!A5:C455,Languages!A2,FALSE)</f>
        <v>Customer</v>
      </c>
      <c r="D17" s="74"/>
      <c r="E17" s="74"/>
      <c r="F17" s="74"/>
      <c r="G17" s="74"/>
      <c r="H17" s="74"/>
      <c r="I17" s="74"/>
      <c r="J17" s="74"/>
      <c r="K17" s="74"/>
      <c r="L17" s="74"/>
      <c r="M17" s="74"/>
      <c r="N17" s="74"/>
      <c r="O17" s="74"/>
      <c r="P17" s="74"/>
      <c r="Q17" s="74"/>
      <c r="R17" s="74"/>
      <c r="S17" s="79"/>
      <c r="T17" s="73"/>
      <c r="U17" s="71"/>
      <c r="V17" s="71"/>
      <c r="W17" s="71"/>
      <c r="X17" s="71"/>
      <c r="Y17" s="71"/>
      <c r="Z17" s="71"/>
      <c r="AA17" s="71"/>
      <c r="AB17" s="71"/>
      <c r="AC17" s="71"/>
      <c r="AD17" s="71"/>
      <c r="AE17" s="71"/>
      <c r="AF17" s="71"/>
      <c r="AG17" s="71"/>
      <c r="AH17" s="71"/>
    </row>
    <row r="18" spans="3:34">
      <c r="C18" s="283" t="str">
        <f>VLOOKUP(5006,Languages!A5:C455,Languages!A2,FALSE)</f>
        <v>Internal</v>
      </c>
      <c r="D18" s="75"/>
      <c r="E18" s="75"/>
      <c r="F18" s="75"/>
      <c r="G18" s="75"/>
      <c r="H18" s="75"/>
      <c r="I18" s="75"/>
      <c r="J18" s="75"/>
      <c r="K18" s="75"/>
      <c r="L18" s="75"/>
      <c r="M18" s="75"/>
      <c r="N18" s="75"/>
      <c r="O18" s="75"/>
      <c r="P18" s="75"/>
      <c r="Q18" s="75"/>
      <c r="R18" s="75"/>
      <c r="S18" s="80"/>
      <c r="T18" s="73"/>
      <c r="U18" s="71"/>
      <c r="V18" s="71"/>
      <c r="W18" s="71"/>
      <c r="X18" s="71"/>
      <c r="Y18" s="71"/>
      <c r="Z18" s="71"/>
      <c r="AA18" s="71"/>
      <c r="AB18" s="71"/>
      <c r="AC18" s="71"/>
      <c r="AD18" s="71"/>
      <c r="AE18" s="71"/>
      <c r="AF18" s="71"/>
      <c r="AG18" s="71"/>
      <c r="AH18" s="71"/>
    </row>
    <row r="19" spans="3:34">
      <c r="C19" s="284" t="s">
        <v>18</v>
      </c>
      <c r="D19" s="75"/>
      <c r="E19" s="75"/>
      <c r="F19" s="75"/>
      <c r="G19" s="75"/>
      <c r="H19" s="75"/>
      <c r="I19" s="75"/>
      <c r="J19" s="75"/>
      <c r="K19" s="75"/>
      <c r="L19" s="75"/>
      <c r="M19" s="75"/>
      <c r="N19" s="75"/>
      <c r="O19" s="75"/>
      <c r="P19" s="75"/>
      <c r="Q19" s="75"/>
      <c r="R19" s="75"/>
      <c r="S19" s="80"/>
      <c r="T19" s="73"/>
      <c r="U19" s="71"/>
      <c r="V19" s="71"/>
      <c r="W19" s="71"/>
      <c r="X19" s="71"/>
      <c r="Y19" s="71"/>
      <c r="Z19" s="71"/>
      <c r="AA19" s="71"/>
      <c r="AB19" s="71"/>
      <c r="AC19" s="71"/>
      <c r="AD19" s="71"/>
      <c r="AE19" s="71"/>
      <c r="AF19" s="71"/>
      <c r="AG19" s="71"/>
      <c r="AH19" s="71"/>
    </row>
    <row r="20" spans="3:34">
      <c r="T20" s="67"/>
      <c r="U20" s="67"/>
      <c r="V20" s="67"/>
      <c r="W20" s="67"/>
      <c r="X20" s="67"/>
      <c r="Y20" s="67"/>
      <c r="Z20" s="67"/>
      <c r="AA20" s="67"/>
      <c r="AB20" s="67"/>
      <c r="AC20" s="67"/>
      <c r="AD20" s="67"/>
      <c r="AE20" s="67"/>
      <c r="AF20" s="67"/>
      <c r="AG20" s="67"/>
      <c r="AH20" s="67"/>
    </row>
    <row r="21" spans="3:34">
      <c r="C21" s="283" t="str">
        <f>VLOOKUP(5004,Languages!A5:C455,Languages!A2,FALSE)</f>
        <v>Date</v>
      </c>
      <c r="D21" s="83"/>
      <c r="E21" s="83"/>
      <c r="F21" s="83"/>
      <c r="G21" s="83"/>
      <c r="H21" s="83"/>
      <c r="I21" s="83"/>
      <c r="J21" s="83"/>
      <c r="K21" s="83"/>
      <c r="L21" s="83"/>
      <c r="M21" s="83"/>
      <c r="N21" s="83"/>
      <c r="O21" s="83"/>
      <c r="P21" s="83"/>
      <c r="Q21" s="83"/>
      <c r="R21" s="83"/>
      <c r="S21" s="83"/>
    </row>
    <row r="22" spans="3:34">
      <c r="C22" s="283" t="str">
        <f>VLOOKUP(5005,Languages!A5:C455,Languages!A2,FALSE)</f>
        <v>Customer</v>
      </c>
      <c r="D22" s="74"/>
      <c r="E22" s="74"/>
      <c r="F22" s="74"/>
      <c r="G22" s="74"/>
      <c r="H22" s="74"/>
      <c r="I22" s="74"/>
      <c r="J22" s="74"/>
      <c r="K22" s="74"/>
      <c r="L22" s="74"/>
      <c r="M22" s="74"/>
      <c r="N22" s="74"/>
      <c r="O22" s="74"/>
      <c r="P22" s="74"/>
      <c r="Q22" s="74"/>
      <c r="R22" s="79"/>
      <c r="S22" s="79"/>
    </row>
    <row r="23" spans="3:34">
      <c r="C23" s="283" t="str">
        <f>VLOOKUP(5006,Languages!A5:C455,Languages!A2,FALSE)</f>
        <v>Internal</v>
      </c>
      <c r="D23" s="75"/>
      <c r="E23" s="75"/>
      <c r="F23" s="75"/>
      <c r="G23" s="75"/>
      <c r="H23" s="75"/>
      <c r="I23" s="75"/>
      <c r="J23" s="75"/>
      <c r="K23" s="75"/>
      <c r="L23" s="75"/>
      <c r="M23" s="75"/>
      <c r="N23" s="75"/>
      <c r="O23" s="75"/>
      <c r="P23" s="75"/>
      <c r="Q23" s="75"/>
      <c r="R23" s="80"/>
      <c r="S23" s="80"/>
    </row>
    <row r="24" spans="3:34">
      <c r="C24" s="284" t="s">
        <v>18</v>
      </c>
      <c r="D24" s="75"/>
      <c r="E24" s="75"/>
      <c r="F24" s="75"/>
      <c r="G24" s="75"/>
      <c r="H24" s="75"/>
      <c r="I24" s="75"/>
      <c r="J24" s="75"/>
      <c r="K24" s="75"/>
      <c r="L24" s="75"/>
      <c r="M24" s="75"/>
      <c r="N24" s="75"/>
      <c r="O24" s="75"/>
      <c r="P24" s="75"/>
      <c r="Q24" s="75"/>
      <c r="R24" s="75"/>
      <c r="S24" s="80"/>
    </row>
    <row r="26" spans="3:34">
      <c r="C26" s="283" t="str">
        <f>VLOOKUP(5004,Languages!A5:C455,Languages!A2,FALSE)</f>
        <v>Date</v>
      </c>
      <c r="D26" s="83"/>
      <c r="E26" s="83"/>
      <c r="F26" s="83"/>
      <c r="G26" s="83"/>
      <c r="H26" s="83"/>
      <c r="I26" s="83"/>
      <c r="J26" s="83"/>
      <c r="K26" s="83"/>
      <c r="L26" s="83"/>
      <c r="M26" s="83"/>
      <c r="N26" s="83"/>
      <c r="O26" s="83"/>
      <c r="P26" s="83"/>
      <c r="Q26" s="83"/>
      <c r="R26" s="83"/>
      <c r="S26" s="83"/>
      <c r="T26" s="72"/>
      <c r="U26" s="70"/>
      <c r="V26" s="70"/>
      <c r="W26" s="70"/>
      <c r="X26" s="70"/>
      <c r="Y26" s="70"/>
      <c r="Z26" s="70"/>
      <c r="AA26" s="70"/>
      <c r="AB26" s="70"/>
      <c r="AC26" s="70"/>
      <c r="AD26" s="70"/>
      <c r="AE26" s="70"/>
      <c r="AF26" s="70"/>
      <c r="AG26" s="70"/>
      <c r="AH26" s="70"/>
    </row>
    <row r="27" spans="3:34">
      <c r="C27" s="283" t="str">
        <f>VLOOKUP(5005,Languages!A5:C455,Languages!A2,FALSE)</f>
        <v>Customer</v>
      </c>
      <c r="D27" s="74"/>
      <c r="E27" s="74"/>
      <c r="F27" s="74"/>
      <c r="G27" s="74"/>
      <c r="H27" s="74"/>
      <c r="I27" s="74"/>
      <c r="J27" s="74"/>
      <c r="K27" s="74"/>
      <c r="L27" s="74"/>
      <c r="M27" s="74"/>
      <c r="N27" s="74"/>
      <c r="O27" s="74"/>
      <c r="P27" s="74"/>
      <c r="Q27" s="74"/>
      <c r="R27" s="74"/>
      <c r="S27" s="79"/>
      <c r="T27" s="73"/>
      <c r="U27" s="71"/>
      <c r="V27" s="71"/>
      <c r="W27" s="71"/>
      <c r="X27" s="71"/>
      <c r="Y27" s="71"/>
      <c r="Z27" s="71"/>
      <c r="AA27" s="71"/>
      <c r="AB27" s="71"/>
      <c r="AC27" s="71"/>
      <c r="AD27" s="71"/>
      <c r="AE27" s="71"/>
      <c r="AF27" s="71"/>
      <c r="AG27" s="71"/>
      <c r="AH27" s="71"/>
    </row>
    <row r="28" spans="3:34">
      <c r="C28" s="283" t="str">
        <f>VLOOKUP(5006,Languages!A5:C455,Languages!A2,FALSE)</f>
        <v>Internal</v>
      </c>
      <c r="D28" s="75"/>
      <c r="E28" s="75"/>
      <c r="F28" s="75"/>
      <c r="G28" s="75"/>
      <c r="H28" s="75"/>
      <c r="I28" s="75"/>
      <c r="J28" s="75"/>
      <c r="K28" s="75"/>
      <c r="L28" s="75"/>
      <c r="M28" s="75"/>
      <c r="N28" s="75"/>
      <c r="O28" s="75"/>
      <c r="P28" s="75"/>
      <c r="Q28" s="75"/>
      <c r="R28" s="75"/>
      <c r="S28" s="80"/>
      <c r="T28" s="73"/>
      <c r="U28" s="71"/>
      <c r="V28" s="71"/>
      <c r="W28" s="71"/>
      <c r="X28" s="71"/>
      <c r="Y28" s="71"/>
      <c r="Z28" s="71"/>
      <c r="AA28" s="71"/>
      <c r="AB28" s="71"/>
      <c r="AC28" s="71"/>
      <c r="AD28" s="71"/>
      <c r="AE28" s="71"/>
      <c r="AF28" s="71"/>
      <c r="AG28" s="71"/>
      <c r="AH28" s="71"/>
    </row>
    <row r="29" spans="3:34">
      <c r="C29" s="284" t="s">
        <v>18</v>
      </c>
      <c r="D29" s="75"/>
      <c r="E29" s="75"/>
      <c r="F29" s="75"/>
      <c r="G29" s="75"/>
      <c r="H29" s="75"/>
      <c r="I29" s="75"/>
      <c r="J29" s="75"/>
      <c r="K29" s="75"/>
      <c r="L29" s="75"/>
      <c r="M29" s="75"/>
      <c r="N29" s="75"/>
      <c r="O29" s="75"/>
      <c r="P29" s="75"/>
      <c r="Q29" s="119"/>
      <c r="R29" s="75"/>
      <c r="S29" s="80"/>
      <c r="T29" s="73"/>
      <c r="U29" s="71"/>
      <c r="V29" s="71"/>
      <c r="W29" s="71"/>
      <c r="X29" s="71"/>
      <c r="Y29" s="71"/>
      <c r="Z29" s="71"/>
      <c r="AA29" s="71"/>
      <c r="AB29" s="71"/>
      <c r="AC29" s="71"/>
      <c r="AD29" s="71"/>
      <c r="AE29" s="71"/>
      <c r="AF29" s="71"/>
      <c r="AG29" s="71"/>
      <c r="AH29" s="71"/>
    </row>
    <row r="39" spans="15:15">
      <c r="O39" s="55"/>
    </row>
    <row r="50" spans="3:19" s="6" customFormat="1" ht="12.75" customHeight="1"/>
    <row r="51" spans="3:19" ht="12.75" customHeight="1">
      <c r="S51" s="109"/>
    </row>
    <row r="52" spans="3:19" ht="12.75" customHeight="1">
      <c r="S52" s="109"/>
    </row>
    <row r="53" spans="3:19" ht="15" customHeight="1">
      <c r="C53" s="945" t="str">
        <f>VLOOKUP(5007,Languages!A5:C455,Languages!A2,FALSE)</f>
        <v>Sorting results (containment)</v>
      </c>
      <c r="D53" s="945"/>
      <c r="E53" s="945"/>
      <c r="F53" s="945"/>
      <c r="G53" s="945"/>
      <c r="H53" s="945"/>
      <c r="I53" s="945"/>
      <c r="J53" s="945"/>
      <c r="K53" s="945"/>
      <c r="L53" s="945"/>
      <c r="M53" s="945"/>
      <c r="N53" s="945"/>
      <c r="O53" s="945"/>
      <c r="P53" s="945"/>
      <c r="Q53" s="945"/>
      <c r="R53" s="945"/>
      <c r="S53" s="945"/>
    </row>
    <row r="54" spans="3:19" ht="12.75" customHeight="1">
      <c r="S54" s="109"/>
    </row>
    <row r="55" spans="3:19" ht="15.75">
      <c r="C55" s="951" t="str">
        <f>VLOOKUP(5008,Languages!A5:C455,Languages!A2,FALSE)</f>
        <v>Sorting results</v>
      </c>
      <c r="D55" s="951"/>
      <c r="E55" s="951"/>
      <c r="F55" s="951"/>
      <c r="G55" s="951"/>
      <c r="H55" s="951"/>
      <c r="I55" s="951"/>
      <c r="J55" s="951"/>
      <c r="K55" s="951"/>
      <c r="L55" s="951"/>
      <c r="M55" s="951"/>
      <c r="N55" s="951"/>
      <c r="O55" s="951"/>
      <c r="P55" s="951"/>
      <c r="Q55" s="951"/>
      <c r="R55" s="951"/>
      <c r="S55" s="951"/>
    </row>
    <row r="56" spans="3:19" ht="24" customHeight="1">
      <c r="C56" s="17"/>
      <c r="D56" s="18"/>
      <c r="E56" s="286" t="str">
        <f>VLOOKUP(5009,Languages!A5:C455,Languages!A2,FALSE)</f>
        <v>Sorted parts</v>
      </c>
      <c r="F56" s="286" t="str">
        <f>VLOOKUP(5003,Languages!A5:C455,Languages!A2,FALSE)</f>
        <v>N.o.k.-parts</v>
      </c>
      <c r="G56" s="943" t="str">
        <f>VLOOKUP(5011,Languages!A5:C455,Languages!A2,FALSE)</f>
        <v>Sorting date</v>
      </c>
      <c r="H56" s="943"/>
      <c r="I56" s="943" t="str">
        <f>VLOOKUP(5012,Languages!A5:C455,Languages!A2,FALSE)</f>
        <v>Identification o.k. - Parts</v>
      </c>
      <c r="J56" s="943"/>
      <c r="K56" s="946" t="str">
        <f>VLOOKUP(5013,Languages!A5:C455,Languages!A2,FALSE)</f>
        <v xml:space="preserve">Identification suspected Parts </v>
      </c>
      <c r="L56" s="943"/>
      <c r="M56" s="943" t="str">
        <f>VLOOKUP(5014,Languages!A5:C455,Languages!A2,FALSE)</f>
        <v>Production date of the sorted parts</v>
      </c>
      <c r="N56" s="943"/>
      <c r="O56" s="943" t="str">
        <f>VLOOKUP(5015,Languages!A5:C455,Languages!A2,FALSE)</f>
        <v>Conclusion of sorting</v>
      </c>
      <c r="P56" s="943"/>
      <c r="Q56" s="943"/>
      <c r="R56" s="943"/>
      <c r="S56" s="943"/>
    </row>
    <row r="57" spans="3:19">
      <c r="C57" s="941" t="str">
        <f>VLOOKUP(5016,Languages!A5:C455,Languages!A2,FALSE)</f>
        <v>Endcustomer - claiming plant</v>
      </c>
      <c r="D57" s="942"/>
      <c r="E57" s="79"/>
      <c r="F57" s="79"/>
      <c r="G57" s="938"/>
      <c r="H57" s="936"/>
      <c r="I57" s="937"/>
      <c r="J57" s="937"/>
      <c r="K57" s="937"/>
      <c r="L57" s="937"/>
      <c r="M57" s="936"/>
      <c r="N57" s="936"/>
      <c r="O57" s="937"/>
      <c r="P57" s="937"/>
      <c r="Q57" s="937"/>
      <c r="R57" s="937"/>
      <c r="S57" s="937"/>
    </row>
    <row r="58" spans="3:19">
      <c r="C58" s="941" t="str">
        <f>VLOOKUP(5017,Languages!A5:C455,Languages!A2,FALSE)</f>
        <v>Endcustomer - other plant(s)</v>
      </c>
      <c r="D58" s="942"/>
      <c r="E58" s="79"/>
      <c r="F58" s="79"/>
      <c r="G58" s="938"/>
      <c r="H58" s="936"/>
      <c r="I58" s="937"/>
      <c r="J58" s="937"/>
      <c r="K58" s="937"/>
      <c r="L58" s="937"/>
      <c r="M58" s="936"/>
      <c r="N58" s="936"/>
      <c r="O58" s="937"/>
      <c r="P58" s="937"/>
      <c r="Q58" s="937"/>
      <c r="R58" s="937"/>
      <c r="S58" s="937"/>
    </row>
    <row r="59" spans="3:19">
      <c r="C59" s="939" t="str">
        <f>VLOOKUP(5018,Languages!A5:C455,Languages!A2,FALSE)</f>
        <v>Endcustomer - others</v>
      </c>
      <c r="D59" s="940"/>
      <c r="E59" s="79"/>
      <c r="F59" s="79"/>
      <c r="G59" s="938"/>
      <c r="H59" s="936"/>
      <c r="I59" s="937"/>
      <c r="J59" s="937"/>
      <c r="K59" s="937"/>
      <c r="L59" s="937"/>
      <c r="M59" s="936"/>
      <c r="N59" s="936"/>
      <c r="O59" s="937"/>
      <c r="P59" s="937"/>
      <c r="Q59" s="937"/>
      <c r="R59" s="937"/>
      <c r="S59" s="937"/>
    </row>
    <row r="60" spans="3:19">
      <c r="C60" s="941" t="str">
        <f>VLOOKUP(5019,Languages!A5:C455,Languages!A2,FALSE)</f>
        <v>Brose - claiming plant</v>
      </c>
      <c r="D60" s="942"/>
      <c r="E60" s="79"/>
      <c r="F60" s="79"/>
      <c r="G60" s="936"/>
      <c r="H60" s="936"/>
      <c r="I60" s="937"/>
      <c r="J60" s="937"/>
      <c r="K60" s="937"/>
      <c r="L60" s="937"/>
      <c r="M60" s="936"/>
      <c r="N60" s="936"/>
      <c r="O60" s="937"/>
      <c r="P60" s="937"/>
      <c r="Q60" s="937"/>
      <c r="R60" s="937"/>
      <c r="S60" s="937"/>
    </row>
    <row r="61" spans="3:19">
      <c r="C61" s="941" t="str">
        <f>VLOOKUP(5020,Languages!A5:C455,Languages!A2,FALSE)</f>
        <v>Brose - other plant(s)</v>
      </c>
      <c r="D61" s="942"/>
      <c r="E61" s="79"/>
      <c r="F61" s="79"/>
      <c r="G61" s="936"/>
      <c r="H61" s="936"/>
      <c r="I61" s="937"/>
      <c r="J61" s="937"/>
      <c r="K61" s="937"/>
      <c r="L61" s="937"/>
      <c r="M61" s="936"/>
      <c r="N61" s="936"/>
      <c r="O61" s="937"/>
      <c r="P61" s="937"/>
      <c r="Q61" s="937"/>
      <c r="R61" s="937"/>
      <c r="S61" s="937"/>
    </row>
    <row r="62" spans="3:19">
      <c r="C62" s="941" t="str">
        <f>VLOOKUP(5021,Languages!A5:C455,Languages!A2,FALSE)</f>
        <v>Brose - others</v>
      </c>
      <c r="D62" s="942"/>
      <c r="E62" s="79"/>
      <c r="F62" s="79"/>
      <c r="G62" s="936"/>
      <c r="H62" s="936"/>
      <c r="I62" s="937"/>
      <c r="J62" s="937"/>
      <c r="K62" s="937"/>
      <c r="L62" s="937"/>
      <c r="M62" s="936"/>
      <c r="N62" s="936"/>
      <c r="O62" s="937"/>
      <c r="P62" s="937"/>
      <c r="Q62" s="937"/>
      <c r="R62" s="937"/>
      <c r="S62" s="937"/>
    </row>
    <row r="63" spans="3:19">
      <c r="C63" s="941" t="str">
        <f>VLOOKUP(5022,Languages!A5:C455,Languages!A2,FALSE)</f>
        <v>Supplier - production</v>
      </c>
      <c r="D63" s="942"/>
      <c r="E63" s="79"/>
      <c r="F63" s="79"/>
      <c r="G63" s="936"/>
      <c r="H63" s="936"/>
      <c r="I63" s="937"/>
      <c r="J63" s="937"/>
      <c r="K63" s="937"/>
      <c r="L63" s="937"/>
      <c r="M63" s="936"/>
      <c r="N63" s="936"/>
      <c r="O63" s="937"/>
      <c r="P63" s="937"/>
      <c r="Q63" s="937"/>
      <c r="R63" s="937"/>
      <c r="S63" s="937"/>
    </row>
    <row r="64" spans="3:19">
      <c r="C64" s="939" t="str">
        <f>VLOOKUP(5023,Languages!A5:C455,Languages!A2,FALSE)</f>
        <v>Supplier - storage</v>
      </c>
      <c r="D64" s="940"/>
      <c r="E64" s="79"/>
      <c r="F64" s="79"/>
      <c r="G64" s="938"/>
      <c r="H64" s="936"/>
      <c r="I64" s="937"/>
      <c r="J64" s="937"/>
      <c r="K64" s="937"/>
      <c r="L64" s="937"/>
      <c r="M64" s="936"/>
      <c r="N64" s="936"/>
      <c r="O64" s="937"/>
      <c r="P64" s="937"/>
      <c r="Q64" s="937"/>
      <c r="R64" s="937"/>
      <c r="S64" s="937"/>
    </row>
    <row r="65" spans="3:24">
      <c r="C65" s="939" t="str">
        <f>VLOOKUP(5024,Languages!A5:C455,Languages!A2,FALSE)</f>
        <v>Supplier - spare parts</v>
      </c>
      <c r="D65" s="940"/>
      <c r="E65" s="79"/>
      <c r="F65" s="79"/>
      <c r="G65" s="938"/>
      <c r="H65" s="936"/>
      <c r="I65" s="937"/>
      <c r="J65" s="937"/>
      <c r="K65" s="937"/>
      <c r="L65" s="937"/>
      <c r="M65" s="936"/>
      <c r="N65" s="936"/>
      <c r="O65" s="937"/>
      <c r="P65" s="937"/>
      <c r="Q65" s="937"/>
      <c r="R65" s="937"/>
      <c r="S65" s="937"/>
    </row>
    <row r="66" spans="3:24" s="408" customFormat="1">
      <c r="C66" s="939" t="str">
        <f>VLOOKUP(5025,Languages!A5:C455,Languages!A2,FALSE)</f>
        <v>Logistics - parts on seafreight</v>
      </c>
      <c r="D66" s="940"/>
      <c r="E66" s="79"/>
      <c r="F66" s="79"/>
      <c r="G66" s="938"/>
      <c r="H66" s="936"/>
      <c r="I66" s="937"/>
      <c r="J66" s="937"/>
      <c r="K66" s="937"/>
      <c r="L66" s="937"/>
      <c r="M66" s="936"/>
      <c r="N66" s="936"/>
      <c r="O66" s="937"/>
      <c r="P66" s="937"/>
      <c r="Q66" s="937"/>
      <c r="R66" s="937"/>
      <c r="S66" s="937"/>
    </row>
    <row r="67" spans="3:24" s="408" customFormat="1">
      <c r="C67" s="939" t="str">
        <f>VLOOKUP(5026,Languages!A5:C455,Languages!A2,FALSE)</f>
        <v>Logistics - parts on airfreight</v>
      </c>
      <c r="D67" s="940"/>
      <c r="E67" s="79"/>
      <c r="F67" s="79"/>
      <c r="G67" s="938"/>
      <c r="H67" s="936"/>
      <c r="I67" s="937"/>
      <c r="J67" s="937"/>
      <c r="K67" s="937"/>
      <c r="L67" s="937"/>
      <c r="M67" s="936"/>
      <c r="N67" s="936"/>
      <c r="O67" s="937"/>
      <c r="P67" s="937"/>
      <c r="Q67" s="937"/>
      <c r="R67" s="937"/>
      <c r="S67" s="937"/>
    </row>
    <row r="68" spans="3:24" s="408" customFormat="1">
      <c r="C68" s="939" t="str">
        <f>VLOOKUP(5027,Languages!A5:C455,Languages!A2,FALSE)</f>
        <v>Logistics - external service provider</v>
      </c>
      <c r="D68" s="940"/>
      <c r="E68" s="79"/>
      <c r="F68" s="79"/>
      <c r="G68" s="938"/>
      <c r="H68" s="936"/>
      <c r="I68" s="937"/>
      <c r="J68" s="937"/>
      <c r="K68" s="937"/>
      <c r="L68" s="937"/>
      <c r="M68" s="936"/>
      <c r="N68" s="936"/>
      <c r="O68" s="937"/>
      <c r="P68" s="937"/>
      <c r="Q68" s="937"/>
      <c r="R68" s="937"/>
      <c r="S68" s="937"/>
    </row>
    <row r="69" spans="3:24" s="408" customFormat="1">
      <c r="C69" s="939" t="str">
        <f>VLOOKUP(5028,Languages!A5:C455,Languages!A2,FALSE)</f>
        <v>Logistics - others</v>
      </c>
      <c r="D69" s="940"/>
      <c r="E69" s="79"/>
      <c r="F69" s="79"/>
      <c r="G69" s="938"/>
      <c r="H69" s="936"/>
      <c r="I69" s="937"/>
      <c r="J69" s="937"/>
      <c r="K69" s="937"/>
      <c r="L69" s="937"/>
      <c r="M69" s="936"/>
      <c r="N69" s="936"/>
      <c r="O69" s="937"/>
      <c r="P69" s="937"/>
      <c r="Q69" s="937"/>
      <c r="R69" s="937"/>
      <c r="S69" s="937"/>
    </row>
    <row r="70" spans="3:24">
      <c r="C70" s="952" t="s">
        <v>18</v>
      </c>
      <c r="D70" s="953"/>
      <c r="E70" s="79"/>
      <c r="F70" s="79"/>
      <c r="G70" s="936"/>
      <c r="H70" s="936"/>
      <c r="I70" s="937"/>
      <c r="J70" s="937"/>
      <c r="K70" s="937"/>
      <c r="L70" s="937"/>
      <c r="M70" s="936"/>
      <c r="N70" s="936"/>
      <c r="O70" s="937"/>
      <c r="P70" s="937"/>
      <c r="Q70" s="937"/>
      <c r="R70" s="937"/>
      <c r="S70" s="937"/>
    </row>
    <row r="71" spans="3:24">
      <c r="N71" s="6"/>
      <c r="O71" s="6"/>
      <c r="P71" s="6"/>
      <c r="Q71" s="6"/>
      <c r="R71" s="6"/>
    </row>
    <row r="72" spans="3:24">
      <c r="N72" s="6"/>
      <c r="O72" s="6"/>
      <c r="P72" s="6"/>
      <c r="Q72" s="6"/>
      <c r="R72" s="6"/>
    </row>
    <row r="74" spans="3:24">
      <c r="X74" s="54"/>
    </row>
    <row r="75" spans="3:24">
      <c r="O75" s="54"/>
      <c r="X75" s="54"/>
    </row>
    <row r="99" spans="8:8">
      <c r="H99" s="54"/>
    </row>
  </sheetData>
  <mergeCells count="94">
    <mergeCell ref="B1:S1"/>
    <mergeCell ref="C5:S5"/>
    <mergeCell ref="M70:N70"/>
    <mergeCell ref="K60:L60"/>
    <mergeCell ref="G57:H57"/>
    <mergeCell ref="K57:L57"/>
    <mergeCell ref="I57:J57"/>
    <mergeCell ref="I60:J60"/>
    <mergeCell ref="O70:S70"/>
    <mergeCell ref="O63:S63"/>
    <mergeCell ref="C55:S55"/>
    <mergeCell ref="O60:S60"/>
    <mergeCell ref="O57:S57"/>
    <mergeCell ref="O56:S56"/>
    <mergeCell ref="C70:D70"/>
    <mergeCell ref="C60:D60"/>
    <mergeCell ref="K70:L70"/>
    <mergeCell ref="I70:J70"/>
    <mergeCell ref="K63:L63"/>
    <mergeCell ref="I63:J63"/>
    <mergeCell ref="G70:H70"/>
    <mergeCell ref="G63:H63"/>
    <mergeCell ref="K65:L65"/>
    <mergeCell ref="K66:L66"/>
    <mergeCell ref="K68:L68"/>
    <mergeCell ref="G56:H56"/>
    <mergeCell ref="M56:N56"/>
    <mergeCell ref="C63:D63"/>
    <mergeCell ref="M63:N63"/>
    <mergeCell ref="C3:S3"/>
    <mergeCell ref="C53:S53"/>
    <mergeCell ref="I56:J56"/>
    <mergeCell ref="K56:L56"/>
    <mergeCell ref="M60:N60"/>
    <mergeCell ref="C57:D57"/>
    <mergeCell ref="M57:N57"/>
    <mergeCell ref="G60:H60"/>
    <mergeCell ref="G58:H58"/>
    <mergeCell ref="I58:J58"/>
    <mergeCell ref="K58:L58"/>
    <mergeCell ref="M58:N58"/>
    <mergeCell ref="O58:S58"/>
    <mergeCell ref="G59:H59"/>
    <mergeCell ref="I59:J59"/>
    <mergeCell ref="K59:L59"/>
    <mergeCell ref="M59:N59"/>
    <mergeCell ref="O59:S59"/>
    <mergeCell ref="C59:D59"/>
    <mergeCell ref="C58:D58"/>
    <mergeCell ref="C65:D65"/>
    <mergeCell ref="G65:H65"/>
    <mergeCell ref="I65:J65"/>
    <mergeCell ref="C61:D61"/>
    <mergeCell ref="G61:H61"/>
    <mergeCell ref="I61:J61"/>
    <mergeCell ref="M65:N65"/>
    <mergeCell ref="O65:S65"/>
    <mergeCell ref="C64:D64"/>
    <mergeCell ref="G64:H64"/>
    <mergeCell ref="I64:J64"/>
    <mergeCell ref="K64:L64"/>
    <mergeCell ref="M64:N64"/>
    <mergeCell ref="O64:S64"/>
    <mergeCell ref="K61:L61"/>
    <mergeCell ref="M61:N61"/>
    <mergeCell ref="O61:S61"/>
    <mergeCell ref="C62:D62"/>
    <mergeCell ref="G62:H62"/>
    <mergeCell ref="I62:J62"/>
    <mergeCell ref="K62:L62"/>
    <mergeCell ref="M62:N62"/>
    <mergeCell ref="O62:S62"/>
    <mergeCell ref="C69:D69"/>
    <mergeCell ref="C67:D67"/>
    <mergeCell ref="C66:D66"/>
    <mergeCell ref="G66:H66"/>
    <mergeCell ref="I66:J66"/>
    <mergeCell ref="C68:D68"/>
    <mergeCell ref="G68:H68"/>
    <mergeCell ref="I68:J68"/>
    <mergeCell ref="M66:N66"/>
    <mergeCell ref="O66:S66"/>
    <mergeCell ref="G67:H67"/>
    <mergeCell ref="I67:J67"/>
    <mergeCell ref="K67:L67"/>
    <mergeCell ref="M67:N67"/>
    <mergeCell ref="O67:S67"/>
    <mergeCell ref="M68:N68"/>
    <mergeCell ref="O68:S68"/>
    <mergeCell ref="G69:H69"/>
    <mergeCell ref="I69:J69"/>
    <mergeCell ref="K69:L69"/>
    <mergeCell ref="M69:N69"/>
    <mergeCell ref="O69:S69"/>
  </mergeCells>
  <phoneticPr fontId="18" type="noConversion"/>
  <pageMargins left="0.70866141732283472" right="0.70866141732283472" top="0.86614173228346458" bottom="0.86614173228346458" header="0.23622047244094491" footer="0.23622047244094491"/>
  <pageSetup paperSize="9" scale="41"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1" manualBreakCount="1">
    <brk id="51" max="18" man="1"/>
  </rowBreaks>
  <customProperties>
    <customPr name="bConfi" r:id="rId2"/>
    <customPr name="bCopy" r:id="rId3"/>
    <customPr name="bCreate" r:id="rId4"/>
    <customPr name="bDate" r:id="rId5"/>
    <customPr name="bFooter" r:id="rId6"/>
    <customPr name="bFunction" r:id="rId7"/>
    <customPr name="bIndex" r:id="rId8"/>
    <customPr name="bLogo" r:id="rId9"/>
    <customPr name="bOptConfi" r:id="rId10"/>
    <customPr name="bPage" r:id="rId11"/>
    <customPr name="bPages" r:id="rId12"/>
    <customPr name="bPath" r:id="rId13"/>
    <customPr name="bRed" r:id="rId14"/>
    <customPr name="bSheet" r:id="rId15"/>
    <customPr name="bSource" r:id="rId16"/>
    <customPr name="bUser" r:id="rId17"/>
    <customPr name="sFunction" r:id="rId18"/>
    <customPr name="sLanguage" r:id="rId19"/>
    <customPr name="sUser" r:id="rId20"/>
  </customProperties>
  <drawing r:id="rId21"/>
  <legacyDrawingHF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12">
    <tabColor rgb="FF92D050"/>
    <pageSetUpPr fitToPage="1"/>
  </sheetPr>
  <dimension ref="A1:T68"/>
  <sheetViews>
    <sheetView showGridLines="0" tabSelected="1" zoomScaleNormal="100" zoomScaleSheetLayoutView="40" workbookViewId="0">
      <pane ySplit="1" topLeftCell="A17" activePane="bottomLeft" state="frozen"/>
      <selection activeCell="D3" sqref="D3"/>
      <selection pane="bottomLeft" activeCell="D3" sqref="D3"/>
    </sheetView>
  </sheetViews>
  <sheetFormatPr baseColWidth="10" defaultColWidth="11" defaultRowHeight="12.75" outlineLevelRow="1"/>
  <cols>
    <col min="1" max="1" width="1.875" style="408" customWidth="1"/>
    <col min="2" max="2" width="1.875" customWidth="1"/>
    <col min="3" max="3" width="10" customWidth="1"/>
    <col min="4" max="4" width="23.75" customWidth="1"/>
    <col min="5" max="9" width="22.5" customWidth="1"/>
    <col min="10" max="10" width="14.625" customWidth="1"/>
  </cols>
  <sheetData>
    <row r="1" spans="1:20" ht="33.75" customHeight="1">
      <c r="B1" s="1048" t="str">
        <f>VLOOKUP(4001,Languages!A5:C455,Languages!A2,FALSE)</f>
        <v>Is / Is Not</v>
      </c>
      <c r="C1" s="1048"/>
      <c r="D1" s="1048"/>
      <c r="E1" s="1048"/>
      <c r="F1" s="1048"/>
      <c r="G1" s="1048"/>
      <c r="H1" s="1048"/>
      <c r="I1" s="1048"/>
      <c r="J1" s="40"/>
      <c r="K1" s="40"/>
      <c r="L1" s="40"/>
      <c r="M1" s="40"/>
      <c r="N1" s="40"/>
      <c r="O1" s="40"/>
      <c r="P1" s="40"/>
      <c r="Q1" s="40"/>
      <c r="R1" s="40"/>
      <c r="S1" s="40"/>
      <c r="T1" s="40"/>
    </row>
    <row r="2" spans="1:20" s="211" customFormat="1" ht="11.25" customHeight="1">
      <c r="A2" s="465"/>
      <c r="B2" s="312"/>
      <c r="C2" s="212"/>
      <c r="D2" s="212"/>
      <c r="E2" s="212"/>
      <c r="F2" s="212"/>
      <c r="G2" s="212"/>
      <c r="H2" s="212"/>
      <c r="I2" s="212"/>
      <c r="J2" s="66"/>
    </row>
    <row r="3" spans="1:20" ht="22.5" customHeight="1">
      <c r="B3" s="311"/>
      <c r="C3" s="746"/>
      <c r="D3" s="746"/>
      <c r="E3" s="746"/>
      <c r="F3" s="746"/>
      <c r="G3" s="746"/>
      <c r="H3" s="746"/>
      <c r="I3" s="746"/>
    </row>
    <row r="4" spans="1:20" ht="11.25" customHeight="1" thickBot="1">
      <c r="B4" s="311"/>
      <c r="C4" s="271"/>
      <c r="D4" s="271"/>
      <c r="E4" s="271"/>
      <c r="F4" s="271"/>
      <c r="G4" s="271"/>
      <c r="H4" s="271"/>
      <c r="I4" s="271"/>
    </row>
    <row r="5" spans="1:20" ht="45" customHeight="1">
      <c r="B5" s="1047"/>
      <c r="C5" s="1013"/>
      <c r="D5" s="367" t="str">
        <f>VLOOKUP(4002,Languages!A5:C455,Languages!A2,FALSE)</f>
        <v>Problem Statement:</v>
      </c>
      <c r="E5" s="988" t="str">
        <f>IF('8D-Report'!R8="","",'8D-Report'!R8)</f>
        <v/>
      </c>
      <c r="F5" s="989"/>
      <c r="G5" s="990"/>
      <c r="H5" s="991" t="str">
        <f>VLOOKUP(4003,Languages!A5:C455,Languages!A2,FALSE)</f>
        <v>Noticeable observations</v>
      </c>
      <c r="I5" s="992"/>
      <c r="J5" s="59"/>
      <c r="K5" s="42"/>
      <c r="L5" s="42"/>
    </row>
    <row r="6" spans="1:20" ht="19.5" customHeight="1">
      <c r="B6" s="1047"/>
      <c r="C6" s="1014"/>
      <c r="D6" s="976" t="str">
        <f>VLOOKUP(4004,Languages!A5:C455,Languages!A2,FALSE)</f>
        <v>Problem specification</v>
      </c>
      <c r="E6" s="978" t="str">
        <f>VLOOKUP(4005,Languages!A5:C455,Languages!A2,FALSE)</f>
        <v>IS</v>
      </c>
      <c r="F6" s="116" t="str">
        <f>VLOOKUP(4006,Languages!A5:C455,Languages!A2,FALSE)</f>
        <v>(logically could be, but)</v>
      </c>
      <c r="G6" s="980" t="str">
        <f>VLOOKUP(4008,Languages!A5:C455,Languages!A2,FALSE)</f>
        <v>Missing Information</v>
      </c>
      <c r="H6" s="982" t="str">
        <f>VLOOKUP(4009,Languages!A5:C455,Languages!A2,FALSE)</f>
        <v>Distinctions</v>
      </c>
      <c r="I6" s="980" t="str">
        <f>VLOOKUP(4010,Languages!A5:C455,Languages!A2,FALSE)</f>
        <v>Changes</v>
      </c>
      <c r="J6" s="59"/>
      <c r="K6" s="42"/>
      <c r="L6" s="42"/>
    </row>
    <row r="7" spans="1:20" ht="19.5" customHeight="1" thickBot="1">
      <c r="B7" s="1047"/>
      <c r="C7" s="1015"/>
      <c r="D7" s="977"/>
      <c r="E7" s="979"/>
      <c r="F7" s="287" t="str">
        <f>VLOOKUP(4007,Languages!A5:C455,Languages!A2,FALSE)</f>
        <v>IS NOT</v>
      </c>
      <c r="G7" s="981"/>
      <c r="H7" s="983"/>
      <c r="I7" s="981"/>
      <c r="J7" s="59"/>
      <c r="K7" s="42"/>
      <c r="L7" s="42"/>
    </row>
    <row r="8" spans="1:20" ht="51" customHeight="1">
      <c r="B8" s="1047"/>
      <c r="C8" s="1018" t="str">
        <f>VLOOKUP(4011,Languages!A5:C455,Languages!A2,FALSE)</f>
        <v>WHAT</v>
      </c>
      <c r="D8" s="1004" t="str">
        <f>VLOOKUP(4012,Languages!A5:C455,Languages!A2,FALSE)</f>
        <v>Object</v>
      </c>
      <c r="E8" s="309" t="str">
        <f>VLOOKUP(4014,Languages!A5:C455,Languages!A2,FALSE)</f>
        <v xml:space="preserve">What specific object(s) has a deviation? </v>
      </c>
      <c r="F8" s="310" t="str">
        <f>VLOOKUP(4016,Languages!A5:C455,Languages!A2,FALSE)</f>
        <v>What similar object(s) could reasonably have the deviation, but does not?</v>
      </c>
      <c r="G8" s="984"/>
      <c r="H8" s="1056"/>
      <c r="I8" s="984"/>
      <c r="J8" s="60"/>
    </row>
    <row r="9" spans="1:20" s="32" customFormat="1" ht="51" customHeight="1">
      <c r="B9" s="1047"/>
      <c r="C9" s="1019"/>
      <c r="D9" s="1005"/>
      <c r="E9" s="191"/>
      <c r="F9" s="192"/>
      <c r="G9" s="985"/>
      <c r="H9" s="1057"/>
      <c r="I9" s="985"/>
      <c r="J9" s="61"/>
      <c r="K9" s="45"/>
    </row>
    <row r="10" spans="1:20" s="32" customFormat="1" ht="51" customHeight="1">
      <c r="B10" s="1047"/>
      <c r="C10" s="1019"/>
      <c r="D10" s="971" t="str">
        <f>VLOOKUP(4013,Languages!A5:C455,Languages!A2,FALSE)</f>
        <v>Problem</v>
      </c>
      <c r="E10" s="299" t="str">
        <f>VLOOKUP(4015,Languages!A5:C455,Languages!A2,FALSE)</f>
        <v>What is the specific deviation?</v>
      </c>
      <c r="F10" s="293" t="str">
        <f>VLOOKUP(4017,Languages!A5:C455,Languages!A2,FALSE)</f>
        <v>What other deviations could reasonably be observed, but are not?</v>
      </c>
      <c r="G10" s="986"/>
      <c r="H10" s="999"/>
      <c r="I10" s="986"/>
      <c r="J10" s="65"/>
      <c r="K10" s="45"/>
    </row>
    <row r="11" spans="1:20" s="32" customFormat="1" ht="51" customHeight="1" thickBot="1">
      <c r="B11" s="1047"/>
      <c r="C11" s="1019"/>
      <c r="D11" s="969"/>
      <c r="E11" s="185"/>
      <c r="F11" s="186"/>
      <c r="G11" s="987"/>
      <c r="H11" s="1058"/>
      <c r="I11" s="987"/>
      <c r="J11" s="62"/>
      <c r="K11" s="45"/>
    </row>
    <row r="12" spans="1:20" s="32" customFormat="1" ht="51" hidden="1" customHeight="1" outlineLevel="1">
      <c r="B12" s="1047"/>
      <c r="C12" s="1019"/>
      <c r="D12" s="1021" t="s">
        <v>18</v>
      </c>
      <c r="E12" s="187"/>
      <c r="F12" s="184"/>
      <c r="G12" s="986"/>
      <c r="H12" s="999"/>
      <c r="I12" s="986"/>
      <c r="J12" s="62"/>
      <c r="K12" s="45"/>
    </row>
    <row r="13" spans="1:20" s="32" customFormat="1" ht="51" hidden="1" customHeight="1" outlineLevel="1" thickBot="1">
      <c r="B13" s="1047"/>
      <c r="C13" s="1020"/>
      <c r="D13" s="1022"/>
      <c r="E13" s="188"/>
      <c r="F13" s="189"/>
      <c r="G13" s="998"/>
      <c r="H13" s="1000"/>
      <c r="I13" s="998"/>
      <c r="J13" s="62"/>
      <c r="K13" s="45"/>
    </row>
    <row r="14" spans="1:20" s="32" customFormat="1" ht="51" customHeight="1" collapsed="1">
      <c r="B14" s="1047"/>
      <c r="C14" s="972" t="str">
        <f>VLOOKUP(4018,Languages!A5:C455,Languages!A2,FALSE)</f>
        <v>WHERE</v>
      </c>
      <c r="D14" s="968" t="str">
        <f>VLOOKUP(4019,Languages!A5:C455,Languages!A2,FALSE)</f>
        <v>Observed on object</v>
      </c>
      <c r="E14" s="307" t="str">
        <f>VLOOKUP(4021,Languages!A5:C455,Languages!A2,FALSE)</f>
        <v>Where is the deviation on the object?</v>
      </c>
      <c r="F14" s="308" t="str">
        <f>VLOOKUP(4023,Languages!A5:C455,Languages!A2,FALSE)</f>
        <v>Where else could the deviation be located on the object, but is not?</v>
      </c>
      <c r="G14" s="995"/>
      <c r="H14" s="993"/>
      <c r="I14" s="1001"/>
      <c r="J14" s="63"/>
      <c r="K14" s="45"/>
      <c r="L14" s="46"/>
    </row>
    <row r="15" spans="1:20" s="32" customFormat="1" ht="51" customHeight="1">
      <c r="B15" s="1047"/>
      <c r="C15" s="973"/>
      <c r="D15" s="970"/>
      <c r="E15" s="190"/>
      <c r="F15" s="186"/>
      <c r="G15" s="996"/>
      <c r="H15" s="994"/>
      <c r="I15" s="1002"/>
      <c r="J15" s="63"/>
      <c r="K15" s="45"/>
      <c r="L15" s="34"/>
      <c r="M15" s="33"/>
    </row>
    <row r="16" spans="1:20" s="32" customFormat="1" ht="51" customHeight="1">
      <c r="B16" s="1047"/>
      <c r="C16" s="973"/>
      <c r="D16" s="971" t="str">
        <f>VLOOKUP(4020,Languages!A5:C455,Languages!A2,FALSE)</f>
        <v>Geographically</v>
      </c>
      <c r="E16" s="306" t="str">
        <f>VLOOKUP(4022,Languages!A5:C455,Languages!A2,FALSE)</f>
        <v>Where is the object when the deviation is observed?</v>
      </c>
      <c r="F16" s="302" t="str">
        <f>VLOOKUP(4024,Languages!A5:C455,Languages!A2,FALSE)</f>
        <v>Where else could the object be when the deviation is observed, but is not?</v>
      </c>
      <c r="G16" s="960"/>
      <c r="H16" s="962"/>
      <c r="I16" s="964"/>
      <c r="J16" s="63"/>
      <c r="K16" s="45"/>
      <c r="L16" s="34"/>
      <c r="M16" s="33"/>
    </row>
    <row r="17" spans="2:13" s="32" customFormat="1" ht="51" customHeight="1" thickBot="1">
      <c r="B17" s="1047"/>
      <c r="C17" s="973"/>
      <c r="D17" s="969"/>
      <c r="E17" s="190"/>
      <c r="F17" s="186"/>
      <c r="G17" s="997"/>
      <c r="H17" s="1016"/>
      <c r="I17" s="1003"/>
      <c r="J17" s="63"/>
      <c r="K17" s="45"/>
      <c r="L17" s="41"/>
      <c r="M17" s="33"/>
    </row>
    <row r="18" spans="2:13" s="32" customFormat="1" ht="51" hidden="1" customHeight="1" outlineLevel="1">
      <c r="B18" s="1047"/>
      <c r="C18" s="973"/>
      <c r="D18" s="958" t="s">
        <v>18</v>
      </c>
      <c r="E18" s="305"/>
      <c r="F18" s="293"/>
      <c r="G18" s="960"/>
      <c r="H18" s="962"/>
      <c r="I18" s="964"/>
      <c r="J18" s="63"/>
      <c r="K18" s="45"/>
      <c r="L18" s="41"/>
      <c r="M18" s="33"/>
    </row>
    <row r="19" spans="2:13" s="32" customFormat="1" ht="51" hidden="1" customHeight="1" outlineLevel="1" thickBot="1">
      <c r="B19" s="1047"/>
      <c r="C19" s="1023"/>
      <c r="D19" s="959"/>
      <c r="E19" s="188"/>
      <c r="F19" s="189"/>
      <c r="G19" s="961"/>
      <c r="H19" s="963"/>
      <c r="I19" s="965"/>
      <c r="J19" s="63"/>
      <c r="K19" s="45"/>
      <c r="L19" s="41"/>
      <c r="M19" s="33"/>
    </row>
    <row r="20" spans="2:13" s="32" customFormat="1" ht="51" customHeight="1" collapsed="1">
      <c r="B20" s="1047"/>
      <c r="C20" s="955" t="str">
        <f>VLOOKUP(4025,Languages!A5:C455,Languages!A2,FALSE)</f>
        <v>WHEN</v>
      </c>
      <c r="D20" s="968" t="str">
        <f>VLOOKUP(4026,Languages!A5:C455,Languages!A2,FALSE)</f>
        <v>First observed</v>
      </c>
      <c r="E20" s="303" t="str">
        <f>VLOOKUP(4029,Languages!A5:C455,Languages!A2,FALSE)</f>
        <v>When was the deviation observed first? 
(date and time)</v>
      </c>
      <c r="F20" s="304" t="str">
        <f>VLOOKUP(4032,Languages!A5:C455,Languages!A2,FALSE)</f>
        <v>When else could the deviation have been observed first, but was not?</v>
      </c>
      <c r="G20" s="1025"/>
      <c r="H20" s="1007"/>
      <c r="I20" s="1001"/>
      <c r="J20" s="63"/>
      <c r="K20" s="45"/>
      <c r="L20" s="41"/>
      <c r="M20" s="33"/>
    </row>
    <row r="21" spans="2:13" s="32" customFormat="1" ht="51" customHeight="1">
      <c r="B21" s="1047"/>
      <c r="C21" s="956"/>
      <c r="D21" s="970"/>
      <c r="E21" s="191"/>
      <c r="F21" s="192"/>
      <c r="G21" s="1010"/>
      <c r="H21" s="1008"/>
      <c r="I21" s="1002"/>
      <c r="J21" s="63"/>
      <c r="K21" s="45"/>
      <c r="L21" s="41"/>
      <c r="M21" s="33"/>
    </row>
    <row r="22" spans="2:13" s="32" customFormat="1" ht="56.25" customHeight="1">
      <c r="B22" s="1047"/>
      <c r="C22" s="956"/>
      <c r="D22" s="971" t="str">
        <f>VLOOKUP(4027,Languages!A5:C455,Languages!A2,FALSE)</f>
        <v>Elsewhere observed</v>
      </c>
      <c r="E22" s="301" t="str">
        <f>VLOOKUP(4030,Languages!A5:C455,Languages!A2,FALSE)</f>
        <v>When since that time has the deviation been observed? Any pattern?</v>
      </c>
      <c r="F22" s="302" t="str">
        <f>VLOOKUP(4033,Languages!A5:C455,Languages!A2,FALSE)</f>
        <v>When since that time could the deviation have been observed, but was not?</v>
      </c>
      <c r="G22" s="1009"/>
      <c r="H22" s="962"/>
      <c r="I22" s="964"/>
      <c r="J22" s="63"/>
      <c r="K22" s="45"/>
      <c r="L22" s="41"/>
      <c r="M22" s="33"/>
    </row>
    <row r="23" spans="2:13" s="32" customFormat="1" ht="51" customHeight="1">
      <c r="B23" s="1047"/>
      <c r="C23" s="956"/>
      <c r="D23" s="970"/>
      <c r="E23" s="193"/>
      <c r="F23" s="194"/>
      <c r="G23" s="1010"/>
      <c r="H23" s="1008"/>
      <c r="I23" s="1002"/>
      <c r="J23" s="63"/>
      <c r="K23" s="45"/>
      <c r="L23" s="41"/>
      <c r="M23" s="33"/>
    </row>
    <row r="24" spans="2:13" s="32" customFormat="1" ht="56.25" customHeight="1">
      <c r="B24" s="1047"/>
      <c r="C24" s="956"/>
      <c r="D24" s="1024" t="str">
        <f>VLOOKUP(4028,Languages!A5:C455,Languages!A2,FALSE)</f>
        <v>When seen in the process (life cycle)</v>
      </c>
      <c r="E24" s="299" t="str">
        <f>VLOOKUP(4031,Languages!A5:C455,Languages!A2,FALSE)</f>
        <v>When in the process history was the deviation first observed?</v>
      </c>
      <c r="F24" s="293" t="str">
        <f>VLOOKUP(4034,Languages!A5:C455,Languages!A2,FALSE)</f>
        <v>When else, in the object's history, could the deviation have been observed first, but was not?</v>
      </c>
      <c r="G24" s="1009"/>
      <c r="H24" s="962"/>
      <c r="I24" s="964"/>
      <c r="J24" s="63"/>
      <c r="K24" s="45"/>
      <c r="L24" s="41"/>
      <c r="M24" s="33"/>
    </row>
    <row r="25" spans="2:13" s="32" customFormat="1" ht="51" customHeight="1" thickBot="1">
      <c r="B25" s="1047"/>
      <c r="C25" s="956"/>
      <c r="D25" s="969"/>
      <c r="E25" s="195"/>
      <c r="F25" s="196"/>
      <c r="G25" s="1017"/>
      <c r="H25" s="1016"/>
      <c r="I25" s="1003"/>
      <c r="J25" s="63"/>
      <c r="K25" s="45"/>
      <c r="L25" s="41"/>
      <c r="M25" s="33"/>
    </row>
    <row r="26" spans="2:13" s="32" customFormat="1" ht="51" hidden="1" customHeight="1" outlineLevel="1">
      <c r="B26" s="1047"/>
      <c r="C26" s="956"/>
      <c r="D26" s="958" t="s">
        <v>18</v>
      </c>
      <c r="E26" s="300"/>
      <c r="F26" s="291"/>
      <c r="G26" s="960"/>
      <c r="H26" s="962"/>
      <c r="I26" s="964"/>
      <c r="J26" s="63"/>
      <c r="K26" s="45"/>
      <c r="L26" s="41"/>
      <c r="M26" s="33"/>
    </row>
    <row r="27" spans="2:13" s="32" customFormat="1" ht="51" hidden="1" customHeight="1" outlineLevel="1" thickBot="1">
      <c r="B27" s="1047"/>
      <c r="C27" s="957"/>
      <c r="D27" s="959"/>
      <c r="E27" s="197"/>
      <c r="F27" s="198"/>
      <c r="G27" s="961"/>
      <c r="H27" s="963"/>
      <c r="I27" s="965"/>
      <c r="J27" s="63"/>
      <c r="K27" s="45"/>
      <c r="L27" s="41"/>
      <c r="M27" s="33"/>
    </row>
    <row r="28" spans="2:13" s="32" customFormat="1" ht="51" customHeight="1" collapsed="1">
      <c r="B28" s="1047"/>
      <c r="C28" s="955" t="str">
        <f>VLOOKUP(4035,Languages!A5:C455,Languages!A2,FALSE)</f>
        <v>HOW</v>
      </c>
      <c r="D28" s="968" t="str">
        <f>VLOOKUP(4036,Languages!A5:C455,Languages!A2,FALSE)</f>
        <v>How discovered</v>
      </c>
      <c r="E28" s="298" t="str">
        <f>VLOOKUP(4037,Languages!A5:C455,Languages!A2,FALSE)</f>
        <v>How was the deviation noticed?</v>
      </c>
      <c r="F28" s="295" t="str">
        <f>VLOOKUP(4038,Languages!A5:C455,Languages!A2,FALSE)</f>
        <v>How could it have been noticed, but was not?</v>
      </c>
      <c r="G28" s="966"/>
      <c r="H28" s="1007"/>
      <c r="I28" s="1001"/>
      <c r="J28" s="63"/>
      <c r="K28" s="45"/>
      <c r="L28" s="41"/>
      <c r="M28" s="33"/>
    </row>
    <row r="29" spans="2:13" s="32" customFormat="1" ht="51" customHeight="1" thickBot="1">
      <c r="B29" s="1047"/>
      <c r="C29" s="956"/>
      <c r="D29" s="969"/>
      <c r="E29" s="195"/>
      <c r="F29" s="196"/>
      <c r="G29" s="997"/>
      <c r="H29" s="1016"/>
      <c r="I29" s="1003"/>
      <c r="J29" s="63"/>
      <c r="K29" s="45"/>
      <c r="L29" s="41"/>
      <c r="M29" s="33"/>
    </row>
    <row r="30" spans="2:13" s="32" customFormat="1" ht="51" hidden="1" customHeight="1" outlineLevel="1">
      <c r="B30" s="1047"/>
      <c r="C30" s="956"/>
      <c r="D30" s="958" t="s">
        <v>18</v>
      </c>
      <c r="E30" s="296"/>
      <c r="F30" s="297"/>
      <c r="G30" s="960"/>
      <c r="H30" s="962"/>
      <c r="I30" s="964"/>
      <c r="J30" s="63"/>
      <c r="K30" s="45"/>
      <c r="L30" s="41"/>
      <c r="M30" s="33"/>
    </row>
    <row r="31" spans="2:13" s="32" customFormat="1" ht="51" hidden="1" customHeight="1" outlineLevel="1" thickBot="1">
      <c r="B31" s="1047"/>
      <c r="C31" s="957"/>
      <c r="D31" s="959"/>
      <c r="E31" s="197"/>
      <c r="F31" s="198"/>
      <c r="G31" s="961"/>
      <c r="H31" s="963"/>
      <c r="I31" s="965"/>
      <c r="J31" s="63"/>
      <c r="K31" s="45"/>
      <c r="L31" s="41"/>
      <c r="M31" s="33"/>
    </row>
    <row r="32" spans="2:13" s="32" customFormat="1" ht="51" customHeight="1" collapsed="1">
      <c r="B32" s="1047"/>
      <c r="C32" s="972" t="str">
        <f>VLOOKUP(4039,Languages!A5:C455,Languages!A2,FALSE)</f>
        <v>EXTENT</v>
      </c>
      <c r="D32" s="968" t="str">
        <f>VLOOKUP(4040,Languages!A5:C455,Languages!A2,FALSE)</f>
        <v>How many affected</v>
      </c>
      <c r="E32" s="294" t="str">
        <f>VLOOKUP(4044,Languages!A5:C455,Languages!A2,FALSE)</f>
        <v xml:space="preserve">How many objects have this deviation? </v>
      </c>
      <c r="F32" s="295" t="str">
        <f>VLOOKUP(4048,Languages!A5:C455,Languages!A2,FALSE)</f>
        <v xml:space="preserve">How many objects could have the deviation, but do not? </v>
      </c>
      <c r="G32" s="966"/>
      <c r="H32" s="1007"/>
      <c r="I32" s="966"/>
      <c r="J32" s="63"/>
      <c r="K32" s="45"/>
      <c r="L32" s="41"/>
      <c r="M32" s="33"/>
    </row>
    <row r="33" spans="2:13" s="32" customFormat="1" ht="51" customHeight="1">
      <c r="B33" s="1047"/>
      <c r="C33" s="973"/>
      <c r="D33" s="970"/>
      <c r="E33" s="390"/>
      <c r="F33" s="196"/>
      <c r="G33" s="967"/>
      <c r="H33" s="1008"/>
      <c r="I33" s="967"/>
      <c r="J33" s="63"/>
      <c r="K33" s="45"/>
      <c r="L33" s="41"/>
      <c r="M33" s="33"/>
    </row>
    <row r="34" spans="2:13" s="32" customFormat="1" ht="51" customHeight="1">
      <c r="B34" s="1047"/>
      <c r="C34" s="973"/>
      <c r="D34" s="971" t="str">
        <f>VLOOKUP(4041,Languages!A5:C455,Languages!A2,FALSE)</f>
        <v>Number of problems</v>
      </c>
      <c r="E34" s="292" t="str">
        <f>VLOOKUP(4045,Languages!A5:C455,Languages!A2,FALSE)</f>
        <v>How many deviations are on each object?</v>
      </c>
      <c r="F34" s="293" t="str">
        <f>VLOOKUP(4049,Languages!A5:C455,Languages!A2,FALSE)</f>
        <v>How many deviations could there be on each object, but are not?</v>
      </c>
      <c r="G34" s="1009"/>
      <c r="H34" s="962"/>
      <c r="I34" s="1029"/>
      <c r="J34" s="63"/>
      <c r="K34" s="45"/>
      <c r="L34" s="41"/>
      <c r="M34" s="33"/>
    </row>
    <row r="35" spans="2:13" s="32" customFormat="1" ht="51" customHeight="1">
      <c r="B35" s="1047"/>
      <c r="C35" s="973"/>
      <c r="D35" s="970"/>
      <c r="E35" s="391"/>
      <c r="F35" s="194"/>
      <c r="G35" s="1010"/>
      <c r="H35" s="1008"/>
      <c r="I35" s="1030"/>
      <c r="J35" s="63"/>
      <c r="K35" s="45"/>
      <c r="L35" s="41"/>
      <c r="M35" s="33"/>
    </row>
    <row r="36" spans="2:13" s="32" customFormat="1" ht="51" customHeight="1">
      <c r="B36" s="1047"/>
      <c r="C36" s="973"/>
      <c r="D36" s="971" t="str">
        <f>VLOOKUP(4042,Languages!A5:C455,Languages!A2,FALSE)</f>
        <v>Extent</v>
      </c>
      <c r="E36" s="290" t="str">
        <f>VLOOKUP(4046,Languages!A5:C455,Languages!A2,FALSE)</f>
        <v>What is the size of a single deviation?</v>
      </c>
      <c r="F36" s="291" t="str">
        <f>VLOOKUP(4050,Languages!A5:C455,Languages!A2,FALSE)</f>
        <v>What other size could the deviation be, but is not?</v>
      </c>
      <c r="G36" s="1009"/>
      <c r="H36" s="962"/>
      <c r="I36" s="1029"/>
      <c r="J36" s="64"/>
      <c r="K36" s="45"/>
      <c r="L36" s="41"/>
      <c r="M36" s="33"/>
    </row>
    <row r="37" spans="2:13" ht="51" customHeight="1">
      <c r="B37" s="1047"/>
      <c r="C37" s="973"/>
      <c r="D37" s="969"/>
      <c r="E37" s="361"/>
      <c r="F37" s="362"/>
      <c r="G37" s="1010"/>
      <c r="H37" s="1008"/>
      <c r="I37" s="1030"/>
      <c r="J37" s="44"/>
      <c r="K37" s="44"/>
      <c r="L37" s="41"/>
      <c r="M37" s="53"/>
    </row>
    <row r="38" spans="2:13" ht="51" customHeight="1">
      <c r="B38" s="1047"/>
      <c r="C38" s="973"/>
      <c r="D38" s="1026" t="str">
        <f>VLOOKUP(4043,Languages!A5:C455,Languages!A2,FALSE)</f>
        <v>Tendency</v>
      </c>
      <c r="E38" s="288" t="str">
        <f>VLOOKUP(4047,Languages!A5:C455,Languages!A2,FALSE)</f>
        <v>What is the trend? (…in the object?) (…in the number of occurrences of the deviation? (…in the size of the deviation?)</v>
      </c>
      <c r="F38" s="289" t="str">
        <f>VLOOKUP(4051,Languages!A5:C455,Languages!A2,FALSE)</f>
        <v>What could be the trend, but is not? (…in the number of occurrences of the deviation? (…in the size of the deviation?)</v>
      </c>
      <c r="G38" s="1028"/>
      <c r="H38" s="1012"/>
      <c r="I38" s="1006"/>
      <c r="J38" s="41"/>
      <c r="K38" s="41"/>
      <c r="L38" s="41"/>
      <c r="M38" s="53"/>
    </row>
    <row r="39" spans="2:13" ht="51" customHeight="1" thickBot="1">
      <c r="B39" s="1047"/>
      <c r="C39" s="973"/>
      <c r="D39" s="1027"/>
      <c r="E39" s="389"/>
      <c r="F39" s="199"/>
      <c r="G39" s="1028"/>
      <c r="H39" s="1012"/>
      <c r="I39" s="1055"/>
      <c r="J39" s="41"/>
      <c r="K39" s="41"/>
      <c r="L39" s="41"/>
      <c r="M39" s="53"/>
    </row>
    <row r="40" spans="2:13" ht="51" hidden="1" customHeight="1" outlineLevel="1">
      <c r="B40" s="1047"/>
      <c r="C40" s="973"/>
      <c r="D40" s="974" t="s">
        <v>18</v>
      </c>
      <c r="E40" s="118"/>
      <c r="F40" s="117"/>
      <c r="G40" s="1006"/>
      <c r="H40" s="1011"/>
      <c r="I40" s="954"/>
      <c r="J40" s="41"/>
      <c r="K40" s="41"/>
      <c r="L40" s="41"/>
      <c r="M40" s="114"/>
    </row>
    <row r="41" spans="2:13" ht="51" hidden="1" customHeight="1" outlineLevel="1" thickBot="1">
      <c r="B41" s="1047"/>
      <c r="C41" s="973"/>
      <c r="D41" s="975"/>
      <c r="E41" s="389"/>
      <c r="F41" s="199"/>
      <c r="G41" s="954"/>
      <c r="H41" s="1012"/>
      <c r="I41" s="954"/>
      <c r="J41" s="41"/>
      <c r="K41" s="41"/>
      <c r="L41" s="41"/>
      <c r="M41" s="114"/>
    </row>
    <row r="42" spans="2:13" ht="12.75" customHeight="1" collapsed="1" thickBot="1">
      <c r="B42" s="1047"/>
      <c r="C42" s="1054"/>
      <c r="D42" s="1054"/>
      <c r="E42" s="1054"/>
      <c r="F42" s="1054"/>
      <c r="G42" s="1054"/>
      <c r="H42" s="1054"/>
      <c r="I42" s="1054"/>
      <c r="J42" s="41"/>
      <c r="K42" s="41"/>
      <c r="L42" s="41"/>
      <c r="M42" s="53"/>
    </row>
    <row r="43" spans="2:13" ht="30" customHeight="1" thickBot="1">
      <c r="B43" s="1047"/>
      <c r="C43" s="1049" t="str">
        <f>VLOOKUP(4052,Languages!A5:C455,Languages!A2,FALSE)</f>
        <v>IS / IS NOT Summary</v>
      </c>
      <c r="D43" s="1050"/>
      <c r="E43" s="1051"/>
      <c r="F43" s="1052"/>
      <c r="G43" s="1052"/>
      <c r="H43" s="1052"/>
      <c r="I43" s="1053"/>
      <c r="J43" s="29"/>
      <c r="K43" s="29"/>
      <c r="L43" s="29"/>
    </row>
    <row r="44" spans="2:13" ht="55.5" customHeight="1">
      <c r="B44" s="1047"/>
      <c r="C44" s="1031" t="str">
        <f>VLOOKUP(4053,Languages!A5:C455,Languages!A2,FALSE)</f>
        <v>Summary from Is/IsNot:</v>
      </c>
      <c r="D44" s="1032"/>
      <c r="E44" s="1037"/>
      <c r="F44" s="1038"/>
      <c r="G44" s="1038"/>
      <c r="H44" s="1038"/>
      <c r="I44" s="1039"/>
      <c r="J44" s="29"/>
      <c r="K44" s="29"/>
      <c r="L44" s="29"/>
    </row>
    <row r="45" spans="2:13" ht="55.5" customHeight="1">
      <c r="B45" s="1047"/>
      <c r="C45" s="1033"/>
      <c r="D45" s="1034"/>
      <c r="E45" s="1040"/>
      <c r="F45" s="1041"/>
      <c r="G45" s="1041"/>
      <c r="H45" s="1041"/>
      <c r="I45" s="1042"/>
      <c r="J45" s="29"/>
      <c r="K45" s="29"/>
      <c r="L45" s="29"/>
    </row>
    <row r="46" spans="2:13" ht="55.5" customHeight="1" thickBot="1">
      <c r="B46" s="1047"/>
      <c r="C46" s="1035"/>
      <c r="D46" s="1036"/>
      <c r="E46" s="1043"/>
      <c r="F46" s="1044"/>
      <c r="G46" s="1044"/>
      <c r="H46" s="1044"/>
      <c r="I46" s="1045"/>
      <c r="J46" s="29"/>
      <c r="K46" s="29"/>
      <c r="L46" s="29"/>
    </row>
    <row r="47" spans="2:13" ht="13.5" customHeight="1">
      <c r="B47" s="1047"/>
      <c r="C47" s="1046"/>
      <c r="D47" s="1046"/>
      <c r="E47" s="1046"/>
      <c r="F47" s="1046"/>
      <c r="G47" s="1046"/>
      <c r="H47" s="1046"/>
      <c r="I47" s="1046"/>
      <c r="J47" s="29"/>
      <c r="K47" s="29"/>
      <c r="L47" s="29"/>
    </row>
    <row r="48" spans="2:13" ht="12.75" customHeight="1">
      <c r="B48" s="6"/>
      <c r="J48" s="29"/>
      <c r="K48" s="29"/>
      <c r="L48" s="29"/>
    </row>
    <row r="49" spans="2:12" ht="13.5" customHeight="1">
      <c r="B49" s="6"/>
      <c r="J49" s="29"/>
      <c r="K49" s="29"/>
      <c r="L49" s="29"/>
    </row>
    <row r="50" spans="2:12" ht="15" customHeight="1">
      <c r="B50" s="6"/>
      <c r="J50" s="29"/>
      <c r="K50" s="29"/>
      <c r="L50" s="29"/>
    </row>
    <row r="51" spans="2:12" ht="15" customHeight="1">
      <c r="B51" s="6"/>
      <c r="J51" s="29"/>
      <c r="K51" s="29"/>
      <c r="L51" s="29"/>
    </row>
    <row r="52" spans="2:12" ht="15" customHeight="1">
      <c r="B52" s="6"/>
      <c r="J52" s="29"/>
      <c r="K52" s="29"/>
      <c r="L52" s="29"/>
    </row>
    <row r="53" spans="2:12" ht="15" customHeight="1">
      <c r="B53" s="6"/>
      <c r="J53" s="29"/>
      <c r="K53" s="29"/>
      <c r="L53" s="29"/>
    </row>
    <row r="54" spans="2:12" ht="15" customHeight="1">
      <c r="B54" s="6"/>
      <c r="J54" s="29"/>
      <c r="K54" s="29"/>
      <c r="L54" s="29"/>
    </row>
    <row r="55" spans="2:12" ht="15" customHeight="1">
      <c r="B55" s="6"/>
      <c r="J55" s="29"/>
      <c r="K55" s="29"/>
      <c r="L55" s="29"/>
    </row>
    <row r="56" spans="2:12" ht="15" customHeight="1">
      <c r="B56" s="6"/>
      <c r="J56" s="29"/>
      <c r="K56" s="29"/>
      <c r="L56" s="29"/>
    </row>
    <row r="57" spans="2:12" ht="15" customHeight="1">
      <c r="B57" s="6"/>
      <c r="J57" s="29"/>
      <c r="K57" s="29"/>
      <c r="L57" s="29"/>
    </row>
    <row r="58" spans="2:12" ht="15" customHeight="1">
      <c r="B58" s="6"/>
      <c r="J58" s="29"/>
      <c r="K58" s="29"/>
      <c r="L58" s="29"/>
    </row>
    <row r="59" spans="2:12" ht="15" customHeight="1">
      <c r="B59" s="6"/>
      <c r="J59" s="29"/>
      <c r="K59" s="29"/>
      <c r="L59" s="29"/>
    </row>
    <row r="60" spans="2:12" ht="15" customHeight="1">
      <c r="B60" s="6"/>
      <c r="J60" s="10"/>
      <c r="K60" s="10"/>
      <c r="L60" s="10"/>
    </row>
    <row r="61" spans="2:12" ht="15" customHeight="1">
      <c r="B61" s="6"/>
      <c r="J61" s="10"/>
      <c r="K61" s="10"/>
      <c r="L61" s="10"/>
    </row>
    <row r="62" spans="2:12" ht="15" customHeight="1">
      <c r="B62" s="6"/>
      <c r="J62" s="10"/>
      <c r="K62" s="10"/>
      <c r="L62" s="10"/>
    </row>
    <row r="63" spans="2:12" ht="15" customHeight="1">
      <c r="B63" s="6"/>
      <c r="J63" s="10"/>
      <c r="K63" s="10"/>
      <c r="L63" s="10"/>
    </row>
    <row r="64" spans="2:12" ht="15" customHeight="1">
      <c r="B64" s="6"/>
      <c r="J64" s="10"/>
      <c r="K64" s="10"/>
      <c r="L64" s="10"/>
    </row>
    <row r="65" ht="15" customHeight="1"/>
    <row r="66" ht="15" customHeight="1"/>
    <row r="67" ht="15" customHeight="1"/>
    <row r="68" ht="15" customHeight="1"/>
  </sheetData>
  <mergeCells count="90">
    <mergeCell ref="C44:D46"/>
    <mergeCell ref="E44:I46"/>
    <mergeCell ref="C47:I47"/>
    <mergeCell ref="B5:B47"/>
    <mergeCell ref="B1:I1"/>
    <mergeCell ref="C43:D43"/>
    <mergeCell ref="E43:I43"/>
    <mergeCell ref="C42:I42"/>
    <mergeCell ref="I18:I19"/>
    <mergeCell ref="I20:I21"/>
    <mergeCell ref="I38:I39"/>
    <mergeCell ref="H8:H9"/>
    <mergeCell ref="I8:I9"/>
    <mergeCell ref="H10:H11"/>
    <mergeCell ref="I10:I11"/>
    <mergeCell ref="I32:I33"/>
    <mergeCell ref="I22:I23"/>
    <mergeCell ref="I24:I25"/>
    <mergeCell ref="D36:D37"/>
    <mergeCell ref="D38:D39"/>
    <mergeCell ref="G38:G39"/>
    <mergeCell ref="H38:H39"/>
    <mergeCell ref="I34:I35"/>
    <mergeCell ref="I36:I37"/>
    <mergeCell ref="I30:I31"/>
    <mergeCell ref="G28:G29"/>
    <mergeCell ref="H28:H29"/>
    <mergeCell ref="I28:I29"/>
    <mergeCell ref="C5:C7"/>
    <mergeCell ref="G36:G37"/>
    <mergeCell ref="H36:H37"/>
    <mergeCell ref="G22:G23"/>
    <mergeCell ref="H22:H23"/>
    <mergeCell ref="H24:H25"/>
    <mergeCell ref="G24:G25"/>
    <mergeCell ref="H16:H17"/>
    <mergeCell ref="D20:D21"/>
    <mergeCell ref="C8:C13"/>
    <mergeCell ref="D12:D13"/>
    <mergeCell ref="C14:C19"/>
    <mergeCell ref="D22:D23"/>
    <mergeCell ref="D24:D25"/>
    <mergeCell ref="G20:G21"/>
    <mergeCell ref="H20:H21"/>
    <mergeCell ref="G40:G41"/>
    <mergeCell ref="H32:H33"/>
    <mergeCell ref="G34:G35"/>
    <mergeCell ref="H34:H35"/>
    <mergeCell ref="H30:H31"/>
    <mergeCell ref="H40:H41"/>
    <mergeCell ref="D8:D9"/>
    <mergeCell ref="D10:D11"/>
    <mergeCell ref="D14:D15"/>
    <mergeCell ref="D18:D19"/>
    <mergeCell ref="G18:G19"/>
    <mergeCell ref="D16:D17"/>
    <mergeCell ref="H18:H19"/>
    <mergeCell ref="G8:G9"/>
    <mergeCell ref="G10:G11"/>
    <mergeCell ref="E5:G5"/>
    <mergeCell ref="H5:I5"/>
    <mergeCell ref="H14:H15"/>
    <mergeCell ref="G14:G15"/>
    <mergeCell ref="G16:G17"/>
    <mergeCell ref="G12:G13"/>
    <mergeCell ref="H12:H13"/>
    <mergeCell ref="I12:I13"/>
    <mergeCell ref="I14:I15"/>
    <mergeCell ref="I16:I17"/>
    <mergeCell ref="D6:D7"/>
    <mergeCell ref="E6:E7"/>
    <mergeCell ref="G6:G7"/>
    <mergeCell ref="H6:H7"/>
    <mergeCell ref="I6:I7"/>
    <mergeCell ref="C3:I3"/>
    <mergeCell ref="I40:I41"/>
    <mergeCell ref="C20:C27"/>
    <mergeCell ref="D26:D27"/>
    <mergeCell ref="G26:G27"/>
    <mergeCell ref="H26:H27"/>
    <mergeCell ref="I26:I27"/>
    <mergeCell ref="G32:G33"/>
    <mergeCell ref="D28:D29"/>
    <mergeCell ref="D32:D33"/>
    <mergeCell ref="D34:D35"/>
    <mergeCell ref="C28:C31"/>
    <mergeCell ref="D30:D31"/>
    <mergeCell ref="G30:G31"/>
    <mergeCell ref="C32:C41"/>
    <mergeCell ref="D40:D41"/>
  </mergeCells>
  <pageMargins left="0.70866141732283472" right="0.70866141732283472" top="0.86614173228346458" bottom="0.86614173228346458" header="0.23622047244094491" footer="0.23622047244094491"/>
  <pageSetup paperSize="9" scale="43"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1" manualBreakCount="1">
    <brk id="27" max="8" man="1"/>
  </rowBreaks>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9">
    <tabColor rgb="FF92D050"/>
    <pageSetUpPr fitToPage="1"/>
  </sheetPr>
  <dimension ref="A1:CH70"/>
  <sheetViews>
    <sheetView showGridLines="0" tabSelected="1" zoomScaleNormal="100" zoomScaleSheetLayoutView="70" workbookViewId="0">
      <pane ySplit="1" topLeftCell="A2" activePane="bottomLeft" state="frozen"/>
      <selection activeCell="D3" sqref="D3"/>
      <selection pane="bottomLeft" activeCell="D3" sqref="D3"/>
    </sheetView>
  </sheetViews>
  <sheetFormatPr baseColWidth="10" defaultColWidth="11" defaultRowHeight="12.75"/>
  <cols>
    <col min="1" max="1" width="1.875" style="408" customWidth="1"/>
    <col min="2" max="76" width="2.5" customWidth="1"/>
  </cols>
  <sheetData>
    <row r="1" spans="2:86" s="35" customFormat="1" ht="33.75" customHeight="1">
      <c r="B1" s="1073" t="str">
        <f>VLOOKUP(6001,Languages!A5:C410,Languages!A2,FALSE)</f>
        <v>Ishikawa-Diagram</v>
      </c>
      <c r="C1" s="1073"/>
      <c r="D1" s="1073"/>
      <c r="E1" s="1073"/>
      <c r="F1" s="1073"/>
      <c r="G1" s="1073"/>
      <c r="H1" s="1073"/>
      <c r="I1" s="1073"/>
      <c r="J1" s="1073"/>
      <c r="K1" s="1073"/>
      <c r="L1" s="1073"/>
      <c r="M1" s="1073"/>
      <c r="N1" s="1073"/>
      <c r="O1" s="1073"/>
      <c r="P1" s="1073"/>
      <c r="Q1" s="1073"/>
      <c r="R1" s="1073"/>
      <c r="S1" s="1073"/>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c r="AP1" s="1073"/>
      <c r="AQ1" s="1073"/>
      <c r="AR1" s="1073"/>
      <c r="AS1" s="1073"/>
      <c r="AT1" s="1073"/>
      <c r="AU1" s="1073"/>
      <c r="AV1" s="1073"/>
      <c r="AW1" s="1073"/>
      <c r="AX1" s="1073"/>
      <c r="AY1" s="1073"/>
      <c r="AZ1" s="1073"/>
      <c r="BA1" s="1073"/>
      <c r="BB1" s="1073"/>
      <c r="BC1" s="1073"/>
      <c r="BD1" s="1073"/>
      <c r="BE1" s="1073"/>
      <c r="BF1" s="1073"/>
      <c r="BG1" s="1073"/>
      <c r="BH1" s="1073"/>
      <c r="BI1" s="1073"/>
      <c r="BJ1" s="1073"/>
      <c r="BK1" s="1073"/>
      <c r="BL1" s="1073"/>
      <c r="BM1" s="1073"/>
      <c r="BN1" s="1073"/>
      <c r="BO1" s="1073"/>
      <c r="BP1" s="1073"/>
      <c r="BQ1" s="1073"/>
      <c r="BR1" s="1073"/>
      <c r="BS1" s="1073"/>
      <c r="BT1" s="1073"/>
      <c r="BU1" s="1073"/>
      <c r="BV1" s="1073"/>
      <c r="BW1" s="1073"/>
      <c r="BX1" s="1073"/>
    </row>
    <row r="2" spans="2:86" ht="11.25" customHeight="1">
      <c r="C2" s="36"/>
      <c r="D2" s="36"/>
      <c r="E2" s="36"/>
      <c r="F2" s="36"/>
      <c r="G2" s="36"/>
      <c r="H2" s="36"/>
      <c r="I2" s="36"/>
      <c r="J2" s="36"/>
      <c r="K2" s="36"/>
      <c r="L2" s="36"/>
      <c r="M2" s="36"/>
      <c r="N2" s="36"/>
      <c r="O2" s="36"/>
      <c r="P2" s="36"/>
      <c r="Q2" s="43"/>
      <c r="R2" s="43"/>
      <c r="S2" s="43"/>
      <c r="T2" s="43"/>
      <c r="BV2" s="43"/>
      <c r="BW2" s="43"/>
      <c r="BX2" s="43"/>
      <c r="BY2" s="43"/>
      <c r="BZ2" s="43"/>
    </row>
    <row r="3" spans="2:86" ht="29.25" customHeight="1">
      <c r="C3" s="1071" t="str">
        <f>VLOOKUP(6002,Languages!A5:C410,Languages!A2,FALSE)</f>
        <v>Why occurred (O):</v>
      </c>
      <c r="D3" s="1071"/>
      <c r="E3" s="1071"/>
      <c r="F3" s="1071"/>
      <c r="G3" s="1071"/>
      <c r="H3" s="1071"/>
      <c r="I3" s="1071"/>
      <c r="J3" s="1071"/>
      <c r="K3" s="1071"/>
      <c r="L3" s="1071"/>
      <c r="M3" s="1071"/>
      <c r="N3" s="1071"/>
      <c r="O3" s="1071"/>
      <c r="P3" s="1071"/>
      <c r="Q3" s="1071"/>
      <c r="R3" s="1071"/>
      <c r="S3" s="1071"/>
      <c r="T3" s="1071"/>
      <c r="U3" s="1071"/>
      <c r="V3" s="1071"/>
      <c r="W3" s="1071"/>
      <c r="X3" s="1071"/>
      <c r="Y3" s="1071"/>
      <c r="Z3" s="1071"/>
      <c r="AA3" s="1071"/>
      <c r="AB3" s="1071"/>
      <c r="AC3" s="1071"/>
      <c r="AD3" s="1071"/>
      <c r="AE3" s="1071"/>
      <c r="AF3" s="1071"/>
      <c r="AT3" s="1072" t="str">
        <f>VLOOKUP(6003,Languages!A5:C410,Languages!A2,FALSE)</f>
        <v>Why not detected (N):</v>
      </c>
      <c r="AU3" s="1072"/>
      <c r="AV3" s="1072"/>
      <c r="AW3" s="1072"/>
      <c r="AX3" s="1072"/>
      <c r="AY3" s="1072"/>
      <c r="AZ3" s="1072"/>
      <c r="BA3" s="1072"/>
      <c r="BB3" s="1072"/>
      <c r="BC3" s="1072"/>
      <c r="BD3" s="1072"/>
      <c r="BE3" s="1072"/>
      <c r="BF3" s="1072"/>
      <c r="BG3" s="1072"/>
      <c r="BH3" s="1072"/>
      <c r="BI3" s="1072"/>
      <c r="BJ3" s="1072"/>
      <c r="BK3" s="1072"/>
      <c r="BL3" s="1072"/>
      <c r="BM3" s="1072"/>
      <c r="BN3" s="1072"/>
      <c r="BO3" s="1072"/>
      <c r="BP3" s="1072"/>
      <c r="BQ3" s="1072"/>
      <c r="BR3" s="1072"/>
      <c r="BS3" s="1072"/>
      <c r="BT3" s="1072"/>
      <c r="BU3" s="1072"/>
      <c r="BV3" s="1072"/>
      <c r="BW3" s="1072"/>
      <c r="BX3" s="1072"/>
      <c r="BY3" s="43"/>
      <c r="BZ3" s="43"/>
    </row>
    <row r="4" spans="2:86" ht="12" customHeight="1">
      <c r="C4" s="36"/>
      <c r="D4" s="36"/>
      <c r="E4" s="36"/>
      <c r="F4" s="36"/>
      <c r="G4" s="36"/>
      <c r="H4" s="36"/>
      <c r="I4" s="36"/>
      <c r="J4" s="36"/>
      <c r="K4" s="36"/>
      <c r="L4" s="36"/>
      <c r="M4" s="36"/>
      <c r="N4" s="36"/>
      <c r="O4" s="36"/>
      <c r="P4" s="36"/>
      <c r="Q4" s="43"/>
      <c r="R4" s="43"/>
      <c r="S4" s="43"/>
      <c r="T4" s="43"/>
      <c r="AT4" s="27"/>
      <c r="AU4" s="27"/>
      <c r="AV4" s="27"/>
      <c r="AW4" s="27"/>
      <c r="AX4" s="27"/>
      <c r="AY4" s="27"/>
      <c r="AZ4" s="27"/>
      <c r="BA4" s="27"/>
      <c r="BB4" s="27"/>
      <c r="BC4" s="27"/>
      <c r="BD4" s="27"/>
      <c r="BE4" s="27"/>
      <c r="BF4" s="27"/>
      <c r="BG4" s="27"/>
      <c r="BH4" s="27"/>
      <c r="BI4" s="27"/>
      <c r="BJ4" s="27"/>
      <c r="BK4" s="27"/>
      <c r="BL4" s="27"/>
      <c r="BM4" s="27"/>
      <c r="BV4" s="43"/>
      <c r="BW4" s="43"/>
      <c r="BX4" s="43"/>
      <c r="BY4" s="43"/>
      <c r="BZ4" s="43"/>
    </row>
    <row r="5" spans="2:86" ht="12" customHeight="1">
      <c r="C5" s="36"/>
      <c r="D5" s="36"/>
      <c r="E5" s="36"/>
      <c r="F5" s="36"/>
      <c r="G5" s="36"/>
      <c r="H5" s="36"/>
      <c r="I5" s="36"/>
      <c r="J5" s="36"/>
      <c r="K5" s="36"/>
      <c r="L5" s="36"/>
      <c r="M5" s="36"/>
      <c r="N5" s="36"/>
      <c r="O5" s="36"/>
      <c r="P5" s="36"/>
      <c r="Q5" s="43"/>
      <c r="R5" s="43"/>
      <c r="S5" s="43"/>
      <c r="T5" s="43"/>
      <c r="BV5" s="43"/>
      <c r="BW5" s="43"/>
      <c r="BX5" s="43"/>
      <c r="BY5" s="43"/>
      <c r="BZ5" s="43"/>
    </row>
    <row r="6" spans="2:86" ht="12" customHeight="1">
      <c r="C6" s="36"/>
      <c r="D6" s="36"/>
      <c r="E6" s="36"/>
      <c r="F6" s="36"/>
      <c r="G6" s="36"/>
      <c r="H6" s="36"/>
      <c r="I6" s="36"/>
      <c r="J6" s="36"/>
      <c r="K6" s="36"/>
      <c r="L6" s="36"/>
      <c r="M6" s="36"/>
      <c r="N6" s="36"/>
      <c r="O6" s="36"/>
      <c r="P6" s="36"/>
      <c r="Q6" s="43"/>
      <c r="R6" s="43"/>
      <c r="S6" s="43"/>
      <c r="T6" s="43"/>
      <c r="BV6" s="43"/>
      <c r="BW6" s="43"/>
      <c r="BX6" s="43"/>
      <c r="BY6" s="43"/>
      <c r="BZ6" s="43"/>
    </row>
    <row r="7" spans="2:86" ht="12" customHeight="1">
      <c r="C7" s="36"/>
      <c r="D7" s="36"/>
      <c r="E7" s="36"/>
      <c r="F7" s="36"/>
      <c r="G7" s="36"/>
      <c r="H7" s="36"/>
      <c r="I7" s="36"/>
      <c r="J7" s="36"/>
      <c r="K7" s="36"/>
      <c r="L7" s="36"/>
      <c r="M7" s="36"/>
      <c r="N7" s="36"/>
      <c r="O7" s="36"/>
      <c r="P7" s="36"/>
      <c r="Q7" s="43"/>
      <c r="R7" s="43"/>
      <c r="S7" s="43"/>
      <c r="T7" s="43"/>
      <c r="BV7" s="43"/>
      <c r="BW7" s="43"/>
      <c r="BX7" s="43"/>
      <c r="BY7" s="43"/>
      <c r="BZ7" s="43"/>
    </row>
    <row r="8" spans="2:86" ht="12" customHeight="1">
      <c r="C8" s="36"/>
      <c r="D8" s="36"/>
      <c r="E8" s="36"/>
      <c r="F8" s="36"/>
      <c r="G8" s="36"/>
      <c r="H8" s="36"/>
      <c r="I8" s="36"/>
      <c r="J8" s="36"/>
      <c r="K8" s="36"/>
      <c r="L8" s="36"/>
      <c r="M8" s="36"/>
      <c r="N8" s="36"/>
      <c r="O8" s="36"/>
      <c r="P8" s="36"/>
      <c r="Q8" s="43"/>
      <c r="R8" s="43"/>
      <c r="S8" s="43"/>
      <c r="T8" s="43"/>
      <c r="BV8" s="43"/>
      <c r="BW8" s="43"/>
      <c r="BX8" s="43"/>
      <c r="BY8" s="43"/>
      <c r="BZ8" s="43"/>
    </row>
    <row r="9" spans="2:86" ht="12" customHeight="1">
      <c r="C9" s="36"/>
      <c r="D9" s="36"/>
      <c r="E9" s="36"/>
      <c r="F9" s="36"/>
      <c r="G9" s="36"/>
      <c r="H9" s="36"/>
      <c r="I9" s="36"/>
      <c r="J9" s="36"/>
      <c r="K9" s="36"/>
      <c r="L9" s="36"/>
      <c r="M9" s="36"/>
      <c r="N9" s="36"/>
      <c r="O9" s="36"/>
      <c r="P9" s="36"/>
      <c r="Q9" s="43"/>
      <c r="R9" s="43"/>
      <c r="S9" s="43"/>
      <c r="T9" s="43"/>
      <c r="BV9" s="43"/>
      <c r="BW9" s="43"/>
      <c r="BX9" s="43"/>
      <c r="BY9" s="43"/>
      <c r="BZ9" s="43"/>
    </row>
    <row r="10" spans="2:86" ht="12" customHeight="1">
      <c r="C10" s="36"/>
      <c r="D10" s="36"/>
      <c r="E10" s="36"/>
      <c r="F10" s="36"/>
      <c r="G10" s="36"/>
      <c r="H10" s="36"/>
      <c r="I10" s="36"/>
      <c r="J10" s="36"/>
      <c r="K10" s="36"/>
      <c r="L10" s="36"/>
      <c r="M10" s="36"/>
      <c r="N10" s="36"/>
      <c r="O10" s="36"/>
      <c r="P10" s="36"/>
      <c r="Q10" s="43"/>
      <c r="R10" s="43"/>
      <c r="S10" s="43"/>
      <c r="T10" s="43"/>
      <c r="BV10" s="43"/>
      <c r="BW10" s="43"/>
      <c r="BX10" s="43"/>
      <c r="BY10" s="43"/>
      <c r="BZ10" s="43"/>
      <c r="CH10" s="30"/>
    </row>
    <row r="11" spans="2:86" ht="12" customHeight="1">
      <c r="C11" s="36"/>
      <c r="D11" s="36"/>
      <c r="E11" s="36"/>
      <c r="F11" s="36"/>
      <c r="G11" s="36"/>
      <c r="H11" s="36"/>
      <c r="I11" s="36"/>
      <c r="J11" s="36"/>
      <c r="K11" s="36"/>
      <c r="L11" s="36"/>
      <c r="M11" s="36"/>
      <c r="N11" s="36"/>
      <c r="O11" s="47"/>
      <c r="P11" s="36"/>
      <c r="Q11" s="43"/>
      <c r="R11" s="43"/>
      <c r="S11" s="43"/>
      <c r="T11" s="43"/>
      <c r="AB11" s="32"/>
      <c r="BV11" s="43"/>
      <c r="BW11" s="43"/>
      <c r="BX11" s="43"/>
      <c r="BY11" s="43"/>
      <c r="BZ11" s="43"/>
      <c r="CH11" s="30"/>
    </row>
    <row r="12" spans="2:86" ht="12" customHeight="1">
      <c r="C12" s="36"/>
      <c r="D12" s="36"/>
      <c r="E12" s="36"/>
      <c r="F12" s="37"/>
      <c r="G12" s="36"/>
      <c r="H12" s="36"/>
      <c r="I12" s="36"/>
      <c r="J12" s="36"/>
      <c r="K12" s="36"/>
      <c r="L12" s="36"/>
      <c r="M12" s="36"/>
      <c r="N12" s="36"/>
      <c r="O12" s="36"/>
      <c r="P12" s="36"/>
      <c r="Q12" s="43"/>
      <c r="R12" s="43"/>
      <c r="S12" s="43"/>
      <c r="T12" s="43"/>
      <c r="AF12" s="54"/>
      <c r="BV12" s="43"/>
      <c r="BW12" s="43"/>
      <c r="BX12" s="43"/>
      <c r="BY12" s="43"/>
      <c r="BZ12" s="43"/>
      <c r="CH12" s="30"/>
    </row>
    <row r="13" spans="2:86" ht="12" customHeight="1">
      <c r="C13" s="36"/>
      <c r="D13" s="36"/>
      <c r="E13" s="36"/>
      <c r="F13" s="36"/>
      <c r="G13" s="36"/>
      <c r="H13" s="36"/>
      <c r="I13" s="36"/>
      <c r="J13" s="36"/>
      <c r="K13" s="36"/>
      <c r="L13" s="36"/>
      <c r="M13" s="36"/>
      <c r="N13" s="36"/>
      <c r="O13" s="36"/>
      <c r="P13" s="36"/>
      <c r="Q13" s="43"/>
      <c r="R13" s="43"/>
      <c r="S13" s="43"/>
      <c r="T13" s="43"/>
      <c r="AA13" s="54"/>
      <c r="BV13" s="43"/>
      <c r="BW13" s="43"/>
      <c r="BX13" s="43"/>
      <c r="BY13" s="43"/>
      <c r="BZ13" s="43"/>
      <c r="CH13" s="30"/>
    </row>
    <row r="14" spans="2:86" ht="12" customHeight="1">
      <c r="C14" s="36"/>
      <c r="D14" s="36"/>
      <c r="E14" s="36"/>
      <c r="F14" s="36"/>
      <c r="G14" s="36"/>
      <c r="H14" s="36"/>
      <c r="I14" s="36"/>
      <c r="J14" s="36"/>
      <c r="K14" s="36"/>
      <c r="L14" s="36"/>
      <c r="M14" s="36"/>
      <c r="N14" s="36"/>
      <c r="O14" s="36"/>
      <c r="P14" s="36"/>
      <c r="Q14" s="43"/>
      <c r="R14" s="43"/>
      <c r="S14" s="43"/>
      <c r="T14" s="43"/>
      <c r="AF14" s="54"/>
      <c r="BV14" s="43"/>
      <c r="BW14" s="43"/>
      <c r="BX14" s="43"/>
      <c r="BY14" s="43"/>
      <c r="BZ14" s="43"/>
      <c r="CH14" s="30"/>
    </row>
    <row r="15" spans="2:86" ht="12" customHeight="1">
      <c r="C15" s="36"/>
      <c r="D15" s="36"/>
      <c r="E15" s="36"/>
      <c r="F15" s="36"/>
      <c r="G15" s="36"/>
      <c r="H15" s="36"/>
      <c r="I15" s="36"/>
      <c r="J15" s="36"/>
      <c r="K15" s="36"/>
      <c r="L15" s="36"/>
      <c r="M15" s="36"/>
      <c r="N15" s="36"/>
      <c r="O15" s="36"/>
      <c r="P15" s="36"/>
      <c r="Q15" s="43"/>
      <c r="R15" s="43"/>
      <c r="S15" s="43"/>
      <c r="T15" s="43"/>
      <c r="BV15" s="43"/>
      <c r="BW15" s="43"/>
      <c r="BX15" s="43"/>
      <c r="BY15" s="43"/>
      <c r="BZ15" s="43"/>
    </row>
    <row r="16" spans="2:86" ht="12" customHeight="1">
      <c r="C16" s="36"/>
      <c r="D16" s="36"/>
      <c r="E16" s="36"/>
      <c r="F16" s="36"/>
      <c r="G16" s="36"/>
      <c r="H16" s="36"/>
      <c r="I16" s="36"/>
      <c r="J16" s="36"/>
      <c r="K16" s="36"/>
      <c r="L16" s="36"/>
      <c r="M16" s="36"/>
      <c r="N16" s="36"/>
      <c r="O16" s="36"/>
      <c r="P16" s="36"/>
      <c r="Q16" s="43"/>
      <c r="R16" s="43"/>
      <c r="S16" s="43"/>
      <c r="T16" s="43"/>
      <c r="BV16" s="43"/>
      <c r="BW16" s="43"/>
      <c r="BX16" s="43"/>
      <c r="BY16" s="43"/>
      <c r="BZ16" s="43"/>
    </row>
    <row r="17" spans="3:78" ht="12" customHeight="1">
      <c r="C17" s="36"/>
      <c r="D17" s="36"/>
      <c r="E17" s="36"/>
      <c r="F17" s="36"/>
      <c r="G17" s="36"/>
      <c r="H17" s="36"/>
      <c r="I17" s="36"/>
      <c r="J17" s="36"/>
      <c r="K17" s="36"/>
      <c r="L17" s="36"/>
      <c r="M17" s="36"/>
      <c r="N17" s="36"/>
      <c r="O17" s="36"/>
      <c r="P17" s="36"/>
      <c r="Q17" s="34"/>
      <c r="R17" s="43"/>
      <c r="S17" s="43"/>
      <c r="T17" s="43"/>
      <c r="AD17" s="32"/>
      <c r="BV17" s="43"/>
      <c r="BW17" s="43"/>
      <c r="BX17" s="43"/>
      <c r="BY17" s="43"/>
      <c r="BZ17" s="43"/>
    </row>
    <row r="18" spans="3:78" ht="12" customHeight="1">
      <c r="C18" s="36"/>
      <c r="D18" s="49"/>
      <c r="E18" s="36"/>
      <c r="F18" s="36"/>
      <c r="G18" s="36"/>
      <c r="H18" s="36"/>
      <c r="I18" s="36"/>
      <c r="J18" s="36"/>
      <c r="K18" s="36"/>
      <c r="L18" s="36"/>
      <c r="M18" s="36"/>
      <c r="N18" s="36"/>
      <c r="O18" s="36"/>
      <c r="P18" s="36"/>
      <c r="Q18" s="34"/>
      <c r="R18" s="43"/>
      <c r="S18" s="43"/>
      <c r="T18" s="43"/>
      <c r="BV18" s="43"/>
      <c r="BW18" s="43"/>
      <c r="BX18" s="43"/>
      <c r="BY18" s="43"/>
      <c r="BZ18" s="43"/>
    </row>
    <row r="19" spans="3:78" ht="12" customHeight="1">
      <c r="C19" s="36"/>
      <c r="D19" s="36"/>
      <c r="E19" s="36"/>
      <c r="F19" s="36"/>
      <c r="G19" s="36"/>
      <c r="H19" s="36"/>
      <c r="I19" s="36"/>
      <c r="J19" s="36"/>
      <c r="K19" s="36"/>
      <c r="L19" s="36"/>
      <c r="M19" s="36"/>
      <c r="N19" s="36"/>
      <c r="O19" s="36"/>
      <c r="P19" s="36"/>
      <c r="Q19" s="43"/>
      <c r="R19" s="43"/>
      <c r="S19" s="43"/>
      <c r="T19" s="43"/>
      <c r="AF19" s="6"/>
      <c r="AQ19" s="6"/>
      <c r="BV19" s="43"/>
      <c r="BW19" s="43"/>
      <c r="BX19" s="43"/>
      <c r="BY19" s="43"/>
      <c r="BZ19" s="43"/>
    </row>
    <row r="20" spans="3:78" ht="12" customHeight="1" thickBot="1">
      <c r="C20" s="36"/>
      <c r="D20" s="36"/>
      <c r="E20" s="36"/>
      <c r="F20" s="36"/>
      <c r="G20" s="36"/>
      <c r="H20" s="36"/>
      <c r="I20" s="36"/>
      <c r="J20" s="36"/>
      <c r="K20" s="36"/>
      <c r="L20" s="36"/>
      <c r="M20" s="36"/>
      <c r="N20" s="36"/>
      <c r="O20" s="36"/>
      <c r="P20" s="36"/>
      <c r="Q20" s="43"/>
      <c r="R20" s="43"/>
      <c r="S20" s="43"/>
      <c r="T20" s="43"/>
      <c r="AF20" s="6"/>
      <c r="AQ20" s="6"/>
      <c r="BV20" s="43"/>
      <c r="BW20" s="43"/>
      <c r="BX20" s="43"/>
      <c r="BY20" s="43"/>
      <c r="BZ20" s="43"/>
    </row>
    <row r="21" spans="3:78" ht="12" customHeight="1">
      <c r="C21" s="36"/>
      <c r="D21" s="36"/>
      <c r="E21" s="36"/>
      <c r="F21" s="36"/>
      <c r="G21" s="36"/>
      <c r="H21" s="36"/>
      <c r="I21" s="36"/>
      <c r="J21" s="36"/>
      <c r="K21" s="36"/>
      <c r="L21" s="36"/>
      <c r="M21" s="36"/>
      <c r="N21" s="36"/>
      <c r="O21" s="36"/>
      <c r="P21" s="36"/>
      <c r="Q21" s="43"/>
      <c r="R21" s="43"/>
      <c r="S21" s="43"/>
      <c r="T21" s="43"/>
      <c r="AF21" s="6"/>
      <c r="AG21" s="1059" t="str">
        <f>VLOOKUP(6015,Languages!A5:C410,Languages!A2,FALSE)</f>
        <v>Problem Statement:</v>
      </c>
      <c r="AH21" s="1060"/>
      <c r="AI21" s="1060"/>
      <c r="AJ21" s="1060"/>
      <c r="AK21" s="1060"/>
      <c r="AL21" s="1060"/>
      <c r="AM21" s="1060"/>
      <c r="AN21" s="1060"/>
      <c r="AO21" s="1060"/>
      <c r="AP21" s="1060"/>
      <c r="AQ21" s="1060"/>
      <c r="AR21" s="1060"/>
      <c r="AS21" s="1061"/>
      <c r="BV21" s="43"/>
      <c r="BW21" s="43"/>
      <c r="BX21" s="43"/>
      <c r="BY21" s="43"/>
      <c r="BZ21" s="43"/>
    </row>
    <row r="22" spans="3:78" ht="12" customHeight="1">
      <c r="C22" s="36"/>
      <c r="D22" s="36"/>
      <c r="E22" s="36"/>
      <c r="F22" s="36"/>
      <c r="G22" s="36"/>
      <c r="H22" s="36"/>
      <c r="I22" s="36"/>
      <c r="J22" s="36"/>
      <c r="K22" s="36"/>
      <c r="L22" s="36"/>
      <c r="M22" s="36"/>
      <c r="N22" s="36"/>
      <c r="O22" s="36"/>
      <c r="P22" s="36"/>
      <c r="Q22" s="43"/>
      <c r="R22" s="43"/>
      <c r="S22" s="43"/>
      <c r="T22" s="43"/>
      <c r="AG22" s="1062"/>
      <c r="AH22" s="1063"/>
      <c r="AI22" s="1063"/>
      <c r="AJ22" s="1063"/>
      <c r="AK22" s="1063"/>
      <c r="AL22" s="1063"/>
      <c r="AM22" s="1063"/>
      <c r="AN22" s="1063"/>
      <c r="AO22" s="1063"/>
      <c r="AP22" s="1063"/>
      <c r="AQ22" s="1063"/>
      <c r="AR22" s="1063"/>
      <c r="AS22" s="1064"/>
      <c r="BV22" s="43"/>
      <c r="BW22" s="43"/>
      <c r="BX22" s="43"/>
      <c r="BY22" s="43"/>
      <c r="BZ22" s="43"/>
    </row>
    <row r="23" spans="3:78" ht="12" customHeight="1">
      <c r="C23" s="36"/>
      <c r="D23" s="36"/>
      <c r="E23" s="36"/>
      <c r="F23" s="36"/>
      <c r="G23" s="36"/>
      <c r="H23" s="36"/>
      <c r="I23" s="36"/>
      <c r="J23" s="36"/>
      <c r="K23" s="36"/>
      <c r="L23" s="36"/>
      <c r="M23" s="36"/>
      <c r="N23" s="36"/>
      <c r="O23" s="36"/>
      <c r="P23" s="36"/>
      <c r="Q23" s="43"/>
      <c r="R23" s="43"/>
      <c r="S23" s="43"/>
      <c r="T23" s="43"/>
      <c r="AG23" s="1065" t="str">
        <f>IF('8D-Report'!R8="","",'8D-Report'!R8)</f>
        <v/>
      </c>
      <c r="AH23" s="1066"/>
      <c r="AI23" s="1066"/>
      <c r="AJ23" s="1066"/>
      <c r="AK23" s="1066"/>
      <c r="AL23" s="1066"/>
      <c r="AM23" s="1066"/>
      <c r="AN23" s="1066"/>
      <c r="AO23" s="1066"/>
      <c r="AP23" s="1066"/>
      <c r="AQ23" s="1066"/>
      <c r="AR23" s="1066"/>
      <c r="AS23" s="1067"/>
      <c r="BV23" s="43"/>
      <c r="BW23" s="43"/>
      <c r="BX23" s="43"/>
      <c r="BY23" s="43"/>
      <c r="BZ23" s="43"/>
    </row>
    <row r="24" spans="3:78" ht="12" customHeight="1">
      <c r="C24" s="36"/>
      <c r="D24" s="36"/>
      <c r="E24" s="36"/>
      <c r="F24" s="36"/>
      <c r="G24" s="36"/>
      <c r="H24" s="36"/>
      <c r="I24" s="36"/>
      <c r="J24" s="36"/>
      <c r="K24" s="36"/>
      <c r="L24" s="36"/>
      <c r="M24" s="36"/>
      <c r="N24" s="36"/>
      <c r="O24" s="36"/>
      <c r="P24" s="36"/>
      <c r="Q24" s="43"/>
      <c r="R24" s="43"/>
      <c r="S24" s="43"/>
      <c r="T24" s="43"/>
      <c r="AG24" s="1065"/>
      <c r="AH24" s="1066"/>
      <c r="AI24" s="1066"/>
      <c r="AJ24" s="1066"/>
      <c r="AK24" s="1066"/>
      <c r="AL24" s="1066"/>
      <c r="AM24" s="1066"/>
      <c r="AN24" s="1066"/>
      <c r="AO24" s="1066"/>
      <c r="AP24" s="1066"/>
      <c r="AQ24" s="1066"/>
      <c r="AR24" s="1066"/>
      <c r="AS24" s="1067"/>
      <c r="BV24" s="43"/>
      <c r="BW24" s="43"/>
      <c r="BX24" s="43"/>
      <c r="BY24" s="43"/>
      <c r="BZ24" s="43"/>
    </row>
    <row r="25" spans="3:78" ht="12" customHeight="1">
      <c r="Q25" s="43"/>
      <c r="R25" s="43"/>
      <c r="S25" s="43"/>
      <c r="T25" s="43"/>
      <c r="AG25" s="1065"/>
      <c r="AH25" s="1066"/>
      <c r="AI25" s="1066"/>
      <c r="AJ25" s="1066"/>
      <c r="AK25" s="1066"/>
      <c r="AL25" s="1066"/>
      <c r="AM25" s="1066"/>
      <c r="AN25" s="1066"/>
      <c r="AO25" s="1066"/>
      <c r="AP25" s="1066"/>
      <c r="AQ25" s="1066"/>
      <c r="AR25" s="1066"/>
      <c r="AS25" s="1067"/>
      <c r="BV25" s="43"/>
      <c r="BW25" s="43"/>
      <c r="BX25" s="43"/>
      <c r="BY25" s="43"/>
      <c r="BZ25" s="43"/>
    </row>
    <row r="26" spans="3:78" ht="12" customHeight="1">
      <c r="Q26" s="43"/>
      <c r="R26" s="43"/>
      <c r="S26" s="43"/>
      <c r="T26" s="43"/>
      <c r="AG26" s="1065"/>
      <c r="AH26" s="1066"/>
      <c r="AI26" s="1066"/>
      <c r="AJ26" s="1066"/>
      <c r="AK26" s="1066"/>
      <c r="AL26" s="1066"/>
      <c r="AM26" s="1066"/>
      <c r="AN26" s="1066"/>
      <c r="AO26" s="1066"/>
      <c r="AP26" s="1066"/>
      <c r="AQ26" s="1066"/>
      <c r="AR26" s="1066"/>
      <c r="AS26" s="1067"/>
      <c r="BV26" s="43"/>
      <c r="BW26" s="43"/>
      <c r="BX26" s="43"/>
      <c r="BY26" s="43"/>
      <c r="BZ26" s="43"/>
    </row>
    <row r="27" spans="3:78" ht="12" customHeight="1">
      <c r="Q27" s="43"/>
      <c r="R27" s="43"/>
      <c r="S27" s="43"/>
      <c r="T27" s="43"/>
      <c r="AG27" s="1065"/>
      <c r="AH27" s="1066"/>
      <c r="AI27" s="1066"/>
      <c r="AJ27" s="1066"/>
      <c r="AK27" s="1066"/>
      <c r="AL27" s="1066"/>
      <c r="AM27" s="1066"/>
      <c r="AN27" s="1066"/>
      <c r="AO27" s="1066"/>
      <c r="AP27" s="1066"/>
      <c r="AQ27" s="1066"/>
      <c r="AR27" s="1066"/>
      <c r="AS27" s="1067"/>
      <c r="BV27" s="43"/>
      <c r="BW27" s="43"/>
      <c r="BX27" s="43"/>
      <c r="BY27" s="43"/>
      <c r="BZ27" s="43"/>
    </row>
    <row r="28" spans="3:78" ht="12" customHeight="1">
      <c r="T28" s="32"/>
      <c r="AG28" s="1065"/>
      <c r="AH28" s="1066"/>
      <c r="AI28" s="1066"/>
      <c r="AJ28" s="1066"/>
      <c r="AK28" s="1066"/>
      <c r="AL28" s="1066"/>
      <c r="AM28" s="1066"/>
      <c r="AN28" s="1066"/>
      <c r="AO28" s="1066"/>
      <c r="AP28" s="1066"/>
      <c r="AQ28" s="1066"/>
      <c r="AR28" s="1066"/>
      <c r="AS28" s="1067"/>
      <c r="BV28" s="43"/>
      <c r="BW28" s="43"/>
      <c r="BX28" s="43"/>
      <c r="BY28" s="43"/>
      <c r="BZ28" s="43"/>
    </row>
    <row r="29" spans="3:78" ht="12" customHeight="1">
      <c r="AG29" s="1065"/>
      <c r="AH29" s="1066"/>
      <c r="AI29" s="1066"/>
      <c r="AJ29" s="1066"/>
      <c r="AK29" s="1066"/>
      <c r="AL29" s="1066"/>
      <c r="AM29" s="1066"/>
      <c r="AN29" s="1066"/>
      <c r="AO29" s="1066"/>
      <c r="AP29" s="1066"/>
      <c r="AQ29" s="1066"/>
      <c r="AR29" s="1066"/>
      <c r="AS29" s="1067"/>
      <c r="BV29" s="43"/>
      <c r="BW29" s="43"/>
      <c r="BX29" s="43"/>
      <c r="BY29" s="43"/>
      <c r="BZ29" s="43"/>
    </row>
    <row r="30" spans="3:78" ht="12" customHeight="1">
      <c r="AG30" s="1065"/>
      <c r="AH30" s="1066"/>
      <c r="AI30" s="1066"/>
      <c r="AJ30" s="1066"/>
      <c r="AK30" s="1066"/>
      <c r="AL30" s="1066"/>
      <c r="AM30" s="1066"/>
      <c r="AN30" s="1066"/>
      <c r="AO30" s="1066"/>
      <c r="AP30" s="1066"/>
      <c r="AQ30" s="1066"/>
      <c r="AR30" s="1066"/>
      <c r="AS30" s="1067"/>
      <c r="BV30" s="43"/>
      <c r="BW30" s="43"/>
      <c r="BX30" s="43"/>
      <c r="BY30" s="43"/>
      <c r="BZ30" s="43"/>
    </row>
    <row r="31" spans="3:78" ht="12" customHeight="1">
      <c r="AG31" s="1065"/>
      <c r="AH31" s="1066"/>
      <c r="AI31" s="1066"/>
      <c r="AJ31" s="1066"/>
      <c r="AK31" s="1066"/>
      <c r="AL31" s="1066"/>
      <c r="AM31" s="1066"/>
      <c r="AN31" s="1066"/>
      <c r="AO31" s="1066"/>
      <c r="AP31" s="1066"/>
      <c r="AQ31" s="1066"/>
      <c r="AR31" s="1066"/>
      <c r="AS31" s="1067"/>
      <c r="BV31" s="43"/>
      <c r="BW31" s="43"/>
      <c r="BX31" s="43"/>
      <c r="BY31" s="43"/>
      <c r="BZ31" s="43"/>
    </row>
    <row r="32" spans="3:78" ht="12" customHeight="1">
      <c r="AG32" s="1065"/>
      <c r="AH32" s="1066"/>
      <c r="AI32" s="1066"/>
      <c r="AJ32" s="1066"/>
      <c r="AK32" s="1066"/>
      <c r="AL32" s="1066"/>
      <c r="AM32" s="1066"/>
      <c r="AN32" s="1066"/>
      <c r="AO32" s="1066"/>
      <c r="AP32" s="1066"/>
      <c r="AQ32" s="1066"/>
      <c r="AR32" s="1066"/>
      <c r="AS32" s="1067"/>
      <c r="BV32" s="43"/>
      <c r="BW32" s="43"/>
      <c r="BX32" s="43"/>
      <c r="BY32" s="43"/>
      <c r="BZ32" s="43"/>
    </row>
    <row r="33" spans="33:78" ht="12" customHeight="1" thickBot="1">
      <c r="AG33" s="1068"/>
      <c r="AH33" s="1069"/>
      <c r="AI33" s="1069"/>
      <c r="AJ33" s="1069"/>
      <c r="AK33" s="1069"/>
      <c r="AL33" s="1069"/>
      <c r="AM33" s="1069"/>
      <c r="AN33" s="1069"/>
      <c r="AO33" s="1069"/>
      <c r="AP33" s="1069"/>
      <c r="AQ33" s="1069"/>
      <c r="AR33" s="1069"/>
      <c r="AS33" s="1070"/>
      <c r="BV33" s="43"/>
      <c r="BW33" s="43"/>
      <c r="BX33" s="43"/>
      <c r="BY33" s="43"/>
      <c r="BZ33" s="43"/>
    </row>
    <row r="34" spans="33:78" ht="12" customHeight="1">
      <c r="BV34" s="43"/>
      <c r="BW34" s="43"/>
      <c r="BX34" s="43"/>
      <c r="BY34" s="43"/>
      <c r="BZ34" s="43"/>
    </row>
    <row r="35" spans="33:78" ht="12" customHeight="1">
      <c r="BV35" s="43"/>
      <c r="BW35" s="43"/>
      <c r="BX35" s="43"/>
      <c r="BY35" s="43"/>
      <c r="BZ35" s="43"/>
    </row>
    <row r="36" spans="33:78" ht="12" customHeight="1">
      <c r="BV36" s="43"/>
      <c r="BW36" s="43"/>
      <c r="BX36" s="43"/>
      <c r="BY36" s="43"/>
      <c r="BZ36" s="43"/>
    </row>
    <row r="37" spans="33:78" ht="12" customHeight="1">
      <c r="BV37" s="43"/>
      <c r="BW37" s="43"/>
      <c r="BX37" s="43"/>
      <c r="BY37" s="43"/>
      <c r="BZ37" s="43"/>
    </row>
    <row r="38" spans="33:78" ht="12" customHeight="1">
      <c r="BV38" s="43"/>
      <c r="BW38" s="43"/>
      <c r="BX38" s="43"/>
      <c r="BY38" s="43"/>
      <c r="BZ38" s="43"/>
    </row>
    <row r="39" spans="33:78" ht="12" customHeight="1">
      <c r="BV39" s="43"/>
      <c r="BW39" s="43"/>
      <c r="BX39" s="43"/>
      <c r="BY39" s="43"/>
      <c r="BZ39" s="43"/>
    </row>
    <row r="40" spans="33:78" ht="12" customHeight="1">
      <c r="BV40" s="43"/>
      <c r="BW40" s="43"/>
      <c r="BX40" s="43"/>
      <c r="BY40" s="43"/>
      <c r="BZ40" s="43"/>
    </row>
    <row r="41" spans="33:78" ht="12" customHeight="1">
      <c r="BV41" s="43"/>
      <c r="BW41" s="43"/>
      <c r="BX41" s="43"/>
      <c r="BY41" s="43"/>
      <c r="BZ41" s="43"/>
    </row>
    <row r="42" spans="33:78" ht="12" customHeight="1">
      <c r="BV42" s="43"/>
      <c r="BW42" s="43"/>
      <c r="BX42" s="43"/>
      <c r="BY42" s="43"/>
      <c r="BZ42" s="43"/>
    </row>
    <row r="43" spans="33:78" ht="12" customHeight="1">
      <c r="BV43" s="43"/>
      <c r="BW43" s="43"/>
      <c r="BX43" s="43"/>
      <c r="BY43" s="43"/>
      <c r="BZ43" s="43"/>
    </row>
    <row r="51" spans="3:77" ht="45" customHeight="1"/>
    <row r="52" spans="3:77" ht="24.75" customHeight="1" thickBot="1"/>
    <row r="53" spans="3:77">
      <c r="C53" s="317"/>
      <c r="D53" s="318"/>
      <c r="E53" s="318"/>
      <c r="F53" s="318"/>
      <c r="G53" s="318"/>
      <c r="H53" s="318"/>
      <c r="I53" s="318"/>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9"/>
    </row>
    <row r="54" spans="3:77" ht="15.75">
      <c r="C54" s="324"/>
      <c r="D54" s="1078" t="str">
        <f>VLOOKUP(6010,Languages!A5:C410,Languages!A2,FALSE)</f>
        <v>Text boxes</v>
      </c>
      <c r="E54" s="1078"/>
      <c r="F54" s="1078"/>
      <c r="G54" s="1078"/>
      <c r="H54" s="1078"/>
      <c r="I54" s="1078"/>
      <c r="J54" s="1078"/>
      <c r="K54" s="1078"/>
      <c r="L54" s="1078"/>
      <c r="M54" s="1078"/>
      <c r="N54" s="1078"/>
      <c r="O54" s="1078"/>
      <c r="P54" s="1078"/>
      <c r="Q54" s="1078"/>
      <c r="R54" s="1078"/>
      <c r="S54" s="1078"/>
      <c r="T54" s="1078"/>
      <c r="U54" s="1078"/>
      <c r="V54" s="1078"/>
      <c r="W54" s="1078"/>
      <c r="X54" s="1078"/>
      <c r="Y54" s="1078"/>
      <c r="Z54" s="1078"/>
      <c r="AA54" s="1078"/>
      <c r="AB54" s="1078"/>
      <c r="AC54" s="1078"/>
      <c r="AD54" s="1078"/>
      <c r="AE54" s="1078"/>
      <c r="AF54" s="1078"/>
      <c r="AG54" s="1078"/>
      <c r="AH54" s="1078"/>
      <c r="AI54" s="1078"/>
      <c r="AJ54" s="1078"/>
      <c r="AK54" s="1078"/>
      <c r="AL54" s="1078"/>
      <c r="AM54" s="1078"/>
      <c r="AN54" s="1078"/>
      <c r="AO54" s="1078"/>
      <c r="AP54" s="1078"/>
      <c r="AQ54" s="1078"/>
      <c r="AR54" s="1078"/>
      <c r="AS54" s="1078"/>
      <c r="AT54" s="1078"/>
      <c r="AU54" s="1078"/>
      <c r="AV54" s="1078"/>
      <c r="AW54" s="1078"/>
      <c r="AX54" s="1078"/>
      <c r="AY54" s="1078"/>
      <c r="AZ54" s="1078"/>
      <c r="BA54" s="1078"/>
      <c r="BB54" s="1078"/>
      <c r="BC54" s="1078"/>
      <c r="BD54" s="1078"/>
      <c r="BE54" s="1078"/>
      <c r="BF54" s="1078" t="str">
        <f>VLOOKUP(6011,Languages!A5:C410,Languages!A2,FALSE)</f>
        <v>Evaluation modules</v>
      </c>
      <c r="BG54" s="1078"/>
      <c r="BH54" s="1078"/>
      <c r="BI54" s="1078"/>
      <c r="BJ54" s="1078"/>
      <c r="BK54" s="1078"/>
      <c r="BL54" s="1078"/>
      <c r="BM54" s="1078"/>
      <c r="BN54" s="1078"/>
      <c r="BO54" s="1078"/>
      <c r="BP54" s="1078"/>
      <c r="BQ54" s="1078"/>
      <c r="BR54" s="1078"/>
      <c r="BS54" s="1078"/>
      <c r="BT54" s="320"/>
      <c r="BU54" s="323"/>
      <c r="BV54" s="323"/>
      <c r="BW54" s="323"/>
      <c r="BX54" s="325"/>
    </row>
    <row r="55" spans="3:77">
      <c r="C55" s="324"/>
      <c r="D55" s="1074"/>
      <c r="E55" s="1074"/>
      <c r="F55" s="1074"/>
      <c r="G55" s="1074"/>
      <c r="H55" s="1074"/>
      <c r="I55" s="1074"/>
      <c r="J55" s="1074"/>
      <c r="K55" s="1074"/>
      <c r="L55" s="1074"/>
      <c r="M55" s="1074"/>
      <c r="N55" s="1074"/>
      <c r="O55" s="1074"/>
      <c r="P55" s="1074"/>
      <c r="Q55" s="1074"/>
      <c r="R55" s="1074"/>
      <c r="S55" s="1074"/>
      <c r="T55" s="1074"/>
      <c r="U55" s="1074"/>
      <c r="V55" s="1074"/>
      <c r="W55" s="1074"/>
      <c r="X55" s="1074"/>
      <c r="Y55" s="1074"/>
      <c r="Z55" s="1074"/>
      <c r="AA55" s="1074"/>
      <c r="AB55" s="1074"/>
      <c r="AC55" s="1074"/>
      <c r="AD55" s="1074"/>
      <c r="AE55" s="1074"/>
      <c r="AF55" s="1074"/>
      <c r="AG55" s="1074"/>
      <c r="AH55" s="1074"/>
      <c r="AI55" s="1074"/>
      <c r="AJ55" s="1074"/>
      <c r="AK55" s="1074"/>
      <c r="AL55" s="1074"/>
      <c r="AM55" s="1074"/>
      <c r="AN55" s="1074"/>
      <c r="AO55" s="1074"/>
      <c r="AP55" s="1074"/>
      <c r="AQ55" s="1074"/>
      <c r="AR55" s="1074"/>
      <c r="AS55" s="1074"/>
      <c r="AT55" s="1074"/>
      <c r="AU55" s="1074"/>
      <c r="AV55" s="1074"/>
      <c r="AW55" s="1074"/>
      <c r="AX55" s="1074"/>
      <c r="AY55" s="1074"/>
      <c r="AZ55" s="1074"/>
      <c r="BA55" s="1074"/>
      <c r="BB55" s="1074"/>
      <c r="BC55" s="1074"/>
      <c r="BD55" s="1074"/>
      <c r="BE55" s="1074"/>
      <c r="BF55" s="1074"/>
      <c r="BG55" s="1074"/>
      <c r="BH55" s="1074"/>
      <c r="BI55" s="1074"/>
      <c r="BJ55" s="1074"/>
      <c r="BK55" s="320"/>
      <c r="BL55" s="321"/>
      <c r="BM55" s="321"/>
      <c r="BN55" s="321"/>
      <c r="BO55" s="321"/>
      <c r="BP55" s="321"/>
      <c r="BQ55" s="321"/>
      <c r="BR55" s="321"/>
      <c r="BS55" s="321"/>
      <c r="BT55" s="321"/>
      <c r="BU55" s="330"/>
      <c r="BV55" s="330"/>
      <c r="BW55" s="330"/>
      <c r="BX55" s="325"/>
    </row>
    <row r="56" spans="3:77" ht="12.75" customHeight="1">
      <c r="C56" s="324"/>
      <c r="D56" s="1074"/>
      <c r="E56" s="1074"/>
      <c r="F56" s="1074"/>
      <c r="G56" s="1074"/>
      <c r="H56" s="1074"/>
      <c r="I56" s="1074"/>
      <c r="J56" s="1074"/>
      <c r="K56" s="1074"/>
      <c r="L56" s="1074"/>
      <c r="M56" s="1074"/>
      <c r="N56" s="1074"/>
      <c r="O56" s="1074"/>
      <c r="P56" s="1074"/>
      <c r="Q56" s="1074"/>
      <c r="R56" s="1074"/>
      <c r="S56" s="1074"/>
      <c r="T56" s="1074"/>
      <c r="U56" s="1074"/>
      <c r="V56" s="1074"/>
      <c r="W56" s="1074"/>
      <c r="X56" s="1074"/>
      <c r="Y56" s="1074"/>
      <c r="Z56" s="1074"/>
      <c r="AA56" s="1074"/>
      <c r="AB56" s="1074"/>
      <c r="AC56" s="1074"/>
      <c r="AD56" s="1074"/>
      <c r="AE56" s="1074"/>
      <c r="AF56" s="1074"/>
      <c r="AG56" s="1074"/>
      <c r="AH56" s="1074"/>
      <c r="AI56" s="1074"/>
      <c r="AJ56" s="1074"/>
      <c r="AK56" s="1074"/>
      <c r="AL56" s="1074"/>
      <c r="AM56" s="1074"/>
      <c r="AN56" s="1074"/>
      <c r="AO56" s="1074"/>
      <c r="AP56" s="1074"/>
      <c r="AQ56" s="1074"/>
      <c r="AR56" s="1074"/>
      <c r="AS56" s="1074"/>
      <c r="AT56" s="1074"/>
      <c r="AU56" s="1074"/>
      <c r="AV56" s="1074"/>
      <c r="AW56" s="1074"/>
      <c r="AX56" s="1074"/>
      <c r="AY56" s="1074"/>
      <c r="AZ56" s="1074"/>
      <c r="BA56" s="1074"/>
      <c r="BB56" s="1074"/>
      <c r="BC56" s="1074"/>
      <c r="BD56" s="1074"/>
      <c r="BE56" s="1074"/>
      <c r="BF56" s="1074"/>
      <c r="BG56" s="1074"/>
      <c r="BH56" s="1074"/>
      <c r="BI56" s="1074"/>
      <c r="BJ56" s="1074"/>
      <c r="BK56" s="320"/>
      <c r="BL56" s="84"/>
      <c r="BW56" s="331"/>
      <c r="BX56" s="325"/>
    </row>
    <row r="57" spans="3:77" ht="12.75" customHeight="1">
      <c r="C57" s="324"/>
      <c r="D57" s="1074"/>
      <c r="E57" s="1074"/>
      <c r="F57" s="1074"/>
      <c r="G57" s="1074"/>
      <c r="H57" s="1074"/>
      <c r="I57" s="1074"/>
      <c r="J57" s="1074"/>
      <c r="K57" s="1074"/>
      <c r="L57" s="1074"/>
      <c r="M57" s="1074"/>
      <c r="N57" s="1074"/>
      <c r="O57" s="1074"/>
      <c r="P57" s="1074"/>
      <c r="Q57" s="1074"/>
      <c r="R57" s="1074"/>
      <c r="S57" s="1074"/>
      <c r="T57" s="1074"/>
      <c r="U57" s="1074"/>
      <c r="V57" s="1074"/>
      <c r="W57" s="1074"/>
      <c r="X57" s="1074"/>
      <c r="Y57" s="1074"/>
      <c r="Z57" s="1074"/>
      <c r="AA57" s="1074"/>
      <c r="AB57" s="1074"/>
      <c r="AC57" s="1074"/>
      <c r="AD57" s="1074"/>
      <c r="AE57" s="1074"/>
      <c r="AF57" s="1074"/>
      <c r="AG57" s="1074"/>
      <c r="AH57" s="1074"/>
      <c r="AI57" s="1074"/>
      <c r="AJ57" s="1074"/>
      <c r="AK57" s="1074"/>
      <c r="AL57" s="1074"/>
      <c r="AM57" s="1074"/>
      <c r="AN57" s="1074"/>
      <c r="AO57" s="1074"/>
      <c r="AP57" s="1074"/>
      <c r="AQ57" s="1074"/>
      <c r="AR57" s="1074"/>
      <c r="AS57" s="1074"/>
      <c r="AT57" s="1074"/>
      <c r="AU57" s="1074"/>
      <c r="AV57" s="1074"/>
      <c r="AW57" s="1074"/>
      <c r="AX57" s="1074"/>
      <c r="AY57" s="1074"/>
      <c r="AZ57" s="1074"/>
      <c r="BA57" s="1074"/>
      <c r="BB57" s="1074"/>
      <c r="BC57" s="1074"/>
      <c r="BD57" s="1074"/>
      <c r="BE57" s="1074"/>
      <c r="BF57" s="1074"/>
      <c r="BG57" s="1074"/>
      <c r="BH57" s="1074"/>
      <c r="BI57" s="1074"/>
      <c r="BJ57" s="1074"/>
      <c r="BK57" s="320"/>
      <c r="BL57" s="84"/>
      <c r="BM57" s="43"/>
      <c r="BN57" s="6"/>
      <c r="BO57" s="6"/>
      <c r="BP57" s="1076" t="str">
        <f>VLOOKUP(6012,Languages!A5:C410,Languages!A2,FALSE)</f>
        <v>Probable cause</v>
      </c>
      <c r="BQ57" s="1076"/>
      <c r="BR57" s="1076"/>
      <c r="BS57" s="1076"/>
      <c r="BT57" s="1076"/>
      <c r="BU57" s="1076"/>
      <c r="BV57" s="1076"/>
      <c r="BW57" s="331"/>
      <c r="BX57" s="325"/>
    </row>
    <row r="58" spans="3:77">
      <c r="C58" s="324"/>
      <c r="D58" s="1074"/>
      <c r="E58" s="1074"/>
      <c r="F58" s="1074"/>
      <c r="G58" s="1074"/>
      <c r="H58" s="1074"/>
      <c r="I58" s="1074"/>
      <c r="J58" s="1074"/>
      <c r="K58" s="1074"/>
      <c r="L58" s="1074"/>
      <c r="M58" s="1074"/>
      <c r="N58" s="1074"/>
      <c r="O58" s="1074"/>
      <c r="P58" s="1074"/>
      <c r="Q58" s="1074"/>
      <c r="R58" s="1074"/>
      <c r="S58" s="1074"/>
      <c r="T58" s="1074"/>
      <c r="U58" s="1074"/>
      <c r="V58" s="1074"/>
      <c r="W58" s="1074"/>
      <c r="X58" s="1074"/>
      <c r="Y58" s="1074"/>
      <c r="Z58" s="1074"/>
      <c r="AA58" s="1074"/>
      <c r="AB58" s="1074"/>
      <c r="AC58" s="1074"/>
      <c r="AD58" s="1074"/>
      <c r="AE58" s="1074"/>
      <c r="AF58" s="1074"/>
      <c r="AG58" s="1074"/>
      <c r="AH58" s="1074"/>
      <c r="AI58" s="1074"/>
      <c r="AJ58" s="1074"/>
      <c r="AK58" s="1074"/>
      <c r="AL58" s="1074"/>
      <c r="AM58" s="1074"/>
      <c r="AN58" s="1074"/>
      <c r="AO58" s="1074"/>
      <c r="AP58" s="1074"/>
      <c r="AQ58" s="1074"/>
      <c r="AR58" s="1074"/>
      <c r="AS58" s="1074"/>
      <c r="AT58" s="1074"/>
      <c r="AU58" s="1074"/>
      <c r="AV58" s="1074"/>
      <c r="AW58" s="1074"/>
      <c r="AX58" s="1074"/>
      <c r="AY58" s="1074"/>
      <c r="AZ58" s="1074"/>
      <c r="BA58" s="1074"/>
      <c r="BB58" s="1074"/>
      <c r="BC58" s="1074"/>
      <c r="BD58" s="1074"/>
      <c r="BE58" s="1074"/>
      <c r="BF58" s="1074"/>
      <c r="BG58" s="1074"/>
      <c r="BH58" s="1074"/>
      <c r="BI58" s="1074"/>
      <c r="BJ58" s="1074"/>
      <c r="BK58" s="320"/>
      <c r="BL58" s="84"/>
      <c r="BM58" s="43"/>
      <c r="BN58" s="6"/>
      <c r="BO58" s="6"/>
      <c r="BP58" s="1076"/>
      <c r="BQ58" s="1076"/>
      <c r="BR58" s="1076"/>
      <c r="BS58" s="1076"/>
      <c r="BT58" s="1076"/>
      <c r="BU58" s="1076"/>
      <c r="BV58" s="1076"/>
      <c r="BW58" s="331"/>
      <c r="BX58" s="325"/>
    </row>
    <row r="59" spans="3:77" ht="12.75" customHeight="1">
      <c r="C59" s="324"/>
      <c r="D59" s="1074"/>
      <c r="E59" s="1074"/>
      <c r="F59" s="1074"/>
      <c r="G59" s="1074"/>
      <c r="H59" s="1074"/>
      <c r="I59" s="1074"/>
      <c r="J59" s="1074"/>
      <c r="K59" s="1074"/>
      <c r="L59" s="1074"/>
      <c r="M59" s="1074"/>
      <c r="N59" s="1074"/>
      <c r="O59" s="1074"/>
      <c r="P59" s="1074"/>
      <c r="Q59" s="1074"/>
      <c r="R59" s="1074"/>
      <c r="S59" s="1074"/>
      <c r="T59" s="1074"/>
      <c r="U59" s="1074"/>
      <c r="V59" s="1074"/>
      <c r="W59" s="1074"/>
      <c r="X59" s="1074"/>
      <c r="Y59" s="1074"/>
      <c r="Z59" s="1074"/>
      <c r="AA59" s="1074"/>
      <c r="AB59" s="1074"/>
      <c r="AC59" s="1074"/>
      <c r="AD59" s="1074"/>
      <c r="AE59" s="1074"/>
      <c r="AF59" s="1074"/>
      <c r="AG59" s="1074"/>
      <c r="AH59" s="1074"/>
      <c r="AI59" s="1074"/>
      <c r="AJ59" s="1074"/>
      <c r="AK59" s="1074"/>
      <c r="AL59" s="1074"/>
      <c r="AM59" s="1074"/>
      <c r="AN59" s="1074"/>
      <c r="AO59" s="1074"/>
      <c r="AP59" s="1074"/>
      <c r="AQ59" s="1074"/>
      <c r="AR59" s="1074"/>
      <c r="AS59" s="1074"/>
      <c r="AT59" s="1074"/>
      <c r="AU59" s="1074"/>
      <c r="AV59" s="1074"/>
      <c r="AW59" s="1074"/>
      <c r="AX59" s="1074"/>
      <c r="AY59" s="1074"/>
      <c r="AZ59" s="1074"/>
      <c r="BA59" s="1074"/>
      <c r="BB59" s="1074"/>
      <c r="BC59" s="1074"/>
      <c r="BD59" s="1074"/>
      <c r="BE59" s="1074"/>
      <c r="BF59" s="1074"/>
      <c r="BG59" s="1074"/>
      <c r="BH59" s="1074"/>
      <c r="BI59" s="1074"/>
      <c r="BJ59" s="1074"/>
      <c r="BK59" s="320"/>
      <c r="BL59" s="84"/>
      <c r="BM59" s="43"/>
      <c r="BN59" s="6"/>
      <c r="BO59" s="6"/>
      <c r="BP59" s="6"/>
      <c r="BQ59" s="6"/>
      <c r="BR59" s="6"/>
      <c r="BS59" s="6"/>
      <c r="BT59" s="43"/>
      <c r="BU59" s="285"/>
      <c r="BV59" s="285"/>
      <c r="BW59" s="331"/>
      <c r="BX59" s="325"/>
    </row>
    <row r="60" spans="3:77" ht="12.75" customHeight="1">
      <c r="C60" s="324"/>
      <c r="D60" s="1074"/>
      <c r="E60" s="1074"/>
      <c r="F60" s="1074"/>
      <c r="G60" s="1074"/>
      <c r="H60" s="1074"/>
      <c r="I60" s="1074"/>
      <c r="J60" s="1074"/>
      <c r="K60" s="1074"/>
      <c r="L60" s="1074"/>
      <c r="M60" s="1074"/>
      <c r="N60" s="1074"/>
      <c r="O60" s="1074"/>
      <c r="P60" s="1074"/>
      <c r="Q60" s="1074"/>
      <c r="R60" s="1074"/>
      <c r="S60" s="1074"/>
      <c r="T60" s="1074"/>
      <c r="U60" s="1074"/>
      <c r="V60" s="1074"/>
      <c r="W60" s="1074"/>
      <c r="X60" s="1074"/>
      <c r="Y60" s="1074"/>
      <c r="Z60" s="1074"/>
      <c r="AA60" s="1074"/>
      <c r="AB60" s="1074"/>
      <c r="AC60" s="1074"/>
      <c r="AD60" s="1074"/>
      <c r="AE60" s="1074"/>
      <c r="AF60" s="1074"/>
      <c r="AG60" s="1074"/>
      <c r="AH60" s="1074"/>
      <c r="AI60" s="1074"/>
      <c r="AJ60" s="1074"/>
      <c r="AK60" s="1074"/>
      <c r="AL60" s="1074"/>
      <c r="AM60" s="1074"/>
      <c r="AN60" s="1074"/>
      <c r="AO60" s="1074"/>
      <c r="AP60" s="1074"/>
      <c r="AQ60" s="1074"/>
      <c r="AR60" s="1074"/>
      <c r="AS60" s="1074"/>
      <c r="AT60" s="1074"/>
      <c r="AU60" s="1074"/>
      <c r="AV60" s="1074"/>
      <c r="AW60" s="1074"/>
      <c r="AX60" s="1074"/>
      <c r="AY60" s="1074"/>
      <c r="AZ60" s="1074"/>
      <c r="BA60" s="1074"/>
      <c r="BB60" s="1074"/>
      <c r="BC60" s="1074"/>
      <c r="BD60" s="1074"/>
      <c r="BE60" s="1074"/>
      <c r="BF60" s="1074"/>
      <c r="BG60" s="1074"/>
      <c r="BH60" s="1074"/>
      <c r="BI60" s="1074"/>
      <c r="BJ60" s="1074"/>
      <c r="BK60" s="320"/>
      <c r="BL60" s="84"/>
      <c r="BM60" s="43"/>
      <c r="BN60" s="6"/>
      <c r="BO60" s="6"/>
      <c r="BP60" s="1077" t="str">
        <f>VLOOKUP(6013,Languages!A5:C410,Languages!A2,FALSE)</f>
        <v>Possible cause</v>
      </c>
      <c r="BQ60" s="1077"/>
      <c r="BR60" s="1077"/>
      <c r="BS60" s="1077"/>
      <c r="BT60" s="1077"/>
      <c r="BU60" s="1077"/>
      <c r="BV60" s="1077"/>
      <c r="BW60" s="332"/>
      <c r="BX60" s="326"/>
      <c r="BY60" s="208"/>
    </row>
    <row r="61" spans="3:77">
      <c r="C61" s="324"/>
      <c r="D61" s="1074"/>
      <c r="E61" s="1074"/>
      <c r="F61" s="1074"/>
      <c r="G61" s="1074"/>
      <c r="H61" s="1074"/>
      <c r="I61" s="1074"/>
      <c r="J61" s="1074"/>
      <c r="K61" s="1074"/>
      <c r="L61" s="1074"/>
      <c r="M61" s="1074"/>
      <c r="N61" s="1074"/>
      <c r="O61" s="1074"/>
      <c r="P61" s="1074"/>
      <c r="Q61" s="1074"/>
      <c r="R61" s="1074"/>
      <c r="S61" s="1074"/>
      <c r="T61" s="1074"/>
      <c r="U61" s="1074"/>
      <c r="V61" s="1074"/>
      <c r="W61" s="1074"/>
      <c r="X61" s="1074"/>
      <c r="Y61" s="1074"/>
      <c r="Z61" s="1074"/>
      <c r="AA61" s="1074"/>
      <c r="AB61" s="1074"/>
      <c r="AC61" s="1074"/>
      <c r="AD61" s="1074"/>
      <c r="AE61" s="1074"/>
      <c r="AF61" s="1074"/>
      <c r="AG61" s="1074"/>
      <c r="AH61" s="1074"/>
      <c r="AI61" s="1074"/>
      <c r="AJ61" s="1074"/>
      <c r="AK61" s="1074"/>
      <c r="AL61" s="1074"/>
      <c r="AM61" s="1074"/>
      <c r="AN61" s="1074"/>
      <c r="AO61" s="1074"/>
      <c r="AP61" s="1074"/>
      <c r="AQ61" s="1074"/>
      <c r="AR61" s="1074"/>
      <c r="AS61" s="1074"/>
      <c r="AT61" s="1074"/>
      <c r="AU61" s="1074"/>
      <c r="AV61" s="1074"/>
      <c r="AW61" s="1074"/>
      <c r="AX61" s="1074"/>
      <c r="AY61" s="1074"/>
      <c r="AZ61" s="1074"/>
      <c r="BA61" s="1074"/>
      <c r="BB61" s="1074"/>
      <c r="BC61" s="1074"/>
      <c r="BD61" s="1074"/>
      <c r="BE61" s="1074"/>
      <c r="BF61" s="1074"/>
      <c r="BG61" s="1074"/>
      <c r="BH61" s="1074"/>
      <c r="BI61" s="1074"/>
      <c r="BJ61" s="1074"/>
      <c r="BK61" s="320"/>
      <c r="BL61" s="84"/>
      <c r="BM61" s="43"/>
      <c r="BN61" s="6"/>
      <c r="BO61" s="6"/>
      <c r="BP61" s="1077"/>
      <c r="BQ61" s="1077"/>
      <c r="BR61" s="1077"/>
      <c r="BS61" s="1077"/>
      <c r="BT61" s="1077"/>
      <c r="BU61" s="1077"/>
      <c r="BV61" s="1077"/>
      <c r="BW61" s="331"/>
      <c r="BX61" s="325"/>
    </row>
    <row r="62" spans="3:77" ht="12.75" customHeight="1">
      <c r="C62" s="324"/>
      <c r="D62" s="1074"/>
      <c r="E62" s="1074"/>
      <c r="F62" s="1074"/>
      <c r="G62" s="1074"/>
      <c r="H62" s="1074"/>
      <c r="I62" s="1074"/>
      <c r="J62" s="1074"/>
      <c r="K62" s="1074"/>
      <c r="L62" s="1074"/>
      <c r="M62" s="1074"/>
      <c r="N62" s="1074"/>
      <c r="O62" s="1074"/>
      <c r="P62" s="1074"/>
      <c r="Q62" s="1074"/>
      <c r="R62" s="1074"/>
      <c r="S62" s="1074"/>
      <c r="T62" s="1074"/>
      <c r="U62" s="1074"/>
      <c r="V62" s="1074"/>
      <c r="W62" s="1074"/>
      <c r="X62" s="1074"/>
      <c r="Y62" s="1074"/>
      <c r="Z62" s="1074"/>
      <c r="AA62" s="1074"/>
      <c r="AB62" s="1074"/>
      <c r="AC62" s="1074"/>
      <c r="AD62" s="1074"/>
      <c r="AE62" s="1074"/>
      <c r="AF62" s="1074"/>
      <c r="AG62" s="1074"/>
      <c r="AH62" s="1074"/>
      <c r="AI62" s="1074"/>
      <c r="AJ62" s="1074"/>
      <c r="AK62" s="1074"/>
      <c r="AL62" s="1074"/>
      <c r="AM62" s="1074"/>
      <c r="AN62" s="1074"/>
      <c r="AO62" s="1074"/>
      <c r="AP62" s="1074"/>
      <c r="AQ62" s="1074"/>
      <c r="AR62" s="1074"/>
      <c r="AS62" s="1074"/>
      <c r="AT62" s="1074"/>
      <c r="AU62" s="1074"/>
      <c r="AV62" s="1074"/>
      <c r="AW62" s="1074"/>
      <c r="AX62" s="1074"/>
      <c r="AY62" s="1074"/>
      <c r="AZ62" s="1074"/>
      <c r="BA62" s="1074"/>
      <c r="BB62" s="1074"/>
      <c r="BC62" s="1074"/>
      <c r="BD62" s="1074"/>
      <c r="BE62" s="1074"/>
      <c r="BF62" s="1074"/>
      <c r="BG62" s="1074"/>
      <c r="BH62" s="1074"/>
      <c r="BI62" s="1074"/>
      <c r="BJ62" s="1074"/>
      <c r="BK62" s="320"/>
      <c r="BL62" s="84"/>
      <c r="BM62" s="43"/>
      <c r="BN62" s="6"/>
      <c r="BO62" s="6"/>
      <c r="BP62" s="6"/>
      <c r="BQ62" s="6"/>
      <c r="BR62" s="6"/>
      <c r="BS62" s="6"/>
      <c r="BT62" s="43"/>
      <c r="BU62" s="285"/>
      <c r="BV62" s="285"/>
      <c r="BW62" s="331"/>
      <c r="BX62" s="325"/>
    </row>
    <row r="63" spans="3:77" ht="12.75" customHeight="1">
      <c r="C63" s="324"/>
      <c r="D63" s="1074"/>
      <c r="E63" s="1074"/>
      <c r="F63" s="1074"/>
      <c r="G63" s="1074"/>
      <c r="H63" s="1074"/>
      <c r="I63" s="1074"/>
      <c r="J63" s="1074"/>
      <c r="K63" s="1074"/>
      <c r="L63" s="1074"/>
      <c r="M63" s="1074"/>
      <c r="N63" s="1074"/>
      <c r="O63" s="1074"/>
      <c r="P63" s="1074"/>
      <c r="Q63" s="1074"/>
      <c r="R63" s="1074"/>
      <c r="S63" s="1074"/>
      <c r="T63" s="1074"/>
      <c r="U63" s="1074"/>
      <c r="V63" s="1074"/>
      <c r="W63" s="1074"/>
      <c r="X63" s="1074"/>
      <c r="Y63" s="1074"/>
      <c r="Z63" s="1074"/>
      <c r="AA63" s="1074"/>
      <c r="AB63" s="1074"/>
      <c r="AC63" s="1074"/>
      <c r="AD63" s="1074"/>
      <c r="AE63" s="1074"/>
      <c r="AF63" s="1074"/>
      <c r="AG63" s="1074"/>
      <c r="AH63" s="1074"/>
      <c r="AI63" s="1074"/>
      <c r="AJ63" s="1074"/>
      <c r="AK63" s="1074"/>
      <c r="AL63" s="1074"/>
      <c r="AM63" s="1074"/>
      <c r="AN63" s="1074"/>
      <c r="AO63" s="1074"/>
      <c r="AP63" s="1074"/>
      <c r="AQ63" s="1074"/>
      <c r="AR63" s="1074"/>
      <c r="AS63" s="1074"/>
      <c r="AT63" s="1074"/>
      <c r="AU63" s="1074"/>
      <c r="AV63" s="1074"/>
      <c r="AW63" s="1074"/>
      <c r="AX63" s="1074"/>
      <c r="AY63" s="1074"/>
      <c r="AZ63" s="1074"/>
      <c r="BA63" s="1074"/>
      <c r="BB63" s="1074"/>
      <c r="BC63" s="1074"/>
      <c r="BD63" s="1074"/>
      <c r="BE63" s="1074"/>
      <c r="BF63" s="1074"/>
      <c r="BG63" s="1074"/>
      <c r="BH63" s="1074"/>
      <c r="BI63" s="1074"/>
      <c r="BJ63" s="1074"/>
      <c r="BK63" s="320"/>
      <c r="BL63" s="84"/>
      <c r="BM63" s="43"/>
      <c r="BN63" s="43"/>
      <c r="BO63" s="43"/>
      <c r="BP63" s="1076" t="str">
        <f>VLOOKUP(6014,Languages!A5:C410,Languages!A2,FALSE)</f>
        <v>Not the cause</v>
      </c>
      <c r="BQ63" s="1076"/>
      <c r="BR63" s="1076"/>
      <c r="BS63" s="1076"/>
      <c r="BT63" s="1076"/>
      <c r="BU63" s="1076"/>
      <c r="BV63" s="1076"/>
      <c r="BW63" s="331"/>
      <c r="BX63" s="325"/>
    </row>
    <row r="64" spans="3:77">
      <c r="C64" s="324"/>
      <c r="D64" s="1074"/>
      <c r="E64" s="1074"/>
      <c r="F64" s="1074"/>
      <c r="G64" s="1074"/>
      <c r="H64" s="1074"/>
      <c r="I64" s="1074"/>
      <c r="J64" s="1074"/>
      <c r="K64" s="1074"/>
      <c r="L64" s="1074"/>
      <c r="M64" s="1074"/>
      <c r="N64" s="1074"/>
      <c r="O64" s="1074"/>
      <c r="P64" s="1074"/>
      <c r="Q64" s="1074"/>
      <c r="R64" s="1074"/>
      <c r="S64" s="1074"/>
      <c r="T64" s="1074"/>
      <c r="U64" s="1074"/>
      <c r="V64" s="1074"/>
      <c r="W64" s="1074"/>
      <c r="X64" s="1074"/>
      <c r="Y64" s="1074"/>
      <c r="Z64" s="1074"/>
      <c r="AA64" s="1074"/>
      <c r="AB64" s="1074"/>
      <c r="AC64" s="1074"/>
      <c r="AD64" s="1074"/>
      <c r="AE64" s="1074"/>
      <c r="AF64" s="1074"/>
      <c r="AG64" s="1074"/>
      <c r="AH64" s="1074"/>
      <c r="AI64" s="1074"/>
      <c r="AJ64" s="1074"/>
      <c r="AK64" s="1074"/>
      <c r="AL64" s="1074"/>
      <c r="AM64" s="1074"/>
      <c r="AN64" s="1074"/>
      <c r="AO64" s="1074"/>
      <c r="AP64" s="1074"/>
      <c r="AQ64" s="1074"/>
      <c r="AR64" s="1074"/>
      <c r="AS64" s="1074"/>
      <c r="AT64" s="1074"/>
      <c r="AU64" s="1074"/>
      <c r="AV64" s="1074"/>
      <c r="AW64" s="1074"/>
      <c r="AX64" s="1074"/>
      <c r="AY64" s="1074"/>
      <c r="AZ64" s="1074"/>
      <c r="BA64" s="1074"/>
      <c r="BB64" s="1074"/>
      <c r="BC64" s="1074"/>
      <c r="BD64" s="1074"/>
      <c r="BE64" s="1074"/>
      <c r="BF64" s="1074"/>
      <c r="BG64" s="1074"/>
      <c r="BH64" s="1074"/>
      <c r="BI64" s="1074"/>
      <c r="BJ64" s="1074"/>
      <c r="BK64" s="320"/>
      <c r="BL64" s="84"/>
      <c r="BM64" s="43"/>
      <c r="BN64" s="43"/>
      <c r="BO64" s="43"/>
      <c r="BP64" s="1076"/>
      <c r="BQ64" s="1076"/>
      <c r="BR64" s="1076"/>
      <c r="BS64" s="1076"/>
      <c r="BT64" s="1076"/>
      <c r="BU64" s="1076"/>
      <c r="BV64" s="1076"/>
      <c r="BW64" s="331"/>
      <c r="BX64" s="325"/>
    </row>
    <row r="65" spans="3:76">
      <c r="C65" s="324"/>
      <c r="D65" s="1074"/>
      <c r="E65" s="1074"/>
      <c r="F65" s="1074"/>
      <c r="G65" s="1074"/>
      <c r="H65" s="1074"/>
      <c r="I65" s="1074"/>
      <c r="J65" s="1074"/>
      <c r="K65" s="1074"/>
      <c r="L65" s="1074"/>
      <c r="M65" s="1074"/>
      <c r="N65" s="1074"/>
      <c r="O65" s="1074"/>
      <c r="P65" s="1074"/>
      <c r="Q65" s="1074"/>
      <c r="R65" s="1074"/>
      <c r="S65" s="1074"/>
      <c r="T65" s="1074"/>
      <c r="U65" s="1074"/>
      <c r="V65" s="1074"/>
      <c r="W65" s="1074"/>
      <c r="X65" s="1074"/>
      <c r="Y65" s="1074"/>
      <c r="Z65" s="1074"/>
      <c r="AA65" s="1074"/>
      <c r="AB65" s="1074"/>
      <c r="AC65" s="1074"/>
      <c r="AD65" s="1074"/>
      <c r="AE65" s="1074"/>
      <c r="AF65" s="1074"/>
      <c r="AG65" s="1074"/>
      <c r="AH65" s="1074"/>
      <c r="AI65" s="1074"/>
      <c r="AJ65" s="1074"/>
      <c r="AK65" s="1074"/>
      <c r="AL65" s="1074"/>
      <c r="AM65" s="1074"/>
      <c r="AN65" s="1074"/>
      <c r="AO65" s="1074"/>
      <c r="AP65" s="1074"/>
      <c r="AQ65" s="1074"/>
      <c r="AR65" s="1074"/>
      <c r="AS65" s="1074"/>
      <c r="AT65" s="1074"/>
      <c r="AU65" s="1074"/>
      <c r="AV65" s="1074"/>
      <c r="AW65" s="1074"/>
      <c r="AX65" s="1074"/>
      <c r="AY65" s="1074"/>
      <c r="AZ65" s="1074"/>
      <c r="BA65" s="1074"/>
      <c r="BB65" s="1074"/>
      <c r="BC65" s="1074"/>
      <c r="BD65" s="1074"/>
      <c r="BE65" s="1074"/>
      <c r="BF65" s="1074"/>
      <c r="BG65" s="1074"/>
      <c r="BH65" s="1074"/>
      <c r="BI65" s="1074"/>
      <c r="BJ65" s="1074"/>
      <c r="BK65" s="320"/>
      <c r="BL65" s="84"/>
      <c r="BM65" s="43"/>
      <c r="BN65" s="43"/>
      <c r="BO65" s="43"/>
      <c r="BP65" s="43"/>
      <c r="BQ65" s="43"/>
      <c r="BR65" s="43"/>
      <c r="BS65" s="43"/>
      <c r="BT65" s="43"/>
      <c r="BU65" s="285"/>
      <c r="BV65" s="285"/>
      <c r="BW65" s="331"/>
      <c r="BX65" s="325"/>
    </row>
    <row r="66" spans="3:76">
      <c r="C66" s="324"/>
      <c r="D66" s="1074"/>
      <c r="E66" s="1074"/>
      <c r="F66" s="1074"/>
      <c r="G66" s="1074"/>
      <c r="H66" s="1074"/>
      <c r="I66" s="1074"/>
      <c r="J66" s="1074"/>
      <c r="K66" s="1074"/>
      <c r="L66" s="1074"/>
      <c r="M66" s="1074"/>
      <c r="N66" s="1074"/>
      <c r="O66" s="1074"/>
      <c r="P66" s="1074"/>
      <c r="Q66" s="1074"/>
      <c r="R66" s="1074"/>
      <c r="S66" s="1074"/>
      <c r="T66" s="1074"/>
      <c r="U66" s="1074"/>
      <c r="V66" s="1074"/>
      <c r="W66" s="1074"/>
      <c r="X66" s="1074"/>
      <c r="Y66" s="1074"/>
      <c r="Z66" s="1074"/>
      <c r="AA66" s="1074"/>
      <c r="AB66" s="1074"/>
      <c r="AC66" s="1074"/>
      <c r="AD66" s="1074"/>
      <c r="AE66" s="1074"/>
      <c r="AF66" s="1074"/>
      <c r="AG66" s="1074"/>
      <c r="AH66" s="1074"/>
      <c r="AI66" s="1074"/>
      <c r="AJ66" s="1074"/>
      <c r="AK66" s="1074"/>
      <c r="AL66" s="1074"/>
      <c r="AM66" s="1074"/>
      <c r="AN66" s="1074"/>
      <c r="AO66" s="1074"/>
      <c r="AP66" s="1074"/>
      <c r="AQ66" s="1074"/>
      <c r="AR66" s="1074"/>
      <c r="AS66" s="1074"/>
      <c r="AT66" s="1074"/>
      <c r="AU66" s="1074"/>
      <c r="AV66" s="1074"/>
      <c r="AW66" s="1074"/>
      <c r="AX66" s="1074"/>
      <c r="AY66" s="1074"/>
      <c r="AZ66" s="1074"/>
      <c r="BA66" s="1074"/>
      <c r="BB66" s="1074"/>
      <c r="BC66" s="1074"/>
      <c r="BD66" s="1074"/>
      <c r="BE66" s="1074"/>
      <c r="BF66" s="1074"/>
      <c r="BG66" s="1074"/>
      <c r="BH66" s="1074"/>
      <c r="BI66" s="1074"/>
      <c r="BJ66" s="1074"/>
      <c r="BK66" s="320"/>
      <c r="BL66" s="84"/>
      <c r="BM66" s="43"/>
      <c r="BN66" s="43"/>
      <c r="BO66" s="43"/>
      <c r="BP66" s="43"/>
      <c r="BQ66" s="43"/>
      <c r="BR66" s="43"/>
      <c r="BS66" s="43"/>
      <c r="BT66" s="43"/>
      <c r="BU66" s="285"/>
      <c r="BV66" s="285"/>
      <c r="BW66" s="331"/>
      <c r="BX66" s="325"/>
    </row>
    <row r="67" spans="3:76">
      <c r="C67" s="324"/>
      <c r="D67" s="1074"/>
      <c r="E67" s="1074"/>
      <c r="F67" s="1074"/>
      <c r="G67" s="1074"/>
      <c r="H67" s="1074"/>
      <c r="I67" s="1074"/>
      <c r="J67" s="1074"/>
      <c r="K67" s="1074"/>
      <c r="L67" s="1074"/>
      <c r="M67" s="1074"/>
      <c r="N67" s="1074"/>
      <c r="O67" s="1074"/>
      <c r="P67" s="1074"/>
      <c r="Q67" s="1074"/>
      <c r="R67" s="1074"/>
      <c r="S67" s="1074"/>
      <c r="T67" s="1074"/>
      <c r="U67" s="1074"/>
      <c r="V67" s="1074"/>
      <c r="W67" s="1074"/>
      <c r="X67" s="1074"/>
      <c r="Y67" s="1074"/>
      <c r="Z67" s="1074"/>
      <c r="AA67" s="1074"/>
      <c r="AB67" s="1074"/>
      <c r="AC67" s="1074"/>
      <c r="AD67" s="1074"/>
      <c r="AE67" s="1074"/>
      <c r="AF67" s="1074"/>
      <c r="AG67" s="1074"/>
      <c r="AH67" s="1074"/>
      <c r="AI67" s="1074"/>
      <c r="AJ67" s="1074"/>
      <c r="AK67" s="1074"/>
      <c r="AL67" s="1074"/>
      <c r="AM67" s="1074"/>
      <c r="AN67" s="1074"/>
      <c r="AO67" s="1074"/>
      <c r="AP67" s="1074"/>
      <c r="AQ67" s="1074"/>
      <c r="AR67" s="1074"/>
      <c r="AS67" s="1074"/>
      <c r="AT67" s="1074"/>
      <c r="AU67" s="1074"/>
      <c r="AV67" s="1074"/>
      <c r="AW67" s="1074"/>
      <c r="AX67" s="1074"/>
      <c r="AY67" s="1074"/>
      <c r="AZ67" s="1074"/>
      <c r="BA67" s="1074"/>
      <c r="BB67" s="1074"/>
      <c r="BC67" s="1074"/>
      <c r="BD67" s="1074"/>
      <c r="BE67" s="1074"/>
      <c r="BF67" s="1074"/>
      <c r="BG67" s="1074"/>
      <c r="BH67" s="1074"/>
      <c r="BI67" s="1074"/>
      <c r="BJ67" s="1074"/>
      <c r="BK67" s="320"/>
      <c r="BL67" s="84"/>
      <c r="BM67" s="43"/>
      <c r="BN67" s="43"/>
      <c r="BO67" s="43"/>
      <c r="BP67" s="43"/>
      <c r="BQ67" s="43"/>
      <c r="BR67" s="43"/>
      <c r="BS67" s="43"/>
      <c r="BT67" s="43"/>
      <c r="BU67" s="285"/>
      <c r="BV67" s="285"/>
      <c r="BW67" s="331"/>
      <c r="BX67" s="325"/>
    </row>
    <row r="68" spans="3:76">
      <c r="C68" s="324"/>
      <c r="D68" s="1074"/>
      <c r="E68" s="1074"/>
      <c r="F68" s="1074"/>
      <c r="G68" s="1074"/>
      <c r="H68" s="1074"/>
      <c r="I68" s="1074"/>
      <c r="J68" s="1074"/>
      <c r="K68" s="1074"/>
      <c r="L68" s="1074"/>
      <c r="M68" s="1074"/>
      <c r="N68" s="1074"/>
      <c r="O68" s="1074"/>
      <c r="P68" s="1074"/>
      <c r="Q68" s="1074"/>
      <c r="R68" s="1074"/>
      <c r="S68" s="1074"/>
      <c r="T68" s="1074"/>
      <c r="U68" s="1074"/>
      <c r="V68" s="1074"/>
      <c r="W68" s="1074"/>
      <c r="X68" s="1074"/>
      <c r="Y68" s="1074"/>
      <c r="Z68" s="1074"/>
      <c r="AA68" s="1074"/>
      <c r="AB68" s="1074"/>
      <c r="AC68" s="1074"/>
      <c r="AD68" s="1074"/>
      <c r="AE68" s="1074"/>
      <c r="AF68" s="1074"/>
      <c r="AG68" s="1074"/>
      <c r="AH68" s="1074"/>
      <c r="AI68" s="1074"/>
      <c r="AJ68" s="1074"/>
      <c r="AK68" s="1074"/>
      <c r="AL68" s="1074"/>
      <c r="AM68" s="1074"/>
      <c r="AN68" s="1074"/>
      <c r="AO68" s="1074"/>
      <c r="AP68" s="1074"/>
      <c r="AQ68" s="1074"/>
      <c r="AR68" s="1074"/>
      <c r="AS68" s="1074"/>
      <c r="AT68" s="1074"/>
      <c r="AU68" s="1074"/>
      <c r="AV68" s="1074"/>
      <c r="AW68" s="1074"/>
      <c r="AX68" s="1074"/>
      <c r="AY68" s="1074"/>
      <c r="AZ68" s="1074"/>
      <c r="BA68" s="1074"/>
      <c r="BB68" s="1074"/>
      <c r="BC68" s="1074"/>
      <c r="BD68" s="1074"/>
      <c r="BE68" s="1074"/>
      <c r="BF68" s="1074"/>
      <c r="BG68" s="1074"/>
      <c r="BH68" s="1074"/>
      <c r="BI68" s="1074"/>
      <c r="BJ68" s="1074"/>
      <c r="BK68" s="320"/>
      <c r="BL68" s="84"/>
      <c r="BM68" s="43"/>
      <c r="BN68" s="43"/>
      <c r="BO68" s="43"/>
      <c r="BP68" s="43"/>
      <c r="BQ68" s="43"/>
      <c r="BR68" s="43"/>
      <c r="BS68" s="43"/>
      <c r="BT68" s="43"/>
      <c r="BU68" s="285"/>
      <c r="BV68" s="285"/>
      <c r="BW68" s="331"/>
      <c r="BX68" s="325"/>
    </row>
    <row r="69" spans="3:76">
      <c r="C69" s="324"/>
      <c r="D69" s="1074"/>
      <c r="E69" s="1074"/>
      <c r="F69" s="1074"/>
      <c r="G69" s="1074"/>
      <c r="H69" s="1074"/>
      <c r="I69" s="1074"/>
      <c r="J69" s="1074"/>
      <c r="K69" s="1074"/>
      <c r="L69" s="1074"/>
      <c r="M69" s="1074"/>
      <c r="N69" s="1074"/>
      <c r="O69" s="1074"/>
      <c r="P69" s="1074"/>
      <c r="Q69" s="1074"/>
      <c r="R69" s="1074"/>
      <c r="S69" s="1074"/>
      <c r="T69" s="1074"/>
      <c r="U69" s="1074"/>
      <c r="V69" s="1074"/>
      <c r="W69" s="1074"/>
      <c r="X69" s="1074"/>
      <c r="Y69" s="1074"/>
      <c r="Z69" s="1074"/>
      <c r="AA69" s="1074"/>
      <c r="AB69" s="1074"/>
      <c r="AC69" s="1074"/>
      <c r="AD69" s="1074"/>
      <c r="AE69" s="1074"/>
      <c r="AF69" s="1074"/>
      <c r="AG69" s="1074"/>
      <c r="AH69" s="1074"/>
      <c r="AI69" s="1074"/>
      <c r="AJ69" s="1074"/>
      <c r="AK69" s="1074"/>
      <c r="AL69" s="1074"/>
      <c r="AM69" s="1074"/>
      <c r="AN69" s="1074"/>
      <c r="AO69" s="1074"/>
      <c r="AP69" s="1074"/>
      <c r="AQ69" s="1074"/>
      <c r="AR69" s="1074"/>
      <c r="AS69" s="1074"/>
      <c r="AT69" s="1074"/>
      <c r="AU69" s="1074"/>
      <c r="AV69" s="1074"/>
      <c r="AW69" s="1074"/>
      <c r="AX69" s="1074"/>
      <c r="AY69" s="1074"/>
      <c r="AZ69" s="1074"/>
      <c r="BA69" s="1074"/>
      <c r="BB69" s="1074"/>
      <c r="BC69" s="1074"/>
      <c r="BD69" s="1074"/>
      <c r="BE69" s="1074"/>
      <c r="BF69" s="1074"/>
      <c r="BG69" s="1074"/>
      <c r="BH69" s="1074"/>
      <c r="BI69" s="1074"/>
      <c r="BJ69" s="1074"/>
      <c r="BK69" s="320"/>
      <c r="BL69" s="85"/>
      <c r="BM69" s="86"/>
      <c r="BN69" s="86"/>
      <c r="BO69" s="86"/>
      <c r="BP69" s="86"/>
      <c r="BQ69" s="86"/>
      <c r="BR69" s="86"/>
      <c r="BS69" s="86"/>
      <c r="BT69" s="86"/>
      <c r="BU69" s="35"/>
      <c r="BV69" s="35"/>
      <c r="BW69" s="333"/>
      <c r="BX69" s="325"/>
    </row>
    <row r="70" spans="3:76" ht="13.5" thickBot="1">
      <c r="C70" s="327"/>
      <c r="D70" s="1075"/>
      <c r="E70" s="1075"/>
      <c r="F70" s="1075"/>
      <c r="G70" s="1075"/>
      <c r="H70" s="1075"/>
      <c r="I70" s="1075"/>
      <c r="J70" s="1075"/>
      <c r="K70" s="1075"/>
      <c r="L70" s="1075"/>
      <c r="M70" s="1075"/>
      <c r="N70" s="1075"/>
      <c r="O70" s="1075"/>
      <c r="P70" s="1075"/>
      <c r="Q70" s="1075"/>
      <c r="R70" s="1075"/>
      <c r="S70" s="1075"/>
      <c r="T70" s="1075"/>
      <c r="U70" s="1075"/>
      <c r="V70" s="1075"/>
      <c r="W70" s="1075"/>
      <c r="X70" s="1075"/>
      <c r="Y70" s="1075"/>
      <c r="Z70" s="1075"/>
      <c r="AA70" s="1075"/>
      <c r="AB70" s="1075"/>
      <c r="AC70" s="1075"/>
      <c r="AD70" s="1075"/>
      <c r="AE70" s="1075"/>
      <c r="AF70" s="1075"/>
      <c r="AG70" s="1075"/>
      <c r="AH70" s="1075"/>
      <c r="AI70" s="1075"/>
      <c r="AJ70" s="1075"/>
      <c r="AK70" s="1075"/>
      <c r="AL70" s="1075"/>
      <c r="AM70" s="1075"/>
      <c r="AN70" s="1075"/>
      <c r="AO70" s="1075"/>
      <c r="AP70" s="1075"/>
      <c r="AQ70" s="1075"/>
      <c r="AR70" s="1075"/>
      <c r="AS70" s="1075"/>
      <c r="AT70" s="1075"/>
      <c r="AU70" s="1075"/>
      <c r="AV70" s="1075"/>
      <c r="AW70" s="1075"/>
      <c r="AX70" s="1075"/>
      <c r="AY70" s="1075"/>
      <c r="AZ70" s="1075"/>
      <c r="BA70" s="1075"/>
      <c r="BB70" s="1075"/>
      <c r="BC70" s="1075"/>
      <c r="BD70" s="1075"/>
      <c r="BE70" s="1075"/>
      <c r="BF70" s="1075"/>
      <c r="BG70" s="1075"/>
      <c r="BH70" s="1075"/>
      <c r="BI70" s="1075"/>
      <c r="BJ70" s="1075"/>
      <c r="BK70" s="322"/>
      <c r="BL70" s="322"/>
      <c r="BM70" s="322"/>
      <c r="BN70" s="322"/>
      <c r="BO70" s="322"/>
      <c r="BP70" s="322"/>
      <c r="BQ70" s="322"/>
      <c r="BR70" s="322"/>
      <c r="BS70" s="322"/>
      <c r="BT70" s="322"/>
      <c r="BU70" s="328"/>
      <c r="BV70" s="328"/>
      <c r="BW70" s="328"/>
      <c r="BX70" s="329"/>
    </row>
  </sheetData>
  <mergeCells count="11">
    <mergeCell ref="D55:BJ70"/>
    <mergeCell ref="BP63:BV64"/>
    <mergeCell ref="BP60:BV61"/>
    <mergeCell ref="BP57:BV58"/>
    <mergeCell ref="BF54:BS54"/>
    <mergeCell ref="D54:BE54"/>
    <mergeCell ref="AG21:AS22"/>
    <mergeCell ref="AG23:AS33"/>
    <mergeCell ref="C3:AF3"/>
    <mergeCell ref="AT3:BX3"/>
    <mergeCell ref="B1:BX1"/>
  </mergeCells>
  <pageMargins left="0.70866141732283472" right="0.70866141732283472" top="0.86614173228346458" bottom="0.86614173228346458" header="0.23622047244094491" footer="0.23622047244094491"/>
  <pageSetup paperSize="9" scale="41" orientation="portrait" r:id="rId1"/>
  <headerFooter scaleWithDoc="0" alignWithMargins="0">
    <oddHeader>&amp;R&amp;G</oddHeader>
    <oddFooter>&amp;L&amp;8Index: 102
&amp;6Copyright by Brose. Alle Rechte vorbehalten&amp;C&amp;8Page: &amp;P/ &amp;N (&amp;A)&amp;R&amp;8Date saved: &amp;D
&amp;6Template version 2021</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13">
    <pageSetUpPr fitToPage="1"/>
  </sheetPr>
  <dimension ref="A1:AR79"/>
  <sheetViews>
    <sheetView showGridLines="0" tabSelected="1" zoomScale="55" zoomScaleNormal="55" zoomScaleSheetLayoutView="55" workbookViewId="0">
      <pane ySplit="1" topLeftCell="A2" activePane="bottomLeft" state="frozen"/>
      <selection activeCell="D3" sqref="D3"/>
      <selection pane="bottomLeft" activeCell="D3" sqref="D3"/>
    </sheetView>
  </sheetViews>
  <sheetFormatPr baseColWidth="10" defaultColWidth="11" defaultRowHeight="12.75"/>
  <cols>
    <col min="1" max="1" width="1.875" style="408" customWidth="1"/>
    <col min="2" max="2" width="1.875" customWidth="1"/>
    <col min="3" max="3" width="7.5" customWidth="1"/>
    <col min="4" max="5" width="15.625" customWidth="1"/>
    <col min="6" max="39" width="9.375" customWidth="1"/>
    <col min="40" max="40" width="12.5" customWidth="1"/>
    <col min="41" max="41" width="37.5" customWidth="1"/>
  </cols>
  <sheetData>
    <row r="1" spans="2:44" s="35" customFormat="1" ht="33.75" customHeight="1">
      <c r="B1" s="1073" t="str">
        <f>VLOOKUP(9001,Languages!A5:C455,Languages!A2,FALSE)</f>
        <v>Cause and effect matrix</v>
      </c>
      <c r="C1" s="1073"/>
      <c r="D1" s="1073"/>
      <c r="E1" s="1073"/>
      <c r="F1" s="1073"/>
      <c r="G1" s="1073"/>
      <c r="H1" s="1073"/>
      <c r="I1" s="1073"/>
      <c r="J1" s="1073"/>
      <c r="K1" s="1073"/>
      <c r="L1" s="1073"/>
      <c r="M1" s="1073"/>
      <c r="N1" s="1073"/>
      <c r="O1" s="1073"/>
      <c r="P1" s="1073"/>
      <c r="Q1" s="1073"/>
      <c r="R1" s="1073"/>
      <c r="S1" s="1073"/>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row>
    <row r="2" spans="2:44" ht="11.25" customHeight="1"/>
    <row r="3" spans="2:44" ht="22.5" customHeight="1">
      <c r="B3" s="121"/>
      <c r="C3" s="746"/>
      <c r="D3" s="746"/>
      <c r="E3" s="746"/>
      <c r="F3" s="746"/>
      <c r="G3" s="746"/>
      <c r="H3" s="746"/>
      <c r="I3" s="746"/>
      <c r="J3" s="746"/>
      <c r="K3" s="746"/>
      <c r="L3" s="746"/>
      <c r="M3" s="746"/>
      <c r="N3" s="746"/>
      <c r="O3" s="746"/>
      <c r="P3" s="746"/>
      <c r="Q3" s="746"/>
      <c r="R3" s="746"/>
      <c r="S3" s="746"/>
      <c r="T3" s="746"/>
      <c r="U3" s="746"/>
      <c r="V3" s="746"/>
      <c r="W3" s="746"/>
      <c r="X3" s="746"/>
      <c r="Y3" s="746"/>
      <c r="Z3" s="746"/>
      <c r="AA3" s="746"/>
      <c r="AB3" s="746"/>
      <c r="AC3" s="746"/>
      <c r="AD3" s="746"/>
      <c r="AE3" s="746"/>
      <c r="AF3" s="746"/>
      <c r="AG3" s="746"/>
      <c r="AH3" s="746"/>
      <c r="AI3" s="746"/>
      <c r="AJ3" s="746"/>
      <c r="AK3" s="746"/>
      <c r="AL3" s="746"/>
      <c r="AM3" s="746"/>
      <c r="AN3" s="746"/>
      <c r="AO3" s="746"/>
    </row>
    <row r="4" spans="2:44" ht="11.25" customHeight="1"/>
    <row r="5" spans="2:44" ht="15" customHeight="1">
      <c r="D5" s="96"/>
      <c r="E5" s="97"/>
      <c r="F5" s="1122" t="str">
        <f>CONCATENATE('Is IsNot'!C8," - ",'Is IsNot'!D8)</f>
        <v>WHAT - Object</v>
      </c>
      <c r="G5" s="1123"/>
      <c r="H5" s="1126" t="str">
        <f>CONCATENATE('Is IsNot'!C8," - ",'Is IsNot'!D10)</f>
        <v>WHAT - Problem</v>
      </c>
      <c r="I5" s="1123"/>
      <c r="J5" s="1126" t="str">
        <f>CONCATENATE('Is IsNot'!C8," - ",'Is IsNot'!D12)</f>
        <v>WHAT - …</v>
      </c>
      <c r="K5" s="1128"/>
      <c r="L5" s="1130" t="str">
        <f>CONCATENATE('Is IsNot'!C14," - ",'Is IsNot'!D14)</f>
        <v>WHERE - Observed on object</v>
      </c>
      <c r="M5" s="1131"/>
      <c r="N5" s="1130" t="str">
        <f>CONCATENATE('Is IsNot'!C14," - ",'Is IsNot'!D16)</f>
        <v>WHERE - Geographically</v>
      </c>
      <c r="O5" s="1131"/>
      <c r="P5" s="1130" t="str">
        <f>CONCATENATE('Is IsNot'!C14," - ",'Is IsNot'!D18)</f>
        <v>WHERE - …</v>
      </c>
      <c r="Q5" s="1130"/>
      <c r="R5" s="1122" t="str">
        <f>CONCATENATE('Is IsNot'!C20," - ",'Is IsNot'!D20)</f>
        <v>WHEN - First observed</v>
      </c>
      <c r="S5" s="1123"/>
      <c r="T5" s="1126" t="str">
        <f>CONCATENATE('Is IsNot'!C20," - ",'Is IsNot'!D22)</f>
        <v>WHEN - Elsewhere observed</v>
      </c>
      <c r="U5" s="1123"/>
      <c r="V5" s="1126" t="str">
        <f>CONCATENATE('Is IsNot'!C20," - ",'Is IsNot'!D24)</f>
        <v>WHEN - When seen in the process (life cycle)</v>
      </c>
      <c r="W5" s="1123"/>
      <c r="X5" s="1126" t="str">
        <f>CONCATENATE('Is IsNot'!C20," - ",'Is IsNot'!D26)</f>
        <v>WHEN - …</v>
      </c>
      <c r="Y5" s="1128"/>
      <c r="Z5" s="1130" t="str">
        <f>CONCATENATE('Is IsNot'!C28," - ",'Is IsNot'!D28)</f>
        <v>HOW - How discovered</v>
      </c>
      <c r="AA5" s="1131"/>
      <c r="AB5" s="1168" t="str">
        <f>CONCATENATE('Is IsNot'!C28," - ",'Is IsNot'!D30)</f>
        <v>HOW - …</v>
      </c>
      <c r="AC5" s="1130"/>
      <c r="AD5" s="1122" t="str">
        <f>CONCATENATE('Is IsNot'!C32," - ",'Is IsNot'!D32)</f>
        <v>EXTENT - How many affected</v>
      </c>
      <c r="AE5" s="1123"/>
      <c r="AF5" s="1126" t="str">
        <f>CONCATENATE('Is IsNot'!C32," - ",'Is IsNot'!D34)</f>
        <v>EXTENT - Number of problems</v>
      </c>
      <c r="AG5" s="1123"/>
      <c r="AH5" s="1126" t="str">
        <f>CONCATENATE('Is IsNot'!C32," - ",'Is IsNot'!D36)</f>
        <v>EXTENT - Extent</v>
      </c>
      <c r="AI5" s="1123"/>
      <c r="AJ5" s="1126" t="str">
        <f>CONCATENATE('Is IsNot'!C32," - ",'Is IsNot'!D38)</f>
        <v>EXTENT - Tendency</v>
      </c>
      <c r="AK5" s="1123"/>
      <c r="AL5" s="1126" t="str">
        <f>CONCATENATE('Is IsNot'!C32," - ",'Is IsNot'!D40)</f>
        <v>EXTENT - …</v>
      </c>
      <c r="AM5" s="1128"/>
    </row>
    <row r="6" spans="2:44" ht="15" customHeight="1">
      <c r="D6" s="96"/>
      <c r="E6" s="97"/>
      <c r="F6" s="1122"/>
      <c r="G6" s="1123"/>
      <c r="H6" s="1126"/>
      <c r="I6" s="1123"/>
      <c r="J6" s="1126"/>
      <c r="K6" s="1128"/>
      <c r="L6" s="1130"/>
      <c r="M6" s="1131"/>
      <c r="N6" s="1130"/>
      <c r="O6" s="1131"/>
      <c r="P6" s="1130"/>
      <c r="Q6" s="1130"/>
      <c r="R6" s="1122"/>
      <c r="S6" s="1123"/>
      <c r="T6" s="1126"/>
      <c r="U6" s="1123"/>
      <c r="V6" s="1126"/>
      <c r="W6" s="1123"/>
      <c r="X6" s="1126"/>
      <c r="Y6" s="1128"/>
      <c r="Z6" s="1130"/>
      <c r="AA6" s="1131"/>
      <c r="AB6" s="1168"/>
      <c r="AC6" s="1130"/>
      <c r="AD6" s="1122"/>
      <c r="AE6" s="1123"/>
      <c r="AF6" s="1126"/>
      <c r="AG6" s="1123"/>
      <c r="AH6" s="1126"/>
      <c r="AI6" s="1123"/>
      <c r="AJ6" s="1126"/>
      <c r="AK6" s="1123"/>
      <c r="AL6" s="1126"/>
      <c r="AM6" s="1128"/>
    </row>
    <row r="7" spans="2:44" ht="15" customHeight="1">
      <c r="D7" s="100"/>
      <c r="E7" s="97"/>
      <c r="F7" s="1124"/>
      <c r="G7" s="1125"/>
      <c r="H7" s="1127"/>
      <c r="I7" s="1125"/>
      <c r="J7" s="1127"/>
      <c r="K7" s="1129"/>
      <c r="L7" s="1132"/>
      <c r="M7" s="1133"/>
      <c r="N7" s="1132"/>
      <c r="O7" s="1133"/>
      <c r="P7" s="1132"/>
      <c r="Q7" s="1132"/>
      <c r="R7" s="1124"/>
      <c r="S7" s="1125"/>
      <c r="T7" s="1127"/>
      <c r="U7" s="1125"/>
      <c r="V7" s="1127"/>
      <c r="W7" s="1125"/>
      <c r="X7" s="1127"/>
      <c r="Y7" s="1129"/>
      <c r="Z7" s="1132"/>
      <c r="AA7" s="1133"/>
      <c r="AB7" s="1169"/>
      <c r="AC7" s="1132"/>
      <c r="AD7" s="1124"/>
      <c r="AE7" s="1125"/>
      <c r="AF7" s="1127"/>
      <c r="AG7" s="1125"/>
      <c r="AH7" s="1127"/>
      <c r="AI7" s="1125"/>
      <c r="AJ7" s="1127"/>
      <c r="AK7" s="1125"/>
      <c r="AL7" s="1127"/>
      <c r="AM7" s="1129"/>
    </row>
    <row r="8" spans="2:44" ht="15" customHeight="1">
      <c r="D8" s="100"/>
      <c r="E8" s="97"/>
      <c r="F8" s="1158" t="str">
        <f>VLOOKUP(4005,Languages!$A$5:$C$455,Languages!$A$2,FALSE)</f>
        <v>IS</v>
      </c>
      <c r="G8" s="1107" t="str">
        <f>VLOOKUP(4007,Languages!$A$5:$C$455,Languages!$A$2,FALSE)</f>
        <v>IS NOT</v>
      </c>
      <c r="H8" s="1109" t="str">
        <f>VLOOKUP(4005,Languages!$A$5:$C$455,Languages!$A$2,FALSE)</f>
        <v>IS</v>
      </c>
      <c r="I8" s="1107" t="str">
        <f>VLOOKUP(4007,Languages!$A$5:$C$455,Languages!$A$2,FALSE)</f>
        <v>IS NOT</v>
      </c>
      <c r="J8" s="1109" t="str">
        <f>VLOOKUP(4005,Languages!$A$5:$C$455,Languages!$A$2,FALSE)</f>
        <v>IS</v>
      </c>
      <c r="K8" s="1111" t="str">
        <f>VLOOKUP(4007,Languages!$A$5:$C$455,Languages!$A$2,FALSE)</f>
        <v>IS NOT</v>
      </c>
      <c r="L8" s="1160" t="str">
        <f>VLOOKUP(4005,Languages!$A$5:$C$455,Languages!$A$2,FALSE)</f>
        <v>IS</v>
      </c>
      <c r="M8" s="1162" t="str">
        <f>VLOOKUP(4007,Languages!$A$5:$C$455,Languages!$A$2,FALSE)</f>
        <v>IS NOT</v>
      </c>
      <c r="N8" s="1164" t="str">
        <f>VLOOKUP(4005,Languages!$A$5:$C$455,Languages!$A$2,FALSE)</f>
        <v>IS</v>
      </c>
      <c r="O8" s="1162" t="str">
        <f>VLOOKUP(4007,Languages!$A$5:$C$455,Languages!$A$2,FALSE)</f>
        <v>IS NOT</v>
      </c>
      <c r="P8" s="1164" t="str">
        <f>VLOOKUP(4005,Languages!$A$5:$C$455,Languages!$A$2,FALSE)</f>
        <v>IS</v>
      </c>
      <c r="Q8" s="1166" t="str">
        <f>VLOOKUP(4007,Languages!$A$5:$C$455,Languages!$A$2,FALSE)</f>
        <v>IS NOT</v>
      </c>
      <c r="R8" s="1158" t="str">
        <f>VLOOKUP(4005,Languages!$A$5:$C$455,Languages!$A$2,FALSE)</f>
        <v>IS</v>
      </c>
      <c r="S8" s="1107" t="str">
        <f>VLOOKUP(4007,Languages!$A$5:$C$455,Languages!$A$2,FALSE)</f>
        <v>IS NOT</v>
      </c>
      <c r="T8" s="1109" t="str">
        <f>VLOOKUP(4005,Languages!$A$5:$C$455,Languages!$A$2,FALSE)</f>
        <v>IS</v>
      </c>
      <c r="U8" s="1107" t="str">
        <f>VLOOKUP(4007,Languages!$A$5:$C$455,Languages!$A$2,FALSE)</f>
        <v>IS NOT</v>
      </c>
      <c r="V8" s="1109" t="str">
        <f>VLOOKUP(4005,Languages!$A$5:$C$455,Languages!$A$2,FALSE)</f>
        <v>IS</v>
      </c>
      <c r="W8" s="1107" t="str">
        <f>VLOOKUP(4007,Languages!$A$5:$C$455,Languages!$A$2,FALSE)</f>
        <v>IS NOT</v>
      </c>
      <c r="X8" s="1109" t="str">
        <f>VLOOKUP(4005,Languages!$A$5:$C$455,Languages!$A$2,FALSE)</f>
        <v>IS</v>
      </c>
      <c r="Y8" s="1111" t="str">
        <f>VLOOKUP(4007,Languages!$A$5:$C$455,Languages!$A$2,FALSE)</f>
        <v>IS NOT</v>
      </c>
      <c r="Z8" s="1160" t="str">
        <f>VLOOKUP(4005,Languages!$A$5:$C$455,Languages!$A$2,FALSE)</f>
        <v>IS</v>
      </c>
      <c r="AA8" s="1162" t="str">
        <f>VLOOKUP(4007,Languages!$A$5:$C$455,Languages!$A$2,FALSE)</f>
        <v>IS NOT</v>
      </c>
      <c r="AB8" s="1164" t="str">
        <f>VLOOKUP(4005,Languages!$A$5:$C$455,Languages!$A$2,FALSE)</f>
        <v>IS</v>
      </c>
      <c r="AC8" s="1166" t="str">
        <f>VLOOKUP(4007,Languages!$A$5:$C$455,Languages!$A$2,FALSE)</f>
        <v>IS NOT</v>
      </c>
      <c r="AD8" s="1158" t="str">
        <f>VLOOKUP(4005,Languages!$A$5:$C$455,Languages!$A$2,FALSE)</f>
        <v>IS</v>
      </c>
      <c r="AE8" s="1107" t="str">
        <f>VLOOKUP(4007,Languages!$A$5:$C$455,Languages!$A$2,FALSE)</f>
        <v>IS NOT</v>
      </c>
      <c r="AF8" s="1109" t="str">
        <f>VLOOKUP(4005,Languages!$A$5:$C$455,Languages!$A$2,FALSE)</f>
        <v>IS</v>
      </c>
      <c r="AG8" s="1107" t="str">
        <f>VLOOKUP(4007,Languages!$A$5:$C$455,Languages!$A$2,FALSE)</f>
        <v>IS NOT</v>
      </c>
      <c r="AH8" s="1109" t="str">
        <f>VLOOKUP(4005,Languages!$A$5:$C$455,Languages!$A$2,FALSE)</f>
        <v>IS</v>
      </c>
      <c r="AI8" s="1107" t="str">
        <f>VLOOKUP(4007,Languages!$A$5:$C$455,Languages!$A$2,FALSE)</f>
        <v>IS NOT</v>
      </c>
      <c r="AJ8" s="1109" t="str">
        <f>VLOOKUP(4005,Languages!$A$5:$C$455,Languages!$A$2,FALSE)</f>
        <v>IS</v>
      </c>
      <c r="AK8" s="1107" t="str">
        <f>VLOOKUP(4007,Languages!$A$5:$C$455,Languages!$A$2,FALSE)</f>
        <v>IS NOT</v>
      </c>
      <c r="AL8" s="1109" t="str">
        <f>VLOOKUP(4005,Languages!$A$5:$C$455,Languages!$A$2,FALSE)</f>
        <v>IS</v>
      </c>
      <c r="AM8" s="1111" t="str">
        <f>VLOOKUP(4007,Languages!$A$5:$C$455,Languages!$A$2,FALSE)</f>
        <v>IS NOT</v>
      </c>
    </row>
    <row r="9" spans="2:44" ht="15" customHeight="1">
      <c r="D9" s="100"/>
      <c r="E9" s="97"/>
      <c r="F9" s="1159"/>
      <c r="G9" s="1108"/>
      <c r="H9" s="1110"/>
      <c r="I9" s="1108"/>
      <c r="J9" s="1110"/>
      <c r="K9" s="1112"/>
      <c r="L9" s="1161"/>
      <c r="M9" s="1163"/>
      <c r="N9" s="1165"/>
      <c r="O9" s="1163"/>
      <c r="P9" s="1165"/>
      <c r="Q9" s="1167"/>
      <c r="R9" s="1159"/>
      <c r="S9" s="1108"/>
      <c r="T9" s="1110"/>
      <c r="U9" s="1108"/>
      <c r="V9" s="1110"/>
      <c r="W9" s="1108"/>
      <c r="X9" s="1110"/>
      <c r="Y9" s="1112"/>
      <c r="Z9" s="1161"/>
      <c r="AA9" s="1163"/>
      <c r="AB9" s="1165"/>
      <c r="AC9" s="1167"/>
      <c r="AD9" s="1159"/>
      <c r="AE9" s="1108"/>
      <c r="AF9" s="1110"/>
      <c r="AG9" s="1108"/>
      <c r="AH9" s="1110"/>
      <c r="AI9" s="1108"/>
      <c r="AJ9" s="1110"/>
      <c r="AK9" s="1108"/>
      <c r="AL9" s="1110"/>
      <c r="AM9" s="1112"/>
    </row>
    <row r="10" spans="2:44" ht="15" customHeight="1">
      <c r="D10" s="100"/>
      <c r="E10" s="97"/>
      <c r="F10" s="1119" t="str">
        <f>IF('Is IsNot'!$E9="","",'Is IsNot'!$E9)</f>
        <v/>
      </c>
      <c r="G10" s="1116" t="str">
        <f>IF('Is IsNot'!$F9="","",'Is IsNot'!$F9)</f>
        <v/>
      </c>
      <c r="H10" s="1134" t="str">
        <f>IF('Is IsNot'!$E11="","",'Is IsNot'!$E11)</f>
        <v/>
      </c>
      <c r="I10" s="1137" t="str">
        <f>IF('Is IsNot'!F11="","",'Is IsNot'!F11)</f>
        <v/>
      </c>
      <c r="J10" s="1134" t="str">
        <f>IF('Is IsNot'!E13="","",'Is IsNot'!E13)</f>
        <v/>
      </c>
      <c r="K10" s="1140" t="str">
        <f>IF('Is IsNot'!F13="","",'Is IsNot'!F13)</f>
        <v/>
      </c>
      <c r="L10" s="1143" t="str">
        <f>IF('Is IsNot'!E15="","",'Is IsNot'!E15)</f>
        <v/>
      </c>
      <c r="M10" s="1146" t="str">
        <f>IF('Is IsNot'!F15="","",'Is IsNot'!F15)</f>
        <v/>
      </c>
      <c r="N10" s="1149" t="str">
        <f>IF('Is IsNot'!E17="","",'Is IsNot'!E17)</f>
        <v/>
      </c>
      <c r="O10" s="1146" t="str">
        <f>IF('Is IsNot'!F17="","",'Is IsNot'!F17)</f>
        <v/>
      </c>
      <c r="P10" s="1149" t="str">
        <f>IF('Is IsNot'!E19="","",'Is IsNot'!E19)</f>
        <v/>
      </c>
      <c r="Q10" s="1152" t="str">
        <f>IF('Is IsNot'!F19="","",'Is IsNot'!F19)</f>
        <v/>
      </c>
      <c r="R10" s="1155" t="str">
        <f>IF('Is IsNot'!E21="","",'Is IsNot'!E21)</f>
        <v/>
      </c>
      <c r="S10" s="1137" t="str">
        <f>IF('Is IsNot'!F21="","",'Is IsNot'!F21)</f>
        <v/>
      </c>
      <c r="T10" s="1134" t="str">
        <f>IF('Is IsNot'!E23="","",'Is IsNot'!E23)</f>
        <v/>
      </c>
      <c r="U10" s="1137" t="str">
        <f>IF('Is IsNot'!F23="","",'Is IsNot'!F23)</f>
        <v/>
      </c>
      <c r="V10" s="1134" t="str">
        <f>IF('Is IsNot'!E25="","",'Is IsNot'!E25)</f>
        <v/>
      </c>
      <c r="W10" s="1137" t="str">
        <f>IF('Is IsNot'!F25="","",'Is IsNot'!F25)</f>
        <v/>
      </c>
      <c r="X10" s="1134" t="str">
        <f>IF('Is IsNot'!E27="","",'Is IsNot'!E27)</f>
        <v/>
      </c>
      <c r="Y10" s="1140" t="str">
        <f>IF('Is IsNot'!F27="","",'Is IsNot'!F27)</f>
        <v/>
      </c>
      <c r="Z10" s="1176" t="str">
        <f>IF('Is IsNot'!E29="","",'Is IsNot'!E29)</f>
        <v/>
      </c>
      <c r="AA10" s="1146" t="str">
        <f>IF('Is IsNot'!F29="","",'Is IsNot'!F29)</f>
        <v/>
      </c>
      <c r="AB10" s="1149" t="str">
        <f>IF('Is IsNot'!E31="","",'Is IsNot'!E31)</f>
        <v/>
      </c>
      <c r="AC10" s="1152" t="str">
        <f>IF('Is IsNot'!F31="","",'Is IsNot'!F31)</f>
        <v/>
      </c>
      <c r="AD10" s="1155" t="str">
        <f>IF('Is IsNot'!E33="","",'Is IsNot'!E33)</f>
        <v/>
      </c>
      <c r="AE10" s="1137" t="str">
        <f>IF('Is IsNot'!F33="","",'Is IsNot'!F33)</f>
        <v/>
      </c>
      <c r="AF10" s="1134" t="str">
        <f>IF('Is IsNot'!E35="","",'Is IsNot'!E35)</f>
        <v/>
      </c>
      <c r="AG10" s="1137" t="str">
        <f>IF('Is IsNot'!F35="","",'Is IsNot'!F35)</f>
        <v/>
      </c>
      <c r="AH10" s="1134" t="str">
        <f>IF('Is IsNot'!E37="","",'Is IsNot'!E37)</f>
        <v/>
      </c>
      <c r="AI10" s="1137" t="str">
        <f>IF('Is IsNot'!F37="","",'Is IsNot'!F37)</f>
        <v/>
      </c>
      <c r="AJ10" s="1134" t="str">
        <f>IF('Is IsNot'!E39="","",'Is IsNot'!E39)</f>
        <v/>
      </c>
      <c r="AK10" s="1137" t="str">
        <f>IF('Is IsNot'!F39="","",'Is IsNot'!F39)</f>
        <v/>
      </c>
      <c r="AL10" s="1134" t="str">
        <f>IF('Is IsNot'!E41="","",'Is IsNot'!E41)</f>
        <v/>
      </c>
      <c r="AM10" s="1140" t="str">
        <f>IF('Is IsNot'!F41="","",'Is IsNot'!F41)</f>
        <v/>
      </c>
    </row>
    <row r="11" spans="2:44" ht="15" customHeight="1">
      <c r="D11" s="100"/>
      <c r="E11" s="97"/>
      <c r="F11" s="1120"/>
      <c r="G11" s="1117"/>
      <c r="H11" s="1135"/>
      <c r="I11" s="1138"/>
      <c r="J11" s="1135"/>
      <c r="K11" s="1141"/>
      <c r="L11" s="1144"/>
      <c r="M11" s="1147"/>
      <c r="N11" s="1150"/>
      <c r="O11" s="1147"/>
      <c r="P11" s="1150"/>
      <c r="Q11" s="1153"/>
      <c r="R11" s="1156"/>
      <c r="S11" s="1138"/>
      <c r="T11" s="1135"/>
      <c r="U11" s="1138"/>
      <c r="V11" s="1135"/>
      <c r="W11" s="1138"/>
      <c r="X11" s="1135"/>
      <c r="Y11" s="1141"/>
      <c r="Z11" s="1177"/>
      <c r="AA11" s="1147"/>
      <c r="AB11" s="1150"/>
      <c r="AC11" s="1153"/>
      <c r="AD11" s="1156"/>
      <c r="AE11" s="1138"/>
      <c r="AF11" s="1135"/>
      <c r="AG11" s="1138"/>
      <c r="AH11" s="1135"/>
      <c r="AI11" s="1138"/>
      <c r="AJ11" s="1135"/>
      <c r="AK11" s="1138"/>
      <c r="AL11" s="1135"/>
      <c r="AM11" s="1141"/>
    </row>
    <row r="12" spans="2:44" ht="15" customHeight="1">
      <c r="D12" s="100"/>
      <c r="E12" s="97"/>
      <c r="F12" s="1120"/>
      <c r="G12" s="1117"/>
      <c r="H12" s="1135"/>
      <c r="I12" s="1138"/>
      <c r="J12" s="1135"/>
      <c r="K12" s="1141"/>
      <c r="L12" s="1144"/>
      <c r="M12" s="1147"/>
      <c r="N12" s="1150"/>
      <c r="O12" s="1147"/>
      <c r="P12" s="1150"/>
      <c r="Q12" s="1153"/>
      <c r="R12" s="1156"/>
      <c r="S12" s="1138"/>
      <c r="T12" s="1135"/>
      <c r="U12" s="1138"/>
      <c r="V12" s="1135"/>
      <c r="W12" s="1138"/>
      <c r="X12" s="1135"/>
      <c r="Y12" s="1141"/>
      <c r="Z12" s="1177"/>
      <c r="AA12" s="1147"/>
      <c r="AB12" s="1150"/>
      <c r="AC12" s="1153"/>
      <c r="AD12" s="1156"/>
      <c r="AE12" s="1138"/>
      <c r="AF12" s="1135"/>
      <c r="AG12" s="1138"/>
      <c r="AH12" s="1135"/>
      <c r="AI12" s="1138"/>
      <c r="AJ12" s="1135"/>
      <c r="AK12" s="1138"/>
      <c r="AL12" s="1135"/>
      <c r="AM12" s="1141"/>
    </row>
    <row r="13" spans="2:44" ht="15" customHeight="1">
      <c r="D13" s="120"/>
      <c r="E13" s="98"/>
      <c r="F13" s="1120"/>
      <c r="G13" s="1117"/>
      <c r="H13" s="1135"/>
      <c r="I13" s="1138"/>
      <c r="J13" s="1135"/>
      <c r="K13" s="1141"/>
      <c r="L13" s="1144"/>
      <c r="M13" s="1147"/>
      <c r="N13" s="1150"/>
      <c r="O13" s="1147"/>
      <c r="P13" s="1150"/>
      <c r="Q13" s="1153"/>
      <c r="R13" s="1156"/>
      <c r="S13" s="1138"/>
      <c r="T13" s="1135"/>
      <c r="U13" s="1138"/>
      <c r="V13" s="1135"/>
      <c r="W13" s="1138"/>
      <c r="X13" s="1135"/>
      <c r="Y13" s="1141"/>
      <c r="Z13" s="1177"/>
      <c r="AA13" s="1147"/>
      <c r="AB13" s="1150"/>
      <c r="AC13" s="1153"/>
      <c r="AD13" s="1156"/>
      <c r="AE13" s="1138"/>
      <c r="AF13" s="1135"/>
      <c r="AG13" s="1138"/>
      <c r="AH13" s="1135"/>
      <c r="AI13" s="1138"/>
      <c r="AJ13" s="1135"/>
      <c r="AK13" s="1138"/>
      <c r="AL13" s="1135"/>
      <c r="AM13" s="1141"/>
    </row>
    <row r="14" spans="2:44" ht="15" customHeight="1">
      <c r="D14" s="99"/>
      <c r="E14" s="101"/>
      <c r="F14" s="1120"/>
      <c r="G14" s="1117"/>
      <c r="H14" s="1135"/>
      <c r="I14" s="1138"/>
      <c r="J14" s="1135"/>
      <c r="K14" s="1141"/>
      <c r="L14" s="1144"/>
      <c r="M14" s="1147"/>
      <c r="N14" s="1150"/>
      <c r="O14" s="1147"/>
      <c r="P14" s="1150"/>
      <c r="Q14" s="1153"/>
      <c r="R14" s="1156"/>
      <c r="S14" s="1138"/>
      <c r="T14" s="1135"/>
      <c r="U14" s="1138"/>
      <c r="V14" s="1135"/>
      <c r="W14" s="1138"/>
      <c r="X14" s="1135"/>
      <c r="Y14" s="1141"/>
      <c r="Z14" s="1177"/>
      <c r="AA14" s="1147"/>
      <c r="AB14" s="1150"/>
      <c r="AC14" s="1153"/>
      <c r="AD14" s="1156"/>
      <c r="AE14" s="1138"/>
      <c r="AF14" s="1135"/>
      <c r="AG14" s="1138"/>
      <c r="AH14" s="1135"/>
      <c r="AI14" s="1138"/>
      <c r="AJ14" s="1135"/>
      <c r="AK14" s="1138"/>
      <c r="AL14" s="1135"/>
      <c r="AM14" s="1141"/>
      <c r="AR14" s="102"/>
    </row>
    <row r="15" spans="2:44" ht="15" customHeight="1">
      <c r="D15" s="99"/>
      <c r="E15" s="101"/>
      <c r="F15" s="1120"/>
      <c r="G15" s="1117"/>
      <c r="H15" s="1135"/>
      <c r="I15" s="1138"/>
      <c r="J15" s="1135"/>
      <c r="K15" s="1141"/>
      <c r="L15" s="1144"/>
      <c r="M15" s="1147"/>
      <c r="N15" s="1150"/>
      <c r="O15" s="1147"/>
      <c r="P15" s="1150"/>
      <c r="Q15" s="1153"/>
      <c r="R15" s="1156"/>
      <c r="S15" s="1138"/>
      <c r="T15" s="1135"/>
      <c r="U15" s="1138"/>
      <c r="V15" s="1135"/>
      <c r="W15" s="1138"/>
      <c r="X15" s="1135"/>
      <c r="Y15" s="1141"/>
      <c r="Z15" s="1177"/>
      <c r="AA15" s="1147"/>
      <c r="AB15" s="1150"/>
      <c r="AC15" s="1153"/>
      <c r="AD15" s="1156"/>
      <c r="AE15" s="1138"/>
      <c r="AF15" s="1135"/>
      <c r="AG15" s="1138"/>
      <c r="AH15" s="1135"/>
      <c r="AI15" s="1138"/>
      <c r="AJ15" s="1135"/>
      <c r="AK15" s="1138"/>
      <c r="AL15" s="1135"/>
      <c r="AM15" s="1141"/>
      <c r="AR15" s="95"/>
    </row>
    <row r="16" spans="2:44" ht="15" customHeight="1" thickBot="1">
      <c r="D16" s="99"/>
      <c r="E16" s="101"/>
      <c r="F16" s="1120"/>
      <c r="G16" s="1117"/>
      <c r="H16" s="1135"/>
      <c r="I16" s="1138"/>
      <c r="J16" s="1135"/>
      <c r="K16" s="1141"/>
      <c r="L16" s="1144"/>
      <c r="M16" s="1147"/>
      <c r="N16" s="1150"/>
      <c r="O16" s="1147"/>
      <c r="P16" s="1150"/>
      <c r="Q16" s="1153"/>
      <c r="R16" s="1156"/>
      <c r="S16" s="1138"/>
      <c r="T16" s="1135"/>
      <c r="U16" s="1138"/>
      <c r="V16" s="1135"/>
      <c r="W16" s="1138"/>
      <c r="X16" s="1135"/>
      <c r="Y16" s="1141"/>
      <c r="Z16" s="1177"/>
      <c r="AA16" s="1147"/>
      <c r="AB16" s="1150"/>
      <c r="AC16" s="1153"/>
      <c r="AD16" s="1156"/>
      <c r="AE16" s="1138"/>
      <c r="AF16" s="1135"/>
      <c r="AG16" s="1138"/>
      <c r="AH16" s="1135"/>
      <c r="AI16" s="1138"/>
      <c r="AJ16" s="1135"/>
      <c r="AK16" s="1138"/>
      <c r="AL16" s="1135"/>
      <c r="AM16" s="1141"/>
      <c r="AR16" s="102"/>
    </row>
    <row r="17" spans="3:44" ht="15" customHeight="1">
      <c r="D17" s="1079" t="str">
        <f>VLOOKUP(9002,Languages!A5:C455,Languages!A2,FALSE)</f>
        <v>Potential causes from the Ishikawa-diagram</v>
      </c>
      <c r="E17" s="1080"/>
      <c r="F17" s="1120"/>
      <c r="G17" s="1117"/>
      <c r="H17" s="1135"/>
      <c r="I17" s="1138"/>
      <c r="J17" s="1135"/>
      <c r="K17" s="1141"/>
      <c r="L17" s="1144"/>
      <c r="M17" s="1147"/>
      <c r="N17" s="1150"/>
      <c r="O17" s="1147"/>
      <c r="P17" s="1150"/>
      <c r="Q17" s="1153"/>
      <c r="R17" s="1156"/>
      <c r="S17" s="1138"/>
      <c r="T17" s="1135"/>
      <c r="U17" s="1138"/>
      <c r="V17" s="1135"/>
      <c r="W17" s="1138"/>
      <c r="X17" s="1135"/>
      <c r="Y17" s="1141"/>
      <c r="Z17" s="1177"/>
      <c r="AA17" s="1147"/>
      <c r="AB17" s="1150"/>
      <c r="AC17" s="1153"/>
      <c r="AD17" s="1156"/>
      <c r="AE17" s="1138"/>
      <c r="AF17" s="1135"/>
      <c r="AG17" s="1138"/>
      <c r="AH17" s="1135"/>
      <c r="AI17" s="1138"/>
      <c r="AJ17" s="1135"/>
      <c r="AK17" s="1138"/>
      <c r="AL17" s="1135"/>
      <c r="AM17" s="1141"/>
      <c r="AN17" s="1089" t="str">
        <f>VLOOKUP(9003,Languages!A5:C455,Languages!A2,FALSE)</f>
        <v>Result</v>
      </c>
      <c r="AO17" s="1099" t="str">
        <f>VLOOKUP(9004,Languages!A5:C455,Languages!A2,FALSE)</f>
        <v>Remarks</v>
      </c>
    </row>
    <row r="18" spans="3:44" ht="15" customHeight="1">
      <c r="D18" s="1081"/>
      <c r="E18" s="1082"/>
      <c r="F18" s="1120"/>
      <c r="G18" s="1117"/>
      <c r="H18" s="1135"/>
      <c r="I18" s="1138"/>
      <c r="J18" s="1135"/>
      <c r="K18" s="1141"/>
      <c r="L18" s="1144"/>
      <c r="M18" s="1147"/>
      <c r="N18" s="1150"/>
      <c r="O18" s="1147"/>
      <c r="P18" s="1150"/>
      <c r="Q18" s="1153"/>
      <c r="R18" s="1156"/>
      <c r="S18" s="1138"/>
      <c r="T18" s="1135"/>
      <c r="U18" s="1138"/>
      <c r="V18" s="1135"/>
      <c r="W18" s="1138"/>
      <c r="X18" s="1135"/>
      <c r="Y18" s="1141"/>
      <c r="Z18" s="1177"/>
      <c r="AA18" s="1147"/>
      <c r="AB18" s="1150"/>
      <c r="AC18" s="1153"/>
      <c r="AD18" s="1156"/>
      <c r="AE18" s="1138"/>
      <c r="AF18" s="1135"/>
      <c r="AG18" s="1138"/>
      <c r="AH18" s="1135"/>
      <c r="AI18" s="1138"/>
      <c r="AJ18" s="1135"/>
      <c r="AK18" s="1138"/>
      <c r="AL18" s="1135"/>
      <c r="AM18" s="1141"/>
      <c r="AN18" s="1090"/>
      <c r="AO18" s="1100"/>
    </row>
    <row r="19" spans="3:44" ht="15" customHeight="1" thickBot="1">
      <c r="D19" s="1081"/>
      <c r="E19" s="1082"/>
      <c r="F19" s="1121"/>
      <c r="G19" s="1118"/>
      <c r="H19" s="1136"/>
      <c r="I19" s="1139"/>
      <c r="J19" s="1136"/>
      <c r="K19" s="1142"/>
      <c r="L19" s="1145"/>
      <c r="M19" s="1148"/>
      <c r="N19" s="1151"/>
      <c r="O19" s="1148"/>
      <c r="P19" s="1151"/>
      <c r="Q19" s="1154"/>
      <c r="R19" s="1157"/>
      <c r="S19" s="1139"/>
      <c r="T19" s="1136"/>
      <c r="U19" s="1139"/>
      <c r="V19" s="1136"/>
      <c r="W19" s="1139"/>
      <c r="X19" s="1136"/>
      <c r="Y19" s="1142"/>
      <c r="Z19" s="1178"/>
      <c r="AA19" s="1148"/>
      <c r="AB19" s="1151"/>
      <c r="AC19" s="1154"/>
      <c r="AD19" s="1157"/>
      <c r="AE19" s="1139"/>
      <c r="AF19" s="1136"/>
      <c r="AG19" s="1139"/>
      <c r="AH19" s="1136"/>
      <c r="AI19" s="1139"/>
      <c r="AJ19" s="1136"/>
      <c r="AK19" s="1139"/>
      <c r="AL19" s="1136"/>
      <c r="AM19" s="1142"/>
      <c r="AN19" s="1091"/>
      <c r="AO19" s="1101"/>
      <c r="AR19" s="95"/>
    </row>
    <row r="20" spans="3:44" ht="42.75" customHeight="1" thickTop="1">
      <c r="C20" s="1170" t="str">
        <f>VLOOKUP(8002,Languages!A5:C410,Languages!A2,FALSE)</f>
        <v>Occurence</v>
      </c>
      <c r="D20" s="1087"/>
      <c r="E20" s="1088"/>
      <c r="F20" s="1098"/>
      <c r="G20" s="1095"/>
      <c r="H20" s="1096"/>
      <c r="I20" s="1095"/>
      <c r="J20" s="1096"/>
      <c r="K20" s="1097"/>
      <c r="L20" s="1094"/>
      <c r="M20" s="1095"/>
      <c r="N20" s="1096"/>
      <c r="O20" s="1095"/>
      <c r="P20" s="1096"/>
      <c r="Q20" s="1094"/>
      <c r="R20" s="1098"/>
      <c r="S20" s="1095"/>
      <c r="T20" s="1096"/>
      <c r="U20" s="1095"/>
      <c r="V20" s="1096"/>
      <c r="W20" s="1095"/>
      <c r="X20" s="1096"/>
      <c r="Y20" s="1097"/>
      <c r="Z20" s="1094"/>
      <c r="AA20" s="1095"/>
      <c r="AB20" s="1096"/>
      <c r="AC20" s="1094"/>
      <c r="AD20" s="1098"/>
      <c r="AE20" s="1095"/>
      <c r="AF20" s="1096"/>
      <c r="AG20" s="1095"/>
      <c r="AH20" s="1096"/>
      <c r="AI20" s="1095"/>
      <c r="AJ20" s="1096"/>
      <c r="AK20" s="1095"/>
      <c r="AL20" s="1096"/>
      <c r="AM20" s="1097"/>
      <c r="AN20" s="370" t="str">
        <f t="shared" ref="AN20:AN31" si="0">IF(SUM(F20:AM20)=0,"",SUM(F20:AM20))</f>
        <v/>
      </c>
      <c r="AO20" s="368"/>
      <c r="AR20" s="63"/>
    </row>
    <row r="21" spans="3:44" ht="42.75" customHeight="1">
      <c r="C21" s="1171"/>
      <c r="D21" s="1083"/>
      <c r="E21" s="1084"/>
      <c r="F21" s="1092"/>
      <c r="G21" s="1093"/>
      <c r="H21" s="1102"/>
      <c r="I21" s="1093"/>
      <c r="J21" s="1102"/>
      <c r="K21" s="1103"/>
      <c r="L21" s="1104"/>
      <c r="M21" s="1093"/>
      <c r="N21" s="1102"/>
      <c r="O21" s="1093"/>
      <c r="P21" s="1102"/>
      <c r="Q21" s="1104"/>
      <c r="R21" s="1092"/>
      <c r="S21" s="1093"/>
      <c r="T21" s="1102"/>
      <c r="U21" s="1093"/>
      <c r="V21" s="1102"/>
      <c r="W21" s="1093"/>
      <c r="X21" s="1102"/>
      <c r="Y21" s="1103"/>
      <c r="Z21" s="1104"/>
      <c r="AA21" s="1093"/>
      <c r="AB21" s="1102"/>
      <c r="AC21" s="1104"/>
      <c r="AD21" s="1092"/>
      <c r="AE21" s="1093"/>
      <c r="AF21" s="1102"/>
      <c r="AG21" s="1093"/>
      <c r="AH21" s="1102"/>
      <c r="AI21" s="1093"/>
      <c r="AJ21" s="1102"/>
      <c r="AK21" s="1093"/>
      <c r="AL21" s="1102"/>
      <c r="AM21" s="1103"/>
      <c r="AN21" s="371" t="str">
        <f t="shared" si="0"/>
        <v/>
      </c>
      <c r="AO21" s="204"/>
      <c r="AR21" s="102"/>
    </row>
    <row r="22" spans="3:44" ht="42.75" customHeight="1">
      <c r="C22" s="1171"/>
      <c r="D22" s="1083"/>
      <c r="E22" s="1084"/>
      <c r="F22" s="1092"/>
      <c r="G22" s="1093"/>
      <c r="H22" s="1102"/>
      <c r="I22" s="1093"/>
      <c r="J22" s="1102"/>
      <c r="K22" s="1103"/>
      <c r="L22" s="1104"/>
      <c r="M22" s="1093"/>
      <c r="N22" s="1102"/>
      <c r="O22" s="1093"/>
      <c r="P22" s="1102"/>
      <c r="Q22" s="1104"/>
      <c r="R22" s="1092"/>
      <c r="S22" s="1093"/>
      <c r="T22" s="1102"/>
      <c r="U22" s="1093"/>
      <c r="V22" s="1102"/>
      <c r="W22" s="1093"/>
      <c r="X22" s="1102"/>
      <c r="Y22" s="1103"/>
      <c r="Z22" s="1104"/>
      <c r="AA22" s="1093"/>
      <c r="AB22" s="1102"/>
      <c r="AC22" s="1104"/>
      <c r="AD22" s="1092"/>
      <c r="AE22" s="1093"/>
      <c r="AF22" s="1102"/>
      <c r="AG22" s="1093"/>
      <c r="AH22" s="1102"/>
      <c r="AI22" s="1093"/>
      <c r="AJ22" s="1102"/>
      <c r="AK22" s="1093"/>
      <c r="AL22" s="1102"/>
      <c r="AM22" s="1103"/>
      <c r="AN22" s="371" t="str">
        <f t="shared" si="0"/>
        <v/>
      </c>
      <c r="AO22" s="204"/>
      <c r="AR22" s="63"/>
    </row>
    <row r="23" spans="3:44" ht="42.75" customHeight="1">
      <c r="C23" s="1171"/>
      <c r="D23" s="1083"/>
      <c r="E23" s="1084"/>
      <c r="F23" s="1092"/>
      <c r="G23" s="1093"/>
      <c r="H23" s="1102"/>
      <c r="I23" s="1093"/>
      <c r="J23" s="1102"/>
      <c r="K23" s="1103"/>
      <c r="L23" s="1104"/>
      <c r="M23" s="1093"/>
      <c r="N23" s="1102"/>
      <c r="O23" s="1093"/>
      <c r="P23" s="1102"/>
      <c r="Q23" s="1104"/>
      <c r="R23" s="1092"/>
      <c r="S23" s="1093"/>
      <c r="T23" s="1102"/>
      <c r="U23" s="1093"/>
      <c r="V23" s="1102"/>
      <c r="W23" s="1093"/>
      <c r="X23" s="1102"/>
      <c r="Y23" s="1103"/>
      <c r="Z23" s="1104"/>
      <c r="AA23" s="1093"/>
      <c r="AB23" s="1102"/>
      <c r="AC23" s="1104"/>
      <c r="AD23" s="1092"/>
      <c r="AE23" s="1093"/>
      <c r="AF23" s="1102"/>
      <c r="AG23" s="1093"/>
      <c r="AH23" s="1102"/>
      <c r="AI23" s="1093"/>
      <c r="AJ23" s="1102"/>
      <c r="AK23" s="1093"/>
      <c r="AL23" s="1102"/>
      <c r="AM23" s="1103"/>
      <c r="AN23" s="371" t="str">
        <f t="shared" si="0"/>
        <v/>
      </c>
      <c r="AO23" s="204"/>
      <c r="AR23" s="103"/>
    </row>
    <row r="24" spans="3:44" ht="42.75" customHeight="1">
      <c r="C24" s="1171"/>
      <c r="D24" s="1083"/>
      <c r="E24" s="1084"/>
      <c r="F24" s="1092"/>
      <c r="G24" s="1093"/>
      <c r="H24" s="1102"/>
      <c r="I24" s="1093"/>
      <c r="J24" s="1102"/>
      <c r="K24" s="1103"/>
      <c r="L24" s="1104"/>
      <c r="M24" s="1093"/>
      <c r="N24" s="1102"/>
      <c r="O24" s="1093"/>
      <c r="P24" s="1102"/>
      <c r="Q24" s="1104"/>
      <c r="R24" s="1092"/>
      <c r="S24" s="1093"/>
      <c r="T24" s="1102"/>
      <c r="U24" s="1093"/>
      <c r="V24" s="1102"/>
      <c r="W24" s="1093"/>
      <c r="X24" s="1102"/>
      <c r="Y24" s="1103"/>
      <c r="Z24" s="1104"/>
      <c r="AA24" s="1093"/>
      <c r="AB24" s="1102"/>
      <c r="AC24" s="1104"/>
      <c r="AD24" s="1092"/>
      <c r="AE24" s="1093"/>
      <c r="AF24" s="1102"/>
      <c r="AG24" s="1093"/>
      <c r="AH24" s="1102"/>
      <c r="AI24" s="1093"/>
      <c r="AJ24" s="1102"/>
      <c r="AK24" s="1093"/>
      <c r="AL24" s="1102"/>
      <c r="AM24" s="1103"/>
      <c r="AN24" s="371" t="str">
        <f t="shared" si="0"/>
        <v/>
      </c>
      <c r="AO24" s="204"/>
      <c r="AR24" s="105"/>
    </row>
    <row r="25" spans="3:44" ht="42.75" customHeight="1">
      <c r="C25" s="1171"/>
      <c r="D25" s="1083"/>
      <c r="E25" s="1084"/>
      <c r="F25" s="1092"/>
      <c r="G25" s="1093"/>
      <c r="H25" s="1102"/>
      <c r="I25" s="1093"/>
      <c r="J25" s="1102"/>
      <c r="K25" s="1103"/>
      <c r="L25" s="1104"/>
      <c r="M25" s="1093"/>
      <c r="N25" s="1102"/>
      <c r="O25" s="1093"/>
      <c r="P25" s="1102"/>
      <c r="Q25" s="1104"/>
      <c r="R25" s="1092"/>
      <c r="S25" s="1093"/>
      <c r="T25" s="1102"/>
      <c r="U25" s="1093"/>
      <c r="V25" s="1102"/>
      <c r="W25" s="1093"/>
      <c r="X25" s="1102"/>
      <c r="Y25" s="1103"/>
      <c r="Z25" s="1104"/>
      <c r="AA25" s="1093"/>
      <c r="AB25" s="1102"/>
      <c r="AC25" s="1104"/>
      <c r="AD25" s="1092"/>
      <c r="AE25" s="1093"/>
      <c r="AF25" s="1102"/>
      <c r="AG25" s="1093"/>
      <c r="AH25" s="1102"/>
      <c r="AI25" s="1093"/>
      <c r="AJ25" s="1102"/>
      <c r="AK25" s="1093"/>
      <c r="AL25" s="1102"/>
      <c r="AM25" s="1103"/>
      <c r="AN25" s="371" t="str">
        <f t="shared" si="0"/>
        <v/>
      </c>
      <c r="AO25" s="204"/>
      <c r="AR25" s="103"/>
    </row>
    <row r="26" spans="3:44" ht="42.75" customHeight="1">
      <c r="C26" s="1171"/>
      <c r="D26" s="1083"/>
      <c r="E26" s="1084"/>
      <c r="F26" s="1092"/>
      <c r="G26" s="1093"/>
      <c r="H26" s="1102"/>
      <c r="I26" s="1093"/>
      <c r="J26" s="1102"/>
      <c r="K26" s="1103"/>
      <c r="L26" s="1104"/>
      <c r="M26" s="1093"/>
      <c r="N26" s="1102"/>
      <c r="O26" s="1093"/>
      <c r="P26" s="1102"/>
      <c r="Q26" s="1104"/>
      <c r="R26" s="1092"/>
      <c r="S26" s="1093"/>
      <c r="T26" s="1102"/>
      <c r="U26" s="1093"/>
      <c r="V26" s="1102"/>
      <c r="W26" s="1093"/>
      <c r="X26" s="1102"/>
      <c r="Y26" s="1103"/>
      <c r="Z26" s="1104"/>
      <c r="AA26" s="1093"/>
      <c r="AB26" s="1102"/>
      <c r="AC26" s="1104"/>
      <c r="AD26" s="1092"/>
      <c r="AE26" s="1093"/>
      <c r="AF26" s="1102"/>
      <c r="AG26" s="1093"/>
      <c r="AH26" s="1102"/>
      <c r="AI26" s="1093"/>
      <c r="AJ26" s="1102"/>
      <c r="AK26" s="1093"/>
      <c r="AL26" s="1102"/>
      <c r="AM26" s="1103"/>
      <c r="AN26" s="371" t="str">
        <f t="shared" si="0"/>
        <v/>
      </c>
      <c r="AO26" s="204"/>
      <c r="AR26" s="105"/>
    </row>
    <row r="27" spans="3:44" ht="42.75" customHeight="1">
      <c r="C27" s="1171"/>
      <c r="D27" s="1083"/>
      <c r="E27" s="1084"/>
      <c r="F27" s="1092"/>
      <c r="G27" s="1093"/>
      <c r="H27" s="1102"/>
      <c r="I27" s="1093"/>
      <c r="J27" s="1102"/>
      <c r="K27" s="1103"/>
      <c r="L27" s="1104"/>
      <c r="M27" s="1093"/>
      <c r="N27" s="1102"/>
      <c r="O27" s="1093"/>
      <c r="P27" s="1102"/>
      <c r="Q27" s="1104"/>
      <c r="R27" s="1092"/>
      <c r="S27" s="1093"/>
      <c r="T27" s="1102"/>
      <c r="U27" s="1093"/>
      <c r="V27" s="1102"/>
      <c r="W27" s="1093"/>
      <c r="X27" s="1102"/>
      <c r="Y27" s="1103"/>
      <c r="Z27" s="1104"/>
      <c r="AA27" s="1093"/>
      <c r="AB27" s="1102"/>
      <c r="AC27" s="1104"/>
      <c r="AD27" s="1092"/>
      <c r="AE27" s="1093"/>
      <c r="AF27" s="1102"/>
      <c r="AG27" s="1093"/>
      <c r="AH27" s="1102"/>
      <c r="AI27" s="1093"/>
      <c r="AJ27" s="1102"/>
      <c r="AK27" s="1093"/>
      <c r="AL27" s="1102"/>
      <c r="AM27" s="1103"/>
      <c r="AN27" s="371" t="str">
        <f t="shared" si="0"/>
        <v/>
      </c>
      <c r="AO27" s="204"/>
      <c r="AR27" s="103"/>
    </row>
    <row r="28" spans="3:44" ht="42.75" customHeight="1">
      <c r="C28" s="1171"/>
      <c r="D28" s="1083"/>
      <c r="E28" s="1084"/>
      <c r="F28" s="1092"/>
      <c r="G28" s="1093"/>
      <c r="H28" s="1102"/>
      <c r="I28" s="1093"/>
      <c r="J28" s="1102"/>
      <c r="K28" s="1103"/>
      <c r="L28" s="1104"/>
      <c r="M28" s="1093"/>
      <c r="N28" s="1102"/>
      <c r="O28" s="1093"/>
      <c r="P28" s="1102"/>
      <c r="Q28" s="1104"/>
      <c r="R28" s="1092"/>
      <c r="S28" s="1093"/>
      <c r="T28" s="1102"/>
      <c r="U28" s="1093"/>
      <c r="V28" s="1102"/>
      <c r="W28" s="1093"/>
      <c r="X28" s="1102"/>
      <c r="Y28" s="1103"/>
      <c r="Z28" s="1104"/>
      <c r="AA28" s="1093"/>
      <c r="AB28" s="1102"/>
      <c r="AC28" s="1104"/>
      <c r="AD28" s="1092"/>
      <c r="AE28" s="1093"/>
      <c r="AF28" s="1102"/>
      <c r="AG28" s="1093"/>
      <c r="AH28" s="1102"/>
      <c r="AI28" s="1093"/>
      <c r="AJ28" s="1102"/>
      <c r="AK28" s="1093"/>
      <c r="AL28" s="1102"/>
      <c r="AM28" s="1103"/>
      <c r="AN28" s="371" t="str">
        <f t="shared" si="0"/>
        <v/>
      </c>
      <c r="AO28" s="204"/>
      <c r="AR28" s="105"/>
    </row>
    <row r="29" spans="3:44" ht="42.75" customHeight="1">
      <c r="C29" s="1171"/>
      <c r="D29" s="1083"/>
      <c r="E29" s="1084"/>
      <c r="F29" s="1092"/>
      <c r="G29" s="1093"/>
      <c r="H29" s="1102"/>
      <c r="I29" s="1093"/>
      <c r="J29" s="1102"/>
      <c r="K29" s="1103"/>
      <c r="L29" s="1104"/>
      <c r="M29" s="1093"/>
      <c r="N29" s="1102"/>
      <c r="O29" s="1093"/>
      <c r="P29" s="1102"/>
      <c r="Q29" s="1104"/>
      <c r="R29" s="1092"/>
      <c r="S29" s="1093"/>
      <c r="T29" s="1102"/>
      <c r="U29" s="1093"/>
      <c r="V29" s="1102"/>
      <c r="W29" s="1093"/>
      <c r="X29" s="1102"/>
      <c r="Y29" s="1103"/>
      <c r="Z29" s="1104"/>
      <c r="AA29" s="1093"/>
      <c r="AB29" s="1102"/>
      <c r="AC29" s="1104"/>
      <c r="AD29" s="1092"/>
      <c r="AE29" s="1093"/>
      <c r="AF29" s="1102"/>
      <c r="AG29" s="1093"/>
      <c r="AH29" s="1102"/>
      <c r="AI29" s="1093"/>
      <c r="AJ29" s="1102"/>
      <c r="AK29" s="1093"/>
      <c r="AL29" s="1102"/>
      <c r="AM29" s="1103"/>
      <c r="AN29" s="371" t="str">
        <f t="shared" si="0"/>
        <v/>
      </c>
      <c r="AO29" s="204"/>
      <c r="AR29" s="95"/>
    </row>
    <row r="30" spans="3:44" ht="42.75" customHeight="1">
      <c r="C30" s="1171"/>
      <c r="D30" s="1083"/>
      <c r="E30" s="1084"/>
      <c r="F30" s="1092"/>
      <c r="G30" s="1093"/>
      <c r="H30" s="1102"/>
      <c r="I30" s="1093"/>
      <c r="J30" s="1102"/>
      <c r="K30" s="1103"/>
      <c r="L30" s="1104"/>
      <c r="M30" s="1093"/>
      <c r="N30" s="1102"/>
      <c r="O30" s="1093"/>
      <c r="P30" s="1102"/>
      <c r="Q30" s="1104"/>
      <c r="R30" s="1092"/>
      <c r="S30" s="1093"/>
      <c r="T30" s="1102"/>
      <c r="U30" s="1093"/>
      <c r="V30" s="1102"/>
      <c r="W30" s="1093"/>
      <c r="X30" s="1102"/>
      <c r="Y30" s="1103"/>
      <c r="Z30" s="1104"/>
      <c r="AA30" s="1093"/>
      <c r="AB30" s="1102"/>
      <c r="AC30" s="1104"/>
      <c r="AD30" s="1092"/>
      <c r="AE30" s="1093"/>
      <c r="AF30" s="1102"/>
      <c r="AG30" s="1093"/>
      <c r="AH30" s="1102"/>
      <c r="AI30" s="1093"/>
      <c r="AJ30" s="1102"/>
      <c r="AK30" s="1093"/>
      <c r="AL30" s="1102"/>
      <c r="AM30" s="1103"/>
      <c r="AN30" s="371" t="str">
        <f t="shared" si="0"/>
        <v/>
      </c>
      <c r="AO30" s="204"/>
      <c r="AR30" s="106"/>
    </row>
    <row r="31" spans="3:44" ht="42.75" customHeight="1" thickBot="1">
      <c r="C31" s="1172"/>
      <c r="D31" s="1085"/>
      <c r="E31" s="1086"/>
      <c r="F31" s="1105"/>
      <c r="G31" s="1106"/>
      <c r="H31" s="1113"/>
      <c r="I31" s="1106"/>
      <c r="J31" s="1113"/>
      <c r="K31" s="1114"/>
      <c r="L31" s="1115"/>
      <c r="M31" s="1106"/>
      <c r="N31" s="1113"/>
      <c r="O31" s="1106"/>
      <c r="P31" s="1113"/>
      <c r="Q31" s="1115"/>
      <c r="R31" s="1105"/>
      <c r="S31" s="1106"/>
      <c r="T31" s="1113"/>
      <c r="U31" s="1106"/>
      <c r="V31" s="1113"/>
      <c r="W31" s="1106"/>
      <c r="X31" s="1113"/>
      <c r="Y31" s="1114"/>
      <c r="Z31" s="1115"/>
      <c r="AA31" s="1106"/>
      <c r="AB31" s="1113"/>
      <c r="AC31" s="1115"/>
      <c r="AD31" s="1105"/>
      <c r="AE31" s="1106"/>
      <c r="AF31" s="1113"/>
      <c r="AG31" s="1106"/>
      <c r="AH31" s="1113"/>
      <c r="AI31" s="1106"/>
      <c r="AJ31" s="1113"/>
      <c r="AK31" s="1106"/>
      <c r="AL31" s="1113"/>
      <c r="AM31" s="1114"/>
      <c r="AN31" s="372" t="str">
        <f t="shared" si="0"/>
        <v/>
      </c>
      <c r="AO31" s="369"/>
      <c r="AR31" s="104"/>
    </row>
    <row r="32" spans="3:44" ht="42.75" customHeight="1" thickTop="1">
      <c r="C32" s="1173" t="str">
        <f>VLOOKUP(8003,Languages!A5:C410,Languages!A2,FALSE)</f>
        <v>Non-detection</v>
      </c>
      <c r="D32" s="1087"/>
      <c r="E32" s="1088"/>
      <c r="F32" s="1098"/>
      <c r="G32" s="1095"/>
      <c r="H32" s="1096"/>
      <c r="I32" s="1095"/>
      <c r="J32" s="1096"/>
      <c r="K32" s="1097"/>
      <c r="L32" s="1094"/>
      <c r="M32" s="1095"/>
      <c r="N32" s="1096"/>
      <c r="O32" s="1095"/>
      <c r="P32" s="1096"/>
      <c r="Q32" s="1094"/>
      <c r="R32" s="1098"/>
      <c r="S32" s="1095"/>
      <c r="T32" s="1096"/>
      <c r="U32" s="1095"/>
      <c r="V32" s="1096"/>
      <c r="W32" s="1095"/>
      <c r="X32" s="1096"/>
      <c r="Y32" s="1097"/>
      <c r="Z32" s="1094"/>
      <c r="AA32" s="1095"/>
      <c r="AB32" s="1096"/>
      <c r="AC32" s="1094"/>
      <c r="AD32" s="1098"/>
      <c r="AE32" s="1095"/>
      <c r="AF32" s="1096"/>
      <c r="AG32" s="1095"/>
      <c r="AH32" s="1096"/>
      <c r="AI32" s="1095"/>
      <c r="AJ32" s="1096"/>
      <c r="AK32" s="1095"/>
      <c r="AL32" s="1096"/>
      <c r="AM32" s="1097"/>
      <c r="AN32" s="370" t="str">
        <f t="shared" ref="AN32:AN43" si="1">IF(SUM(F32:AM32)=0,"",SUM(F32:AM32))</f>
        <v/>
      </c>
      <c r="AO32" s="368"/>
      <c r="AR32" s="63"/>
    </row>
    <row r="33" spans="3:44" ht="42.75" customHeight="1">
      <c r="C33" s="1174"/>
      <c r="D33" s="1083"/>
      <c r="E33" s="1084"/>
      <c r="F33" s="1092"/>
      <c r="G33" s="1093"/>
      <c r="H33" s="1102"/>
      <c r="I33" s="1093"/>
      <c r="J33" s="1102"/>
      <c r="K33" s="1103"/>
      <c r="L33" s="1104"/>
      <c r="M33" s="1093"/>
      <c r="N33" s="1102"/>
      <c r="O33" s="1093"/>
      <c r="P33" s="1102"/>
      <c r="Q33" s="1104"/>
      <c r="R33" s="1092"/>
      <c r="S33" s="1093"/>
      <c r="T33" s="1102"/>
      <c r="U33" s="1093"/>
      <c r="V33" s="1102"/>
      <c r="W33" s="1093"/>
      <c r="X33" s="1102"/>
      <c r="Y33" s="1103"/>
      <c r="Z33" s="1104"/>
      <c r="AA33" s="1093"/>
      <c r="AB33" s="1102"/>
      <c r="AC33" s="1104"/>
      <c r="AD33" s="1092"/>
      <c r="AE33" s="1093"/>
      <c r="AF33" s="1102"/>
      <c r="AG33" s="1093"/>
      <c r="AH33" s="1102"/>
      <c r="AI33" s="1093"/>
      <c r="AJ33" s="1102"/>
      <c r="AK33" s="1093"/>
      <c r="AL33" s="1102"/>
      <c r="AM33" s="1103"/>
      <c r="AN33" s="371" t="str">
        <f t="shared" si="1"/>
        <v/>
      </c>
      <c r="AO33" s="204"/>
      <c r="AR33" s="102"/>
    </row>
    <row r="34" spans="3:44" ht="42.75" customHeight="1">
      <c r="C34" s="1174"/>
      <c r="D34" s="1083"/>
      <c r="E34" s="1084"/>
      <c r="F34" s="1092"/>
      <c r="G34" s="1093"/>
      <c r="H34" s="1102"/>
      <c r="I34" s="1093"/>
      <c r="J34" s="1102"/>
      <c r="K34" s="1103"/>
      <c r="L34" s="1104"/>
      <c r="M34" s="1093"/>
      <c r="N34" s="1102"/>
      <c r="O34" s="1093"/>
      <c r="P34" s="1102"/>
      <c r="Q34" s="1104"/>
      <c r="R34" s="1092"/>
      <c r="S34" s="1093"/>
      <c r="T34" s="1102"/>
      <c r="U34" s="1093"/>
      <c r="V34" s="1102"/>
      <c r="W34" s="1093"/>
      <c r="X34" s="1102"/>
      <c r="Y34" s="1103"/>
      <c r="Z34" s="1104"/>
      <c r="AA34" s="1093"/>
      <c r="AB34" s="1102"/>
      <c r="AC34" s="1104"/>
      <c r="AD34" s="1092"/>
      <c r="AE34" s="1093"/>
      <c r="AF34" s="1102"/>
      <c r="AG34" s="1093"/>
      <c r="AH34" s="1102"/>
      <c r="AI34" s="1093"/>
      <c r="AJ34" s="1102"/>
      <c r="AK34" s="1093"/>
      <c r="AL34" s="1102"/>
      <c r="AM34" s="1103"/>
      <c r="AN34" s="371" t="str">
        <f t="shared" si="1"/>
        <v/>
      </c>
      <c r="AO34" s="204"/>
      <c r="AR34" s="63"/>
    </row>
    <row r="35" spans="3:44" ht="42.75" customHeight="1">
      <c r="C35" s="1174"/>
      <c r="D35" s="1083"/>
      <c r="E35" s="1084"/>
      <c r="F35" s="1092"/>
      <c r="G35" s="1093"/>
      <c r="H35" s="1102"/>
      <c r="I35" s="1093"/>
      <c r="J35" s="1102"/>
      <c r="K35" s="1103"/>
      <c r="L35" s="1104"/>
      <c r="M35" s="1093"/>
      <c r="N35" s="1102"/>
      <c r="O35" s="1093"/>
      <c r="P35" s="1102"/>
      <c r="Q35" s="1104"/>
      <c r="R35" s="1092"/>
      <c r="S35" s="1093"/>
      <c r="T35" s="1102"/>
      <c r="U35" s="1093"/>
      <c r="V35" s="1102"/>
      <c r="W35" s="1093"/>
      <c r="X35" s="1102"/>
      <c r="Y35" s="1103"/>
      <c r="Z35" s="1104"/>
      <c r="AA35" s="1093"/>
      <c r="AB35" s="1102"/>
      <c r="AC35" s="1104"/>
      <c r="AD35" s="1092"/>
      <c r="AE35" s="1093"/>
      <c r="AF35" s="1102"/>
      <c r="AG35" s="1093"/>
      <c r="AH35" s="1102"/>
      <c r="AI35" s="1093"/>
      <c r="AJ35" s="1102"/>
      <c r="AK35" s="1093"/>
      <c r="AL35" s="1102"/>
      <c r="AM35" s="1103"/>
      <c r="AN35" s="371" t="str">
        <f t="shared" si="1"/>
        <v/>
      </c>
      <c r="AO35" s="204"/>
      <c r="AR35" s="103"/>
    </row>
    <row r="36" spans="3:44" ht="42.75" customHeight="1">
      <c r="C36" s="1174"/>
      <c r="D36" s="1083"/>
      <c r="E36" s="1084"/>
      <c r="F36" s="1092"/>
      <c r="G36" s="1093"/>
      <c r="H36" s="1102"/>
      <c r="I36" s="1093"/>
      <c r="J36" s="1102"/>
      <c r="K36" s="1103"/>
      <c r="L36" s="1104"/>
      <c r="M36" s="1093"/>
      <c r="N36" s="1102"/>
      <c r="O36" s="1093"/>
      <c r="P36" s="1102"/>
      <c r="Q36" s="1104"/>
      <c r="R36" s="1092"/>
      <c r="S36" s="1093"/>
      <c r="T36" s="1102"/>
      <c r="U36" s="1093"/>
      <c r="V36" s="1102"/>
      <c r="W36" s="1093"/>
      <c r="X36" s="1102"/>
      <c r="Y36" s="1103"/>
      <c r="Z36" s="1104"/>
      <c r="AA36" s="1093"/>
      <c r="AB36" s="1102"/>
      <c r="AC36" s="1104"/>
      <c r="AD36" s="1092"/>
      <c r="AE36" s="1093"/>
      <c r="AF36" s="1102"/>
      <c r="AG36" s="1093"/>
      <c r="AH36" s="1102"/>
      <c r="AI36" s="1093"/>
      <c r="AJ36" s="1102"/>
      <c r="AK36" s="1093"/>
      <c r="AL36" s="1102"/>
      <c r="AM36" s="1103"/>
      <c r="AN36" s="371" t="str">
        <f t="shared" si="1"/>
        <v/>
      </c>
      <c r="AO36" s="204"/>
      <c r="AR36" s="105"/>
    </row>
    <row r="37" spans="3:44" ht="42.75" customHeight="1">
      <c r="C37" s="1174"/>
      <c r="D37" s="1083"/>
      <c r="E37" s="1084"/>
      <c r="F37" s="1092"/>
      <c r="G37" s="1093"/>
      <c r="H37" s="1102"/>
      <c r="I37" s="1093"/>
      <c r="J37" s="1102"/>
      <c r="K37" s="1103"/>
      <c r="L37" s="1104"/>
      <c r="M37" s="1093"/>
      <c r="N37" s="1102"/>
      <c r="O37" s="1093"/>
      <c r="P37" s="1102"/>
      <c r="Q37" s="1104"/>
      <c r="R37" s="1092"/>
      <c r="S37" s="1093"/>
      <c r="T37" s="1102"/>
      <c r="U37" s="1093"/>
      <c r="V37" s="1102"/>
      <c r="W37" s="1093"/>
      <c r="X37" s="1102"/>
      <c r="Y37" s="1103"/>
      <c r="Z37" s="1104"/>
      <c r="AA37" s="1093"/>
      <c r="AB37" s="1102"/>
      <c r="AC37" s="1104"/>
      <c r="AD37" s="1092"/>
      <c r="AE37" s="1093"/>
      <c r="AF37" s="1102"/>
      <c r="AG37" s="1093"/>
      <c r="AH37" s="1102"/>
      <c r="AI37" s="1093"/>
      <c r="AJ37" s="1102"/>
      <c r="AK37" s="1093"/>
      <c r="AL37" s="1102"/>
      <c r="AM37" s="1103"/>
      <c r="AN37" s="371" t="str">
        <f t="shared" si="1"/>
        <v/>
      </c>
      <c r="AO37" s="204"/>
      <c r="AR37" s="103"/>
    </row>
    <row r="38" spans="3:44" ht="42.75" customHeight="1">
      <c r="C38" s="1174"/>
      <c r="D38" s="1083"/>
      <c r="E38" s="1084"/>
      <c r="F38" s="1092"/>
      <c r="G38" s="1093"/>
      <c r="H38" s="1102"/>
      <c r="I38" s="1093"/>
      <c r="J38" s="1102"/>
      <c r="K38" s="1103"/>
      <c r="L38" s="1104"/>
      <c r="M38" s="1093"/>
      <c r="N38" s="1102"/>
      <c r="O38" s="1093"/>
      <c r="P38" s="1102"/>
      <c r="Q38" s="1104"/>
      <c r="R38" s="1092"/>
      <c r="S38" s="1093"/>
      <c r="T38" s="1102"/>
      <c r="U38" s="1093"/>
      <c r="V38" s="1102"/>
      <c r="W38" s="1093"/>
      <c r="X38" s="1102"/>
      <c r="Y38" s="1103"/>
      <c r="Z38" s="1104"/>
      <c r="AA38" s="1093"/>
      <c r="AB38" s="1102"/>
      <c r="AC38" s="1104"/>
      <c r="AD38" s="1092"/>
      <c r="AE38" s="1093"/>
      <c r="AF38" s="1102"/>
      <c r="AG38" s="1093"/>
      <c r="AH38" s="1102"/>
      <c r="AI38" s="1093"/>
      <c r="AJ38" s="1102"/>
      <c r="AK38" s="1093"/>
      <c r="AL38" s="1102"/>
      <c r="AM38" s="1103"/>
      <c r="AN38" s="371" t="str">
        <f t="shared" si="1"/>
        <v/>
      </c>
      <c r="AO38" s="204"/>
      <c r="AR38" s="105"/>
    </row>
    <row r="39" spans="3:44" ht="42.75" customHeight="1">
      <c r="C39" s="1174"/>
      <c r="D39" s="1083"/>
      <c r="E39" s="1084"/>
      <c r="F39" s="1092"/>
      <c r="G39" s="1093"/>
      <c r="H39" s="1102"/>
      <c r="I39" s="1093"/>
      <c r="J39" s="1102"/>
      <c r="K39" s="1103"/>
      <c r="L39" s="1104"/>
      <c r="M39" s="1093"/>
      <c r="N39" s="1102"/>
      <c r="O39" s="1093"/>
      <c r="P39" s="1102"/>
      <c r="Q39" s="1104"/>
      <c r="R39" s="1092"/>
      <c r="S39" s="1093"/>
      <c r="T39" s="1102"/>
      <c r="U39" s="1093"/>
      <c r="V39" s="1102"/>
      <c r="W39" s="1093"/>
      <c r="X39" s="1102"/>
      <c r="Y39" s="1103"/>
      <c r="Z39" s="1104"/>
      <c r="AA39" s="1093"/>
      <c r="AB39" s="1102"/>
      <c r="AC39" s="1104"/>
      <c r="AD39" s="1092"/>
      <c r="AE39" s="1093"/>
      <c r="AF39" s="1102"/>
      <c r="AG39" s="1093"/>
      <c r="AH39" s="1102"/>
      <c r="AI39" s="1093"/>
      <c r="AJ39" s="1102"/>
      <c r="AK39" s="1093"/>
      <c r="AL39" s="1102"/>
      <c r="AM39" s="1103"/>
      <c r="AN39" s="371" t="str">
        <f t="shared" si="1"/>
        <v/>
      </c>
      <c r="AO39" s="204"/>
      <c r="AR39" s="103"/>
    </row>
    <row r="40" spans="3:44" ht="42.75" customHeight="1">
      <c r="C40" s="1174"/>
      <c r="D40" s="1083"/>
      <c r="E40" s="1084"/>
      <c r="F40" s="1092"/>
      <c r="G40" s="1093"/>
      <c r="H40" s="1102"/>
      <c r="I40" s="1093"/>
      <c r="J40" s="1102"/>
      <c r="K40" s="1103"/>
      <c r="L40" s="1104"/>
      <c r="M40" s="1093"/>
      <c r="N40" s="1102"/>
      <c r="O40" s="1093"/>
      <c r="P40" s="1102"/>
      <c r="Q40" s="1104"/>
      <c r="R40" s="1092"/>
      <c r="S40" s="1093"/>
      <c r="T40" s="1102"/>
      <c r="U40" s="1093"/>
      <c r="V40" s="1102"/>
      <c r="W40" s="1093"/>
      <c r="X40" s="1102"/>
      <c r="Y40" s="1103"/>
      <c r="Z40" s="1104"/>
      <c r="AA40" s="1093"/>
      <c r="AB40" s="1102"/>
      <c r="AC40" s="1104"/>
      <c r="AD40" s="1092"/>
      <c r="AE40" s="1093"/>
      <c r="AF40" s="1102"/>
      <c r="AG40" s="1093"/>
      <c r="AH40" s="1102"/>
      <c r="AI40" s="1093"/>
      <c r="AJ40" s="1102"/>
      <c r="AK40" s="1093"/>
      <c r="AL40" s="1102"/>
      <c r="AM40" s="1103"/>
      <c r="AN40" s="371" t="str">
        <f t="shared" si="1"/>
        <v/>
      </c>
      <c r="AO40" s="204"/>
      <c r="AR40" s="105"/>
    </row>
    <row r="41" spans="3:44" ht="42.75" customHeight="1">
      <c r="C41" s="1174"/>
      <c r="D41" s="1083"/>
      <c r="E41" s="1084"/>
      <c r="F41" s="1092"/>
      <c r="G41" s="1093"/>
      <c r="H41" s="1102"/>
      <c r="I41" s="1093"/>
      <c r="J41" s="1102"/>
      <c r="K41" s="1103"/>
      <c r="L41" s="1104"/>
      <c r="M41" s="1093"/>
      <c r="N41" s="1102"/>
      <c r="O41" s="1093"/>
      <c r="P41" s="1102"/>
      <c r="Q41" s="1104"/>
      <c r="R41" s="1092"/>
      <c r="S41" s="1093"/>
      <c r="T41" s="1102"/>
      <c r="U41" s="1093"/>
      <c r="V41" s="1102"/>
      <c r="W41" s="1093"/>
      <c r="X41" s="1102"/>
      <c r="Y41" s="1103"/>
      <c r="Z41" s="1104"/>
      <c r="AA41" s="1093"/>
      <c r="AB41" s="1102"/>
      <c r="AC41" s="1104"/>
      <c r="AD41" s="1092"/>
      <c r="AE41" s="1093"/>
      <c r="AF41" s="1102"/>
      <c r="AG41" s="1093"/>
      <c r="AH41" s="1102"/>
      <c r="AI41" s="1093"/>
      <c r="AJ41" s="1102"/>
      <c r="AK41" s="1093"/>
      <c r="AL41" s="1102"/>
      <c r="AM41" s="1103"/>
      <c r="AN41" s="371" t="str">
        <f t="shared" si="1"/>
        <v/>
      </c>
      <c r="AO41" s="204"/>
      <c r="AR41" s="95"/>
    </row>
    <row r="42" spans="3:44" ht="42.75" customHeight="1">
      <c r="C42" s="1174"/>
      <c r="D42" s="1083"/>
      <c r="E42" s="1084"/>
      <c r="F42" s="1092"/>
      <c r="G42" s="1093"/>
      <c r="H42" s="1102"/>
      <c r="I42" s="1093"/>
      <c r="J42" s="1102"/>
      <c r="K42" s="1103"/>
      <c r="L42" s="1104"/>
      <c r="M42" s="1093"/>
      <c r="N42" s="1102"/>
      <c r="O42" s="1093"/>
      <c r="P42" s="1102"/>
      <c r="Q42" s="1104"/>
      <c r="R42" s="1092"/>
      <c r="S42" s="1093"/>
      <c r="T42" s="1102"/>
      <c r="U42" s="1093"/>
      <c r="V42" s="1102"/>
      <c r="W42" s="1093"/>
      <c r="X42" s="1102"/>
      <c r="Y42" s="1103"/>
      <c r="Z42" s="1104"/>
      <c r="AA42" s="1093"/>
      <c r="AB42" s="1102"/>
      <c r="AC42" s="1104"/>
      <c r="AD42" s="1092"/>
      <c r="AE42" s="1093"/>
      <c r="AF42" s="1102"/>
      <c r="AG42" s="1093"/>
      <c r="AH42" s="1102"/>
      <c r="AI42" s="1093"/>
      <c r="AJ42" s="1102"/>
      <c r="AK42" s="1093"/>
      <c r="AL42" s="1102"/>
      <c r="AM42" s="1103"/>
      <c r="AN42" s="371" t="str">
        <f t="shared" si="1"/>
        <v/>
      </c>
      <c r="AO42" s="204"/>
      <c r="AR42" s="106"/>
    </row>
    <row r="43" spans="3:44" ht="42.75" customHeight="1" thickBot="1">
      <c r="C43" s="1175"/>
      <c r="D43" s="1085"/>
      <c r="E43" s="1086"/>
      <c r="F43" s="1105"/>
      <c r="G43" s="1106"/>
      <c r="H43" s="1113"/>
      <c r="I43" s="1106"/>
      <c r="J43" s="1113"/>
      <c r="K43" s="1114"/>
      <c r="L43" s="1115"/>
      <c r="M43" s="1106"/>
      <c r="N43" s="1113"/>
      <c r="O43" s="1106"/>
      <c r="P43" s="1113"/>
      <c r="Q43" s="1115"/>
      <c r="R43" s="1105"/>
      <c r="S43" s="1106"/>
      <c r="T43" s="1113"/>
      <c r="U43" s="1106"/>
      <c r="V43" s="1113"/>
      <c r="W43" s="1106"/>
      <c r="X43" s="1113"/>
      <c r="Y43" s="1114"/>
      <c r="Z43" s="1115"/>
      <c r="AA43" s="1106"/>
      <c r="AB43" s="1113"/>
      <c r="AC43" s="1115"/>
      <c r="AD43" s="1105"/>
      <c r="AE43" s="1106"/>
      <c r="AF43" s="1113"/>
      <c r="AG43" s="1106"/>
      <c r="AH43" s="1113"/>
      <c r="AI43" s="1106"/>
      <c r="AJ43" s="1113"/>
      <c r="AK43" s="1106"/>
      <c r="AL43" s="1113"/>
      <c r="AM43" s="1114"/>
      <c r="AN43" s="372" t="str">
        <f t="shared" si="1"/>
        <v/>
      </c>
      <c r="AO43" s="369"/>
      <c r="AR43" s="104"/>
    </row>
    <row r="44" spans="3:44" ht="13.5" thickTop="1"/>
    <row r="66" spans="6:12">
      <c r="F66" s="54"/>
      <c r="G66" s="54"/>
    </row>
    <row r="67" spans="6:12">
      <c r="F67" s="54"/>
      <c r="G67" s="54"/>
      <c r="H67" s="54"/>
      <c r="I67" s="54"/>
      <c r="J67" s="54"/>
      <c r="L67" s="54"/>
    </row>
    <row r="68" spans="6:12">
      <c r="F68" s="54"/>
      <c r="G68" s="54"/>
    </row>
    <row r="69" spans="6:12">
      <c r="F69" s="54"/>
      <c r="G69" s="54"/>
    </row>
    <row r="70" spans="6:12">
      <c r="F70" s="54"/>
      <c r="G70" s="54"/>
    </row>
    <row r="71" spans="6:12">
      <c r="F71" s="54"/>
      <c r="G71" s="54"/>
    </row>
    <row r="72" spans="6:12">
      <c r="F72" s="54"/>
      <c r="G72" s="54"/>
    </row>
    <row r="73" spans="6:12">
      <c r="F73" s="54"/>
      <c r="G73" s="54"/>
    </row>
    <row r="74" spans="6:12">
      <c r="F74" s="54"/>
      <c r="G74" s="54"/>
    </row>
    <row r="75" spans="6:12">
      <c r="F75" s="54"/>
      <c r="G75" s="54"/>
    </row>
    <row r="76" spans="6:12">
      <c r="F76" s="54"/>
      <c r="G76" s="54"/>
    </row>
    <row r="77" spans="6:12">
      <c r="F77" s="54"/>
      <c r="G77" s="54"/>
    </row>
    <row r="78" spans="6:12">
      <c r="F78" s="54"/>
      <c r="G78" s="54"/>
    </row>
    <row r="79" spans="6:12">
      <c r="F79" s="54"/>
      <c r="G79" s="54"/>
    </row>
  </sheetData>
  <mergeCells count="524">
    <mergeCell ref="AK8:AK9"/>
    <mergeCell ref="AL5:AM7"/>
    <mergeCell ref="AL8:AL9"/>
    <mergeCell ref="AM8:AM9"/>
    <mergeCell ref="AD10:AD19"/>
    <mergeCell ref="AE10:AE19"/>
    <mergeCell ref="AF10:AF19"/>
    <mergeCell ref="AG10:AG19"/>
    <mergeCell ref="AH10:AH19"/>
    <mergeCell ref="AI10:AI19"/>
    <mergeCell ref="AJ10:AJ19"/>
    <mergeCell ref="AK10:AK19"/>
    <mergeCell ref="AL10:AL19"/>
    <mergeCell ref="AM10:AM19"/>
    <mergeCell ref="Y10:Y19"/>
    <mergeCell ref="Z8:Z9"/>
    <mergeCell ref="AA8:AA9"/>
    <mergeCell ref="AB8:AB9"/>
    <mergeCell ref="AC8:AC9"/>
    <mergeCell ref="Z10:Z19"/>
    <mergeCell ref="AA10:AA19"/>
    <mergeCell ref="AB10:AB19"/>
    <mergeCell ref="AC10:AC19"/>
    <mergeCell ref="T10:T19"/>
    <mergeCell ref="U10:U19"/>
    <mergeCell ref="V43:W43"/>
    <mergeCell ref="X43:Y43"/>
    <mergeCell ref="Z43:AA43"/>
    <mergeCell ref="AB43:AC43"/>
    <mergeCell ref="V42:W42"/>
    <mergeCell ref="X42:Y42"/>
    <mergeCell ref="Z42:AA42"/>
    <mergeCell ref="AB42:AC42"/>
    <mergeCell ref="V41:W41"/>
    <mergeCell ref="X41:Y41"/>
    <mergeCell ref="Z41:AA41"/>
    <mergeCell ref="AB41:AC41"/>
    <mergeCell ref="V40:W40"/>
    <mergeCell ref="X40:Y40"/>
    <mergeCell ref="Z40:AA40"/>
    <mergeCell ref="AB40:AC40"/>
    <mergeCell ref="V39:W39"/>
    <mergeCell ref="X39:Y39"/>
    <mergeCell ref="Z39:AA39"/>
    <mergeCell ref="V10:V19"/>
    <mergeCell ref="W10:W19"/>
    <mergeCell ref="X10:X19"/>
    <mergeCell ref="AD43:AE43"/>
    <mergeCell ref="AF43:AG43"/>
    <mergeCell ref="AH43:AI43"/>
    <mergeCell ref="AJ43:AK43"/>
    <mergeCell ref="AL43:AM43"/>
    <mergeCell ref="D43:E43"/>
    <mergeCell ref="F43:G43"/>
    <mergeCell ref="H43:I43"/>
    <mergeCell ref="J43:K43"/>
    <mergeCell ref="L43:M43"/>
    <mergeCell ref="N43:O43"/>
    <mergeCell ref="P43:Q43"/>
    <mergeCell ref="R43:S43"/>
    <mergeCell ref="T43:U43"/>
    <mergeCell ref="AD42:AE42"/>
    <mergeCell ref="AF42:AG42"/>
    <mergeCell ref="AH42:AI42"/>
    <mergeCell ref="AJ42:AK42"/>
    <mergeCell ref="AL42:AM42"/>
    <mergeCell ref="D42:E42"/>
    <mergeCell ref="F42:G42"/>
    <mergeCell ref="H42:I42"/>
    <mergeCell ref="J42:K42"/>
    <mergeCell ref="L42:M42"/>
    <mergeCell ref="N42:O42"/>
    <mergeCell ref="P42:Q42"/>
    <mergeCell ref="R42:S42"/>
    <mergeCell ref="T42:U42"/>
    <mergeCell ref="AD41:AE41"/>
    <mergeCell ref="AF41:AG41"/>
    <mergeCell ref="AH41:AI41"/>
    <mergeCell ref="AJ41:AK41"/>
    <mergeCell ref="AL41:AM41"/>
    <mergeCell ref="D41:E41"/>
    <mergeCell ref="F41:G41"/>
    <mergeCell ref="H41:I41"/>
    <mergeCell ref="J41:K41"/>
    <mergeCell ref="L41:M41"/>
    <mergeCell ref="N41:O41"/>
    <mergeCell ref="P41:Q41"/>
    <mergeCell ref="R41:S41"/>
    <mergeCell ref="T41:U41"/>
    <mergeCell ref="AD40:AE40"/>
    <mergeCell ref="AF40:AG40"/>
    <mergeCell ref="AH40:AI40"/>
    <mergeCell ref="AJ40:AK40"/>
    <mergeCell ref="AL40:AM40"/>
    <mergeCell ref="D40:E40"/>
    <mergeCell ref="F40:G40"/>
    <mergeCell ref="H40:I40"/>
    <mergeCell ref="J40:K40"/>
    <mergeCell ref="L40:M40"/>
    <mergeCell ref="N40:O40"/>
    <mergeCell ref="P40:Q40"/>
    <mergeCell ref="R40:S40"/>
    <mergeCell ref="T40:U40"/>
    <mergeCell ref="AB39:AC39"/>
    <mergeCell ref="AD39:AE39"/>
    <mergeCell ref="AF39:AG39"/>
    <mergeCell ref="AH39:AI39"/>
    <mergeCell ref="AJ39:AK39"/>
    <mergeCell ref="AL39:AM39"/>
    <mergeCell ref="D39:E39"/>
    <mergeCell ref="F39:G39"/>
    <mergeCell ref="H39:I39"/>
    <mergeCell ref="J39:K39"/>
    <mergeCell ref="L39:M39"/>
    <mergeCell ref="N39:O39"/>
    <mergeCell ref="P39:Q39"/>
    <mergeCell ref="R39:S39"/>
    <mergeCell ref="T39:U39"/>
    <mergeCell ref="V38:W38"/>
    <mergeCell ref="X38:Y38"/>
    <mergeCell ref="Z38:AA38"/>
    <mergeCell ref="AB38:AC38"/>
    <mergeCell ref="AD38:AE38"/>
    <mergeCell ref="AF38:AG38"/>
    <mergeCell ref="AH38:AI38"/>
    <mergeCell ref="AJ38:AK38"/>
    <mergeCell ref="AL38:AM38"/>
    <mergeCell ref="D38:E38"/>
    <mergeCell ref="F38:G38"/>
    <mergeCell ref="H38:I38"/>
    <mergeCell ref="J38:K38"/>
    <mergeCell ref="L38:M38"/>
    <mergeCell ref="N38:O38"/>
    <mergeCell ref="P38:Q38"/>
    <mergeCell ref="R38:S38"/>
    <mergeCell ref="T38:U38"/>
    <mergeCell ref="V37:W37"/>
    <mergeCell ref="X37:Y37"/>
    <mergeCell ref="Z37:AA37"/>
    <mergeCell ref="AB37:AC37"/>
    <mergeCell ref="AD37:AE37"/>
    <mergeCell ref="AF37:AG37"/>
    <mergeCell ref="AH37:AI37"/>
    <mergeCell ref="AJ37:AK37"/>
    <mergeCell ref="AL37:AM37"/>
    <mergeCell ref="D37:E37"/>
    <mergeCell ref="F37:G37"/>
    <mergeCell ref="H37:I37"/>
    <mergeCell ref="J37:K37"/>
    <mergeCell ref="L37:M37"/>
    <mergeCell ref="N37:O37"/>
    <mergeCell ref="P37:Q37"/>
    <mergeCell ref="R37:S37"/>
    <mergeCell ref="T37:U37"/>
    <mergeCell ref="V36:W36"/>
    <mergeCell ref="X36:Y36"/>
    <mergeCell ref="Z36:AA36"/>
    <mergeCell ref="AB36:AC36"/>
    <mergeCell ref="AD36:AE36"/>
    <mergeCell ref="AF36:AG36"/>
    <mergeCell ref="AH36:AI36"/>
    <mergeCell ref="AJ36:AK36"/>
    <mergeCell ref="AL36:AM36"/>
    <mergeCell ref="D36:E36"/>
    <mergeCell ref="F36:G36"/>
    <mergeCell ref="H36:I36"/>
    <mergeCell ref="J36:K36"/>
    <mergeCell ref="L36:M36"/>
    <mergeCell ref="N36:O36"/>
    <mergeCell ref="P36:Q36"/>
    <mergeCell ref="R36:S36"/>
    <mergeCell ref="T36:U36"/>
    <mergeCell ref="AH34:AI34"/>
    <mergeCell ref="AJ34:AK34"/>
    <mergeCell ref="AL34:AM34"/>
    <mergeCell ref="D35:E35"/>
    <mergeCell ref="F35:G35"/>
    <mergeCell ref="H35:I35"/>
    <mergeCell ref="J35:K35"/>
    <mergeCell ref="L35:M35"/>
    <mergeCell ref="N35:O35"/>
    <mergeCell ref="P35:Q35"/>
    <mergeCell ref="R35:S35"/>
    <mergeCell ref="T35:U35"/>
    <mergeCell ref="V35:W35"/>
    <mergeCell ref="X35:Y35"/>
    <mergeCell ref="Z35:AA35"/>
    <mergeCell ref="AB35:AC35"/>
    <mergeCell ref="AD35:AE35"/>
    <mergeCell ref="AF35:AG35"/>
    <mergeCell ref="AH35:AI35"/>
    <mergeCell ref="AJ35:AK35"/>
    <mergeCell ref="AL35:AM35"/>
    <mergeCell ref="AH32:AI32"/>
    <mergeCell ref="AJ32:AK32"/>
    <mergeCell ref="AL32:AM32"/>
    <mergeCell ref="D33:E33"/>
    <mergeCell ref="F33:G33"/>
    <mergeCell ref="H33:I33"/>
    <mergeCell ref="J33:K33"/>
    <mergeCell ref="L33:M33"/>
    <mergeCell ref="N33:O33"/>
    <mergeCell ref="P33:Q33"/>
    <mergeCell ref="R33:S33"/>
    <mergeCell ref="T33:U33"/>
    <mergeCell ref="V33:W33"/>
    <mergeCell ref="X33:Y33"/>
    <mergeCell ref="Z33:AA33"/>
    <mergeCell ref="AB33:AC33"/>
    <mergeCell ref="AD33:AE33"/>
    <mergeCell ref="AF33:AG33"/>
    <mergeCell ref="AH33:AI33"/>
    <mergeCell ref="AJ33:AK33"/>
    <mergeCell ref="AL33:AM33"/>
    <mergeCell ref="H32:I32"/>
    <mergeCell ref="J32:K32"/>
    <mergeCell ref="L32:M32"/>
    <mergeCell ref="C20:C31"/>
    <mergeCell ref="C32:C43"/>
    <mergeCell ref="F32:G32"/>
    <mergeCell ref="V32:W32"/>
    <mergeCell ref="X32:Y32"/>
    <mergeCell ref="Z32:AA32"/>
    <mergeCell ref="AB32:AC32"/>
    <mergeCell ref="AD32:AE32"/>
    <mergeCell ref="AF32:AG32"/>
    <mergeCell ref="D34:E34"/>
    <mergeCell ref="F34:G34"/>
    <mergeCell ref="H34:I34"/>
    <mergeCell ref="J34:K34"/>
    <mergeCell ref="L34:M34"/>
    <mergeCell ref="N34:O34"/>
    <mergeCell ref="P34:Q34"/>
    <mergeCell ref="R34:S34"/>
    <mergeCell ref="T34:U34"/>
    <mergeCell ref="V34:W34"/>
    <mergeCell ref="X34:Y34"/>
    <mergeCell ref="Z34:AA34"/>
    <mergeCell ref="AB34:AC34"/>
    <mergeCell ref="AD34:AE34"/>
    <mergeCell ref="AF34:AG34"/>
    <mergeCell ref="S8:S9"/>
    <mergeCell ref="C3:AO3"/>
    <mergeCell ref="V5:W7"/>
    <mergeCell ref="X5:Y7"/>
    <mergeCell ref="Z5:AA7"/>
    <mergeCell ref="AB5:AC7"/>
    <mergeCell ref="V8:V9"/>
    <mergeCell ref="W8:W9"/>
    <mergeCell ref="X8:X9"/>
    <mergeCell ref="Y8:Y9"/>
    <mergeCell ref="AD5:AE7"/>
    <mergeCell ref="AF5:AG7"/>
    <mergeCell ref="AD8:AD9"/>
    <mergeCell ref="AE8:AE9"/>
    <mergeCell ref="AF8:AF9"/>
    <mergeCell ref="AG8:AG9"/>
    <mergeCell ref="AH5:AI7"/>
    <mergeCell ref="T5:U7"/>
    <mergeCell ref="T8:T9"/>
    <mergeCell ref="U8:U9"/>
    <mergeCell ref="AJ5:AK7"/>
    <mergeCell ref="AH8:AH9"/>
    <mergeCell ref="AI8:AI9"/>
    <mergeCell ref="AJ8:AJ9"/>
    <mergeCell ref="F8:F9"/>
    <mergeCell ref="H8:H9"/>
    <mergeCell ref="L8:L9"/>
    <mergeCell ref="M8:M9"/>
    <mergeCell ref="N8:N9"/>
    <mergeCell ref="O8:O9"/>
    <mergeCell ref="P8:P9"/>
    <mergeCell ref="Q8:Q9"/>
    <mergeCell ref="R8:R9"/>
    <mergeCell ref="AD31:AE31"/>
    <mergeCell ref="AF31:AG31"/>
    <mergeCell ref="G10:G19"/>
    <mergeCell ref="F10:F19"/>
    <mergeCell ref="F5:G7"/>
    <mergeCell ref="H5:I7"/>
    <mergeCell ref="J5:K7"/>
    <mergeCell ref="L5:M7"/>
    <mergeCell ref="N5:O7"/>
    <mergeCell ref="P5:Q7"/>
    <mergeCell ref="R5:S7"/>
    <mergeCell ref="H10:H19"/>
    <mergeCell ref="I10:I19"/>
    <mergeCell ref="J10:J19"/>
    <mergeCell ref="K10:K19"/>
    <mergeCell ref="L10:L19"/>
    <mergeCell ref="M10:M19"/>
    <mergeCell ref="N10:N19"/>
    <mergeCell ref="O10:O19"/>
    <mergeCell ref="P10:P19"/>
    <mergeCell ref="Q10:Q19"/>
    <mergeCell ref="R10:R19"/>
    <mergeCell ref="S10:S19"/>
    <mergeCell ref="G8:G9"/>
    <mergeCell ref="T23:U23"/>
    <mergeCell ref="AB26:AC26"/>
    <mergeCell ref="V25:W25"/>
    <mergeCell ref="X25:Y25"/>
    <mergeCell ref="V26:W26"/>
    <mergeCell ref="X26:Y26"/>
    <mergeCell ref="V27:W27"/>
    <mergeCell ref="AD27:AE27"/>
    <mergeCell ref="AF27:AG27"/>
    <mergeCell ref="AB24:AC24"/>
    <mergeCell ref="AD20:AE20"/>
    <mergeCell ref="AF20:AG20"/>
    <mergeCell ref="AD21:AE21"/>
    <mergeCell ref="AF21:AG21"/>
    <mergeCell ref="AD22:AE22"/>
    <mergeCell ref="AF22:AG22"/>
    <mergeCell ref="AD23:AE23"/>
    <mergeCell ref="AF23:AG23"/>
    <mergeCell ref="AD24:AE24"/>
    <mergeCell ref="AF24:AG24"/>
    <mergeCell ref="H31:I31"/>
    <mergeCell ref="J31:K31"/>
    <mergeCell ref="L31:M31"/>
    <mergeCell ref="N31:O31"/>
    <mergeCell ref="P31:Q31"/>
    <mergeCell ref="R31:S31"/>
    <mergeCell ref="T31:U31"/>
    <mergeCell ref="N32:O32"/>
    <mergeCell ref="P32:Q32"/>
    <mergeCell ref="R32:S32"/>
    <mergeCell ref="T32:U32"/>
    <mergeCell ref="H29:I29"/>
    <mergeCell ref="J29:K29"/>
    <mergeCell ref="L29:M29"/>
    <mergeCell ref="N29:O29"/>
    <mergeCell ref="P29:Q29"/>
    <mergeCell ref="R29:S29"/>
    <mergeCell ref="T29:U29"/>
    <mergeCell ref="H30:I30"/>
    <mergeCell ref="J30:K30"/>
    <mergeCell ref="L30:M30"/>
    <mergeCell ref="N30:O30"/>
    <mergeCell ref="P30:Q30"/>
    <mergeCell ref="R30:S30"/>
    <mergeCell ref="T30:U30"/>
    <mergeCell ref="H27:I27"/>
    <mergeCell ref="J27:K27"/>
    <mergeCell ref="L27:M27"/>
    <mergeCell ref="N27:O27"/>
    <mergeCell ref="P27:Q27"/>
    <mergeCell ref="R27:S27"/>
    <mergeCell ref="T27:U27"/>
    <mergeCell ref="H28:I28"/>
    <mergeCell ref="J28:K28"/>
    <mergeCell ref="L28:M28"/>
    <mergeCell ref="N28:O28"/>
    <mergeCell ref="P28:Q28"/>
    <mergeCell ref="R28:S28"/>
    <mergeCell ref="T28:U28"/>
    <mergeCell ref="AJ22:AK22"/>
    <mergeCell ref="AL22:AM22"/>
    <mergeCell ref="Z22:AA22"/>
    <mergeCell ref="Z26:AA26"/>
    <mergeCell ref="H20:I20"/>
    <mergeCell ref="J20:K20"/>
    <mergeCell ref="L20:M20"/>
    <mergeCell ref="N20:O20"/>
    <mergeCell ref="P20:Q20"/>
    <mergeCell ref="R20:S20"/>
    <mergeCell ref="T20:U20"/>
    <mergeCell ref="H21:I21"/>
    <mergeCell ref="J21:K21"/>
    <mergeCell ref="L21:M21"/>
    <mergeCell ref="N21:O21"/>
    <mergeCell ref="P21:Q21"/>
    <mergeCell ref="R21:S21"/>
    <mergeCell ref="T21:U21"/>
    <mergeCell ref="H24:I24"/>
    <mergeCell ref="J24:K24"/>
    <mergeCell ref="L24:M24"/>
    <mergeCell ref="N24:O24"/>
    <mergeCell ref="P24:Q24"/>
    <mergeCell ref="R24:S24"/>
    <mergeCell ref="AJ23:AK23"/>
    <mergeCell ref="AL23:AM23"/>
    <mergeCell ref="AF25:AG25"/>
    <mergeCell ref="AD26:AE26"/>
    <mergeCell ref="AF26:AG26"/>
    <mergeCell ref="I8:I9"/>
    <mergeCell ref="J8:J9"/>
    <mergeCell ref="K8:K9"/>
    <mergeCell ref="AJ31:AK31"/>
    <mergeCell ref="AL31:AM31"/>
    <mergeCell ref="V31:W31"/>
    <mergeCell ref="X31:Y31"/>
    <mergeCell ref="Z31:AA31"/>
    <mergeCell ref="AB31:AC31"/>
    <mergeCell ref="AH31:AI31"/>
    <mergeCell ref="Z30:AA30"/>
    <mergeCell ref="AB30:AC30"/>
    <mergeCell ref="AH30:AI30"/>
    <mergeCell ref="AJ30:AK30"/>
    <mergeCell ref="AL30:AM30"/>
    <mergeCell ref="V29:W29"/>
    <mergeCell ref="X29:Y29"/>
    <mergeCell ref="Z29:AA29"/>
    <mergeCell ref="AB29:AC29"/>
    <mergeCell ref="AJ29:AK29"/>
    <mergeCell ref="AL29:AM29"/>
    <mergeCell ref="V30:W30"/>
    <mergeCell ref="X30:Y30"/>
    <mergeCell ref="AH26:AI26"/>
    <mergeCell ref="AJ26:AK26"/>
    <mergeCell ref="AL26:AM26"/>
    <mergeCell ref="Z25:AA25"/>
    <mergeCell ref="AB25:AC25"/>
    <mergeCell ref="AH25:AI25"/>
    <mergeCell ref="AJ25:AK25"/>
    <mergeCell ref="AL25:AM25"/>
    <mergeCell ref="AH29:AI29"/>
    <mergeCell ref="AD25:AE25"/>
    <mergeCell ref="AD28:AE28"/>
    <mergeCell ref="AF28:AG28"/>
    <mergeCell ref="AD29:AE29"/>
    <mergeCell ref="AF29:AG29"/>
    <mergeCell ref="AD30:AE30"/>
    <mergeCell ref="AF30:AG30"/>
    <mergeCell ref="AH24:AI24"/>
    <mergeCell ref="AJ24:AK24"/>
    <mergeCell ref="AL24:AM24"/>
    <mergeCell ref="AL27:AM27"/>
    <mergeCell ref="V28:W28"/>
    <mergeCell ref="X28:Y28"/>
    <mergeCell ref="Z28:AA28"/>
    <mergeCell ref="AB28:AC28"/>
    <mergeCell ref="AH28:AI28"/>
    <mergeCell ref="AJ28:AK28"/>
    <mergeCell ref="AL28:AM28"/>
    <mergeCell ref="X27:Y27"/>
    <mergeCell ref="Z27:AA27"/>
    <mergeCell ref="AB27:AC27"/>
    <mergeCell ref="AH27:AI27"/>
    <mergeCell ref="AJ27:AK27"/>
    <mergeCell ref="H23:I23"/>
    <mergeCell ref="J23:K23"/>
    <mergeCell ref="L23:M23"/>
    <mergeCell ref="N23:O23"/>
    <mergeCell ref="P23:Q23"/>
    <mergeCell ref="R23:S23"/>
    <mergeCell ref="F30:G30"/>
    <mergeCell ref="F31:G31"/>
    <mergeCell ref="Z24:AA24"/>
    <mergeCell ref="T24:U24"/>
    <mergeCell ref="H25:I25"/>
    <mergeCell ref="J25:K25"/>
    <mergeCell ref="L25:M25"/>
    <mergeCell ref="N25:O25"/>
    <mergeCell ref="P25:Q25"/>
    <mergeCell ref="R25:S25"/>
    <mergeCell ref="T25:U25"/>
    <mergeCell ref="H26:I26"/>
    <mergeCell ref="J26:K26"/>
    <mergeCell ref="L26:M26"/>
    <mergeCell ref="N26:O26"/>
    <mergeCell ref="P26:Q26"/>
    <mergeCell ref="R26:S26"/>
    <mergeCell ref="T26:U26"/>
    <mergeCell ref="AH22:AI22"/>
    <mergeCell ref="Z21:AA21"/>
    <mergeCell ref="AB21:AC21"/>
    <mergeCell ref="AH21:AI21"/>
    <mergeCell ref="H22:I22"/>
    <mergeCell ref="J22:K22"/>
    <mergeCell ref="L22:M22"/>
    <mergeCell ref="N22:O22"/>
    <mergeCell ref="P22:Q22"/>
    <mergeCell ref="R22:S22"/>
    <mergeCell ref="T22:U22"/>
    <mergeCell ref="F27:G27"/>
    <mergeCell ref="F28:G28"/>
    <mergeCell ref="F29:G29"/>
    <mergeCell ref="F21:G21"/>
    <mergeCell ref="F20:G20"/>
    <mergeCell ref="F22:G22"/>
    <mergeCell ref="AO17:AO19"/>
    <mergeCell ref="AJ21:AK21"/>
    <mergeCell ref="AL21:AM21"/>
    <mergeCell ref="V20:W20"/>
    <mergeCell ref="X20:Y20"/>
    <mergeCell ref="V21:W21"/>
    <mergeCell ref="X21:Y21"/>
    <mergeCell ref="V22:W22"/>
    <mergeCell ref="X22:Y22"/>
    <mergeCell ref="V24:W24"/>
    <mergeCell ref="X24:Y24"/>
    <mergeCell ref="F23:G23"/>
    <mergeCell ref="V23:W23"/>
    <mergeCell ref="X23:Y23"/>
    <mergeCell ref="Z23:AA23"/>
    <mergeCell ref="AB23:AC23"/>
    <mergeCell ref="AH23:AI23"/>
    <mergeCell ref="AB22:AC22"/>
    <mergeCell ref="D17:E19"/>
    <mergeCell ref="B1:AO1"/>
    <mergeCell ref="D30:E30"/>
    <mergeCell ref="D31:E31"/>
    <mergeCell ref="D32:E32"/>
    <mergeCell ref="AN17:AN19"/>
    <mergeCell ref="D21:E21"/>
    <mergeCell ref="D22:E22"/>
    <mergeCell ref="D23:E23"/>
    <mergeCell ref="D29:E29"/>
    <mergeCell ref="D28:E28"/>
    <mergeCell ref="D25:E25"/>
    <mergeCell ref="D26:E26"/>
    <mergeCell ref="D27:E27"/>
    <mergeCell ref="D20:E20"/>
    <mergeCell ref="D24:E24"/>
    <mergeCell ref="F24:G24"/>
    <mergeCell ref="Z20:AA20"/>
    <mergeCell ref="AB20:AC20"/>
    <mergeCell ref="AH20:AI20"/>
    <mergeCell ref="AJ20:AK20"/>
    <mergeCell ref="AL20:AM20"/>
    <mergeCell ref="F25:G25"/>
    <mergeCell ref="F26:G26"/>
  </mergeCells>
  <conditionalFormatting sqref="F20:AM43">
    <cfRule type="cellIs" dxfId="72" priority="1" operator="equal">
      <formula>10</formula>
    </cfRule>
    <cfRule type="cellIs" dxfId="71" priority="2" operator="equal">
      <formula>1</formula>
    </cfRule>
  </conditionalFormatting>
  <pageMargins left="0.70866141732283472" right="0.70866141732283472" top="0.86614173228346458" bottom="0.86614173228346458" header="0.23622047244094491" footer="0.23622047244094491"/>
  <pageSetup paperSize="9" scale="19" orientation="portrait" r:id="rId1"/>
  <headerFooter scaleWithDoc="0" alignWithMargins="0">
    <oddHeader>&amp;R&amp;G</oddHeader>
    <oddFooter>&amp;L&amp;8Index: 102
&amp;6Copyright by Brose. Alle Rechte vorbehalten&amp;C&amp;8Page: &amp;P/ &amp;N (&amp;A)&amp;R&amp;8Date saved: &amp;D
&amp;6Template version 2021</oddFoot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Buttons!$B$47:$B$51</xm:f>
          </x14:formula1>
          <xm:sqref>F20:AM43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6">
    <pageSetUpPr fitToPage="1"/>
  </sheetPr>
  <dimension ref="A1:CY148"/>
  <sheetViews>
    <sheetView showGridLines="0" tabSelected="1" zoomScaleNormal="100" zoomScaleSheetLayoutView="100" workbookViewId="0">
      <pane ySplit="1" topLeftCell="A2" activePane="bottomLeft" state="frozen"/>
      <selection activeCell="D3" sqref="D3"/>
      <selection pane="bottomLeft" activeCell="D3" sqref="D3"/>
    </sheetView>
  </sheetViews>
  <sheetFormatPr baseColWidth="10" defaultColWidth="1.875" defaultRowHeight="11.25" customHeight="1"/>
  <cols>
    <col min="1" max="1" width="1.875" style="408"/>
  </cols>
  <sheetData>
    <row r="1" spans="2:80" ht="33.75" customHeight="1">
      <c r="B1" s="1048" t="str">
        <f>VLOOKUP(7001,Languages!A5:C410,Languages!A2,FALSE)</f>
        <v>Verification of the influencing factors</v>
      </c>
      <c r="C1" s="1048"/>
      <c r="D1" s="1048"/>
      <c r="E1" s="1048"/>
      <c r="F1" s="1048"/>
      <c r="G1" s="1048"/>
      <c r="H1" s="1048"/>
      <c r="I1" s="1048"/>
      <c r="J1" s="1048"/>
      <c r="K1" s="1048"/>
      <c r="L1" s="1048"/>
      <c r="M1" s="1048"/>
      <c r="N1" s="1048"/>
      <c r="O1" s="1048"/>
      <c r="P1" s="1048"/>
      <c r="Q1" s="1048"/>
      <c r="R1" s="1048"/>
      <c r="S1" s="1048"/>
      <c r="T1" s="1048"/>
      <c r="U1" s="1048"/>
      <c r="V1" s="1048"/>
      <c r="W1" s="1048"/>
      <c r="X1" s="1048"/>
      <c r="Y1" s="1048"/>
      <c r="Z1" s="1048"/>
      <c r="AA1" s="1048"/>
      <c r="AB1" s="1048"/>
      <c r="AC1" s="1048"/>
      <c r="AD1" s="1048"/>
      <c r="AE1" s="1048"/>
      <c r="AF1" s="1048"/>
      <c r="AG1" s="1048"/>
      <c r="AH1" s="1048"/>
      <c r="AI1" s="1048"/>
      <c r="AJ1" s="1048"/>
      <c r="AK1" s="1048"/>
      <c r="AL1" s="1048"/>
      <c r="AM1" s="1048"/>
      <c r="AN1" s="1048"/>
      <c r="AO1" s="1048"/>
      <c r="AP1" s="1048"/>
      <c r="AQ1" s="1048"/>
      <c r="AR1" s="1048"/>
      <c r="AS1" s="1048"/>
      <c r="AT1" s="1048"/>
      <c r="AU1" s="1048"/>
      <c r="AV1" s="1048"/>
      <c r="AW1" s="1048"/>
      <c r="AX1" s="1048"/>
      <c r="AY1" s="1048"/>
      <c r="AZ1" s="1048"/>
      <c r="BA1" s="1048"/>
      <c r="BB1" s="1048"/>
      <c r="BC1" s="1048"/>
      <c r="BD1" s="1048"/>
      <c r="BE1" s="1048"/>
      <c r="BF1" s="1048"/>
      <c r="BG1" s="1048"/>
      <c r="BH1" s="1048"/>
      <c r="BI1" s="1048"/>
      <c r="BJ1" s="1048"/>
      <c r="BK1" s="1048"/>
      <c r="BL1" s="1048"/>
      <c r="BM1" s="1048"/>
      <c r="BN1" s="1048"/>
      <c r="BO1" s="1048"/>
      <c r="BP1" s="1048"/>
      <c r="BQ1" s="1048"/>
      <c r="BR1" s="1048"/>
      <c r="BS1" s="1048"/>
      <c r="BT1" s="1048"/>
      <c r="BU1" s="1048"/>
      <c r="BV1" s="1048"/>
      <c r="BW1" s="1048"/>
      <c r="BX1" s="1048"/>
      <c r="BY1" s="1048"/>
      <c r="BZ1" s="1048"/>
      <c r="CA1" s="1048"/>
      <c r="CB1" s="1048"/>
    </row>
    <row r="2" spans="2:80" ht="11.25" customHeight="1">
      <c r="C2" s="1219"/>
      <c r="D2" s="1219"/>
      <c r="E2" s="1219"/>
      <c r="F2" s="1219"/>
    </row>
    <row r="3" spans="2:80" s="266" customFormat="1" ht="22.5" customHeight="1">
      <c r="C3" s="268"/>
    </row>
    <row r="4" spans="2:80" ht="11.25" customHeight="1">
      <c r="D4" s="243"/>
      <c r="E4" s="243"/>
      <c r="F4" s="243"/>
      <c r="G4" s="243"/>
      <c r="H4" s="243"/>
      <c r="I4" s="243"/>
      <c r="J4" s="243"/>
      <c r="K4" s="243"/>
      <c r="L4" s="243"/>
      <c r="M4" s="243"/>
      <c r="N4" s="243"/>
      <c r="O4" s="243"/>
      <c r="P4" s="243"/>
      <c r="Q4" s="243"/>
      <c r="R4" s="243"/>
      <c r="S4" s="243"/>
      <c r="T4" s="243"/>
      <c r="U4" s="243"/>
      <c r="V4" s="243"/>
      <c r="W4" s="54"/>
      <c r="X4" s="15"/>
      <c r="Y4" s="15"/>
      <c r="AZ4" s="1210" t="str">
        <f>VLOOKUP(7009,Languages!A5:C410,Languages!A2,FALSE)</f>
        <v>Deviation to Specification / Feature</v>
      </c>
      <c r="BA4" s="1211"/>
      <c r="BB4" s="1211"/>
      <c r="BC4" s="1211"/>
      <c r="BD4" s="1212"/>
      <c r="BE4" s="1210" t="str">
        <f>VLOOKUP(7010,Languages!A5:C410,Languages!A2,FALSE)</f>
        <v>Feature / specification correct</v>
      </c>
      <c r="BF4" s="1211"/>
      <c r="BG4" s="1211"/>
      <c r="BH4" s="1211"/>
      <c r="BI4" s="1212"/>
      <c r="BJ4" s="1201" t="str">
        <f>VLOOKUP(7011,Languages!A5:C410,Languages!A2,FALSE)</f>
        <v>Direct reference to the problem?</v>
      </c>
      <c r="BK4" s="1202"/>
      <c r="BL4" s="1202"/>
      <c r="BM4" s="1202"/>
      <c r="BN4" s="1203"/>
    </row>
    <row r="5" spans="2:80" ht="11.25" customHeight="1">
      <c r="W5" s="54"/>
      <c r="X5" s="15"/>
      <c r="Y5" s="15"/>
      <c r="AZ5" s="1213"/>
      <c r="BA5" s="1214"/>
      <c r="BB5" s="1214"/>
      <c r="BC5" s="1214"/>
      <c r="BD5" s="1215"/>
      <c r="BE5" s="1213"/>
      <c r="BF5" s="1214"/>
      <c r="BG5" s="1214"/>
      <c r="BH5" s="1214"/>
      <c r="BI5" s="1215"/>
      <c r="BJ5" s="1204"/>
      <c r="BK5" s="1205"/>
      <c r="BL5" s="1205"/>
      <c r="BM5" s="1205"/>
      <c r="BN5" s="1206"/>
    </row>
    <row r="6" spans="2:80" ht="11.25" customHeight="1">
      <c r="C6" s="1258" t="str">
        <f>VLOOKUP(8002,Languages!A5:C410,Languages!A2,FALSE)</f>
        <v>Occurence</v>
      </c>
      <c r="D6" s="1258"/>
      <c r="E6" s="1258"/>
      <c r="F6" s="1258"/>
      <c r="G6" s="1258"/>
      <c r="H6" s="1258"/>
      <c r="I6" s="1258"/>
      <c r="J6" s="1258"/>
      <c r="K6" s="1258"/>
      <c r="L6" s="1258"/>
      <c r="X6" s="15"/>
      <c r="Y6" s="15"/>
      <c r="AZ6" s="1213"/>
      <c r="BA6" s="1214"/>
      <c r="BB6" s="1214"/>
      <c r="BC6" s="1214"/>
      <c r="BD6" s="1215"/>
      <c r="BE6" s="1213"/>
      <c r="BF6" s="1214"/>
      <c r="BG6" s="1214"/>
      <c r="BH6" s="1214"/>
      <c r="BI6" s="1215"/>
      <c r="BJ6" s="1204"/>
      <c r="BK6" s="1205"/>
      <c r="BL6" s="1205"/>
      <c r="BM6" s="1205"/>
      <c r="BN6" s="1206"/>
    </row>
    <row r="7" spans="2:80" ht="11.25" customHeight="1">
      <c r="C7" s="1259"/>
      <c r="D7" s="1259"/>
      <c r="E7" s="1259"/>
      <c r="F7" s="1259"/>
      <c r="G7" s="1259"/>
      <c r="H7" s="1259"/>
      <c r="I7" s="1259"/>
      <c r="J7" s="1259"/>
      <c r="K7" s="1259"/>
      <c r="L7" s="1259"/>
      <c r="X7" s="15"/>
      <c r="Y7" s="15"/>
      <c r="AZ7" s="1213"/>
      <c r="BA7" s="1214"/>
      <c r="BB7" s="1214"/>
      <c r="BC7" s="1214"/>
      <c r="BD7" s="1215"/>
      <c r="BE7" s="1213"/>
      <c r="BF7" s="1214"/>
      <c r="BG7" s="1214"/>
      <c r="BH7" s="1214"/>
      <c r="BI7" s="1215"/>
      <c r="BJ7" s="1204"/>
      <c r="BK7" s="1205"/>
      <c r="BL7" s="1205"/>
      <c r="BM7" s="1205"/>
      <c r="BN7" s="1206"/>
    </row>
    <row r="8" spans="2:80" ht="11.25" customHeight="1">
      <c r="C8" s="1189" t="str">
        <f>VLOOKUP(7004,Languages!A5:C410,Languages!A2,FALSE)</f>
        <v xml:space="preserve">Systematic consideration regarding the 5Ms </v>
      </c>
      <c r="D8" s="1190"/>
      <c r="E8" s="1190"/>
      <c r="F8" s="1190"/>
      <c r="G8" s="1190"/>
      <c r="H8" s="1190"/>
      <c r="I8" s="1190"/>
      <c r="J8" s="1190"/>
      <c r="K8" s="1190"/>
      <c r="L8" s="1191"/>
      <c r="M8" s="1196" t="str">
        <f>VLOOKUP(7005,Languages!A5:C410,Languages!A2,FALSE)</f>
        <v>Influencing factors</v>
      </c>
      <c r="N8" s="1196"/>
      <c r="O8" s="1196"/>
      <c r="P8" s="1196"/>
      <c r="Q8" s="1196"/>
      <c r="R8" s="1196"/>
      <c r="S8" s="1196"/>
      <c r="T8" s="1196"/>
      <c r="U8" s="1196"/>
      <c r="V8" s="1196"/>
      <c r="W8" s="1196"/>
      <c r="X8" s="1196"/>
      <c r="Y8" s="1196"/>
      <c r="Z8" s="1196"/>
      <c r="AA8" s="1196"/>
      <c r="AB8" s="1248" t="str">
        <f>VLOOKUP(7006,Languages!A5:C410,Languages!A2,FALSE)</f>
        <v>Specification / Feature</v>
      </c>
      <c r="AC8" s="1248"/>
      <c r="AD8" s="1248"/>
      <c r="AE8" s="1248"/>
      <c r="AF8" s="1248"/>
      <c r="AG8" s="1248"/>
      <c r="AH8" s="1248"/>
      <c r="AI8" s="1248"/>
      <c r="AJ8" s="1248" t="str">
        <f>VLOOKUP(7007,Languages!A5:C410,Languages!A2,FALSE)</f>
        <v>O.k.-part</v>
      </c>
      <c r="AK8" s="1248"/>
      <c r="AL8" s="1248"/>
      <c r="AM8" s="1248"/>
      <c r="AN8" s="1248"/>
      <c r="AO8" s="1248"/>
      <c r="AP8" s="1248"/>
      <c r="AQ8" s="1248"/>
      <c r="AR8" s="1248" t="str">
        <f>VLOOKUP(7008,Languages!A5:C410,Languages!A2,FALSE)</f>
        <v>N.o.k.-part</v>
      </c>
      <c r="AS8" s="1248"/>
      <c r="AT8" s="1248"/>
      <c r="AU8" s="1248"/>
      <c r="AV8" s="1248"/>
      <c r="AW8" s="1248"/>
      <c r="AX8" s="1248"/>
      <c r="AY8" s="1248"/>
      <c r="AZ8" s="1213"/>
      <c r="BA8" s="1214"/>
      <c r="BB8" s="1214"/>
      <c r="BC8" s="1214"/>
      <c r="BD8" s="1215"/>
      <c r="BE8" s="1213"/>
      <c r="BF8" s="1214"/>
      <c r="BG8" s="1214"/>
      <c r="BH8" s="1214"/>
      <c r="BI8" s="1215"/>
      <c r="BJ8" s="1204"/>
      <c r="BK8" s="1205"/>
      <c r="BL8" s="1205"/>
      <c r="BM8" s="1205"/>
      <c r="BN8" s="1206"/>
      <c r="BO8" s="1189" t="str">
        <f>VLOOKUP(7012,Languages!A5:C410,Languages!A2,FALSE)</f>
        <v>Prioritization or comment on the influence factor</v>
      </c>
      <c r="BP8" s="1190"/>
      <c r="BQ8" s="1190"/>
      <c r="BR8" s="1190"/>
      <c r="BS8" s="1190"/>
      <c r="BT8" s="1190"/>
      <c r="BU8" s="1190"/>
      <c r="BV8" s="1190"/>
      <c r="BW8" s="1190"/>
      <c r="BX8" s="1190"/>
      <c r="BY8" s="1190"/>
      <c r="BZ8" s="1190"/>
      <c r="CA8" s="1190"/>
      <c r="CB8" s="1191"/>
    </row>
    <row r="9" spans="2:80" ht="11.25" customHeight="1">
      <c r="C9" s="1192"/>
      <c r="D9" s="1193"/>
      <c r="E9" s="1193"/>
      <c r="F9" s="1193"/>
      <c r="G9" s="1193"/>
      <c r="H9" s="1193"/>
      <c r="I9" s="1193"/>
      <c r="J9" s="1193"/>
      <c r="K9" s="1193"/>
      <c r="L9" s="1194"/>
      <c r="M9" s="1196"/>
      <c r="N9" s="1196"/>
      <c r="O9" s="1196"/>
      <c r="P9" s="1196"/>
      <c r="Q9" s="1196"/>
      <c r="R9" s="1196"/>
      <c r="S9" s="1196"/>
      <c r="T9" s="1196"/>
      <c r="U9" s="1196"/>
      <c r="V9" s="1196"/>
      <c r="W9" s="1196"/>
      <c r="X9" s="1196"/>
      <c r="Y9" s="1196"/>
      <c r="Z9" s="1196"/>
      <c r="AA9" s="1196"/>
      <c r="AB9" s="1248"/>
      <c r="AC9" s="1248"/>
      <c r="AD9" s="1248"/>
      <c r="AE9" s="1248"/>
      <c r="AF9" s="1248"/>
      <c r="AG9" s="1248"/>
      <c r="AH9" s="1248"/>
      <c r="AI9" s="1248"/>
      <c r="AJ9" s="1248"/>
      <c r="AK9" s="1248"/>
      <c r="AL9" s="1248"/>
      <c r="AM9" s="1248"/>
      <c r="AN9" s="1248"/>
      <c r="AO9" s="1248"/>
      <c r="AP9" s="1248"/>
      <c r="AQ9" s="1248"/>
      <c r="AR9" s="1248"/>
      <c r="AS9" s="1248"/>
      <c r="AT9" s="1248"/>
      <c r="AU9" s="1248"/>
      <c r="AV9" s="1248"/>
      <c r="AW9" s="1248"/>
      <c r="AX9" s="1248"/>
      <c r="AY9" s="1248"/>
      <c r="AZ9" s="1213"/>
      <c r="BA9" s="1214"/>
      <c r="BB9" s="1214"/>
      <c r="BC9" s="1214"/>
      <c r="BD9" s="1215"/>
      <c r="BE9" s="1213"/>
      <c r="BF9" s="1214"/>
      <c r="BG9" s="1214"/>
      <c r="BH9" s="1214"/>
      <c r="BI9" s="1215"/>
      <c r="BJ9" s="1204"/>
      <c r="BK9" s="1205"/>
      <c r="BL9" s="1205"/>
      <c r="BM9" s="1205"/>
      <c r="BN9" s="1206"/>
      <c r="BO9" s="1192"/>
      <c r="BP9" s="1193"/>
      <c r="BQ9" s="1193"/>
      <c r="BR9" s="1193"/>
      <c r="BS9" s="1193"/>
      <c r="BT9" s="1193"/>
      <c r="BU9" s="1193"/>
      <c r="BV9" s="1193"/>
      <c r="BW9" s="1193"/>
      <c r="BX9" s="1193"/>
      <c r="BY9" s="1193"/>
      <c r="BZ9" s="1193"/>
      <c r="CA9" s="1193"/>
      <c r="CB9" s="1194"/>
    </row>
    <row r="10" spans="2:80" ht="11.25" customHeight="1">
      <c r="C10" s="1192"/>
      <c r="D10" s="1193"/>
      <c r="E10" s="1193"/>
      <c r="F10" s="1193"/>
      <c r="G10" s="1193"/>
      <c r="H10" s="1193"/>
      <c r="I10" s="1193"/>
      <c r="J10" s="1193"/>
      <c r="K10" s="1193"/>
      <c r="L10" s="1194"/>
      <c r="M10" s="1196"/>
      <c r="N10" s="1196"/>
      <c r="O10" s="1196"/>
      <c r="P10" s="1196"/>
      <c r="Q10" s="1196"/>
      <c r="R10" s="1196"/>
      <c r="S10" s="1196"/>
      <c r="T10" s="1196"/>
      <c r="U10" s="1196"/>
      <c r="V10" s="1196"/>
      <c r="W10" s="1196"/>
      <c r="X10" s="1196"/>
      <c r="Y10" s="1196"/>
      <c r="Z10" s="1196"/>
      <c r="AA10" s="1196"/>
      <c r="AB10" s="1248"/>
      <c r="AC10" s="1248"/>
      <c r="AD10" s="1248"/>
      <c r="AE10" s="1248"/>
      <c r="AF10" s="1248"/>
      <c r="AG10" s="1248"/>
      <c r="AH10" s="1248"/>
      <c r="AI10" s="1248"/>
      <c r="AJ10" s="1248"/>
      <c r="AK10" s="1248"/>
      <c r="AL10" s="1248"/>
      <c r="AM10" s="1248"/>
      <c r="AN10" s="1248"/>
      <c r="AO10" s="1248"/>
      <c r="AP10" s="1248"/>
      <c r="AQ10" s="1248"/>
      <c r="AR10" s="1248"/>
      <c r="AS10" s="1248"/>
      <c r="AT10" s="1248"/>
      <c r="AU10" s="1248"/>
      <c r="AV10" s="1248"/>
      <c r="AW10" s="1248"/>
      <c r="AX10" s="1248"/>
      <c r="AY10" s="1248"/>
      <c r="AZ10" s="1213"/>
      <c r="BA10" s="1214"/>
      <c r="BB10" s="1214"/>
      <c r="BC10" s="1214"/>
      <c r="BD10" s="1215"/>
      <c r="BE10" s="1213"/>
      <c r="BF10" s="1214"/>
      <c r="BG10" s="1214"/>
      <c r="BH10" s="1214"/>
      <c r="BI10" s="1215"/>
      <c r="BJ10" s="1204"/>
      <c r="BK10" s="1205"/>
      <c r="BL10" s="1205"/>
      <c r="BM10" s="1205"/>
      <c r="BN10" s="1206"/>
      <c r="BO10" s="1192"/>
      <c r="BP10" s="1193"/>
      <c r="BQ10" s="1193"/>
      <c r="BR10" s="1193"/>
      <c r="BS10" s="1193"/>
      <c r="BT10" s="1193"/>
      <c r="BU10" s="1193"/>
      <c r="BV10" s="1193"/>
      <c r="BW10" s="1193"/>
      <c r="BX10" s="1193"/>
      <c r="BY10" s="1193"/>
      <c r="BZ10" s="1193"/>
      <c r="CA10" s="1193"/>
      <c r="CB10" s="1194"/>
    </row>
    <row r="11" spans="2:80" ht="11.25" customHeight="1">
      <c r="C11" s="1192"/>
      <c r="D11" s="1193"/>
      <c r="E11" s="1193"/>
      <c r="F11" s="1193"/>
      <c r="G11" s="1193"/>
      <c r="H11" s="1193"/>
      <c r="I11" s="1193"/>
      <c r="J11" s="1193"/>
      <c r="K11" s="1193"/>
      <c r="L11" s="1194"/>
      <c r="M11" s="1196"/>
      <c r="N11" s="1196"/>
      <c r="O11" s="1196"/>
      <c r="P11" s="1196"/>
      <c r="Q11" s="1196"/>
      <c r="R11" s="1196"/>
      <c r="S11" s="1196"/>
      <c r="T11" s="1196"/>
      <c r="U11" s="1196"/>
      <c r="V11" s="1196"/>
      <c r="W11" s="1196"/>
      <c r="X11" s="1196"/>
      <c r="Y11" s="1196"/>
      <c r="Z11" s="1196"/>
      <c r="AA11" s="1196"/>
      <c r="AB11" s="1248"/>
      <c r="AC11" s="1248"/>
      <c r="AD11" s="1248"/>
      <c r="AE11" s="1248"/>
      <c r="AF11" s="1248"/>
      <c r="AG11" s="1248"/>
      <c r="AH11" s="1248"/>
      <c r="AI11" s="1248"/>
      <c r="AJ11" s="1248"/>
      <c r="AK11" s="1248"/>
      <c r="AL11" s="1248"/>
      <c r="AM11" s="1248"/>
      <c r="AN11" s="1248"/>
      <c r="AO11" s="1248"/>
      <c r="AP11" s="1248"/>
      <c r="AQ11" s="1248"/>
      <c r="AR11" s="1248"/>
      <c r="AS11" s="1248"/>
      <c r="AT11" s="1248"/>
      <c r="AU11" s="1248"/>
      <c r="AV11" s="1248"/>
      <c r="AW11" s="1248"/>
      <c r="AX11" s="1248"/>
      <c r="AY11" s="1248"/>
      <c r="AZ11" s="1216"/>
      <c r="BA11" s="1217"/>
      <c r="BB11" s="1217"/>
      <c r="BC11" s="1217"/>
      <c r="BD11" s="1218"/>
      <c r="BE11" s="1216"/>
      <c r="BF11" s="1217"/>
      <c r="BG11" s="1217"/>
      <c r="BH11" s="1217"/>
      <c r="BI11" s="1218"/>
      <c r="BJ11" s="1207"/>
      <c r="BK11" s="1208"/>
      <c r="BL11" s="1208"/>
      <c r="BM11" s="1208"/>
      <c r="BN11" s="1209"/>
      <c r="BO11" s="1198"/>
      <c r="BP11" s="1199"/>
      <c r="BQ11" s="1199"/>
      <c r="BR11" s="1199"/>
      <c r="BS11" s="1199"/>
      <c r="BT11" s="1199"/>
      <c r="BU11" s="1199"/>
      <c r="BV11" s="1199"/>
      <c r="BW11" s="1199"/>
      <c r="BX11" s="1199"/>
      <c r="BY11" s="1199"/>
      <c r="BZ11" s="1199"/>
      <c r="CA11" s="1199"/>
      <c r="CB11" s="1200"/>
    </row>
    <row r="12" spans="2:80" ht="11.25" customHeight="1">
      <c r="C12" s="676"/>
      <c r="D12" s="677"/>
      <c r="E12" s="677"/>
      <c r="F12" s="677"/>
      <c r="G12" s="677"/>
      <c r="H12" s="677"/>
      <c r="I12" s="677"/>
      <c r="J12" s="677"/>
      <c r="K12" s="677"/>
      <c r="L12" s="678"/>
      <c r="M12" s="1179"/>
      <c r="N12" s="1179"/>
      <c r="O12" s="1179"/>
      <c r="P12" s="1179"/>
      <c r="Q12" s="1179"/>
      <c r="R12" s="1179"/>
      <c r="S12" s="1179"/>
      <c r="T12" s="1179"/>
      <c r="U12" s="1179"/>
      <c r="V12" s="1179"/>
      <c r="W12" s="1179"/>
      <c r="X12" s="1179"/>
      <c r="Y12" s="1179"/>
      <c r="Z12" s="1179"/>
      <c r="AA12" s="1179"/>
      <c r="AB12" s="1179"/>
      <c r="AC12" s="1179"/>
      <c r="AD12" s="1179"/>
      <c r="AE12" s="1179"/>
      <c r="AF12" s="1179"/>
      <c r="AG12" s="1179"/>
      <c r="AH12" s="1179"/>
      <c r="AI12" s="1179"/>
      <c r="AJ12" s="1179"/>
      <c r="AK12" s="1179"/>
      <c r="AL12" s="1179"/>
      <c r="AM12" s="1179"/>
      <c r="AN12" s="1179"/>
      <c r="AO12" s="1179"/>
      <c r="AP12" s="1179"/>
      <c r="AQ12" s="1179"/>
      <c r="AR12" s="1179"/>
      <c r="AS12" s="1179"/>
      <c r="AT12" s="1179"/>
      <c r="AU12" s="1179"/>
      <c r="AV12" s="1179"/>
      <c r="AW12" s="1179"/>
      <c r="AX12" s="1179"/>
      <c r="AY12" s="1179"/>
      <c r="AZ12" s="1231"/>
      <c r="BA12" s="1232"/>
      <c r="BB12" s="1232"/>
      <c r="BC12" s="1232"/>
      <c r="BD12" s="1233"/>
      <c r="BE12" s="1231"/>
      <c r="BF12" s="1232"/>
      <c r="BG12" s="1232"/>
      <c r="BH12" s="1232"/>
      <c r="BI12" s="1233"/>
      <c r="BJ12" s="1231"/>
      <c r="BK12" s="1232"/>
      <c r="BL12" s="1232"/>
      <c r="BM12" s="1232"/>
      <c r="BN12" s="1233"/>
      <c r="BO12" s="676"/>
      <c r="BP12" s="677"/>
      <c r="BQ12" s="677"/>
      <c r="BR12" s="677"/>
      <c r="BS12" s="677"/>
      <c r="BT12" s="677"/>
      <c r="BU12" s="677"/>
      <c r="BV12" s="677"/>
      <c r="BW12" s="677"/>
      <c r="BX12" s="677"/>
      <c r="BY12" s="677"/>
      <c r="BZ12" s="677"/>
      <c r="CA12" s="677"/>
      <c r="CB12" s="678"/>
    </row>
    <row r="13" spans="2:80" ht="11.25" customHeight="1">
      <c r="C13" s="704"/>
      <c r="D13" s="705"/>
      <c r="E13" s="705"/>
      <c r="F13" s="705"/>
      <c r="G13" s="705"/>
      <c r="H13" s="705"/>
      <c r="I13" s="705"/>
      <c r="J13" s="705"/>
      <c r="K13" s="705"/>
      <c r="L13" s="706"/>
      <c r="M13" s="1179"/>
      <c r="N13" s="1179"/>
      <c r="O13" s="1179"/>
      <c r="P13" s="1179"/>
      <c r="Q13" s="1179"/>
      <c r="R13" s="1179"/>
      <c r="S13" s="1179"/>
      <c r="T13" s="1179"/>
      <c r="U13" s="1179"/>
      <c r="V13" s="1179"/>
      <c r="W13" s="1179"/>
      <c r="X13" s="1179"/>
      <c r="Y13" s="1179"/>
      <c r="Z13" s="1179"/>
      <c r="AA13" s="1179"/>
      <c r="AB13" s="1179"/>
      <c r="AC13" s="1179"/>
      <c r="AD13" s="1179"/>
      <c r="AE13" s="1179"/>
      <c r="AF13" s="1179"/>
      <c r="AG13" s="1179"/>
      <c r="AH13" s="1179"/>
      <c r="AI13" s="1179"/>
      <c r="AJ13" s="1179"/>
      <c r="AK13" s="1179"/>
      <c r="AL13" s="1179"/>
      <c r="AM13" s="1179"/>
      <c r="AN13" s="1179"/>
      <c r="AO13" s="1179"/>
      <c r="AP13" s="1179"/>
      <c r="AQ13" s="1179"/>
      <c r="AR13" s="1179"/>
      <c r="AS13" s="1179"/>
      <c r="AT13" s="1179"/>
      <c r="AU13" s="1179"/>
      <c r="AV13" s="1179"/>
      <c r="AW13" s="1179"/>
      <c r="AX13" s="1179"/>
      <c r="AY13" s="1179"/>
      <c r="AZ13" s="1234"/>
      <c r="BA13" s="1235"/>
      <c r="BB13" s="1235"/>
      <c r="BC13" s="1235"/>
      <c r="BD13" s="1236"/>
      <c r="BE13" s="1234"/>
      <c r="BF13" s="1235"/>
      <c r="BG13" s="1235"/>
      <c r="BH13" s="1235"/>
      <c r="BI13" s="1236"/>
      <c r="BJ13" s="1234"/>
      <c r="BK13" s="1235"/>
      <c r="BL13" s="1235"/>
      <c r="BM13" s="1235"/>
      <c r="BN13" s="1236"/>
      <c r="BO13" s="704"/>
      <c r="BP13" s="705"/>
      <c r="BQ13" s="705"/>
      <c r="BR13" s="705"/>
      <c r="BS13" s="705"/>
      <c r="BT13" s="705"/>
      <c r="BU13" s="705"/>
      <c r="BV13" s="705"/>
      <c r="BW13" s="705"/>
      <c r="BX13" s="705"/>
      <c r="BY13" s="705"/>
      <c r="BZ13" s="705"/>
      <c r="CA13" s="705"/>
      <c r="CB13" s="706"/>
    </row>
    <row r="14" spans="2:80" ht="11.25" customHeight="1">
      <c r="C14" s="704"/>
      <c r="D14" s="705"/>
      <c r="E14" s="705"/>
      <c r="F14" s="705"/>
      <c r="G14" s="705"/>
      <c r="H14" s="705"/>
      <c r="I14" s="705"/>
      <c r="J14" s="705"/>
      <c r="K14" s="705"/>
      <c r="L14" s="706"/>
      <c r="M14" s="1179"/>
      <c r="N14" s="1179"/>
      <c r="O14" s="1179"/>
      <c r="P14" s="1179"/>
      <c r="Q14" s="1179"/>
      <c r="R14" s="1179"/>
      <c r="S14" s="1179"/>
      <c r="T14" s="1179"/>
      <c r="U14" s="1179"/>
      <c r="V14" s="1179"/>
      <c r="W14" s="1179"/>
      <c r="X14" s="1179"/>
      <c r="Y14" s="1179"/>
      <c r="Z14" s="1179"/>
      <c r="AA14" s="1179"/>
      <c r="AB14" s="1179"/>
      <c r="AC14" s="1179"/>
      <c r="AD14" s="1179"/>
      <c r="AE14" s="1179"/>
      <c r="AF14" s="1179"/>
      <c r="AG14" s="1179"/>
      <c r="AH14" s="1179"/>
      <c r="AI14" s="1179"/>
      <c r="AJ14" s="1179"/>
      <c r="AK14" s="1179"/>
      <c r="AL14" s="1179"/>
      <c r="AM14" s="1179"/>
      <c r="AN14" s="1179"/>
      <c r="AO14" s="1179"/>
      <c r="AP14" s="1179"/>
      <c r="AQ14" s="1179"/>
      <c r="AR14" s="1179"/>
      <c r="AS14" s="1179"/>
      <c r="AT14" s="1179"/>
      <c r="AU14" s="1179"/>
      <c r="AV14" s="1179"/>
      <c r="AW14" s="1179"/>
      <c r="AX14" s="1179"/>
      <c r="AY14" s="1179"/>
      <c r="AZ14" s="1234"/>
      <c r="BA14" s="1235"/>
      <c r="BB14" s="1235"/>
      <c r="BC14" s="1235"/>
      <c r="BD14" s="1236"/>
      <c r="BE14" s="1234"/>
      <c r="BF14" s="1235"/>
      <c r="BG14" s="1235"/>
      <c r="BH14" s="1235"/>
      <c r="BI14" s="1236"/>
      <c r="BJ14" s="1234"/>
      <c r="BK14" s="1235"/>
      <c r="BL14" s="1235"/>
      <c r="BM14" s="1235"/>
      <c r="BN14" s="1236"/>
      <c r="BO14" s="704"/>
      <c r="BP14" s="705"/>
      <c r="BQ14" s="705"/>
      <c r="BR14" s="705"/>
      <c r="BS14" s="705"/>
      <c r="BT14" s="705"/>
      <c r="BU14" s="705"/>
      <c r="BV14" s="705"/>
      <c r="BW14" s="705"/>
      <c r="BX14" s="705"/>
      <c r="BY14" s="705"/>
      <c r="BZ14" s="705"/>
      <c r="CA14" s="705"/>
      <c r="CB14" s="706"/>
    </row>
    <row r="15" spans="2:80" ht="11.25" customHeight="1">
      <c r="C15" s="707"/>
      <c r="D15" s="708"/>
      <c r="E15" s="708"/>
      <c r="F15" s="708"/>
      <c r="G15" s="708"/>
      <c r="H15" s="708"/>
      <c r="I15" s="708"/>
      <c r="J15" s="708"/>
      <c r="K15" s="708"/>
      <c r="L15" s="709"/>
      <c r="M15" s="1179"/>
      <c r="N15" s="1179"/>
      <c r="O15" s="1179"/>
      <c r="P15" s="1179"/>
      <c r="Q15" s="1179"/>
      <c r="R15" s="1179"/>
      <c r="S15" s="1179"/>
      <c r="T15" s="1179"/>
      <c r="U15" s="1179"/>
      <c r="V15" s="1179"/>
      <c r="W15" s="1179"/>
      <c r="X15" s="1179"/>
      <c r="Y15" s="1179"/>
      <c r="Z15" s="1179"/>
      <c r="AA15" s="1179"/>
      <c r="AB15" s="1179"/>
      <c r="AC15" s="1179"/>
      <c r="AD15" s="1179"/>
      <c r="AE15" s="1179"/>
      <c r="AF15" s="1179"/>
      <c r="AG15" s="1179"/>
      <c r="AH15" s="1179"/>
      <c r="AI15" s="1179"/>
      <c r="AJ15" s="1179"/>
      <c r="AK15" s="1179"/>
      <c r="AL15" s="1179"/>
      <c r="AM15" s="1179"/>
      <c r="AN15" s="1179"/>
      <c r="AO15" s="1179"/>
      <c r="AP15" s="1179"/>
      <c r="AQ15" s="1179"/>
      <c r="AR15" s="1179"/>
      <c r="AS15" s="1179"/>
      <c r="AT15" s="1179"/>
      <c r="AU15" s="1179"/>
      <c r="AV15" s="1179"/>
      <c r="AW15" s="1179"/>
      <c r="AX15" s="1179"/>
      <c r="AY15" s="1179"/>
      <c r="AZ15" s="1237"/>
      <c r="BA15" s="1238"/>
      <c r="BB15" s="1238"/>
      <c r="BC15" s="1238"/>
      <c r="BD15" s="1239"/>
      <c r="BE15" s="1237"/>
      <c r="BF15" s="1238"/>
      <c r="BG15" s="1238"/>
      <c r="BH15" s="1238"/>
      <c r="BI15" s="1239"/>
      <c r="BJ15" s="1237"/>
      <c r="BK15" s="1238"/>
      <c r="BL15" s="1238"/>
      <c r="BM15" s="1238"/>
      <c r="BN15" s="1239"/>
      <c r="BO15" s="707"/>
      <c r="BP15" s="708"/>
      <c r="BQ15" s="708"/>
      <c r="BR15" s="708"/>
      <c r="BS15" s="708"/>
      <c r="BT15" s="708"/>
      <c r="BU15" s="708"/>
      <c r="BV15" s="708"/>
      <c r="BW15" s="708"/>
      <c r="BX15" s="708"/>
      <c r="BY15" s="708"/>
      <c r="BZ15" s="708"/>
      <c r="CA15" s="708"/>
      <c r="CB15" s="709"/>
    </row>
    <row r="16" spans="2:80" ht="11.25" customHeight="1">
      <c r="C16" s="676"/>
      <c r="D16" s="677"/>
      <c r="E16" s="677"/>
      <c r="F16" s="677"/>
      <c r="G16" s="677"/>
      <c r="H16" s="677"/>
      <c r="I16" s="677"/>
      <c r="J16" s="677"/>
      <c r="K16" s="677"/>
      <c r="L16" s="678"/>
      <c r="M16" s="1179"/>
      <c r="N16" s="1179"/>
      <c r="O16" s="1179"/>
      <c r="P16" s="1179"/>
      <c r="Q16" s="1179"/>
      <c r="R16" s="1179"/>
      <c r="S16" s="1179"/>
      <c r="T16" s="1179"/>
      <c r="U16" s="1179"/>
      <c r="V16" s="1179"/>
      <c r="W16" s="1179"/>
      <c r="X16" s="1179"/>
      <c r="Y16" s="1179"/>
      <c r="Z16" s="1179"/>
      <c r="AA16" s="1179"/>
      <c r="AB16" s="1179"/>
      <c r="AC16" s="1179"/>
      <c r="AD16" s="1179"/>
      <c r="AE16" s="1179"/>
      <c r="AF16" s="1179"/>
      <c r="AG16" s="1179"/>
      <c r="AH16" s="1179"/>
      <c r="AI16" s="1179"/>
      <c r="AJ16" s="1179"/>
      <c r="AK16" s="1179"/>
      <c r="AL16" s="1179"/>
      <c r="AM16" s="1179"/>
      <c r="AN16" s="1179"/>
      <c r="AO16" s="1179"/>
      <c r="AP16" s="1179"/>
      <c r="AQ16" s="1179"/>
      <c r="AR16" s="1179"/>
      <c r="AS16" s="1179"/>
      <c r="AT16" s="1179"/>
      <c r="AU16" s="1179"/>
      <c r="AV16" s="1179"/>
      <c r="AW16" s="1179"/>
      <c r="AX16" s="1179"/>
      <c r="AY16" s="1179"/>
      <c r="AZ16" s="1231"/>
      <c r="BA16" s="1232"/>
      <c r="BB16" s="1232"/>
      <c r="BC16" s="1232"/>
      <c r="BD16" s="1233"/>
      <c r="BE16" s="1231"/>
      <c r="BF16" s="1232"/>
      <c r="BG16" s="1232"/>
      <c r="BH16" s="1232"/>
      <c r="BI16" s="1233"/>
      <c r="BJ16" s="1231"/>
      <c r="BK16" s="1232"/>
      <c r="BL16" s="1232"/>
      <c r="BM16" s="1232"/>
      <c r="BN16" s="1233"/>
      <c r="BO16" s="676"/>
      <c r="BP16" s="677"/>
      <c r="BQ16" s="677"/>
      <c r="BR16" s="677"/>
      <c r="BS16" s="677"/>
      <c r="BT16" s="677"/>
      <c r="BU16" s="677"/>
      <c r="BV16" s="677"/>
      <c r="BW16" s="677"/>
      <c r="BX16" s="677"/>
      <c r="BY16" s="677"/>
      <c r="BZ16" s="677"/>
      <c r="CA16" s="677"/>
      <c r="CB16" s="678"/>
    </row>
    <row r="17" spans="3:80" ht="11.25" customHeight="1">
      <c r="C17" s="704"/>
      <c r="D17" s="705"/>
      <c r="E17" s="705"/>
      <c r="F17" s="705"/>
      <c r="G17" s="705"/>
      <c r="H17" s="705"/>
      <c r="I17" s="705"/>
      <c r="J17" s="705"/>
      <c r="K17" s="705"/>
      <c r="L17" s="706"/>
      <c r="M17" s="1179"/>
      <c r="N17" s="1179"/>
      <c r="O17" s="1179"/>
      <c r="P17" s="1179"/>
      <c r="Q17" s="1179"/>
      <c r="R17" s="1179"/>
      <c r="S17" s="1179"/>
      <c r="T17" s="1179"/>
      <c r="U17" s="1179"/>
      <c r="V17" s="1179"/>
      <c r="W17" s="1179"/>
      <c r="X17" s="1179"/>
      <c r="Y17" s="1179"/>
      <c r="Z17" s="1179"/>
      <c r="AA17" s="1179"/>
      <c r="AB17" s="1179"/>
      <c r="AC17" s="1179"/>
      <c r="AD17" s="1179"/>
      <c r="AE17" s="1179"/>
      <c r="AF17" s="1179"/>
      <c r="AG17" s="1179"/>
      <c r="AH17" s="1179"/>
      <c r="AI17" s="1179"/>
      <c r="AJ17" s="1179"/>
      <c r="AK17" s="1179"/>
      <c r="AL17" s="1179"/>
      <c r="AM17" s="1179"/>
      <c r="AN17" s="1179"/>
      <c r="AO17" s="1179"/>
      <c r="AP17" s="1179"/>
      <c r="AQ17" s="1179"/>
      <c r="AR17" s="1179"/>
      <c r="AS17" s="1179"/>
      <c r="AT17" s="1179"/>
      <c r="AU17" s="1179"/>
      <c r="AV17" s="1179"/>
      <c r="AW17" s="1179"/>
      <c r="AX17" s="1179"/>
      <c r="AY17" s="1179"/>
      <c r="AZ17" s="1234"/>
      <c r="BA17" s="1235"/>
      <c r="BB17" s="1235"/>
      <c r="BC17" s="1235"/>
      <c r="BD17" s="1236"/>
      <c r="BE17" s="1234"/>
      <c r="BF17" s="1235"/>
      <c r="BG17" s="1235"/>
      <c r="BH17" s="1235"/>
      <c r="BI17" s="1236"/>
      <c r="BJ17" s="1234"/>
      <c r="BK17" s="1235"/>
      <c r="BL17" s="1235"/>
      <c r="BM17" s="1235"/>
      <c r="BN17" s="1236"/>
      <c r="BO17" s="704"/>
      <c r="BP17" s="705"/>
      <c r="BQ17" s="705"/>
      <c r="BR17" s="705"/>
      <c r="BS17" s="705"/>
      <c r="BT17" s="705"/>
      <c r="BU17" s="705"/>
      <c r="BV17" s="705"/>
      <c r="BW17" s="705"/>
      <c r="BX17" s="705"/>
      <c r="BY17" s="705"/>
      <c r="BZ17" s="705"/>
      <c r="CA17" s="705"/>
      <c r="CB17" s="706"/>
    </row>
    <row r="18" spans="3:80" ht="11.25" customHeight="1">
      <c r="C18" s="704"/>
      <c r="D18" s="705"/>
      <c r="E18" s="705"/>
      <c r="F18" s="705"/>
      <c r="G18" s="705"/>
      <c r="H18" s="705"/>
      <c r="I18" s="705"/>
      <c r="J18" s="705"/>
      <c r="K18" s="705"/>
      <c r="L18" s="706"/>
      <c r="M18" s="1179"/>
      <c r="N18" s="1179"/>
      <c r="O18" s="1179"/>
      <c r="P18" s="1179"/>
      <c r="Q18" s="1179"/>
      <c r="R18" s="1179"/>
      <c r="S18" s="1179"/>
      <c r="T18" s="1179"/>
      <c r="U18" s="1179"/>
      <c r="V18" s="1179"/>
      <c r="W18" s="1179"/>
      <c r="X18" s="1179"/>
      <c r="Y18" s="1179"/>
      <c r="Z18" s="1179"/>
      <c r="AA18" s="1179"/>
      <c r="AB18" s="1179"/>
      <c r="AC18" s="1179"/>
      <c r="AD18" s="1179"/>
      <c r="AE18" s="1179"/>
      <c r="AF18" s="1179"/>
      <c r="AG18" s="1179"/>
      <c r="AH18" s="1179"/>
      <c r="AI18" s="1179"/>
      <c r="AJ18" s="1179"/>
      <c r="AK18" s="1179"/>
      <c r="AL18" s="1179"/>
      <c r="AM18" s="1179"/>
      <c r="AN18" s="1179"/>
      <c r="AO18" s="1179"/>
      <c r="AP18" s="1179"/>
      <c r="AQ18" s="1179"/>
      <c r="AR18" s="1179"/>
      <c r="AS18" s="1179"/>
      <c r="AT18" s="1179"/>
      <c r="AU18" s="1179"/>
      <c r="AV18" s="1179"/>
      <c r="AW18" s="1179"/>
      <c r="AX18" s="1179"/>
      <c r="AY18" s="1179"/>
      <c r="AZ18" s="1234"/>
      <c r="BA18" s="1235"/>
      <c r="BB18" s="1235"/>
      <c r="BC18" s="1235"/>
      <c r="BD18" s="1236"/>
      <c r="BE18" s="1234"/>
      <c r="BF18" s="1235"/>
      <c r="BG18" s="1235"/>
      <c r="BH18" s="1235"/>
      <c r="BI18" s="1236"/>
      <c r="BJ18" s="1234"/>
      <c r="BK18" s="1235"/>
      <c r="BL18" s="1235"/>
      <c r="BM18" s="1235"/>
      <c r="BN18" s="1236"/>
      <c r="BO18" s="704"/>
      <c r="BP18" s="705"/>
      <c r="BQ18" s="705"/>
      <c r="BR18" s="705"/>
      <c r="BS18" s="705"/>
      <c r="BT18" s="705"/>
      <c r="BU18" s="705"/>
      <c r="BV18" s="705"/>
      <c r="BW18" s="705"/>
      <c r="BX18" s="705"/>
      <c r="BY18" s="705"/>
      <c r="BZ18" s="705"/>
      <c r="CA18" s="705"/>
      <c r="CB18" s="706"/>
    </row>
    <row r="19" spans="3:80" ht="11.25" customHeight="1">
      <c r="C19" s="707"/>
      <c r="D19" s="708"/>
      <c r="E19" s="708"/>
      <c r="F19" s="708"/>
      <c r="G19" s="708"/>
      <c r="H19" s="708"/>
      <c r="I19" s="708"/>
      <c r="J19" s="708"/>
      <c r="K19" s="708"/>
      <c r="L19" s="709"/>
      <c r="M19" s="1179"/>
      <c r="N19" s="1179"/>
      <c r="O19" s="1179"/>
      <c r="P19" s="1179"/>
      <c r="Q19" s="1179"/>
      <c r="R19" s="1179"/>
      <c r="S19" s="1179"/>
      <c r="T19" s="1179"/>
      <c r="U19" s="1179"/>
      <c r="V19" s="1179"/>
      <c r="W19" s="1179"/>
      <c r="X19" s="1179"/>
      <c r="Y19" s="1179"/>
      <c r="Z19" s="1179"/>
      <c r="AA19" s="1179"/>
      <c r="AB19" s="1179"/>
      <c r="AC19" s="1179"/>
      <c r="AD19" s="1179"/>
      <c r="AE19" s="1179"/>
      <c r="AF19" s="1179"/>
      <c r="AG19" s="1179"/>
      <c r="AH19" s="1179"/>
      <c r="AI19" s="1179"/>
      <c r="AJ19" s="1179"/>
      <c r="AK19" s="1179"/>
      <c r="AL19" s="1179"/>
      <c r="AM19" s="1179"/>
      <c r="AN19" s="1179"/>
      <c r="AO19" s="1179"/>
      <c r="AP19" s="1179"/>
      <c r="AQ19" s="1179"/>
      <c r="AR19" s="1179"/>
      <c r="AS19" s="1179"/>
      <c r="AT19" s="1179"/>
      <c r="AU19" s="1179"/>
      <c r="AV19" s="1179"/>
      <c r="AW19" s="1179"/>
      <c r="AX19" s="1179"/>
      <c r="AY19" s="1179"/>
      <c r="AZ19" s="1237"/>
      <c r="BA19" s="1238"/>
      <c r="BB19" s="1238"/>
      <c r="BC19" s="1238"/>
      <c r="BD19" s="1239"/>
      <c r="BE19" s="1237"/>
      <c r="BF19" s="1238"/>
      <c r="BG19" s="1238"/>
      <c r="BH19" s="1238"/>
      <c r="BI19" s="1239"/>
      <c r="BJ19" s="1237"/>
      <c r="BK19" s="1238"/>
      <c r="BL19" s="1238"/>
      <c r="BM19" s="1238"/>
      <c r="BN19" s="1239"/>
      <c r="BO19" s="707"/>
      <c r="BP19" s="708"/>
      <c r="BQ19" s="708"/>
      <c r="BR19" s="708"/>
      <c r="BS19" s="708"/>
      <c r="BT19" s="708"/>
      <c r="BU19" s="708"/>
      <c r="BV19" s="708"/>
      <c r="BW19" s="708"/>
      <c r="BX19" s="708"/>
      <c r="BY19" s="708"/>
      <c r="BZ19" s="708"/>
      <c r="CA19" s="708"/>
      <c r="CB19" s="709"/>
    </row>
    <row r="20" spans="3:80" ht="11.25" customHeight="1">
      <c r="C20" s="676"/>
      <c r="D20" s="677"/>
      <c r="E20" s="677"/>
      <c r="F20" s="677"/>
      <c r="G20" s="677"/>
      <c r="H20" s="677"/>
      <c r="I20" s="677"/>
      <c r="J20" s="677"/>
      <c r="K20" s="677"/>
      <c r="L20" s="678"/>
      <c r="M20" s="1179"/>
      <c r="N20" s="1179"/>
      <c r="O20" s="1179"/>
      <c r="P20" s="1179"/>
      <c r="Q20" s="1179"/>
      <c r="R20" s="1179"/>
      <c r="S20" s="1179"/>
      <c r="T20" s="1179"/>
      <c r="U20" s="1179"/>
      <c r="V20" s="1179"/>
      <c r="W20" s="1179"/>
      <c r="X20" s="1179"/>
      <c r="Y20" s="1179"/>
      <c r="Z20" s="1179"/>
      <c r="AA20" s="1179"/>
      <c r="AB20" s="1179"/>
      <c r="AC20" s="1179"/>
      <c r="AD20" s="1179"/>
      <c r="AE20" s="1179"/>
      <c r="AF20" s="1179"/>
      <c r="AG20" s="1179"/>
      <c r="AH20" s="1179"/>
      <c r="AI20" s="1179"/>
      <c r="AJ20" s="1179"/>
      <c r="AK20" s="1179"/>
      <c r="AL20" s="1179"/>
      <c r="AM20" s="1179"/>
      <c r="AN20" s="1179"/>
      <c r="AO20" s="1179"/>
      <c r="AP20" s="1179"/>
      <c r="AQ20" s="1179"/>
      <c r="AR20" s="1179"/>
      <c r="AS20" s="1179"/>
      <c r="AT20" s="1179"/>
      <c r="AU20" s="1179"/>
      <c r="AV20" s="1179"/>
      <c r="AW20" s="1179"/>
      <c r="AX20" s="1179"/>
      <c r="AY20" s="1179"/>
      <c r="AZ20" s="1231"/>
      <c r="BA20" s="1232"/>
      <c r="BB20" s="1232"/>
      <c r="BC20" s="1232"/>
      <c r="BD20" s="1233"/>
      <c r="BE20" s="1231"/>
      <c r="BF20" s="1232"/>
      <c r="BG20" s="1232"/>
      <c r="BH20" s="1232"/>
      <c r="BI20" s="1233"/>
      <c r="BJ20" s="1231"/>
      <c r="BK20" s="1232"/>
      <c r="BL20" s="1232"/>
      <c r="BM20" s="1232"/>
      <c r="BN20" s="1233"/>
      <c r="BO20" s="676"/>
      <c r="BP20" s="677"/>
      <c r="BQ20" s="677"/>
      <c r="BR20" s="677"/>
      <c r="BS20" s="677"/>
      <c r="BT20" s="677"/>
      <c r="BU20" s="677"/>
      <c r="BV20" s="677"/>
      <c r="BW20" s="677"/>
      <c r="BX20" s="677"/>
      <c r="BY20" s="677"/>
      <c r="BZ20" s="677"/>
      <c r="CA20" s="677"/>
      <c r="CB20" s="678"/>
    </row>
    <row r="21" spans="3:80" ht="11.25" customHeight="1">
      <c r="C21" s="704"/>
      <c r="D21" s="705"/>
      <c r="E21" s="705"/>
      <c r="F21" s="705"/>
      <c r="G21" s="705"/>
      <c r="H21" s="705"/>
      <c r="I21" s="705"/>
      <c r="J21" s="705"/>
      <c r="K21" s="705"/>
      <c r="L21" s="706"/>
      <c r="M21" s="1179"/>
      <c r="N21" s="1179"/>
      <c r="O21" s="1179"/>
      <c r="P21" s="1179"/>
      <c r="Q21" s="1179"/>
      <c r="R21" s="1179"/>
      <c r="S21" s="1179"/>
      <c r="T21" s="1179"/>
      <c r="U21" s="1179"/>
      <c r="V21" s="1179"/>
      <c r="W21" s="1179"/>
      <c r="X21" s="1179"/>
      <c r="Y21" s="1179"/>
      <c r="Z21" s="1179"/>
      <c r="AA21" s="1179"/>
      <c r="AB21" s="1179"/>
      <c r="AC21" s="1179"/>
      <c r="AD21" s="1179"/>
      <c r="AE21" s="1179"/>
      <c r="AF21" s="1179"/>
      <c r="AG21" s="1179"/>
      <c r="AH21" s="1179"/>
      <c r="AI21" s="1179"/>
      <c r="AJ21" s="1179"/>
      <c r="AK21" s="1179"/>
      <c r="AL21" s="1179"/>
      <c r="AM21" s="1179"/>
      <c r="AN21" s="1179"/>
      <c r="AO21" s="1179"/>
      <c r="AP21" s="1179"/>
      <c r="AQ21" s="1179"/>
      <c r="AR21" s="1179"/>
      <c r="AS21" s="1179"/>
      <c r="AT21" s="1179"/>
      <c r="AU21" s="1179"/>
      <c r="AV21" s="1179"/>
      <c r="AW21" s="1179"/>
      <c r="AX21" s="1179"/>
      <c r="AY21" s="1179"/>
      <c r="AZ21" s="1234"/>
      <c r="BA21" s="1235"/>
      <c r="BB21" s="1235"/>
      <c r="BC21" s="1235"/>
      <c r="BD21" s="1236"/>
      <c r="BE21" s="1234"/>
      <c r="BF21" s="1235"/>
      <c r="BG21" s="1235"/>
      <c r="BH21" s="1235"/>
      <c r="BI21" s="1236"/>
      <c r="BJ21" s="1234"/>
      <c r="BK21" s="1235"/>
      <c r="BL21" s="1235"/>
      <c r="BM21" s="1235"/>
      <c r="BN21" s="1236"/>
      <c r="BO21" s="704"/>
      <c r="BP21" s="705"/>
      <c r="BQ21" s="705"/>
      <c r="BR21" s="705"/>
      <c r="BS21" s="705"/>
      <c r="BT21" s="705"/>
      <c r="BU21" s="705"/>
      <c r="BV21" s="705"/>
      <c r="BW21" s="705"/>
      <c r="BX21" s="705"/>
      <c r="BY21" s="705"/>
      <c r="BZ21" s="705"/>
      <c r="CA21" s="705"/>
      <c r="CB21" s="706"/>
    </row>
    <row r="22" spans="3:80" ht="11.25" customHeight="1">
      <c r="C22" s="704"/>
      <c r="D22" s="705"/>
      <c r="E22" s="705"/>
      <c r="F22" s="705"/>
      <c r="G22" s="705"/>
      <c r="H22" s="705"/>
      <c r="I22" s="705"/>
      <c r="J22" s="705"/>
      <c r="K22" s="705"/>
      <c r="L22" s="706"/>
      <c r="M22" s="1179"/>
      <c r="N22" s="1179"/>
      <c r="O22" s="1179"/>
      <c r="P22" s="1179"/>
      <c r="Q22" s="1179"/>
      <c r="R22" s="1179"/>
      <c r="S22" s="1179"/>
      <c r="T22" s="1179"/>
      <c r="U22" s="1179"/>
      <c r="V22" s="1179"/>
      <c r="W22" s="1179"/>
      <c r="X22" s="1179"/>
      <c r="Y22" s="1179"/>
      <c r="Z22" s="1179"/>
      <c r="AA22" s="1179"/>
      <c r="AB22" s="1179"/>
      <c r="AC22" s="1179"/>
      <c r="AD22" s="1179"/>
      <c r="AE22" s="1179"/>
      <c r="AF22" s="1179"/>
      <c r="AG22" s="1179"/>
      <c r="AH22" s="1179"/>
      <c r="AI22" s="1179"/>
      <c r="AJ22" s="1179"/>
      <c r="AK22" s="1179"/>
      <c r="AL22" s="1179"/>
      <c r="AM22" s="1179"/>
      <c r="AN22" s="1179"/>
      <c r="AO22" s="1179"/>
      <c r="AP22" s="1179"/>
      <c r="AQ22" s="1179"/>
      <c r="AR22" s="1179"/>
      <c r="AS22" s="1179"/>
      <c r="AT22" s="1179"/>
      <c r="AU22" s="1179"/>
      <c r="AV22" s="1179"/>
      <c r="AW22" s="1179"/>
      <c r="AX22" s="1179"/>
      <c r="AY22" s="1179"/>
      <c r="AZ22" s="1234"/>
      <c r="BA22" s="1235"/>
      <c r="BB22" s="1235"/>
      <c r="BC22" s="1235"/>
      <c r="BD22" s="1236"/>
      <c r="BE22" s="1234"/>
      <c r="BF22" s="1235"/>
      <c r="BG22" s="1235"/>
      <c r="BH22" s="1235"/>
      <c r="BI22" s="1236"/>
      <c r="BJ22" s="1234"/>
      <c r="BK22" s="1235"/>
      <c r="BL22" s="1235"/>
      <c r="BM22" s="1235"/>
      <c r="BN22" s="1236"/>
      <c r="BO22" s="704"/>
      <c r="BP22" s="705"/>
      <c r="BQ22" s="705"/>
      <c r="BR22" s="705"/>
      <c r="BS22" s="705"/>
      <c r="BT22" s="705"/>
      <c r="BU22" s="705"/>
      <c r="BV22" s="705"/>
      <c r="BW22" s="705"/>
      <c r="BX22" s="705"/>
      <c r="BY22" s="705"/>
      <c r="BZ22" s="705"/>
      <c r="CA22" s="705"/>
      <c r="CB22" s="706"/>
    </row>
    <row r="23" spans="3:80" ht="11.25" customHeight="1">
      <c r="C23" s="707"/>
      <c r="D23" s="708"/>
      <c r="E23" s="708"/>
      <c r="F23" s="708"/>
      <c r="G23" s="708"/>
      <c r="H23" s="708"/>
      <c r="I23" s="708"/>
      <c r="J23" s="708"/>
      <c r="K23" s="708"/>
      <c r="L23" s="709"/>
      <c r="M23" s="1179"/>
      <c r="N23" s="1179"/>
      <c r="O23" s="1179"/>
      <c r="P23" s="1179"/>
      <c r="Q23" s="1179"/>
      <c r="R23" s="1179"/>
      <c r="S23" s="1179"/>
      <c r="T23" s="1179"/>
      <c r="U23" s="1179"/>
      <c r="V23" s="1179"/>
      <c r="W23" s="1179"/>
      <c r="X23" s="1179"/>
      <c r="Y23" s="1179"/>
      <c r="Z23" s="1179"/>
      <c r="AA23" s="1179"/>
      <c r="AB23" s="1179"/>
      <c r="AC23" s="1179"/>
      <c r="AD23" s="1179"/>
      <c r="AE23" s="1179"/>
      <c r="AF23" s="1179"/>
      <c r="AG23" s="1179"/>
      <c r="AH23" s="1179"/>
      <c r="AI23" s="1179"/>
      <c r="AJ23" s="1179"/>
      <c r="AK23" s="1179"/>
      <c r="AL23" s="1179"/>
      <c r="AM23" s="1179"/>
      <c r="AN23" s="1179"/>
      <c r="AO23" s="1179"/>
      <c r="AP23" s="1179"/>
      <c r="AQ23" s="1179"/>
      <c r="AR23" s="1179"/>
      <c r="AS23" s="1179"/>
      <c r="AT23" s="1179"/>
      <c r="AU23" s="1179"/>
      <c r="AV23" s="1179"/>
      <c r="AW23" s="1179"/>
      <c r="AX23" s="1179"/>
      <c r="AY23" s="1179"/>
      <c r="AZ23" s="1237"/>
      <c r="BA23" s="1238"/>
      <c r="BB23" s="1238"/>
      <c r="BC23" s="1238"/>
      <c r="BD23" s="1239"/>
      <c r="BE23" s="1237"/>
      <c r="BF23" s="1238"/>
      <c r="BG23" s="1238"/>
      <c r="BH23" s="1238"/>
      <c r="BI23" s="1239"/>
      <c r="BJ23" s="1237"/>
      <c r="BK23" s="1238"/>
      <c r="BL23" s="1238"/>
      <c r="BM23" s="1238"/>
      <c r="BN23" s="1239"/>
      <c r="BO23" s="707"/>
      <c r="BP23" s="708"/>
      <c r="BQ23" s="708"/>
      <c r="BR23" s="708"/>
      <c r="BS23" s="708"/>
      <c r="BT23" s="708"/>
      <c r="BU23" s="708"/>
      <c r="BV23" s="708"/>
      <c r="BW23" s="708"/>
      <c r="BX23" s="708"/>
      <c r="BY23" s="708"/>
      <c r="BZ23" s="708"/>
      <c r="CA23" s="708"/>
      <c r="CB23" s="709"/>
    </row>
    <row r="24" spans="3:80" ht="11.25" customHeight="1">
      <c r="C24" s="676"/>
      <c r="D24" s="677"/>
      <c r="E24" s="677"/>
      <c r="F24" s="677"/>
      <c r="G24" s="677"/>
      <c r="H24" s="677"/>
      <c r="I24" s="677"/>
      <c r="J24" s="677"/>
      <c r="K24" s="677"/>
      <c r="L24" s="678"/>
      <c r="M24" s="1179"/>
      <c r="N24" s="1179"/>
      <c r="O24" s="1179"/>
      <c r="P24" s="1179"/>
      <c r="Q24" s="1179"/>
      <c r="R24" s="1179"/>
      <c r="S24" s="1179"/>
      <c r="T24" s="1179"/>
      <c r="U24" s="1179"/>
      <c r="V24" s="1179"/>
      <c r="W24" s="1179"/>
      <c r="X24" s="1179"/>
      <c r="Y24" s="1179"/>
      <c r="Z24" s="1179"/>
      <c r="AA24" s="1179"/>
      <c r="AB24" s="1179"/>
      <c r="AC24" s="1179"/>
      <c r="AD24" s="1179"/>
      <c r="AE24" s="1179"/>
      <c r="AF24" s="1179"/>
      <c r="AG24" s="1179"/>
      <c r="AH24" s="1179"/>
      <c r="AI24" s="1179"/>
      <c r="AJ24" s="1179"/>
      <c r="AK24" s="1179"/>
      <c r="AL24" s="1179"/>
      <c r="AM24" s="1179"/>
      <c r="AN24" s="1179"/>
      <c r="AO24" s="1179"/>
      <c r="AP24" s="1179"/>
      <c r="AQ24" s="1179"/>
      <c r="AR24" s="1179"/>
      <c r="AS24" s="1179"/>
      <c r="AT24" s="1179"/>
      <c r="AU24" s="1179"/>
      <c r="AV24" s="1179"/>
      <c r="AW24" s="1179"/>
      <c r="AX24" s="1179"/>
      <c r="AY24" s="1179"/>
      <c r="AZ24" s="1231"/>
      <c r="BA24" s="1232"/>
      <c r="BB24" s="1232"/>
      <c r="BC24" s="1232"/>
      <c r="BD24" s="1233"/>
      <c r="BE24" s="1231"/>
      <c r="BF24" s="1232"/>
      <c r="BG24" s="1232"/>
      <c r="BH24" s="1232"/>
      <c r="BI24" s="1233"/>
      <c r="BJ24" s="1231"/>
      <c r="BK24" s="1232"/>
      <c r="BL24" s="1232"/>
      <c r="BM24" s="1232"/>
      <c r="BN24" s="1233"/>
      <c r="BO24" s="676"/>
      <c r="BP24" s="677"/>
      <c r="BQ24" s="677"/>
      <c r="BR24" s="677"/>
      <c r="BS24" s="677"/>
      <c r="BT24" s="677"/>
      <c r="BU24" s="677"/>
      <c r="BV24" s="677"/>
      <c r="BW24" s="677"/>
      <c r="BX24" s="677"/>
      <c r="BY24" s="677"/>
      <c r="BZ24" s="677"/>
      <c r="CA24" s="677"/>
      <c r="CB24" s="678"/>
    </row>
    <row r="25" spans="3:80" ht="11.25" customHeight="1">
      <c r="C25" s="704"/>
      <c r="D25" s="705"/>
      <c r="E25" s="705"/>
      <c r="F25" s="705"/>
      <c r="G25" s="705"/>
      <c r="H25" s="705"/>
      <c r="I25" s="705"/>
      <c r="J25" s="705"/>
      <c r="K25" s="705"/>
      <c r="L25" s="706"/>
      <c r="M25" s="1179"/>
      <c r="N25" s="1179"/>
      <c r="O25" s="1179"/>
      <c r="P25" s="1179"/>
      <c r="Q25" s="1179"/>
      <c r="R25" s="1179"/>
      <c r="S25" s="1179"/>
      <c r="T25" s="1179"/>
      <c r="U25" s="1179"/>
      <c r="V25" s="1179"/>
      <c r="W25" s="1179"/>
      <c r="X25" s="1179"/>
      <c r="Y25" s="1179"/>
      <c r="Z25" s="1179"/>
      <c r="AA25" s="1179"/>
      <c r="AB25" s="1179"/>
      <c r="AC25" s="1179"/>
      <c r="AD25" s="1179"/>
      <c r="AE25" s="1179"/>
      <c r="AF25" s="1179"/>
      <c r="AG25" s="1179"/>
      <c r="AH25" s="1179"/>
      <c r="AI25" s="1179"/>
      <c r="AJ25" s="1179"/>
      <c r="AK25" s="1179"/>
      <c r="AL25" s="1179"/>
      <c r="AM25" s="1179"/>
      <c r="AN25" s="1179"/>
      <c r="AO25" s="1179"/>
      <c r="AP25" s="1179"/>
      <c r="AQ25" s="1179"/>
      <c r="AR25" s="1179"/>
      <c r="AS25" s="1179"/>
      <c r="AT25" s="1179"/>
      <c r="AU25" s="1179"/>
      <c r="AV25" s="1179"/>
      <c r="AW25" s="1179"/>
      <c r="AX25" s="1179"/>
      <c r="AY25" s="1179"/>
      <c r="AZ25" s="1234"/>
      <c r="BA25" s="1235"/>
      <c r="BB25" s="1235"/>
      <c r="BC25" s="1235"/>
      <c r="BD25" s="1236"/>
      <c r="BE25" s="1234"/>
      <c r="BF25" s="1235"/>
      <c r="BG25" s="1235"/>
      <c r="BH25" s="1235"/>
      <c r="BI25" s="1236"/>
      <c r="BJ25" s="1234"/>
      <c r="BK25" s="1235"/>
      <c r="BL25" s="1235"/>
      <c r="BM25" s="1235"/>
      <c r="BN25" s="1236"/>
      <c r="BO25" s="704"/>
      <c r="BP25" s="705"/>
      <c r="BQ25" s="705"/>
      <c r="BR25" s="705"/>
      <c r="BS25" s="705"/>
      <c r="BT25" s="705"/>
      <c r="BU25" s="705"/>
      <c r="BV25" s="705"/>
      <c r="BW25" s="705"/>
      <c r="BX25" s="705"/>
      <c r="BY25" s="705"/>
      <c r="BZ25" s="705"/>
      <c r="CA25" s="705"/>
      <c r="CB25" s="706"/>
    </row>
    <row r="26" spans="3:80" ht="11.25" customHeight="1">
      <c r="C26" s="704"/>
      <c r="D26" s="705"/>
      <c r="E26" s="705"/>
      <c r="F26" s="705"/>
      <c r="G26" s="705"/>
      <c r="H26" s="705"/>
      <c r="I26" s="705"/>
      <c r="J26" s="705"/>
      <c r="K26" s="705"/>
      <c r="L26" s="706"/>
      <c r="M26" s="1179"/>
      <c r="N26" s="1179"/>
      <c r="O26" s="1179"/>
      <c r="P26" s="1179"/>
      <c r="Q26" s="1179"/>
      <c r="R26" s="1179"/>
      <c r="S26" s="1179"/>
      <c r="T26" s="1179"/>
      <c r="U26" s="1179"/>
      <c r="V26" s="1179"/>
      <c r="W26" s="1179"/>
      <c r="X26" s="1179"/>
      <c r="Y26" s="1179"/>
      <c r="Z26" s="1179"/>
      <c r="AA26" s="1179"/>
      <c r="AB26" s="1179"/>
      <c r="AC26" s="1179"/>
      <c r="AD26" s="1179"/>
      <c r="AE26" s="1179"/>
      <c r="AF26" s="1179"/>
      <c r="AG26" s="1179"/>
      <c r="AH26" s="1179"/>
      <c r="AI26" s="1179"/>
      <c r="AJ26" s="1179"/>
      <c r="AK26" s="1179"/>
      <c r="AL26" s="1179"/>
      <c r="AM26" s="1179"/>
      <c r="AN26" s="1179"/>
      <c r="AO26" s="1179"/>
      <c r="AP26" s="1179"/>
      <c r="AQ26" s="1179"/>
      <c r="AR26" s="1179"/>
      <c r="AS26" s="1179"/>
      <c r="AT26" s="1179"/>
      <c r="AU26" s="1179"/>
      <c r="AV26" s="1179"/>
      <c r="AW26" s="1179"/>
      <c r="AX26" s="1179"/>
      <c r="AY26" s="1179"/>
      <c r="AZ26" s="1234"/>
      <c r="BA26" s="1235"/>
      <c r="BB26" s="1235"/>
      <c r="BC26" s="1235"/>
      <c r="BD26" s="1236"/>
      <c r="BE26" s="1234"/>
      <c r="BF26" s="1235"/>
      <c r="BG26" s="1235"/>
      <c r="BH26" s="1235"/>
      <c r="BI26" s="1236"/>
      <c r="BJ26" s="1234"/>
      <c r="BK26" s="1235"/>
      <c r="BL26" s="1235"/>
      <c r="BM26" s="1235"/>
      <c r="BN26" s="1236"/>
      <c r="BO26" s="704"/>
      <c r="BP26" s="705"/>
      <c r="BQ26" s="705"/>
      <c r="BR26" s="705"/>
      <c r="BS26" s="705"/>
      <c r="BT26" s="705"/>
      <c r="BU26" s="705"/>
      <c r="BV26" s="705"/>
      <c r="BW26" s="705"/>
      <c r="BX26" s="705"/>
      <c r="BY26" s="705"/>
      <c r="BZ26" s="705"/>
      <c r="CA26" s="705"/>
      <c r="CB26" s="706"/>
    </row>
    <row r="27" spans="3:80" ht="11.25" customHeight="1">
      <c r="C27" s="707"/>
      <c r="D27" s="708"/>
      <c r="E27" s="708"/>
      <c r="F27" s="708"/>
      <c r="G27" s="708"/>
      <c r="H27" s="708"/>
      <c r="I27" s="708"/>
      <c r="J27" s="708"/>
      <c r="K27" s="708"/>
      <c r="L27" s="709"/>
      <c r="M27" s="1179"/>
      <c r="N27" s="1179"/>
      <c r="O27" s="1179"/>
      <c r="P27" s="1179"/>
      <c r="Q27" s="1179"/>
      <c r="R27" s="1179"/>
      <c r="S27" s="1179"/>
      <c r="T27" s="1179"/>
      <c r="U27" s="1179"/>
      <c r="V27" s="1179"/>
      <c r="W27" s="1179"/>
      <c r="X27" s="1179"/>
      <c r="Y27" s="1179"/>
      <c r="Z27" s="1179"/>
      <c r="AA27" s="1179"/>
      <c r="AB27" s="1179"/>
      <c r="AC27" s="1179"/>
      <c r="AD27" s="1179"/>
      <c r="AE27" s="1179"/>
      <c r="AF27" s="1179"/>
      <c r="AG27" s="1179"/>
      <c r="AH27" s="1179"/>
      <c r="AI27" s="1179"/>
      <c r="AJ27" s="1179"/>
      <c r="AK27" s="1179"/>
      <c r="AL27" s="1179"/>
      <c r="AM27" s="1179"/>
      <c r="AN27" s="1179"/>
      <c r="AO27" s="1179"/>
      <c r="AP27" s="1179"/>
      <c r="AQ27" s="1179"/>
      <c r="AR27" s="1179"/>
      <c r="AS27" s="1179"/>
      <c r="AT27" s="1179"/>
      <c r="AU27" s="1179"/>
      <c r="AV27" s="1179"/>
      <c r="AW27" s="1179"/>
      <c r="AX27" s="1179"/>
      <c r="AY27" s="1179"/>
      <c r="AZ27" s="1237"/>
      <c r="BA27" s="1238"/>
      <c r="BB27" s="1238"/>
      <c r="BC27" s="1238"/>
      <c r="BD27" s="1239"/>
      <c r="BE27" s="1237"/>
      <c r="BF27" s="1238"/>
      <c r="BG27" s="1238"/>
      <c r="BH27" s="1238"/>
      <c r="BI27" s="1239"/>
      <c r="BJ27" s="1237"/>
      <c r="BK27" s="1238"/>
      <c r="BL27" s="1238"/>
      <c r="BM27" s="1238"/>
      <c r="BN27" s="1239"/>
      <c r="BO27" s="707"/>
      <c r="BP27" s="708"/>
      <c r="BQ27" s="708"/>
      <c r="BR27" s="708"/>
      <c r="BS27" s="708"/>
      <c r="BT27" s="708"/>
      <c r="BU27" s="708"/>
      <c r="BV27" s="708"/>
      <c r="BW27" s="708"/>
      <c r="BX27" s="708"/>
      <c r="BY27" s="708"/>
      <c r="BZ27" s="708"/>
      <c r="CA27" s="708"/>
      <c r="CB27" s="709"/>
    </row>
    <row r="28" spans="3:80" ht="11.25" customHeight="1">
      <c r="C28" s="676"/>
      <c r="D28" s="677"/>
      <c r="E28" s="677"/>
      <c r="F28" s="677"/>
      <c r="G28" s="677"/>
      <c r="H28" s="677"/>
      <c r="I28" s="677"/>
      <c r="J28" s="677"/>
      <c r="K28" s="677"/>
      <c r="L28" s="678"/>
      <c r="M28" s="1179"/>
      <c r="N28" s="1179"/>
      <c r="O28" s="1179"/>
      <c r="P28" s="1179"/>
      <c r="Q28" s="1179"/>
      <c r="R28" s="1179"/>
      <c r="S28" s="1179"/>
      <c r="T28" s="1179"/>
      <c r="U28" s="1179"/>
      <c r="V28" s="1179"/>
      <c r="W28" s="1179"/>
      <c r="X28" s="1179"/>
      <c r="Y28" s="1179"/>
      <c r="Z28" s="1179"/>
      <c r="AA28" s="1179"/>
      <c r="AB28" s="1179"/>
      <c r="AC28" s="1179"/>
      <c r="AD28" s="1179"/>
      <c r="AE28" s="1179"/>
      <c r="AF28" s="1179"/>
      <c r="AG28" s="1179"/>
      <c r="AH28" s="1179"/>
      <c r="AI28" s="1179"/>
      <c r="AJ28" s="1179"/>
      <c r="AK28" s="1179"/>
      <c r="AL28" s="1179"/>
      <c r="AM28" s="1179"/>
      <c r="AN28" s="1179"/>
      <c r="AO28" s="1179"/>
      <c r="AP28" s="1179"/>
      <c r="AQ28" s="1179"/>
      <c r="AR28" s="1179"/>
      <c r="AS28" s="1179"/>
      <c r="AT28" s="1179"/>
      <c r="AU28" s="1179"/>
      <c r="AV28" s="1179"/>
      <c r="AW28" s="1179"/>
      <c r="AX28" s="1179"/>
      <c r="AY28" s="1179"/>
      <c r="AZ28" s="1231"/>
      <c r="BA28" s="1232"/>
      <c r="BB28" s="1232"/>
      <c r="BC28" s="1232"/>
      <c r="BD28" s="1233"/>
      <c r="BE28" s="1231"/>
      <c r="BF28" s="1232"/>
      <c r="BG28" s="1232"/>
      <c r="BH28" s="1232"/>
      <c r="BI28" s="1233"/>
      <c r="BJ28" s="1231"/>
      <c r="BK28" s="1232"/>
      <c r="BL28" s="1232"/>
      <c r="BM28" s="1232"/>
      <c r="BN28" s="1233"/>
      <c r="BO28" s="676"/>
      <c r="BP28" s="677"/>
      <c r="BQ28" s="677"/>
      <c r="BR28" s="677"/>
      <c r="BS28" s="677"/>
      <c r="BT28" s="677"/>
      <c r="BU28" s="677"/>
      <c r="BV28" s="677"/>
      <c r="BW28" s="677"/>
      <c r="BX28" s="677"/>
      <c r="BY28" s="677"/>
      <c r="BZ28" s="677"/>
      <c r="CA28" s="677"/>
      <c r="CB28" s="678"/>
    </row>
    <row r="29" spans="3:80" ht="11.25" customHeight="1">
      <c r="C29" s="704"/>
      <c r="D29" s="705"/>
      <c r="E29" s="705"/>
      <c r="F29" s="705"/>
      <c r="G29" s="705"/>
      <c r="H29" s="705"/>
      <c r="I29" s="705"/>
      <c r="J29" s="705"/>
      <c r="K29" s="705"/>
      <c r="L29" s="706"/>
      <c r="M29" s="1179"/>
      <c r="N29" s="1179"/>
      <c r="O29" s="1179"/>
      <c r="P29" s="1179"/>
      <c r="Q29" s="1179"/>
      <c r="R29" s="1179"/>
      <c r="S29" s="1179"/>
      <c r="T29" s="1179"/>
      <c r="U29" s="1179"/>
      <c r="V29" s="1179"/>
      <c r="W29" s="1179"/>
      <c r="X29" s="1179"/>
      <c r="Y29" s="1179"/>
      <c r="Z29" s="1179"/>
      <c r="AA29" s="1179"/>
      <c r="AB29" s="1179"/>
      <c r="AC29" s="1179"/>
      <c r="AD29" s="1179"/>
      <c r="AE29" s="1179"/>
      <c r="AF29" s="1179"/>
      <c r="AG29" s="1179"/>
      <c r="AH29" s="1179"/>
      <c r="AI29" s="1179"/>
      <c r="AJ29" s="1179"/>
      <c r="AK29" s="1179"/>
      <c r="AL29" s="1179"/>
      <c r="AM29" s="1179"/>
      <c r="AN29" s="1179"/>
      <c r="AO29" s="1179"/>
      <c r="AP29" s="1179"/>
      <c r="AQ29" s="1179"/>
      <c r="AR29" s="1179"/>
      <c r="AS29" s="1179"/>
      <c r="AT29" s="1179"/>
      <c r="AU29" s="1179"/>
      <c r="AV29" s="1179"/>
      <c r="AW29" s="1179"/>
      <c r="AX29" s="1179"/>
      <c r="AY29" s="1179"/>
      <c r="AZ29" s="1234"/>
      <c r="BA29" s="1235"/>
      <c r="BB29" s="1235"/>
      <c r="BC29" s="1235"/>
      <c r="BD29" s="1236"/>
      <c r="BE29" s="1234"/>
      <c r="BF29" s="1235"/>
      <c r="BG29" s="1235"/>
      <c r="BH29" s="1235"/>
      <c r="BI29" s="1236"/>
      <c r="BJ29" s="1234"/>
      <c r="BK29" s="1235"/>
      <c r="BL29" s="1235"/>
      <c r="BM29" s="1235"/>
      <c r="BN29" s="1236"/>
      <c r="BO29" s="704"/>
      <c r="BP29" s="705"/>
      <c r="BQ29" s="705"/>
      <c r="BR29" s="705"/>
      <c r="BS29" s="705"/>
      <c r="BT29" s="705"/>
      <c r="BU29" s="705"/>
      <c r="BV29" s="705"/>
      <c r="BW29" s="705"/>
      <c r="BX29" s="705"/>
      <c r="BY29" s="705"/>
      <c r="BZ29" s="705"/>
      <c r="CA29" s="705"/>
      <c r="CB29" s="706"/>
    </row>
    <row r="30" spans="3:80" ht="11.25" customHeight="1">
      <c r="C30" s="704"/>
      <c r="D30" s="705"/>
      <c r="E30" s="705"/>
      <c r="F30" s="705"/>
      <c r="G30" s="705"/>
      <c r="H30" s="705"/>
      <c r="I30" s="705"/>
      <c r="J30" s="705"/>
      <c r="K30" s="705"/>
      <c r="L30" s="706"/>
      <c r="M30" s="1179"/>
      <c r="N30" s="1179"/>
      <c r="O30" s="1179"/>
      <c r="P30" s="1179"/>
      <c r="Q30" s="1179"/>
      <c r="R30" s="1179"/>
      <c r="S30" s="1179"/>
      <c r="T30" s="1179"/>
      <c r="U30" s="1179"/>
      <c r="V30" s="1179"/>
      <c r="W30" s="1179"/>
      <c r="X30" s="1179"/>
      <c r="Y30" s="1179"/>
      <c r="Z30" s="1179"/>
      <c r="AA30" s="1179"/>
      <c r="AB30" s="1179"/>
      <c r="AC30" s="1179"/>
      <c r="AD30" s="1179"/>
      <c r="AE30" s="1179"/>
      <c r="AF30" s="1179"/>
      <c r="AG30" s="1179"/>
      <c r="AH30" s="1179"/>
      <c r="AI30" s="1179"/>
      <c r="AJ30" s="1179"/>
      <c r="AK30" s="1179"/>
      <c r="AL30" s="1179"/>
      <c r="AM30" s="1179"/>
      <c r="AN30" s="1179"/>
      <c r="AO30" s="1179"/>
      <c r="AP30" s="1179"/>
      <c r="AQ30" s="1179"/>
      <c r="AR30" s="1179"/>
      <c r="AS30" s="1179"/>
      <c r="AT30" s="1179"/>
      <c r="AU30" s="1179"/>
      <c r="AV30" s="1179"/>
      <c r="AW30" s="1179"/>
      <c r="AX30" s="1179"/>
      <c r="AY30" s="1179"/>
      <c r="AZ30" s="1234"/>
      <c r="BA30" s="1235"/>
      <c r="BB30" s="1235"/>
      <c r="BC30" s="1235"/>
      <c r="BD30" s="1236"/>
      <c r="BE30" s="1234"/>
      <c r="BF30" s="1235"/>
      <c r="BG30" s="1235"/>
      <c r="BH30" s="1235"/>
      <c r="BI30" s="1236"/>
      <c r="BJ30" s="1234"/>
      <c r="BK30" s="1235"/>
      <c r="BL30" s="1235"/>
      <c r="BM30" s="1235"/>
      <c r="BN30" s="1236"/>
      <c r="BO30" s="704"/>
      <c r="BP30" s="705"/>
      <c r="BQ30" s="705"/>
      <c r="BR30" s="705"/>
      <c r="BS30" s="705"/>
      <c r="BT30" s="705"/>
      <c r="BU30" s="705"/>
      <c r="BV30" s="705"/>
      <c r="BW30" s="705"/>
      <c r="BX30" s="705"/>
      <c r="BY30" s="705"/>
      <c r="BZ30" s="705"/>
      <c r="CA30" s="705"/>
      <c r="CB30" s="706"/>
    </row>
    <row r="31" spans="3:80" ht="11.25" customHeight="1">
      <c r="C31" s="707"/>
      <c r="D31" s="708"/>
      <c r="E31" s="708"/>
      <c r="F31" s="708"/>
      <c r="G31" s="708"/>
      <c r="H31" s="708"/>
      <c r="I31" s="708"/>
      <c r="J31" s="708"/>
      <c r="K31" s="708"/>
      <c r="L31" s="709"/>
      <c r="M31" s="1179"/>
      <c r="N31" s="1179"/>
      <c r="O31" s="1179"/>
      <c r="P31" s="1179"/>
      <c r="Q31" s="1179"/>
      <c r="R31" s="1179"/>
      <c r="S31" s="1179"/>
      <c r="T31" s="1179"/>
      <c r="U31" s="1179"/>
      <c r="V31" s="1179"/>
      <c r="W31" s="1179"/>
      <c r="X31" s="1179"/>
      <c r="Y31" s="1179"/>
      <c r="Z31" s="1179"/>
      <c r="AA31" s="1179"/>
      <c r="AB31" s="1179"/>
      <c r="AC31" s="1179"/>
      <c r="AD31" s="1179"/>
      <c r="AE31" s="1179"/>
      <c r="AF31" s="1179"/>
      <c r="AG31" s="1179"/>
      <c r="AH31" s="1179"/>
      <c r="AI31" s="1179"/>
      <c r="AJ31" s="1179"/>
      <c r="AK31" s="1179"/>
      <c r="AL31" s="1179"/>
      <c r="AM31" s="1179"/>
      <c r="AN31" s="1179"/>
      <c r="AO31" s="1179"/>
      <c r="AP31" s="1179"/>
      <c r="AQ31" s="1179"/>
      <c r="AR31" s="1179"/>
      <c r="AS31" s="1179"/>
      <c r="AT31" s="1179"/>
      <c r="AU31" s="1179"/>
      <c r="AV31" s="1179"/>
      <c r="AW31" s="1179"/>
      <c r="AX31" s="1179"/>
      <c r="AY31" s="1179"/>
      <c r="AZ31" s="1237"/>
      <c r="BA31" s="1238"/>
      <c r="BB31" s="1238"/>
      <c r="BC31" s="1238"/>
      <c r="BD31" s="1239"/>
      <c r="BE31" s="1237"/>
      <c r="BF31" s="1238"/>
      <c r="BG31" s="1238"/>
      <c r="BH31" s="1238"/>
      <c r="BI31" s="1239"/>
      <c r="BJ31" s="1237"/>
      <c r="BK31" s="1238"/>
      <c r="BL31" s="1238"/>
      <c r="BM31" s="1238"/>
      <c r="BN31" s="1239"/>
      <c r="BO31" s="707"/>
      <c r="BP31" s="708"/>
      <c r="BQ31" s="708"/>
      <c r="BR31" s="708"/>
      <c r="BS31" s="708"/>
      <c r="BT31" s="708"/>
      <c r="BU31" s="708"/>
      <c r="BV31" s="708"/>
      <c r="BW31" s="708"/>
      <c r="BX31" s="708"/>
      <c r="BY31" s="708"/>
      <c r="BZ31" s="708"/>
      <c r="CA31" s="708"/>
      <c r="CB31" s="709"/>
    </row>
    <row r="32" spans="3:80" ht="11.25" customHeight="1">
      <c r="C32" s="676"/>
      <c r="D32" s="677"/>
      <c r="E32" s="677"/>
      <c r="F32" s="677"/>
      <c r="G32" s="677"/>
      <c r="H32" s="677"/>
      <c r="I32" s="677"/>
      <c r="J32" s="677"/>
      <c r="K32" s="677"/>
      <c r="L32" s="678"/>
      <c r="M32" s="1179"/>
      <c r="N32" s="1179"/>
      <c r="O32" s="1179"/>
      <c r="P32" s="1179"/>
      <c r="Q32" s="1179"/>
      <c r="R32" s="1179"/>
      <c r="S32" s="1179"/>
      <c r="T32" s="1179"/>
      <c r="U32" s="1179"/>
      <c r="V32" s="1179"/>
      <c r="W32" s="1179"/>
      <c r="X32" s="1179"/>
      <c r="Y32" s="1179"/>
      <c r="Z32" s="1179"/>
      <c r="AA32" s="1179"/>
      <c r="AB32" s="1179"/>
      <c r="AC32" s="1179"/>
      <c r="AD32" s="1179"/>
      <c r="AE32" s="1179"/>
      <c r="AF32" s="1179"/>
      <c r="AG32" s="1179"/>
      <c r="AH32" s="1179"/>
      <c r="AI32" s="1179"/>
      <c r="AJ32" s="1179"/>
      <c r="AK32" s="1179"/>
      <c r="AL32" s="1179"/>
      <c r="AM32" s="1179"/>
      <c r="AN32" s="1179"/>
      <c r="AO32" s="1179"/>
      <c r="AP32" s="1179"/>
      <c r="AQ32" s="1179"/>
      <c r="AR32" s="1179"/>
      <c r="AS32" s="1179"/>
      <c r="AT32" s="1179"/>
      <c r="AU32" s="1179"/>
      <c r="AV32" s="1179"/>
      <c r="AW32" s="1179"/>
      <c r="AX32" s="1179"/>
      <c r="AY32" s="1179"/>
      <c r="AZ32" s="1231"/>
      <c r="BA32" s="1232"/>
      <c r="BB32" s="1232"/>
      <c r="BC32" s="1232"/>
      <c r="BD32" s="1233"/>
      <c r="BE32" s="1231"/>
      <c r="BF32" s="1232"/>
      <c r="BG32" s="1232"/>
      <c r="BH32" s="1232"/>
      <c r="BI32" s="1233"/>
      <c r="BJ32" s="1231"/>
      <c r="BK32" s="1232"/>
      <c r="BL32" s="1232"/>
      <c r="BM32" s="1232"/>
      <c r="BN32" s="1233"/>
      <c r="BO32" s="676"/>
      <c r="BP32" s="677"/>
      <c r="BQ32" s="677"/>
      <c r="BR32" s="677"/>
      <c r="BS32" s="677"/>
      <c r="BT32" s="677"/>
      <c r="BU32" s="677"/>
      <c r="BV32" s="677"/>
      <c r="BW32" s="677"/>
      <c r="BX32" s="677"/>
      <c r="BY32" s="677"/>
      <c r="BZ32" s="677"/>
      <c r="CA32" s="677"/>
      <c r="CB32" s="678"/>
    </row>
    <row r="33" spans="3:80" ht="11.25" customHeight="1">
      <c r="C33" s="704"/>
      <c r="D33" s="705"/>
      <c r="E33" s="705"/>
      <c r="F33" s="705"/>
      <c r="G33" s="705"/>
      <c r="H33" s="705"/>
      <c r="I33" s="705"/>
      <c r="J33" s="705"/>
      <c r="K33" s="705"/>
      <c r="L33" s="706"/>
      <c r="M33" s="1179"/>
      <c r="N33" s="1179"/>
      <c r="O33" s="1179"/>
      <c r="P33" s="1179"/>
      <c r="Q33" s="1179"/>
      <c r="R33" s="1179"/>
      <c r="S33" s="1179"/>
      <c r="T33" s="1179"/>
      <c r="U33" s="1179"/>
      <c r="V33" s="1179"/>
      <c r="W33" s="1179"/>
      <c r="X33" s="1179"/>
      <c r="Y33" s="1179"/>
      <c r="Z33" s="1179"/>
      <c r="AA33" s="1179"/>
      <c r="AB33" s="1179"/>
      <c r="AC33" s="1179"/>
      <c r="AD33" s="1179"/>
      <c r="AE33" s="1179"/>
      <c r="AF33" s="1179"/>
      <c r="AG33" s="1179"/>
      <c r="AH33" s="1179"/>
      <c r="AI33" s="1179"/>
      <c r="AJ33" s="1179"/>
      <c r="AK33" s="1179"/>
      <c r="AL33" s="1179"/>
      <c r="AM33" s="1179"/>
      <c r="AN33" s="1179"/>
      <c r="AO33" s="1179"/>
      <c r="AP33" s="1179"/>
      <c r="AQ33" s="1179"/>
      <c r="AR33" s="1179"/>
      <c r="AS33" s="1179"/>
      <c r="AT33" s="1179"/>
      <c r="AU33" s="1179"/>
      <c r="AV33" s="1179"/>
      <c r="AW33" s="1179"/>
      <c r="AX33" s="1179"/>
      <c r="AY33" s="1179"/>
      <c r="AZ33" s="1234"/>
      <c r="BA33" s="1235"/>
      <c r="BB33" s="1235"/>
      <c r="BC33" s="1235"/>
      <c r="BD33" s="1236"/>
      <c r="BE33" s="1234"/>
      <c r="BF33" s="1235"/>
      <c r="BG33" s="1235"/>
      <c r="BH33" s="1235"/>
      <c r="BI33" s="1236"/>
      <c r="BJ33" s="1234"/>
      <c r="BK33" s="1235"/>
      <c r="BL33" s="1235"/>
      <c r="BM33" s="1235"/>
      <c r="BN33" s="1236"/>
      <c r="BO33" s="704"/>
      <c r="BP33" s="705"/>
      <c r="BQ33" s="705"/>
      <c r="BR33" s="705"/>
      <c r="BS33" s="705"/>
      <c r="BT33" s="705"/>
      <c r="BU33" s="705"/>
      <c r="BV33" s="705"/>
      <c r="BW33" s="705"/>
      <c r="BX33" s="705"/>
      <c r="BY33" s="705"/>
      <c r="BZ33" s="705"/>
      <c r="CA33" s="705"/>
      <c r="CB33" s="706"/>
    </row>
    <row r="34" spans="3:80" ht="11.25" customHeight="1">
      <c r="C34" s="704"/>
      <c r="D34" s="705"/>
      <c r="E34" s="705"/>
      <c r="F34" s="705"/>
      <c r="G34" s="705"/>
      <c r="H34" s="705"/>
      <c r="I34" s="705"/>
      <c r="J34" s="705"/>
      <c r="K34" s="705"/>
      <c r="L34" s="706"/>
      <c r="M34" s="1179"/>
      <c r="N34" s="1179"/>
      <c r="O34" s="1179"/>
      <c r="P34" s="1179"/>
      <c r="Q34" s="1179"/>
      <c r="R34" s="1179"/>
      <c r="S34" s="1179"/>
      <c r="T34" s="1179"/>
      <c r="U34" s="1179"/>
      <c r="V34" s="1179"/>
      <c r="W34" s="1179"/>
      <c r="X34" s="1179"/>
      <c r="Y34" s="1179"/>
      <c r="Z34" s="1179"/>
      <c r="AA34" s="1179"/>
      <c r="AB34" s="1179"/>
      <c r="AC34" s="1179"/>
      <c r="AD34" s="1179"/>
      <c r="AE34" s="1179"/>
      <c r="AF34" s="1179"/>
      <c r="AG34" s="1179"/>
      <c r="AH34" s="1179"/>
      <c r="AI34" s="1179"/>
      <c r="AJ34" s="1179"/>
      <c r="AK34" s="1179"/>
      <c r="AL34" s="1179"/>
      <c r="AM34" s="1179"/>
      <c r="AN34" s="1179"/>
      <c r="AO34" s="1179"/>
      <c r="AP34" s="1179"/>
      <c r="AQ34" s="1179"/>
      <c r="AR34" s="1179"/>
      <c r="AS34" s="1179"/>
      <c r="AT34" s="1179"/>
      <c r="AU34" s="1179"/>
      <c r="AV34" s="1179"/>
      <c r="AW34" s="1179"/>
      <c r="AX34" s="1179"/>
      <c r="AY34" s="1179"/>
      <c r="AZ34" s="1234"/>
      <c r="BA34" s="1235"/>
      <c r="BB34" s="1235"/>
      <c r="BC34" s="1235"/>
      <c r="BD34" s="1236"/>
      <c r="BE34" s="1234"/>
      <c r="BF34" s="1235"/>
      <c r="BG34" s="1235"/>
      <c r="BH34" s="1235"/>
      <c r="BI34" s="1236"/>
      <c r="BJ34" s="1234"/>
      <c r="BK34" s="1235"/>
      <c r="BL34" s="1235"/>
      <c r="BM34" s="1235"/>
      <c r="BN34" s="1236"/>
      <c r="BO34" s="704"/>
      <c r="BP34" s="705"/>
      <c r="BQ34" s="705"/>
      <c r="BR34" s="705"/>
      <c r="BS34" s="705"/>
      <c r="BT34" s="705"/>
      <c r="BU34" s="705"/>
      <c r="BV34" s="705"/>
      <c r="BW34" s="705"/>
      <c r="BX34" s="705"/>
      <c r="BY34" s="705"/>
      <c r="BZ34" s="705"/>
      <c r="CA34" s="705"/>
      <c r="CB34" s="706"/>
    </row>
    <row r="35" spans="3:80" ht="11.25" customHeight="1">
      <c r="C35" s="707"/>
      <c r="D35" s="708"/>
      <c r="E35" s="708"/>
      <c r="F35" s="708"/>
      <c r="G35" s="708"/>
      <c r="H35" s="708"/>
      <c r="I35" s="708"/>
      <c r="J35" s="708"/>
      <c r="K35" s="708"/>
      <c r="L35" s="709"/>
      <c r="M35" s="1179"/>
      <c r="N35" s="1179"/>
      <c r="O35" s="1179"/>
      <c r="P35" s="1179"/>
      <c r="Q35" s="1179"/>
      <c r="R35" s="1179"/>
      <c r="S35" s="1179"/>
      <c r="T35" s="1179"/>
      <c r="U35" s="1179"/>
      <c r="V35" s="1179"/>
      <c r="W35" s="1179"/>
      <c r="X35" s="1179"/>
      <c r="Y35" s="1179"/>
      <c r="Z35" s="1179"/>
      <c r="AA35" s="1179"/>
      <c r="AB35" s="1179"/>
      <c r="AC35" s="1179"/>
      <c r="AD35" s="1179"/>
      <c r="AE35" s="1179"/>
      <c r="AF35" s="1179"/>
      <c r="AG35" s="1179"/>
      <c r="AH35" s="1179"/>
      <c r="AI35" s="1179"/>
      <c r="AJ35" s="1179"/>
      <c r="AK35" s="1179"/>
      <c r="AL35" s="1179"/>
      <c r="AM35" s="1179"/>
      <c r="AN35" s="1179"/>
      <c r="AO35" s="1179"/>
      <c r="AP35" s="1179"/>
      <c r="AQ35" s="1179"/>
      <c r="AR35" s="1179"/>
      <c r="AS35" s="1179"/>
      <c r="AT35" s="1179"/>
      <c r="AU35" s="1179"/>
      <c r="AV35" s="1179"/>
      <c r="AW35" s="1179"/>
      <c r="AX35" s="1179"/>
      <c r="AY35" s="1179"/>
      <c r="AZ35" s="1237"/>
      <c r="BA35" s="1238"/>
      <c r="BB35" s="1238"/>
      <c r="BC35" s="1238"/>
      <c r="BD35" s="1239"/>
      <c r="BE35" s="1237"/>
      <c r="BF35" s="1238"/>
      <c r="BG35" s="1238"/>
      <c r="BH35" s="1238"/>
      <c r="BI35" s="1239"/>
      <c r="BJ35" s="1237"/>
      <c r="BK35" s="1238"/>
      <c r="BL35" s="1238"/>
      <c r="BM35" s="1238"/>
      <c r="BN35" s="1239"/>
      <c r="BO35" s="707"/>
      <c r="BP35" s="708"/>
      <c r="BQ35" s="708"/>
      <c r="BR35" s="708"/>
      <c r="BS35" s="708"/>
      <c r="BT35" s="708"/>
      <c r="BU35" s="708"/>
      <c r="BV35" s="708"/>
      <c r="BW35" s="708"/>
      <c r="BX35" s="708"/>
      <c r="BY35" s="708"/>
      <c r="BZ35" s="708"/>
      <c r="CA35" s="708"/>
      <c r="CB35" s="709"/>
    </row>
    <row r="36" spans="3:80" ht="11.25" customHeight="1">
      <c r="C36" s="676"/>
      <c r="D36" s="677"/>
      <c r="E36" s="677"/>
      <c r="F36" s="677"/>
      <c r="G36" s="677"/>
      <c r="H36" s="677"/>
      <c r="I36" s="677"/>
      <c r="J36" s="677"/>
      <c r="K36" s="677"/>
      <c r="L36" s="678"/>
      <c r="M36" s="1179"/>
      <c r="N36" s="1179"/>
      <c r="O36" s="1179"/>
      <c r="P36" s="1179"/>
      <c r="Q36" s="1179"/>
      <c r="R36" s="1179"/>
      <c r="S36" s="1179"/>
      <c r="T36" s="1179"/>
      <c r="U36" s="1179"/>
      <c r="V36" s="1179"/>
      <c r="W36" s="1179"/>
      <c r="X36" s="1179"/>
      <c r="Y36" s="1179"/>
      <c r="Z36" s="1179"/>
      <c r="AA36" s="1179"/>
      <c r="AB36" s="1179"/>
      <c r="AC36" s="1179"/>
      <c r="AD36" s="1179"/>
      <c r="AE36" s="1179"/>
      <c r="AF36" s="1179"/>
      <c r="AG36" s="1179"/>
      <c r="AH36" s="1179"/>
      <c r="AI36" s="1179"/>
      <c r="AJ36" s="1179"/>
      <c r="AK36" s="1179"/>
      <c r="AL36" s="1179"/>
      <c r="AM36" s="1179"/>
      <c r="AN36" s="1179"/>
      <c r="AO36" s="1179"/>
      <c r="AP36" s="1179"/>
      <c r="AQ36" s="1179"/>
      <c r="AR36" s="1179"/>
      <c r="AS36" s="1179"/>
      <c r="AT36" s="1179"/>
      <c r="AU36" s="1179"/>
      <c r="AV36" s="1179"/>
      <c r="AW36" s="1179"/>
      <c r="AX36" s="1179"/>
      <c r="AY36" s="1179"/>
      <c r="AZ36" s="1231"/>
      <c r="BA36" s="1232"/>
      <c r="BB36" s="1232"/>
      <c r="BC36" s="1232"/>
      <c r="BD36" s="1233"/>
      <c r="BE36" s="1231"/>
      <c r="BF36" s="1232"/>
      <c r="BG36" s="1232"/>
      <c r="BH36" s="1232"/>
      <c r="BI36" s="1233"/>
      <c r="BJ36" s="1231"/>
      <c r="BK36" s="1232"/>
      <c r="BL36" s="1232"/>
      <c r="BM36" s="1232"/>
      <c r="BN36" s="1233"/>
      <c r="BO36" s="676"/>
      <c r="BP36" s="677"/>
      <c r="BQ36" s="677"/>
      <c r="BR36" s="677"/>
      <c r="BS36" s="677"/>
      <c r="BT36" s="677"/>
      <c r="BU36" s="677"/>
      <c r="BV36" s="677"/>
      <c r="BW36" s="677"/>
      <c r="BX36" s="677"/>
      <c r="BY36" s="677"/>
      <c r="BZ36" s="677"/>
      <c r="CA36" s="677"/>
      <c r="CB36" s="678"/>
    </row>
    <row r="37" spans="3:80" ht="11.25" customHeight="1">
      <c r="C37" s="704"/>
      <c r="D37" s="705"/>
      <c r="E37" s="705"/>
      <c r="F37" s="705"/>
      <c r="G37" s="705"/>
      <c r="H37" s="705"/>
      <c r="I37" s="705"/>
      <c r="J37" s="705"/>
      <c r="K37" s="705"/>
      <c r="L37" s="706"/>
      <c r="M37" s="1179"/>
      <c r="N37" s="1179"/>
      <c r="O37" s="1179"/>
      <c r="P37" s="1179"/>
      <c r="Q37" s="1179"/>
      <c r="R37" s="1179"/>
      <c r="S37" s="1179"/>
      <c r="T37" s="1179"/>
      <c r="U37" s="1179"/>
      <c r="V37" s="1179"/>
      <c r="W37" s="1179"/>
      <c r="X37" s="1179"/>
      <c r="Y37" s="1179"/>
      <c r="Z37" s="1179"/>
      <c r="AA37" s="1179"/>
      <c r="AB37" s="1179"/>
      <c r="AC37" s="1179"/>
      <c r="AD37" s="1179"/>
      <c r="AE37" s="1179"/>
      <c r="AF37" s="1179"/>
      <c r="AG37" s="1179"/>
      <c r="AH37" s="1179"/>
      <c r="AI37" s="1179"/>
      <c r="AJ37" s="1179"/>
      <c r="AK37" s="1179"/>
      <c r="AL37" s="1179"/>
      <c r="AM37" s="1179"/>
      <c r="AN37" s="1179"/>
      <c r="AO37" s="1179"/>
      <c r="AP37" s="1179"/>
      <c r="AQ37" s="1179"/>
      <c r="AR37" s="1179"/>
      <c r="AS37" s="1179"/>
      <c r="AT37" s="1179"/>
      <c r="AU37" s="1179"/>
      <c r="AV37" s="1179"/>
      <c r="AW37" s="1179"/>
      <c r="AX37" s="1179"/>
      <c r="AY37" s="1179"/>
      <c r="AZ37" s="1234"/>
      <c r="BA37" s="1235"/>
      <c r="BB37" s="1235"/>
      <c r="BC37" s="1235"/>
      <c r="BD37" s="1236"/>
      <c r="BE37" s="1234"/>
      <c r="BF37" s="1235"/>
      <c r="BG37" s="1235"/>
      <c r="BH37" s="1235"/>
      <c r="BI37" s="1236"/>
      <c r="BJ37" s="1234"/>
      <c r="BK37" s="1235"/>
      <c r="BL37" s="1235"/>
      <c r="BM37" s="1235"/>
      <c r="BN37" s="1236"/>
      <c r="BO37" s="704"/>
      <c r="BP37" s="705"/>
      <c r="BQ37" s="705"/>
      <c r="BR37" s="705"/>
      <c r="BS37" s="705"/>
      <c r="BT37" s="705"/>
      <c r="BU37" s="705"/>
      <c r="BV37" s="705"/>
      <c r="BW37" s="705"/>
      <c r="BX37" s="705"/>
      <c r="BY37" s="705"/>
      <c r="BZ37" s="705"/>
      <c r="CA37" s="705"/>
      <c r="CB37" s="706"/>
    </row>
    <row r="38" spans="3:80" ht="11.25" customHeight="1">
      <c r="C38" s="704"/>
      <c r="D38" s="705"/>
      <c r="E38" s="705"/>
      <c r="F38" s="705"/>
      <c r="G38" s="705"/>
      <c r="H38" s="705"/>
      <c r="I38" s="705"/>
      <c r="J38" s="705"/>
      <c r="K38" s="705"/>
      <c r="L38" s="706"/>
      <c r="M38" s="1179"/>
      <c r="N38" s="1179"/>
      <c r="O38" s="1179"/>
      <c r="P38" s="1179"/>
      <c r="Q38" s="1179"/>
      <c r="R38" s="1179"/>
      <c r="S38" s="1179"/>
      <c r="T38" s="1179"/>
      <c r="U38" s="1179"/>
      <c r="V38" s="1179"/>
      <c r="W38" s="1179"/>
      <c r="X38" s="1179"/>
      <c r="Y38" s="1179"/>
      <c r="Z38" s="1179"/>
      <c r="AA38" s="1179"/>
      <c r="AB38" s="1179"/>
      <c r="AC38" s="1179"/>
      <c r="AD38" s="1179"/>
      <c r="AE38" s="1179"/>
      <c r="AF38" s="1179"/>
      <c r="AG38" s="1179"/>
      <c r="AH38" s="1179"/>
      <c r="AI38" s="1179"/>
      <c r="AJ38" s="1179"/>
      <c r="AK38" s="1179"/>
      <c r="AL38" s="1179"/>
      <c r="AM38" s="1179"/>
      <c r="AN38" s="1179"/>
      <c r="AO38" s="1179"/>
      <c r="AP38" s="1179"/>
      <c r="AQ38" s="1179"/>
      <c r="AR38" s="1179"/>
      <c r="AS38" s="1179"/>
      <c r="AT38" s="1179"/>
      <c r="AU38" s="1179"/>
      <c r="AV38" s="1179"/>
      <c r="AW38" s="1179"/>
      <c r="AX38" s="1179"/>
      <c r="AY38" s="1179"/>
      <c r="AZ38" s="1234"/>
      <c r="BA38" s="1235"/>
      <c r="BB38" s="1235"/>
      <c r="BC38" s="1235"/>
      <c r="BD38" s="1236"/>
      <c r="BE38" s="1234"/>
      <c r="BF38" s="1235"/>
      <c r="BG38" s="1235"/>
      <c r="BH38" s="1235"/>
      <c r="BI38" s="1236"/>
      <c r="BJ38" s="1234"/>
      <c r="BK38" s="1235"/>
      <c r="BL38" s="1235"/>
      <c r="BM38" s="1235"/>
      <c r="BN38" s="1236"/>
      <c r="BO38" s="704"/>
      <c r="BP38" s="705"/>
      <c r="BQ38" s="705"/>
      <c r="BR38" s="705"/>
      <c r="BS38" s="705"/>
      <c r="BT38" s="705"/>
      <c r="BU38" s="705"/>
      <c r="BV38" s="705"/>
      <c r="BW38" s="705"/>
      <c r="BX38" s="705"/>
      <c r="BY38" s="705"/>
      <c r="BZ38" s="705"/>
      <c r="CA38" s="705"/>
      <c r="CB38" s="706"/>
    </row>
    <row r="39" spans="3:80" ht="11.25" customHeight="1">
      <c r="C39" s="707"/>
      <c r="D39" s="708"/>
      <c r="E39" s="708"/>
      <c r="F39" s="708"/>
      <c r="G39" s="708"/>
      <c r="H39" s="708"/>
      <c r="I39" s="708"/>
      <c r="J39" s="708"/>
      <c r="K39" s="708"/>
      <c r="L39" s="709"/>
      <c r="M39" s="1179"/>
      <c r="N39" s="1179"/>
      <c r="O39" s="1179"/>
      <c r="P39" s="1179"/>
      <c r="Q39" s="1179"/>
      <c r="R39" s="1179"/>
      <c r="S39" s="1179"/>
      <c r="T39" s="1179"/>
      <c r="U39" s="1179"/>
      <c r="V39" s="1179"/>
      <c r="W39" s="1179"/>
      <c r="X39" s="1179"/>
      <c r="Y39" s="1179"/>
      <c r="Z39" s="1179"/>
      <c r="AA39" s="1179"/>
      <c r="AB39" s="1179"/>
      <c r="AC39" s="1179"/>
      <c r="AD39" s="1179"/>
      <c r="AE39" s="1179"/>
      <c r="AF39" s="1179"/>
      <c r="AG39" s="1179"/>
      <c r="AH39" s="1179"/>
      <c r="AI39" s="1179"/>
      <c r="AJ39" s="1179"/>
      <c r="AK39" s="1179"/>
      <c r="AL39" s="1179"/>
      <c r="AM39" s="1179"/>
      <c r="AN39" s="1179"/>
      <c r="AO39" s="1179"/>
      <c r="AP39" s="1179"/>
      <c r="AQ39" s="1179"/>
      <c r="AR39" s="1179"/>
      <c r="AS39" s="1179"/>
      <c r="AT39" s="1179"/>
      <c r="AU39" s="1179"/>
      <c r="AV39" s="1179"/>
      <c r="AW39" s="1179"/>
      <c r="AX39" s="1179"/>
      <c r="AY39" s="1179"/>
      <c r="AZ39" s="1237"/>
      <c r="BA39" s="1238"/>
      <c r="BB39" s="1238"/>
      <c r="BC39" s="1238"/>
      <c r="BD39" s="1239"/>
      <c r="BE39" s="1237"/>
      <c r="BF39" s="1238"/>
      <c r="BG39" s="1238"/>
      <c r="BH39" s="1238"/>
      <c r="BI39" s="1239"/>
      <c r="BJ39" s="1237"/>
      <c r="BK39" s="1238"/>
      <c r="BL39" s="1238"/>
      <c r="BM39" s="1238"/>
      <c r="BN39" s="1239"/>
      <c r="BO39" s="707"/>
      <c r="BP39" s="708"/>
      <c r="BQ39" s="708"/>
      <c r="BR39" s="708"/>
      <c r="BS39" s="708"/>
      <c r="BT39" s="708"/>
      <c r="BU39" s="708"/>
      <c r="BV39" s="708"/>
      <c r="BW39" s="708"/>
      <c r="BX39" s="708"/>
      <c r="BY39" s="708"/>
      <c r="BZ39" s="708"/>
      <c r="CA39" s="708"/>
      <c r="CB39" s="709"/>
    </row>
    <row r="40" spans="3:80" ht="11.25" customHeight="1">
      <c r="C40" s="676"/>
      <c r="D40" s="677"/>
      <c r="E40" s="677"/>
      <c r="F40" s="677"/>
      <c r="G40" s="677"/>
      <c r="H40" s="677"/>
      <c r="I40" s="677"/>
      <c r="J40" s="677"/>
      <c r="K40" s="677"/>
      <c r="L40" s="678"/>
      <c r="M40" s="1179"/>
      <c r="N40" s="1179"/>
      <c r="O40" s="1179"/>
      <c r="P40" s="1179"/>
      <c r="Q40" s="1179"/>
      <c r="R40" s="1179"/>
      <c r="S40" s="1179"/>
      <c r="T40" s="1179"/>
      <c r="U40" s="1179"/>
      <c r="V40" s="1179"/>
      <c r="W40" s="1179"/>
      <c r="X40" s="1179"/>
      <c r="Y40" s="1179"/>
      <c r="Z40" s="1179"/>
      <c r="AA40" s="1179"/>
      <c r="AB40" s="1179"/>
      <c r="AC40" s="1179"/>
      <c r="AD40" s="1179"/>
      <c r="AE40" s="1179"/>
      <c r="AF40" s="1179"/>
      <c r="AG40" s="1179"/>
      <c r="AH40" s="1179"/>
      <c r="AI40" s="1179"/>
      <c r="AJ40" s="1179"/>
      <c r="AK40" s="1179"/>
      <c r="AL40" s="1179"/>
      <c r="AM40" s="1179"/>
      <c r="AN40" s="1179"/>
      <c r="AO40" s="1179"/>
      <c r="AP40" s="1179"/>
      <c r="AQ40" s="1179"/>
      <c r="AR40" s="1179"/>
      <c r="AS40" s="1179"/>
      <c r="AT40" s="1179"/>
      <c r="AU40" s="1179"/>
      <c r="AV40" s="1179"/>
      <c r="AW40" s="1179"/>
      <c r="AX40" s="1179"/>
      <c r="AY40" s="1179"/>
      <c r="AZ40" s="1231"/>
      <c r="BA40" s="1232"/>
      <c r="BB40" s="1232"/>
      <c r="BC40" s="1232"/>
      <c r="BD40" s="1233"/>
      <c r="BE40" s="1231"/>
      <c r="BF40" s="1232"/>
      <c r="BG40" s="1232"/>
      <c r="BH40" s="1232"/>
      <c r="BI40" s="1233"/>
      <c r="BJ40" s="1231"/>
      <c r="BK40" s="1232"/>
      <c r="BL40" s="1232"/>
      <c r="BM40" s="1232"/>
      <c r="BN40" s="1233"/>
      <c r="BO40" s="676"/>
      <c r="BP40" s="677"/>
      <c r="BQ40" s="677"/>
      <c r="BR40" s="677"/>
      <c r="BS40" s="677"/>
      <c r="BT40" s="677"/>
      <c r="BU40" s="677"/>
      <c r="BV40" s="677"/>
      <c r="BW40" s="677"/>
      <c r="BX40" s="677"/>
      <c r="BY40" s="677"/>
      <c r="BZ40" s="677"/>
      <c r="CA40" s="677"/>
      <c r="CB40" s="678"/>
    </row>
    <row r="41" spans="3:80" ht="11.25" customHeight="1">
      <c r="C41" s="704"/>
      <c r="D41" s="705"/>
      <c r="E41" s="705"/>
      <c r="F41" s="705"/>
      <c r="G41" s="705"/>
      <c r="H41" s="705"/>
      <c r="I41" s="705"/>
      <c r="J41" s="705"/>
      <c r="K41" s="705"/>
      <c r="L41" s="706"/>
      <c r="M41" s="1179"/>
      <c r="N41" s="1179"/>
      <c r="O41" s="1179"/>
      <c r="P41" s="1179"/>
      <c r="Q41" s="1179"/>
      <c r="R41" s="1179"/>
      <c r="S41" s="1179"/>
      <c r="T41" s="1179"/>
      <c r="U41" s="1179"/>
      <c r="V41" s="1179"/>
      <c r="W41" s="1179"/>
      <c r="X41" s="1179"/>
      <c r="Y41" s="1179"/>
      <c r="Z41" s="1179"/>
      <c r="AA41" s="1179"/>
      <c r="AB41" s="1179"/>
      <c r="AC41" s="1179"/>
      <c r="AD41" s="1179"/>
      <c r="AE41" s="1179"/>
      <c r="AF41" s="1179"/>
      <c r="AG41" s="1179"/>
      <c r="AH41" s="1179"/>
      <c r="AI41" s="1179"/>
      <c r="AJ41" s="1179"/>
      <c r="AK41" s="1179"/>
      <c r="AL41" s="1179"/>
      <c r="AM41" s="1179"/>
      <c r="AN41" s="1179"/>
      <c r="AO41" s="1179"/>
      <c r="AP41" s="1179"/>
      <c r="AQ41" s="1179"/>
      <c r="AR41" s="1179"/>
      <c r="AS41" s="1179"/>
      <c r="AT41" s="1179"/>
      <c r="AU41" s="1179"/>
      <c r="AV41" s="1179"/>
      <c r="AW41" s="1179"/>
      <c r="AX41" s="1179"/>
      <c r="AY41" s="1179"/>
      <c r="AZ41" s="1234"/>
      <c r="BA41" s="1235"/>
      <c r="BB41" s="1235"/>
      <c r="BC41" s="1235"/>
      <c r="BD41" s="1236"/>
      <c r="BE41" s="1234"/>
      <c r="BF41" s="1235"/>
      <c r="BG41" s="1235"/>
      <c r="BH41" s="1235"/>
      <c r="BI41" s="1236"/>
      <c r="BJ41" s="1234"/>
      <c r="BK41" s="1235"/>
      <c r="BL41" s="1235"/>
      <c r="BM41" s="1235"/>
      <c r="BN41" s="1236"/>
      <c r="BO41" s="704"/>
      <c r="BP41" s="705"/>
      <c r="BQ41" s="705"/>
      <c r="BR41" s="705"/>
      <c r="BS41" s="705"/>
      <c r="BT41" s="705"/>
      <c r="BU41" s="705"/>
      <c r="BV41" s="705"/>
      <c r="BW41" s="705"/>
      <c r="BX41" s="705"/>
      <c r="BY41" s="705"/>
      <c r="BZ41" s="705"/>
      <c r="CA41" s="705"/>
      <c r="CB41" s="706"/>
    </row>
    <row r="42" spans="3:80" ht="11.25" customHeight="1">
      <c r="C42" s="704"/>
      <c r="D42" s="705"/>
      <c r="E42" s="705"/>
      <c r="F42" s="705"/>
      <c r="G42" s="705"/>
      <c r="H42" s="705"/>
      <c r="I42" s="705"/>
      <c r="J42" s="705"/>
      <c r="K42" s="705"/>
      <c r="L42" s="706"/>
      <c r="M42" s="1179"/>
      <c r="N42" s="1179"/>
      <c r="O42" s="1179"/>
      <c r="P42" s="1179"/>
      <c r="Q42" s="1179"/>
      <c r="R42" s="1179"/>
      <c r="S42" s="1179"/>
      <c r="T42" s="1179"/>
      <c r="U42" s="1179"/>
      <c r="V42" s="1179"/>
      <c r="W42" s="1179"/>
      <c r="X42" s="1179"/>
      <c r="Y42" s="1179"/>
      <c r="Z42" s="1179"/>
      <c r="AA42" s="1179"/>
      <c r="AB42" s="1179"/>
      <c r="AC42" s="1179"/>
      <c r="AD42" s="1179"/>
      <c r="AE42" s="1179"/>
      <c r="AF42" s="1179"/>
      <c r="AG42" s="1179"/>
      <c r="AH42" s="1179"/>
      <c r="AI42" s="1179"/>
      <c r="AJ42" s="1179"/>
      <c r="AK42" s="1179"/>
      <c r="AL42" s="1179"/>
      <c r="AM42" s="1179"/>
      <c r="AN42" s="1179"/>
      <c r="AO42" s="1179"/>
      <c r="AP42" s="1179"/>
      <c r="AQ42" s="1179"/>
      <c r="AR42" s="1179"/>
      <c r="AS42" s="1179"/>
      <c r="AT42" s="1179"/>
      <c r="AU42" s="1179"/>
      <c r="AV42" s="1179"/>
      <c r="AW42" s="1179"/>
      <c r="AX42" s="1179"/>
      <c r="AY42" s="1179"/>
      <c r="AZ42" s="1234"/>
      <c r="BA42" s="1235"/>
      <c r="BB42" s="1235"/>
      <c r="BC42" s="1235"/>
      <c r="BD42" s="1236"/>
      <c r="BE42" s="1234"/>
      <c r="BF42" s="1235"/>
      <c r="BG42" s="1235"/>
      <c r="BH42" s="1235"/>
      <c r="BI42" s="1236"/>
      <c r="BJ42" s="1234"/>
      <c r="BK42" s="1235"/>
      <c r="BL42" s="1235"/>
      <c r="BM42" s="1235"/>
      <c r="BN42" s="1236"/>
      <c r="BO42" s="704"/>
      <c r="BP42" s="705"/>
      <c r="BQ42" s="705"/>
      <c r="BR42" s="705"/>
      <c r="BS42" s="705"/>
      <c r="BT42" s="705"/>
      <c r="BU42" s="705"/>
      <c r="BV42" s="705"/>
      <c r="BW42" s="705"/>
      <c r="BX42" s="705"/>
      <c r="BY42" s="705"/>
      <c r="BZ42" s="705"/>
      <c r="CA42" s="705"/>
      <c r="CB42" s="706"/>
    </row>
    <row r="43" spans="3:80" ht="11.25" customHeight="1">
      <c r="C43" s="707"/>
      <c r="D43" s="708"/>
      <c r="E43" s="708"/>
      <c r="F43" s="708"/>
      <c r="G43" s="708"/>
      <c r="H43" s="708"/>
      <c r="I43" s="708"/>
      <c r="J43" s="708"/>
      <c r="K43" s="708"/>
      <c r="L43" s="709"/>
      <c r="M43" s="1179"/>
      <c r="N43" s="1179"/>
      <c r="O43" s="1179"/>
      <c r="P43" s="1179"/>
      <c r="Q43" s="1179"/>
      <c r="R43" s="1179"/>
      <c r="S43" s="1179"/>
      <c r="T43" s="1179"/>
      <c r="U43" s="1179"/>
      <c r="V43" s="1179"/>
      <c r="W43" s="1179"/>
      <c r="X43" s="1179"/>
      <c r="Y43" s="1179"/>
      <c r="Z43" s="1179"/>
      <c r="AA43" s="1179"/>
      <c r="AB43" s="1179"/>
      <c r="AC43" s="1179"/>
      <c r="AD43" s="1179"/>
      <c r="AE43" s="1179"/>
      <c r="AF43" s="1179"/>
      <c r="AG43" s="1179"/>
      <c r="AH43" s="1179"/>
      <c r="AI43" s="1179"/>
      <c r="AJ43" s="1179"/>
      <c r="AK43" s="1179"/>
      <c r="AL43" s="1179"/>
      <c r="AM43" s="1179"/>
      <c r="AN43" s="1179"/>
      <c r="AO43" s="1179"/>
      <c r="AP43" s="1179"/>
      <c r="AQ43" s="1179"/>
      <c r="AR43" s="1179"/>
      <c r="AS43" s="1179"/>
      <c r="AT43" s="1179"/>
      <c r="AU43" s="1179"/>
      <c r="AV43" s="1179"/>
      <c r="AW43" s="1179"/>
      <c r="AX43" s="1179"/>
      <c r="AY43" s="1179"/>
      <c r="AZ43" s="1237"/>
      <c r="BA43" s="1238"/>
      <c r="BB43" s="1238"/>
      <c r="BC43" s="1238"/>
      <c r="BD43" s="1239"/>
      <c r="BE43" s="1237"/>
      <c r="BF43" s="1238"/>
      <c r="BG43" s="1238"/>
      <c r="BH43" s="1238"/>
      <c r="BI43" s="1239"/>
      <c r="BJ43" s="1237"/>
      <c r="BK43" s="1238"/>
      <c r="BL43" s="1238"/>
      <c r="BM43" s="1238"/>
      <c r="BN43" s="1239"/>
      <c r="BO43" s="707"/>
      <c r="BP43" s="708"/>
      <c r="BQ43" s="708"/>
      <c r="BR43" s="708"/>
      <c r="BS43" s="708"/>
      <c r="BT43" s="708"/>
      <c r="BU43" s="708"/>
      <c r="BV43" s="708"/>
      <c r="BW43" s="708"/>
      <c r="BX43" s="708"/>
      <c r="BY43" s="708"/>
      <c r="BZ43" s="708"/>
      <c r="CA43" s="708"/>
      <c r="CB43" s="709"/>
    </row>
    <row r="44" spans="3:80" ht="11.25" customHeight="1">
      <c r="C44" s="676"/>
      <c r="D44" s="677"/>
      <c r="E44" s="677"/>
      <c r="F44" s="677"/>
      <c r="G44" s="677"/>
      <c r="H44" s="677"/>
      <c r="I44" s="677"/>
      <c r="J44" s="677"/>
      <c r="K44" s="677"/>
      <c r="L44" s="678"/>
      <c r="M44" s="1179"/>
      <c r="N44" s="1179"/>
      <c r="O44" s="1179"/>
      <c r="P44" s="1179"/>
      <c r="Q44" s="1179"/>
      <c r="R44" s="1179"/>
      <c r="S44" s="1179"/>
      <c r="T44" s="1179"/>
      <c r="U44" s="1179"/>
      <c r="V44" s="1179"/>
      <c r="W44" s="1179"/>
      <c r="X44" s="1179"/>
      <c r="Y44" s="1179"/>
      <c r="Z44" s="1179"/>
      <c r="AA44" s="1179"/>
      <c r="AB44" s="1179"/>
      <c r="AC44" s="1179"/>
      <c r="AD44" s="1179"/>
      <c r="AE44" s="1179"/>
      <c r="AF44" s="1179"/>
      <c r="AG44" s="1179"/>
      <c r="AH44" s="1179"/>
      <c r="AI44" s="1179"/>
      <c r="AJ44" s="1179"/>
      <c r="AK44" s="1179"/>
      <c r="AL44" s="1179"/>
      <c r="AM44" s="1179"/>
      <c r="AN44" s="1179"/>
      <c r="AO44" s="1179"/>
      <c r="AP44" s="1179"/>
      <c r="AQ44" s="1179"/>
      <c r="AR44" s="1179"/>
      <c r="AS44" s="1179"/>
      <c r="AT44" s="1179"/>
      <c r="AU44" s="1179"/>
      <c r="AV44" s="1179"/>
      <c r="AW44" s="1179"/>
      <c r="AX44" s="1179"/>
      <c r="AY44" s="1179"/>
      <c r="AZ44" s="1231"/>
      <c r="BA44" s="1232"/>
      <c r="BB44" s="1232"/>
      <c r="BC44" s="1232"/>
      <c r="BD44" s="1233"/>
      <c r="BE44" s="1231"/>
      <c r="BF44" s="1232"/>
      <c r="BG44" s="1232"/>
      <c r="BH44" s="1232"/>
      <c r="BI44" s="1233"/>
      <c r="BJ44" s="1231"/>
      <c r="BK44" s="1232"/>
      <c r="BL44" s="1232"/>
      <c r="BM44" s="1232"/>
      <c r="BN44" s="1233"/>
      <c r="BO44" s="676"/>
      <c r="BP44" s="677"/>
      <c r="BQ44" s="677"/>
      <c r="BR44" s="677"/>
      <c r="BS44" s="677"/>
      <c r="BT44" s="677"/>
      <c r="BU44" s="677"/>
      <c r="BV44" s="677"/>
      <c r="BW44" s="677"/>
      <c r="BX44" s="677"/>
      <c r="BY44" s="677"/>
      <c r="BZ44" s="677"/>
      <c r="CA44" s="677"/>
      <c r="CB44" s="678"/>
    </row>
    <row r="45" spans="3:80" ht="11.25" customHeight="1">
      <c r="C45" s="704"/>
      <c r="D45" s="705"/>
      <c r="E45" s="705"/>
      <c r="F45" s="705"/>
      <c r="G45" s="705"/>
      <c r="H45" s="705"/>
      <c r="I45" s="705"/>
      <c r="J45" s="705"/>
      <c r="K45" s="705"/>
      <c r="L45" s="706"/>
      <c r="M45" s="1179"/>
      <c r="N45" s="1179"/>
      <c r="O45" s="1179"/>
      <c r="P45" s="1179"/>
      <c r="Q45" s="1179"/>
      <c r="R45" s="1179"/>
      <c r="S45" s="1179"/>
      <c r="T45" s="1179"/>
      <c r="U45" s="1179"/>
      <c r="V45" s="1179"/>
      <c r="W45" s="1179"/>
      <c r="X45" s="1179"/>
      <c r="Y45" s="1179"/>
      <c r="Z45" s="1179"/>
      <c r="AA45" s="1179"/>
      <c r="AB45" s="1179"/>
      <c r="AC45" s="1179"/>
      <c r="AD45" s="1179"/>
      <c r="AE45" s="1179"/>
      <c r="AF45" s="1179"/>
      <c r="AG45" s="1179"/>
      <c r="AH45" s="1179"/>
      <c r="AI45" s="1179"/>
      <c r="AJ45" s="1179"/>
      <c r="AK45" s="1179"/>
      <c r="AL45" s="1179"/>
      <c r="AM45" s="1179"/>
      <c r="AN45" s="1179"/>
      <c r="AO45" s="1179"/>
      <c r="AP45" s="1179"/>
      <c r="AQ45" s="1179"/>
      <c r="AR45" s="1179"/>
      <c r="AS45" s="1179"/>
      <c r="AT45" s="1179"/>
      <c r="AU45" s="1179"/>
      <c r="AV45" s="1179"/>
      <c r="AW45" s="1179"/>
      <c r="AX45" s="1179"/>
      <c r="AY45" s="1179"/>
      <c r="AZ45" s="1234"/>
      <c r="BA45" s="1235"/>
      <c r="BB45" s="1235"/>
      <c r="BC45" s="1235"/>
      <c r="BD45" s="1236"/>
      <c r="BE45" s="1234"/>
      <c r="BF45" s="1235"/>
      <c r="BG45" s="1235"/>
      <c r="BH45" s="1235"/>
      <c r="BI45" s="1236"/>
      <c r="BJ45" s="1234"/>
      <c r="BK45" s="1235"/>
      <c r="BL45" s="1235"/>
      <c r="BM45" s="1235"/>
      <c r="BN45" s="1236"/>
      <c r="BO45" s="704"/>
      <c r="BP45" s="705"/>
      <c r="BQ45" s="705"/>
      <c r="BR45" s="705"/>
      <c r="BS45" s="705"/>
      <c r="BT45" s="705"/>
      <c r="BU45" s="705"/>
      <c r="BV45" s="705"/>
      <c r="BW45" s="705"/>
      <c r="BX45" s="705"/>
      <c r="BY45" s="705"/>
      <c r="BZ45" s="705"/>
      <c r="CA45" s="705"/>
      <c r="CB45" s="706"/>
    </row>
    <row r="46" spans="3:80" ht="11.25" customHeight="1">
      <c r="C46" s="704"/>
      <c r="D46" s="705"/>
      <c r="E46" s="705"/>
      <c r="F46" s="705"/>
      <c r="G46" s="705"/>
      <c r="H46" s="705"/>
      <c r="I46" s="705"/>
      <c r="J46" s="705"/>
      <c r="K46" s="705"/>
      <c r="L46" s="706"/>
      <c r="M46" s="1179"/>
      <c r="N46" s="1179"/>
      <c r="O46" s="1179"/>
      <c r="P46" s="1179"/>
      <c r="Q46" s="1179"/>
      <c r="R46" s="1179"/>
      <c r="S46" s="1179"/>
      <c r="T46" s="1179"/>
      <c r="U46" s="1179"/>
      <c r="V46" s="1179"/>
      <c r="W46" s="1179"/>
      <c r="X46" s="1179"/>
      <c r="Y46" s="1179"/>
      <c r="Z46" s="1179"/>
      <c r="AA46" s="1179"/>
      <c r="AB46" s="1179"/>
      <c r="AC46" s="1179"/>
      <c r="AD46" s="1179"/>
      <c r="AE46" s="1179"/>
      <c r="AF46" s="1179"/>
      <c r="AG46" s="1179"/>
      <c r="AH46" s="1179"/>
      <c r="AI46" s="1179"/>
      <c r="AJ46" s="1179"/>
      <c r="AK46" s="1179"/>
      <c r="AL46" s="1179"/>
      <c r="AM46" s="1179"/>
      <c r="AN46" s="1179"/>
      <c r="AO46" s="1179"/>
      <c r="AP46" s="1179"/>
      <c r="AQ46" s="1179"/>
      <c r="AR46" s="1179"/>
      <c r="AS46" s="1179"/>
      <c r="AT46" s="1179"/>
      <c r="AU46" s="1179"/>
      <c r="AV46" s="1179"/>
      <c r="AW46" s="1179"/>
      <c r="AX46" s="1179"/>
      <c r="AY46" s="1179"/>
      <c r="AZ46" s="1234"/>
      <c r="BA46" s="1235"/>
      <c r="BB46" s="1235"/>
      <c r="BC46" s="1235"/>
      <c r="BD46" s="1236"/>
      <c r="BE46" s="1234"/>
      <c r="BF46" s="1235"/>
      <c r="BG46" s="1235"/>
      <c r="BH46" s="1235"/>
      <c r="BI46" s="1236"/>
      <c r="BJ46" s="1234"/>
      <c r="BK46" s="1235"/>
      <c r="BL46" s="1235"/>
      <c r="BM46" s="1235"/>
      <c r="BN46" s="1236"/>
      <c r="BO46" s="704"/>
      <c r="BP46" s="705"/>
      <c r="BQ46" s="705"/>
      <c r="BR46" s="705"/>
      <c r="BS46" s="705"/>
      <c r="BT46" s="705"/>
      <c r="BU46" s="705"/>
      <c r="BV46" s="705"/>
      <c r="BW46" s="705"/>
      <c r="BX46" s="705"/>
      <c r="BY46" s="705"/>
      <c r="BZ46" s="705"/>
      <c r="CA46" s="705"/>
      <c r="CB46" s="706"/>
    </row>
    <row r="47" spans="3:80" ht="11.25" customHeight="1">
      <c r="C47" s="707"/>
      <c r="D47" s="708"/>
      <c r="E47" s="708"/>
      <c r="F47" s="708"/>
      <c r="G47" s="708"/>
      <c r="H47" s="708"/>
      <c r="I47" s="708"/>
      <c r="J47" s="708"/>
      <c r="K47" s="708"/>
      <c r="L47" s="709"/>
      <c r="M47" s="1179"/>
      <c r="N47" s="1179"/>
      <c r="O47" s="1179"/>
      <c r="P47" s="1179"/>
      <c r="Q47" s="1179"/>
      <c r="R47" s="1179"/>
      <c r="S47" s="1179"/>
      <c r="T47" s="1179"/>
      <c r="U47" s="1179"/>
      <c r="V47" s="1179"/>
      <c r="W47" s="1179"/>
      <c r="X47" s="1179"/>
      <c r="Y47" s="1179"/>
      <c r="Z47" s="1179"/>
      <c r="AA47" s="1179"/>
      <c r="AB47" s="1179"/>
      <c r="AC47" s="1179"/>
      <c r="AD47" s="1179"/>
      <c r="AE47" s="1179"/>
      <c r="AF47" s="1179"/>
      <c r="AG47" s="1179"/>
      <c r="AH47" s="1179"/>
      <c r="AI47" s="1179"/>
      <c r="AJ47" s="1179"/>
      <c r="AK47" s="1179"/>
      <c r="AL47" s="1179"/>
      <c r="AM47" s="1179"/>
      <c r="AN47" s="1179"/>
      <c r="AO47" s="1179"/>
      <c r="AP47" s="1179"/>
      <c r="AQ47" s="1179"/>
      <c r="AR47" s="1179"/>
      <c r="AS47" s="1179"/>
      <c r="AT47" s="1179"/>
      <c r="AU47" s="1179"/>
      <c r="AV47" s="1179"/>
      <c r="AW47" s="1179"/>
      <c r="AX47" s="1179"/>
      <c r="AY47" s="1179"/>
      <c r="AZ47" s="1237"/>
      <c r="BA47" s="1238"/>
      <c r="BB47" s="1238"/>
      <c r="BC47" s="1238"/>
      <c r="BD47" s="1239"/>
      <c r="BE47" s="1237"/>
      <c r="BF47" s="1238"/>
      <c r="BG47" s="1238"/>
      <c r="BH47" s="1238"/>
      <c r="BI47" s="1239"/>
      <c r="BJ47" s="1237"/>
      <c r="BK47" s="1238"/>
      <c r="BL47" s="1238"/>
      <c r="BM47" s="1238"/>
      <c r="BN47" s="1239"/>
      <c r="BO47" s="707"/>
      <c r="BP47" s="708"/>
      <c r="BQ47" s="708"/>
      <c r="BR47" s="708"/>
      <c r="BS47" s="708"/>
      <c r="BT47" s="708"/>
      <c r="BU47" s="708"/>
      <c r="BV47" s="708"/>
      <c r="BW47" s="708"/>
      <c r="BX47" s="708"/>
      <c r="BY47" s="708"/>
      <c r="BZ47" s="708"/>
      <c r="CA47" s="708"/>
      <c r="CB47" s="709"/>
    </row>
    <row r="48" spans="3:80" ht="11.25" customHeight="1">
      <c r="C48" s="676"/>
      <c r="D48" s="677"/>
      <c r="E48" s="677"/>
      <c r="F48" s="677"/>
      <c r="G48" s="677"/>
      <c r="H48" s="677"/>
      <c r="I48" s="677"/>
      <c r="J48" s="677"/>
      <c r="K48" s="677"/>
      <c r="L48" s="678"/>
      <c r="M48" s="1179"/>
      <c r="N48" s="1179"/>
      <c r="O48" s="1179"/>
      <c r="P48" s="1179"/>
      <c r="Q48" s="1179"/>
      <c r="R48" s="1179"/>
      <c r="S48" s="1179"/>
      <c r="T48" s="1179"/>
      <c r="U48" s="1179"/>
      <c r="V48" s="1179"/>
      <c r="W48" s="1179"/>
      <c r="X48" s="1179"/>
      <c r="Y48" s="1179"/>
      <c r="Z48" s="1179"/>
      <c r="AA48" s="1179"/>
      <c r="AB48" s="1179"/>
      <c r="AC48" s="1179"/>
      <c r="AD48" s="1179"/>
      <c r="AE48" s="1179"/>
      <c r="AF48" s="1179"/>
      <c r="AG48" s="1179"/>
      <c r="AH48" s="1179"/>
      <c r="AI48" s="1179"/>
      <c r="AJ48" s="1179"/>
      <c r="AK48" s="1179"/>
      <c r="AL48" s="1179"/>
      <c r="AM48" s="1179"/>
      <c r="AN48" s="1179"/>
      <c r="AO48" s="1179"/>
      <c r="AP48" s="1179"/>
      <c r="AQ48" s="1179"/>
      <c r="AR48" s="1179"/>
      <c r="AS48" s="1179"/>
      <c r="AT48" s="1179"/>
      <c r="AU48" s="1179"/>
      <c r="AV48" s="1179"/>
      <c r="AW48" s="1179"/>
      <c r="AX48" s="1179"/>
      <c r="AY48" s="1179"/>
      <c r="AZ48" s="1231"/>
      <c r="BA48" s="1232"/>
      <c r="BB48" s="1232"/>
      <c r="BC48" s="1232"/>
      <c r="BD48" s="1233"/>
      <c r="BE48" s="1231"/>
      <c r="BF48" s="1232"/>
      <c r="BG48" s="1232"/>
      <c r="BH48" s="1232"/>
      <c r="BI48" s="1233"/>
      <c r="BJ48" s="1231"/>
      <c r="BK48" s="1232"/>
      <c r="BL48" s="1232"/>
      <c r="BM48" s="1232"/>
      <c r="BN48" s="1233"/>
      <c r="BO48" s="676"/>
      <c r="BP48" s="677"/>
      <c r="BQ48" s="677"/>
      <c r="BR48" s="677"/>
      <c r="BS48" s="677"/>
      <c r="BT48" s="677"/>
      <c r="BU48" s="677"/>
      <c r="BV48" s="677"/>
      <c r="BW48" s="677"/>
      <c r="BX48" s="677"/>
      <c r="BY48" s="677"/>
      <c r="BZ48" s="677"/>
      <c r="CA48" s="677"/>
      <c r="CB48" s="678"/>
    </row>
    <row r="49" spans="3:80" ht="11.25" customHeight="1">
      <c r="C49" s="704"/>
      <c r="D49" s="705"/>
      <c r="E49" s="705"/>
      <c r="F49" s="705"/>
      <c r="G49" s="705"/>
      <c r="H49" s="705"/>
      <c r="I49" s="705"/>
      <c r="J49" s="705"/>
      <c r="K49" s="705"/>
      <c r="L49" s="706"/>
      <c r="M49" s="1179"/>
      <c r="N49" s="1179"/>
      <c r="O49" s="1179"/>
      <c r="P49" s="1179"/>
      <c r="Q49" s="1179"/>
      <c r="R49" s="1179"/>
      <c r="S49" s="1179"/>
      <c r="T49" s="1179"/>
      <c r="U49" s="1179"/>
      <c r="V49" s="1179"/>
      <c r="W49" s="1179"/>
      <c r="X49" s="1179"/>
      <c r="Y49" s="1179"/>
      <c r="Z49" s="1179"/>
      <c r="AA49" s="1179"/>
      <c r="AB49" s="1179"/>
      <c r="AC49" s="1179"/>
      <c r="AD49" s="1179"/>
      <c r="AE49" s="1179"/>
      <c r="AF49" s="1179"/>
      <c r="AG49" s="1179"/>
      <c r="AH49" s="1179"/>
      <c r="AI49" s="1179"/>
      <c r="AJ49" s="1179"/>
      <c r="AK49" s="1179"/>
      <c r="AL49" s="1179"/>
      <c r="AM49" s="1179"/>
      <c r="AN49" s="1179"/>
      <c r="AO49" s="1179"/>
      <c r="AP49" s="1179"/>
      <c r="AQ49" s="1179"/>
      <c r="AR49" s="1179"/>
      <c r="AS49" s="1179"/>
      <c r="AT49" s="1179"/>
      <c r="AU49" s="1179"/>
      <c r="AV49" s="1179"/>
      <c r="AW49" s="1179"/>
      <c r="AX49" s="1179"/>
      <c r="AY49" s="1179"/>
      <c r="AZ49" s="1234"/>
      <c r="BA49" s="1235"/>
      <c r="BB49" s="1235"/>
      <c r="BC49" s="1235"/>
      <c r="BD49" s="1236"/>
      <c r="BE49" s="1234"/>
      <c r="BF49" s="1235"/>
      <c r="BG49" s="1235"/>
      <c r="BH49" s="1235"/>
      <c r="BI49" s="1236"/>
      <c r="BJ49" s="1234"/>
      <c r="BK49" s="1235"/>
      <c r="BL49" s="1235"/>
      <c r="BM49" s="1235"/>
      <c r="BN49" s="1236"/>
      <c r="BO49" s="704"/>
      <c r="BP49" s="705"/>
      <c r="BQ49" s="705"/>
      <c r="BR49" s="705"/>
      <c r="BS49" s="705"/>
      <c r="BT49" s="705"/>
      <c r="BU49" s="705"/>
      <c r="BV49" s="705"/>
      <c r="BW49" s="705"/>
      <c r="BX49" s="705"/>
      <c r="BY49" s="705"/>
      <c r="BZ49" s="705"/>
      <c r="CA49" s="705"/>
      <c r="CB49" s="706"/>
    </row>
    <row r="50" spans="3:80" ht="11.25" customHeight="1">
      <c r="C50" s="704"/>
      <c r="D50" s="705"/>
      <c r="E50" s="705"/>
      <c r="F50" s="705"/>
      <c r="G50" s="705"/>
      <c r="H50" s="705"/>
      <c r="I50" s="705"/>
      <c r="J50" s="705"/>
      <c r="K50" s="705"/>
      <c r="L50" s="706"/>
      <c r="M50" s="1179"/>
      <c r="N50" s="1179"/>
      <c r="O50" s="1179"/>
      <c r="P50" s="1179"/>
      <c r="Q50" s="1179"/>
      <c r="R50" s="1179"/>
      <c r="S50" s="1179"/>
      <c r="T50" s="1179"/>
      <c r="U50" s="1179"/>
      <c r="V50" s="1179"/>
      <c r="W50" s="1179"/>
      <c r="X50" s="1179"/>
      <c r="Y50" s="1179"/>
      <c r="Z50" s="1179"/>
      <c r="AA50" s="1179"/>
      <c r="AB50" s="1179"/>
      <c r="AC50" s="1179"/>
      <c r="AD50" s="1179"/>
      <c r="AE50" s="1179"/>
      <c r="AF50" s="1179"/>
      <c r="AG50" s="1179"/>
      <c r="AH50" s="1179"/>
      <c r="AI50" s="1179"/>
      <c r="AJ50" s="1179"/>
      <c r="AK50" s="1179"/>
      <c r="AL50" s="1179"/>
      <c r="AM50" s="1179"/>
      <c r="AN50" s="1179"/>
      <c r="AO50" s="1179"/>
      <c r="AP50" s="1179"/>
      <c r="AQ50" s="1179"/>
      <c r="AR50" s="1179"/>
      <c r="AS50" s="1179"/>
      <c r="AT50" s="1179"/>
      <c r="AU50" s="1179"/>
      <c r="AV50" s="1179"/>
      <c r="AW50" s="1179"/>
      <c r="AX50" s="1179"/>
      <c r="AY50" s="1179"/>
      <c r="AZ50" s="1234"/>
      <c r="BA50" s="1235"/>
      <c r="BB50" s="1235"/>
      <c r="BC50" s="1235"/>
      <c r="BD50" s="1236"/>
      <c r="BE50" s="1234"/>
      <c r="BF50" s="1235"/>
      <c r="BG50" s="1235"/>
      <c r="BH50" s="1235"/>
      <c r="BI50" s="1236"/>
      <c r="BJ50" s="1234"/>
      <c r="BK50" s="1235"/>
      <c r="BL50" s="1235"/>
      <c r="BM50" s="1235"/>
      <c r="BN50" s="1236"/>
      <c r="BO50" s="704"/>
      <c r="BP50" s="705"/>
      <c r="BQ50" s="705"/>
      <c r="BR50" s="705"/>
      <c r="BS50" s="705"/>
      <c r="BT50" s="705"/>
      <c r="BU50" s="705"/>
      <c r="BV50" s="705"/>
      <c r="BW50" s="705"/>
      <c r="BX50" s="705"/>
      <c r="BY50" s="705"/>
      <c r="BZ50" s="705"/>
      <c r="CA50" s="705"/>
      <c r="CB50" s="706"/>
    </row>
    <row r="51" spans="3:80" ht="11.25" customHeight="1">
      <c r="C51" s="707"/>
      <c r="D51" s="708"/>
      <c r="E51" s="708"/>
      <c r="F51" s="708"/>
      <c r="G51" s="708"/>
      <c r="H51" s="708"/>
      <c r="I51" s="708"/>
      <c r="J51" s="708"/>
      <c r="K51" s="708"/>
      <c r="L51" s="709"/>
      <c r="M51" s="1179"/>
      <c r="N51" s="1179"/>
      <c r="O51" s="1179"/>
      <c r="P51" s="1179"/>
      <c r="Q51" s="1179"/>
      <c r="R51" s="1179"/>
      <c r="S51" s="1179"/>
      <c r="T51" s="1179"/>
      <c r="U51" s="1179"/>
      <c r="V51" s="1179"/>
      <c r="W51" s="1179"/>
      <c r="X51" s="1179"/>
      <c r="Y51" s="1179"/>
      <c r="Z51" s="1179"/>
      <c r="AA51" s="1179"/>
      <c r="AB51" s="1179"/>
      <c r="AC51" s="1179"/>
      <c r="AD51" s="1179"/>
      <c r="AE51" s="1179"/>
      <c r="AF51" s="1179"/>
      <c r="AG51" s="1179"/>
      <c r="AH51" s="1179"/>
      <c r="AI51" s="1179"/>
      <c r="AJ51" s="1179"/>
      <c r="AK51" s="1179"/>
      <c r="AL51" s="1179"/>
      <c r="AM51" s="1179"/>
      <c r="AN51" s="1179"/>
      <c r="AO51" s="1179"/>
      <c r="AP51" s="1179"/>
      <c r="AQ51" s="1179"/>
      <c r="AR51" s="1179"/>
      <c r="AS51" s="1179"/>
      <c r="AT51" s="1179"/>
      <c r="AU51" s="1179"/>
      <c r="AV51" s="1179"/>
      <c r="AW51" s="1179"/>
      <c r="AX51" s="1179"/>
      <c r="AY51" s="1179"/>
      <c r="AZ51" s="1237"/>
      <c r="BA51" s="1238"/>
      <c r="BB51" s="1238"/>
      <c r="BC51" s="1238"/>
      <c r="BD51" s="1239"/>
      <c r="BE51" s="1237"/>
      <c r="BF51" s="1238"/>
      <c r="BG51" s="1238"/>
      <c r="BH51" s="1238"/>
      <c r="BI51" s="1239"/>
      <c r="BJ51" s="1237"/>
      <c r="BK51" s="1238"/>
      <c r="BL51" s="1238"/>
      <c r="BM51" s="1238"/>
      <c r="BN51" s="1239"/>
      <c r="BO51" s="707"/>
      <c r="BP51" s="708"/>
      <c r="BQ51" s="708"/>
      <c r="BR51" s="708"/>
      <c r="BS51" s="708"/>
      <c r="BT51" s="708"/>
      <c r="BU51" s="708"/>
      <c r="BV51" s="708"/>
      <c r="BW51" s="708"/>
      <c r="BX51" s="708"/>
      <c r="BY51" s="708"/>
      <c r="BZ51" s="708"/>
      <c r="CA51" s="708"/>
      <c r="CB51" s="709"/>
    </row>
    <row r="52" spans="3:80" ht="11.25" customHeight="1">
      <c r="W52" s="6"/>
    </row>
    <row r="53" spans="3:80" ht="11.25" customHeight="1">
      <c r="W53" s="6"/>
    </row>
    <row r="54" spans="3:80" ht="11.25" customHeight="1">
      <c r="C54" s="1258" t="str">
        <f>VLOOKUP(8003,Languages!A5:C410,Languages!A2,FALSE)</f>
        <v>Non-detection</v>
      </c>
      <c r="D54" s="1258"/>
      <c r="E54" s="1258"/>
      <c r="F54" s="1258"/>
      <c r="G54" s="1258"/>
      <c r="H54" s="1258"/>
      <c r="I54" s="1258"/>
      <c r="J54" s="1258"/>
      <c r="K54" s="1258"/>
      <c r="L54" s="1258"/>
      <c r="M54" s="244"/>
      <c r="N54" s="244"/>
      <c r="O54" s="244"/>
      <c r="P54" s="244"/>
      <c r="Q54" s="244"/>
      <c r="R54" s="244"/>
      <c r="S54" s="244"/>
      <c r="W54" s="6"/>
    </row>
    <row r="55" spans="3:80" ht="11.25" customHeight="1" thickBot="1">
      <c r="C55" s="1260"/>
      <c r="D55" s="1260"/>
      <c r="E55" s="1260"/>
      <c r="F55" s="1260"/>
      <c r="G55" s="1260"/>
      <c r="H55" s="1260"/>
      <c r="I55" s="1260"/>
      <c r="J55" s="1260"/>
      <c r="K55" s="1260"/>
      <c r="L55" s="1260"/>
      <c r="M55" s="11"/>
      <c r="N55" s="11"/>
      <c r="O55" s="11"/>
      <c r="P55" s="11"/>
      <c r="Q55" s="11"/>
      <c r="R55" s="11"/>
      <c r="S55" s="11"/>
      <c r="W55" s="6"/>
    </row>
    <row r="56" spans="3:80" ht="11.25" customHeight="1">
      <c r="C56" s="1220" t="str">
        <f>VLOOKUP(7014,Languages!A5:C410,Languages!A2,FALSE)</f>
        <v>It is to check whether the fault feature is covered by a test. 
If "Yes": Continue processing with the influencing factors test for non-detection. 
If "No": Continue processing with the 5 Whys (Why is this error feature not covered though a test?)</v>
      </c>
      <c r="D56" s="1221"/>
      <c r="E56" s="1221"/>
      <c r="F56" s="1221"/>
      <c r="G56" s="1221"/>
      <c r="H56" s="1221"/>
      <c r="I56" s="1221"/>
      <c r="J56" s="1221"/>
      <c r="K56" s="1221"/>
      <c r="L56" s="1221"/>
      <c r="M56" s="1221"/>
      <c r="N56" s="1221"/>
      <c r="O56" s="1221"/>
      <c r="P56" s="1221"/>
      <c r="Q56" s="1221"/>
      <c r="R56" s="1221"/>
      <c r="S56" s="1221"/>
      <c r="T56" s="1221"/>
      <c r="U56" s="1221"/>
      <c r="V56" s="1221"/>
      <c r="W56" s="1221"/>
      <c r="X56" s="1221"/>
      <c r="Y56" s="1221"/>
      <c r="Z56" s="1221"/>
      <c r="AA56" s="1221"/>
      <c r="AB56" s="1221"/>
      <c r="AC56" s="1221"/>
      <c r="AD56" s="1221"/>
      <c r="AE56" s="1221"/>
      <c r="AF56" s="1221"/>
      <c r="AG56" s="1221"/>
      <c r="AH56" s="1221"/>
      <c r="AI56" s="1221"/>
      <c r="AJ56" s="1221"/>
      <c r="AK56" s="1221"/>
      <c r="AL56" s="1221"/>
      <c r="AM56" s="1221"/>
      <c r="AN56" s="1221"/>
      <c r="AO56" s="1221"/>
      <c r="AP56" s="1221"/>
      <c r="AQ56" s="1221"/>
      <c r="AR56" s="1221"/>
      <c r="AS56" s="1221"/>
      <c r="AT56" s="1221"/>
      <c r="AU56" s="1221"/>
      <c r="AV56" s="1221"/>
      <c r="AW56" s="1221"/>
      <c r="AX56" s="1221"/>
      <c r="AY56" s="1221"/>
      <c r="AZ56" s="1221"/>
      <c r="BA56" s="1221"/>
      <c r="BB56" s="1221"/>
      <c r="BC56" s="1221"/>
      <c r="BD56" s="1221"/>
      <c r="BE56" s="1221"/>
      <c r="BF56" s="1221"/>
      <c r="BG56" s="1221"/>
      <c r="BH56" s="1221"/>
      <c r="BI56" s="1221"/>
      <c r="BJ56" s="246"/>
      <c r="BK56" s="246"/>
      <c r="BL56" s="246"/>
      <c r="BM56" s="246"/>
      <c r="BN56" s="246"/>
      <c r="BO56" s="246"/>
      <c r="BP56" s="246"/>
      <c r="BQ56" s="246"/>
      <c r="BR56" s="246"/>
      <c r="BS56" s="246"/>
      <c r="BT56" s="246"/>
      <c r="BU56" s="246"/>
      <c r="BV56" s="246"/>
      <c r="BW56" s="246"/>
      <c r="BX56" s="87"/>
      <c r="BY56" s="87"/>
      <c r="BZ56" s="87"/>
      <c r="CA56" s="87"/>
      <c r="CB56" s="88"/>
    </row>
    <row r="57" spans="3:80" ht="11.25" customHeight="1">
      <c r="C57" s="1222"/>
      <c r="D57" s="1223"/>
      <c r="E57" s="1223"/>
      <c r="F57" s="1223"/>
      <c r="G57" s="1223"/>
      <c r="H57" s="1223"/>
      <c r="I57" s="1223"/>
      <c r="J57" s="1223"/>
      <c r="K57" s="1223"/>
      <c r="L57" s="1223"/>
      <c r="M57" s="1223"/>
      <c r="N57" s="1223"/>
      <c r="O57" s="1223"/>
      <c r="P57" s="1223"/>
      <c r="Q57" s="1223"/>
      <c r="R57" s="1223"/>
      <c r="S57" s="1223"/>
      <c r="T57" s="1223"/>
      <c r="U57" s="1223"/>
      <c r="V57" s="1223"/>
      <c r="W57" s="1223"/>
      <c r="X57" s="1223"/>
      <c r="Y57" s="1223"/>
      <c r="Z57" s="1223"/>
      <c r="AA57" s="1223"/>
      <c r="AB57" s="1223"/>
      <c r="AC57" s="1223"/>
      <c r="AD57" s="1223"/>
      <c r="AE57" s="1223"/>
      <c r="AF57" s="1223"/>
      <c r="AG57" s="1223"/>
      <c r="AH57" s="1223"/>
      <c r="AI57" s="1223"/>
      <c r="AJ57" s="1223"/>
      <c r="AK57" s="1223"/>
      <c r="AL57" s="1223"/>
      <c r="AM57" s="1223"/>
      <c r="AN57" s="1223"/>
      <c r="AO57" s="1223"/>
      <c r="AP57" s="1223"/>
      <c r="AQ57" s="1223"/>
      <c r="AR57" s="1223"/>
      <c r="AS57" s="1223"/>
      <c r="AT57" s="1223"/>
      <c r="AU57" s="1223"/>
      <c r="AV57" s="1223"/>
      <c r="AW57" s="1223"/>
      <c r="AX57" s="1223"/>
      <c r="AY57" s="1223"/>
      <c r="AZ57" s="1223"/>
      <c r="BA57" s="1223"/>
      <c r="BB57" s="1223"/>
      <c r="BC57" s="1223"/>
      <c r="BD57" s="1223"/>
      <c r="BE57" s="1223"/>
      <c r="BF57" s="1223"/>
      <c r="BG57" s="1223"/>
      <c r="BH57" s="1223"/>
      <c r="BI57" s="1223"/>
      <c r="BJ57" s="245"/>
      <c r="BK57" s="245"/>
      <c r="BL57" s="245"/>
      <c r="BM57" s="245"/>
      <c r="BN57" s="245"/>
      <c r="BO57" s="245"/>
      <c r="BP57" s="245"/>
      <c r="BQ57" s="245"/>
      <c r="BR57" s="245"/>
      <c r="BS57" s="245"/>
      <c r="BT57" s="245"/>
      <c r="BU57" s="245"/>
      <c r="BV57" s="245"/>
      <c r="BW57" s="245"/>
      <c r="BX57" s="89"/>
      <c r="BY57" s="89"/>
      <c r="BZ57" s="89"/>
      <c r="CA57" s="89"/>
      <c r="CB57" s="90"/>
    </row>
    <row r="58" spans="3:80" ht="11.25" customHeight="1">
      <c r="C58" s="1222"/>
      <c r="D58" s="1223"/>
      <c r="E58" s="1223"/>
      <c r="F58" s="1223"/>
      <c r="G58" s="1223"/>
      <c r="H58" s="1223"/>
      <c r="I58" s="1223"/>
      <c r="J58" s="1223"/>
      <c r="K58" s="1223"/>
      <c r="L58" s="1223"/>
      <c r="M58" s="1223"/>
      <c r="N58" s="1223"/>
      <c r="O58" s="1223"/>
      <c r="P58" s="1223"/>
      <c r="Q58" s="1223"/>
      <c r="R58" s="1223"/>
      <c r="S58" s="1223"/>
      <c r="T58" s="1223"/>
      <c r="U58" s="1223"/>
      <c r="V58" s="1223"/>
      <c r="W58" s="1223"/>
      <c r="X58" s="1223"/>
      <c r="Y58" s="1223"/>
      <c r="Z58" s="1223"/>
      <c r="AA58" s="1223"/>
      <c r="AB58" s="1223"/>
      <c r="AC58" s="1223"/>
      <c r="AD58" s="1223"/>
      <c r="AE58" s="1223"/>
      <c r="AF58" s="1223"/>
      <c r="AG58" s="1223"/>
      <c r="AH58" s="1223"/>
      <c r="AI58" s="1223"/>
      <c r="AJ58" s="1223"/>
      <c r="AK58" s="1223"/>
      <c r="AL58" s="1223"/>
      <c r="AM58" s="1223"/>
      <c r="AN58" s="1223"/>
      <c r="AO58" s="1223"/>
      <c r="AP58" s="1223"/>
      <c r="AQ58" s="1223"/>
      <c r="AR58" s="1223"/>
      <c r="AS58" s="1223"/>
      <c r="AT58" s="1223"/>
      <c r="AU58" s="1223"/>
      <c r="AV58" s="1223"/>
      <c r="AW58" s="1223"/>
      <c r="AX58" s="1223"/>
      <c r="AY58" s="1223"/>
      <c r="AZ58" s="1223"/>
      <c r="BA58" s="1223"/>
      <c r="BB58" s="1223"/>
      <c r="BC58" s="1223"/>
      <c r="BD58" s="1223"/>
      <c r="BE58" s="1223"/>
      <c r="BF58" s="1223"/>
      <c r="BG58" s="1223"/>
      <c r="BH58" s="1223"/>
      <c r="BI58" s="1223"/>
      <c r="BJ58" s="245"/>
      <c r="BK58" s="1226"/>
      <c r="BL58" s="1226"/>
      <c r="BM58" s="1226"/>
      <c r="BN58" s="1226"/>
      <c r="BO58" s="1226"/>
      <c r="BP58" s="1226"/>
      <c r="BQ58" s="1226"/>
      <c r="BR58" s="1226"/>
      <c r="BS58" s="1226"/>
      <c r="BT58" s="1226"/>
      <c r="BU58" s="1226"/>
      <c r="BV58" s="1226"/>
      <c r="BW58" s="1226"/>
      <c r="BX58" s="1226"/>
      <c r="BY58" s="93"/>
      <c r="BZ58" s="93"/>
      <c r="CA58" s="93"/>
      <c r="CB58" s="94"/>
    </row>
    <row r="59" spans="3:80" ht="11.25" customHeight="1">
      <c r="C59" s="1222"/>
      <c r="D59" s="1223"/>
      <c r="E59" s="1223"/>
      <c r="F59" s="1223"/>
      <c r="G59" s="1223"/>
      <c r="H59" s="1223"/>
      <c r="I59" s="1223"/>
      <c r="J59" s="1223"/>
      <c r="K59" s="1223"/>
      <c r="L59" s="1223"/>
      <c r="M59" s="1223"/>
      <c r="N59" s="1223"/>
      <c r="O59" s="1223"/>
      <c r="P59" s="1223"/>
      <c r="Q59" s="1223"/>
      <c r="R59" s="1223"/>
      <c r="S59" s="1223"/>
      <c r="T59" s="1223"/>
      <c r="U59" s="1223"/>
      <c r="V59" s="1223"/>
      <c r="W59" s="1223"/>
      <c r="X59" s="1223"/>
      <c r="Y59" s="1223"/>
      <c r="Z59" s="1223"/>
      <c r="AA59" s="1223"/>
      <c r="AB59" s="1223"/>
      <c r="AC59" s="1223"/>
      <c r="AD59" s="1223"/>
      <c r="AE59" s="1223"/>
      <c r="AF59" s="1223"/>
      <c r="AG59" s="1223"/>
      <c r="AH59" s="1223"/>
      <c r="AI59" s="1223"/>
      <c r="AJ59" s="1223"/>
      <c r="AK59" s="1223"/>
      <c r="AL59" s="1223"/>
      <c r="AM59" s="1223"/>
      <c r="AN59" s="1223"/>
      <c r="AO59" s="1223"/>
      <c r="AP59" s="1223"/>
      <c r="AQ59" s="1223"/>
      <c r="AR59" s="1223"/>
      <c r="AS59" s="1223"/>
      <c r="AT59" s="1223"/>
      <c r="AU59" s="1223"/>
      <c r="AV59" s="1223"/>
      <c r="AW59" s="1223"/>
      <c r="AX59" s="1223"/>
      <c r="AY59" s="1223"/>
      <c r="AZ59" s="1223"/>
      <c r="BA59" s="1223"/>
      <c r="BB59" s="1223"/>
      <c r="BC59" s="1223"/>
      <c r="BD59" s="1223"/>
      <c r="BE59" s="1223"/>
      <c r="BF59" s="1223"/>
      <c r="BG59" s="1223"/>
      <c r="BH59" s="1223"/>
      <c r="BI59" s="1223"/>
      <c r="BJ59" s="245"/>
      <c r="BK59" s="1226"/>
      <c r="BL59" s="1226"/>
      <c r="BM59" s="1226"/>
      <c r="BN59" s="1226"/>
      <c r="BO59" s="1226"/>
      <c r="BP59" s="1226"/>
      <c r="BQ59" s="1226"/>
      <c r="BR59" s="1226"/>
      <c r="BS59" s="1226"/>
      <c r="BT59" s="1226"/>
      <c r="BU59" s="1226"/>
      <c r="BV59" s="1226"/>
      <c r="BW59" s="1226"/>
      <c r="BX59" s="1226"/>
      <c r="BZ59" s="241"/>
      <c r="CA59" s="241"/>
      <c r="CB59" s="242"/>
    </row>
    <row r="60" spans="3:80" ht="11.25" customHeight="1">
      <c r="C60" s="1222"/>
      <c r="D60" s="1223"/>
      <c r="E60" s="1223"/>
      <c r="F60" s="1223"/>
      <c r="G60" s="1223"/>
      <c r="H60" s="1223"/>
      <c r="I60" s="1223"/>
      <c r="J60" s="1223"/>
      <c r="K60" s="1223"/>
      <c r="L60" s="1223"/>
      <c r="M60" s="1223"/>
      <c r="N60" s="1223"/>
      <c r="O60" s="1223"/>
      <c r="P60" s="1223"/>
      <c r="Q60" s="1223"/>
      <c r="R60" s="1223"/>
      <c r="S60" s="1223"/>
      <c r="T60" s="1223"/>
      <c r="U60" s="1223"/>
      <c r="V60" s="1223"/>
      <c r="W60" s="1223"/>
      <c r="X60" s="1223"/>
      <c r="Y60" s="1223"/>
      <c r="Z60" s="1223"/>
      <c r="AA60" s="1223"/>
      <c r="AB60" s="1223"/>
      <c r="AC60" s="1223"/>
      <c r="AD60" s="1223"/>
      <c r="AE60" s="1223"/>
      <c r="AF60" s="1223"/>
      <c r="AG60" s="1223"/>
      <c r="AH60" s="1223"/>
      <c r="AI60" s="1223"/>
      <c r="AJ60" s="1223"/>
      <c r="AK60" s="1223"/>
      <c r="AL60" s="1223"/>
      <c r="AM60" s="1223"/>
      <c r="AN60" s="1223"/>
      <c r="AO60" s="1223"/>
      <c r="AP60" s="1223"/>
      <c r="AQ60" s="1223"/>
      <c r="AR60" s="1223"/>
      <c r="AS60" s="1223"/>
      <c r="AT60" s="1223"/>
      <c r="AU60" s="1223"/>
      <c r="AV60" s="1223"/>
      <c r="AW60" s="1223"/>
      <c r="AX60" s="1223"/>
      <c r="AY60" s="1223"/>
      <c r="AZ60" s="1223"/>
      <c r="BA60" s="1223"/>
      <c r="BB60" s="1223"/>
      <c r="BC60" s="1223"/>
      <c r="BD60" s="1223"/>
      <c r="BE60" s="1223"/>
      <c r="BF60" s="1223"/>
      <c r="BG60" s="1223"/>
      <c r="BH60" s="1223"/>
      <c r="BI60" s="1223"/>
      <c r="BJ60" s="245"/>
      <c r="BK60" s="1226"/>
      <c r="BL60" s="1226"/>
      <c r="BM60" s="1226"/>
      <c r="BN60" s="1226"/>
      <c r="BO60" s="1226"/>
      <c r="BP60" s="1226"/>
      <c r="BQ60" s="1226"/>
      <c r="BR60" s="1226"/>
      <c r="BS60" s="1226"/>
      <c r="BT60" s="1226"/>
      <c r="BU60" s="1226"/>
      <c r="BV60" s="1226"/>
      <c r="BW60" s="1226"/>
      <c r="BX60" s="1226"/>
      <c r="BY60" s="89"/>
      <c r="BZ60" s="89"/>
      <c r="CA60" s="89"/>
      <c r="CB60" s="90"/>
    </row>
    <row r="61" spans="3:80" ht="11.25" customHeight="1">
      <c r="C61" s="1222"/>
      <c r="D61" s="1223"/>
      <c r="E61" s="1223"/>
      <c r="F61" s="1223"/>
      <c r="G61" s="1223"/>
      <c r="H61" s="1223"/>
      <c r="I61" s="1223"/>
      <c r="J61" s="1223"/>
      <c r="K61" s="1223"/>
      <c r="L61" s="1223"/>
      <c r="M61" s="1223"/>
      <c r="N61" s="1223"/>
      <c r="O61" s="1223"/>
      <c r="P61" s="1223"/>
      <c r="Q61" s="1223"/>
      <c r="R61" s="1223"/>
      <c r="S61" s="1223"/>
      <c r="T61" s="1223"/>
      <c r="U61" s="1223"/>
      <c r="V61" s="1223"/>
      <c r="W61" s="1223"/>
      <c r="X61" s="1223"/>
      <c r="Y61" s="1223"/>
      <c r="Z61" s="1223"/>
      <c r="AA61" s="1223"/>
      <c r="AB61" s="1223"/>
      <c r="AC61" s="1223"/>
      <c r="AD61" s="1223"/>
      <c r="AE61" s="1223"/>
      <c r="AF61" s="1223"/>
      <c r="AG61" s="1223"/>
      <c r="AH61" s="1223"/>
      <c r="AI61" s="1223"/>
      <c r="AJ61" s="1223"/>
      <c r="AK61" s="1223"/>
      <c r="AL61" s="1223"/>
      <c r="AM61" s="1223"/>
      <c r="AN61" s="1223"/>
      <c r="AO61" s="1223"/>
      <c r="AP61" s="1223"/>
      <c r="AQ61" s="1223"/>
      <c r="AR61" s="1223"/>
      <c r="AS61" s="1223"/>
      <c r="AT61" s="1223"/>
      <c r="AU61" s="1223"/>
      <c r="AV61" s="1223"/>
      <c r="AW61" s="1223"/>
      <c r="AX61" s="1223"/>
      <c r="AY61" s="1223"/>
      <c r="AZ61" s="1223"/>
      <c r="BA61" s="1223"/>
      <c r="BB61" s="1223"/>
      <c r="BC61" s="1223"/>
      <c r="BD61" s="1223"/>
      <c r="BE61" s="1223"/>
      <c r="BF61" s="1223"/>
      <c r="BG61" s="1223"/>
      <c r="BH61" s="1223"/>
      <c r="BI61" s="1223"/>
      <c r="BJ61" s="245"/>
      <c r="BK61" s="245"/>
      <c r="BL61" s="245"/>
      <c r="BM61" s="245"/>
      <c r="BN61" s="245"/>
      <c r="BO61" s="245"/>
      <c r="BP61" s="245"/>
      <c r="BQ61" s="245"/>
      <c r="BR61" s="245"/>
      <c r="BS61" s="245"/>
      <c r="BT61" s="245"/>
      <c r="BU61" s="245"/>
      <c r="BV61" s="245"/>
      <c r="BW61" s="245"/>
      <c r="BX61" s="6"/>
      <c r="BY61" s="6"/>
      <c r="BZ61" s="6"/>
      <c r="CA61" s="6"/>
      <c r="CB61" s="247"/>
    </row>
    <row r="62" spans="3:80" ht="11.25" customHeight="1" thickBot="1">
      <c r="C62" s="1224"/>
      <c r="D62" s="1225"/>
      <c r="E62" s="1225"/>
      <c r="F62" s="1225"/>
      <c r="G62" s="1225"/>
      <c r="H62" s="1225"/>
      <c r="I62" s="1225"/>
      <c r="J62" s="1225"/>
      <c r="K62" s="1225"/>
      <c r="L62" s="1225"/>
      <c r="M62" s="1225"/>
      <c r="N62" s="1225"/>
      <c r="O62" s="1225"/>
      <c r="P62" s="1225"/>
      <c r="Q62" s="1225"/>
      <c r="R62" s="1225"/>
      <c r="S62" s="1225"/>
      <c r="T62" s="1225"/>
      <c r="U62" s="1225"/>
      <c r="V62" s="1225"/>
      <c r="W62" s="1225"/>
      <c r="X62" s="1225"/>
      <c r="Y62" s="1225"/>
      <c r="Z62" s="1225"/>
      <c r="AA62" s="1225"/>
      <c r="AB62" s="1225"/>
      <c r="AC62" s="1225"/>
      <c r="AD62" s="1225"/>
      <c r="AE62" s="1225"/>
      <c r="AF62" s="1225"/>
      <c r="AG62" s="1225"/>
      <c r="AH62" s="1225"/>
      <c r="AI62" s="1225"/>
      <c r="AJ62" s="1225"/>
      <c r="AK62" s="1225"/>
      <c r="AL62" s="1225"/>
      <c r="AM62" s="1225"/>
      <c r="AN62" s="1225"/>
      <c r="AO62" s="1225"/>
      <c r="AP62" s="1225"/>
      <c r="AQ62" s="1225"/>
      <c r="AR62" s="1225"/>
      <c r="AS62" s="1225"/>
      <c r="AT62" s="1225"/>
      <c r="AU62" s="1225"/>
      <c r="AV62" s="1225"/>
      <c r="AW62" s="1225"/>
      <c r="AX62" s="1225"/>
      <c r="AY62" s="1225"/>
      <c r="AZ62" s="1225"/>
      <c r="BA62" s="1225"/>
      <c r="BB62" s="1225"/>
      <c r="BC62" s="1225"/>
      <c r="BD62" s="1225"/>
      <c r="BE62" s="1225"/>
      <c r="BF62" s="1225"/>
      <c r="BG62" s="1225"/>
      <c r="BH62" s="1225"/>
      <c r="BI62" s="1225"/>
      <c r="BJ62" s="248"/>
      <c r="BK62" s="248"/>
      <c r="BL62" s="248"/>
      <c r="BM62" s="248"/>
      <c r="BN62" s="248"/>
      <c r="BO62" s="248"/>
      <c r="BP62" s="248"/>
      <c r="BQ62" s="248"/>
      <c r="BR62" s="248"/>
      <c r="BS62" s="248"/>
      <c r="BT62" s="248"/>
      <c r="BU62" s="248"/>
      <c r="BV62" s="248"/>
      <c r="BW62" s="248"/>
      <c r="BX62" s="249"/>
      <c r="BY62" s="249"/>
      <c r="BZ62" s="249"/>
      <c r="CA62" s="249"/>
      <c r="CB62" s="250"/>
    </row>
    <row r="64" spans="3:80" ht="11.25" customHeight="1">
      <c r="BE64" s="1201" t="str">
        <f>VLOOKUP(7019,Languages!A5:C410,Languages!A2,FALSE)</f>
        <v>Is this specification sufficient?</v>
      </c>
      <c r="BF64" s="1202"/>
      <c r="BG64" s="1202"/>
      <c r="BH64" s="1202"/>
      <c r="BI64" s="1203"/>
      <c r="BJ64" s="1249" t="str">
        <f>VLOOKUP(7020,Languages!A5:C410,Languages!A2,FALSE)</f>
        <v>Has this test been performed according to specification?</v>
      </c>
      <c r="BK64" s="1250"/>
      <c r="BL64" s="1250"/>
      <c r="BM64" s="1250"/>
      <c r="BN64" s="1251"/>
    </row>
    <row r="65" spans="3:80" ht="11.25" customHeight="1">
      <c r="BE65" s="1204"/>
      <c r="BF65" s="1205"/>
      <c r="BG65" s="1205"/>
      <c r="BH65" s="1205"/>
      <c r="BI65" s="1206"/>
      <c r="BJ65" s="1252"/>
      <c r="BK65" s="1253"/>
      <c r="BL65" s="1253"/>
      <c r="BM65" s="1253"/>
      <c r="BN65" s="1254"/>
    </row>
    <row r="66" spans="3:80" ht="11.25" customHeight="1">
      <c r="C66" s="153"/>
      <c r="D66" s="153"/>
      <c r="E66" s="153"/>
      <c r="F66" s="153"/>
      <c r="G66" s="153"/>
      <c r="H66" s="153"/>
      <c r="I66" s="153"/>
      <c r="J66" s="153"/>
      <c r="K66" s="153"/>
      <c r="L66" s="153"/>
      <c r="M66" s="153"/>
      <c r="N66" s="153"/>
      <c r="O66" s="153"/>
      <c r="P66" s="153"/>
      <c r="Q66" s="153"/>
      <c r="R66" s="153"/>
      <c r="S66" s="153"/>
      <c r="T66" s="153"/>
      <c r="U66" s="153"/>
      <c r="V66" s="153"/>
      <c r="W66" s="153"/>
      <c r="X66" s="153"/>
      <c r="Y66" s="153"/>
      <c r="Z66" s="153"/>
      <c r="AA66" s="153"/>
      <c r="AB66" s="153"/>
      <c r="AC66" s="153"/>
      <c r="AD66" s="153"/>
      <c r="AE66" s="153"/>
      <c r="AF66" s="153"/>
      <c r="AG66" s="153"/>
      <c r="AH66" s="153"/>
      <c r="AI66" s="153"/>
      <c r="AJ66" s="153"/>
      <c r="AK66" s="153"/>
      <c r="AL66" s="153"/>
      <c r="AM66" s="153"/>
      <c r="AN66" s="153"/>
      <c r="AO66" s="153"/>
      <c r="AP66" s="153"/>
      <c r="AQ66" s="153"/>
      <c r="AR66" s="153"/>
      <c r="AS66" s="153"/>
      <c r="AT66" s="153"/>
      <c r="AU66" s="153"/>
      <c r="AV66" s="153"/>
      <c r="AW66" s="153"/>
      <c r="AX66" s="153"/>
      <c r="AY66" s="153"/>
      <c r="AZ66" s="153"/>
      <c r="BA66" s="153"/>
      <c r="BB66" s="153"/>
      <c r="BC66" s="153"/>
      <c r="BD66" s="153"/>
      <c r="BE66" s="1204"/>
      <c r="BF66" s="1205"/>
      <c r="BG66" s="1205"/>
      <c r="BH66" s="1205"/>
      <c r="BI66" s="1206"/>
      <c r="BJ66" s="1252"/>
      <c r="BK66" s="1253"/>
      <c r="BL66" s="1253"/>
      <c r="BM66" s="1253"/>
      <c r="BN66" s="1254"/>
    </row>
    <row r="67" spans="3:80" ht="11.25" customHeight="1">
      <c r="BE67" s="1204"/>
      <c r="BF67" s="1205"/>
      <c r="BG67" s="1205"/>
      <c r="BH67" s="1205"/>
      <c r="BI67" s="1206"/>
      <c r="BJ67" s="1252"/>
      <c r="BK67" s="1253"/>
      <c r="BL67" s="1253"/>
      <c r="BM67" s="1253"/>
      <c r="BN67" s="1254"/>
    </row>
    <row r="68" spans="3:80" ht="11.25" customHeight="1">
      <c r="C68" s="1189" t="str">
        <f>VLOOKUP(7016,Languages!A5:C410,Languages!A2,FALSE)</f>
        <v>Where is the inspection characteristic covered?</v>
      </c>
      <c r="D68" s="1190"/>
      <c r="E68" s="1190"/>
      <c r="F68" s="1190"/>
      <c r="G68" s="1190"/>
      <c r="H68" s="1190"/>
      <c r="I68" s="1190"/>
      <c r="J68" s="1190"/>
      <c r="K68" s="1190"/>
      <c r="L68" s="1190"/>
      <c r="M68" s="1190"/>
      <c r="N68" s="1190"/>
      <c r="O68" s="1190"/>
      <c r="P68" s="1191"/>
      <c r="Q68" s="1196" t="str">
        <f>VLOOKUP(7017,Languages!A5:C410,Languages!A2,FALSE)</f>
        <v>Inspection characteristic</v>
      </c>
      <c r="R68" s="1196"/>
      <c r="S68" s="1196"/>
      <c r="T68" s="1196"/>
      <c r="U68" s="1196"/>
      <c r="V68" s="1196"/>
      <c r="W68" s="1196"/>
      <c r="X68" s="1196"/>
      <c r="Y68" s="1196"/>
      <c r="Z68" s="1196"/>
      <c r="AA68" s="1196"/>
      <c r="AB68" s="1196"/>
      <c r="AC68" s="1196"/>
      <c r="AD68" s="1196"/>
      <c r="AE68" s="1196"/>
      <c r="AF68" s="1196"/>
      <c r="AG68" s="1196"/>
      <c r="AH68" s="1196"/>
      <c r="AI68" s="1196"/>
      <c r="AJ68" s="1195" t="str">
        <f>VLOOKUP(7018,Languages!A5:C410,Languages!A2,FALSE)</f>
        <v>How is the testing defined (desired situation)?</v>
      </c>
      <c r="AK68" s="1195"/>
      <c r="AL68" s="1195"/>
      <c r="AM68" s="1195"/>
      <c r="AN68" s="1195"/>
      <c r="AO68" s="1195"/>
      <c r="AP68" s="1195"/>
      <c r="AQ68" s="1195"/>
      <c r="AR68" s="1195"/>
      <c r="AS68" s="1195"/>
      <c r="AT68" s="1195"/>
      <c r="AU68" s="1195"/>
      <c r="AV68" s="1195"/>
      <c r="AW68" s="1195"/>
      <c r="AX68" s="1195"/>
      <c r="AY68" s="1195"/>
      <c r="AZ68" s="1195"/>
      <c r="BA68" s="1195"/>
      <c r="BB68" s="1195"/>
      <c r="BC68" s="1195"/>
      <c r="BD68" s="1195"/>
      <c r="BE68" s="1205"/>
      <c r="BF68" s="1205"/>
      <c r="BG68" s="1205"/>
      <c r="BH68" s="1205"/>
      <c r="BI68" s="1206"/>
      <c r="BJ68" s="1252"/>
      <c r="BK68" s="1253"/>
      <c r="BL68" s="1253"/>
      <c r="BM68" s="1253"/>
      <c r="BN68" s="1254"/>
      <c r="BO68" s="1227" t="str">
        <f>VLOOKUP(7021,Languages!A5:C410,Languages!A2,FALSE)</f>
        <v>Comment</v>
      </c>
      <c r="BP68" s="1227"/>
      <c r="BQ68" s="1227"/>
      <c r="BR68" s="1227"/>
      <c r="BS68" s="1227"/>
      <c r="BT68" s="1227"/>
      <c r="BU68" s="1227"/>
      <c r="BV68" s="1227"/>
      <c r="BW68" s="1227"/>
      <c r="BX68" s="1227"/>
      <c r="BY68" s="1227"/>
      <c r="BZ68" s="1227"/>
      <c r="CA68" s="1227"/>
      <c r="CB68" s="1228"/>
    </row>
    <row r="69" spans="3:80" ht="11.25" customHeight="1">
      <c r="C69" s="1192"/>
      <c r="D69" s="1193"/>
      <c r="E69" s="1193"/>
      <c r="F69" s="1193"/>
      <c r="G69" s="1193"/>
      <c r="H69" s="1193"/>
      <c r="I69" s="1193"/>
      <c r="J69" s="1193"/>
      <c r="K69" s="1193"/>
      <c r="L69" s="1193"/>
      <c r="M69" s="1193"/>
      <c r="N69" s="1193"/>
      <c r="O69" s="1193"/>
      <c r="P69" s="1194"/>
      <c r="Q69" s="1196"/>
      <c r="R69" s="1196"/>
      <c r="S69" s="1196"/>
      <c r="T69" s="1196"/>
      <c r="U69" s="1196"/>
      <c r="V69" s="1196"/>
      <c r="W69" s="1196"/>
      <c r="X69" s="1196"/>
      <c r="Y69" s="1196"/>
      <c r="Z69" s="1196"/>
      <c r="AA69" s="1196"/>
      <c r="AB69" s="1196"/>
      <c r="AC69" s="1196"/>
      <c r="AD69" s="1196"/>
      <c r="AE69" s="1196"/>
      <c r="AF69" s="1196"/>
      <c r="AG69" s="1196"/>
      <c r="AH69" s="1196"/>
      <c r="AI69" s="1196"/>
      <c r="AJ69" s="1195"/>
      <c r="AK69" s="1195"/>
      <c r="AL69" s="1195"/>
      <c r="AM69" s="1195"/>
      <c r="AN69" s="1195"/>
      <c r="AO69" s="1195"/>
      <c r="AP69" s="1195"/>
      <c r="AQ69" s="1195"/>
      <c r="AR69" s="1195"/>
      <c r="AS69" s="1195"/>
      <c r="AT69" s="1195"/>
      <c r="AU69" s="1195"/>
      <c r="AV69" s="1195"/>
      <c r="AW69" s="1195"/>
      <c r="AX69" s="1195"/>
      <c r="AY69" s="1195"/>
      <c r="AZ69" s="1195"/>
      <c r="BA69" s="1195"/>
      <c r="BB69" s="1195"/>
      <c r="BC69" s="1195"/>
      <c r="BD69" s="1195"/>
      <c r="BE69" s="1205"/>
      <c r="BF69" s="1205"/>
      <c r="BG69" s="1205"/>
      <c r="BH69" s="1205"/>
      <c r="BI69" s="1206"/>
      <c r="BJ69" s="1252"/>
      <c r="BK69" s="1253"/>
      <c r="BL69" s="1253"/>
      <c r="BM69" s="1253"/>
      <c r="BN69" s="1254"/>
      <c r="BO69" s="1229"/>
      <c r="BP69" s="1229"/>
      <c r="BQ69" s="1229"/>
      <c r="BR69" s="1229"/>
      <c r="BS69" s="1229"/>
      <c r="BT69" s="1229"/>
      <c r="BU69" s="1229"/>
      <c r="BV69" s="1229"/>
      <c r="BW69" s="1229"/>
      <c r="BX69" s="1229"/>
      <c r="BY69" s="1229"/>
      <c r="BZ69" s="1229"/>
      <c r="CA69" s="1229"/>
      <c r="CB69" s="1230"/>
    </row>
    <row r="70" spans="3:80" ht="11.25" customHeight="1">
      <c r="C70" s="1192"/>
      <c r="D70" s="1193"/>
      <c r="E70" s="1193"/>
      <c r="F70" s="1193"/>
      <c r="G70" s="1193"/>
      <c r="H70" s="1193"/>
      <c r="I70" s="1193"/>
      <c r="J70" s="1193"/>
      <c r="K70" s="1193"/>
      <c r="L70" s="1193"/>
      <c r="M70" s="1193"/>
      <c r="N70" s="1193"/>
      <c r="O70" s="1193"/>
      <c r="P70" s="1194"/>
      <c r="Q70" s="1196"/>
      <c r="R70" s="1196"/>
      <c r="S70" s="1196"/>
      <c r="T70" s="1196"/>
      <c r="U70" s="1196"/>
      <c r="V70" s="1196"/>
      <c r="W70" s="1196"/>
      <c r="X70" s="1196"/>
      <c r="Y70" s="1196"/>
      <c r="Z70" s="1196"/>
      <c r="AA70" s="1196"/>
      <c r="AB70" s="1196"/>
      <c r="AC70" s="1196"/>
      <c r="AD70" s="1196"/>
      <c r="AE70" s="1196"/>
      <c r="AF70" s="1196"/>
      <c r="AG70" s="1196"/>
      <c r="AH70" s="1196"/>
      <c r="AI70" s="1196"/>
      <c r="AJ70" s="1195"/>
      <c r="AK70" s="1195"/>
      <c r="AL70" s="1195"/>
      <c r="AM70" s="1195"/>
      <c r="AN70" s="1195"/>
      <c r="AO70" s="1195"/>
      <c r="AP70" s="1195"/>
      <c r="AQ70" s="1195"/>
      <c r="AR70" s="1195"/>
      <c r="AS70" s="1195"/>
      <c r="AT70" s="1195"/>
      <c r="AU70" s="1195"/>
      <c r="AV70" s="1195"/>
      <c r="AW70" s="1195"/>
      <c r="AX70" s="1195"/>
      <c r="AY70" s="1195"/>
      <c r="AZ70" s="1195"/>
      <c r="BA70" s="1195"/>
      <c r="BB70" s="1195"/>
      <c r="BC70" s="1195"/>
      <c r="BD70" s="1195"/>
      <c r="BE70" s="1205"/>
      <c r="BF70" s="1205"/>
      <c r="BG70" s="1205"/>
      <c r="BH70" s="1205"/>
      <c r="BI70" s="1206"/>
      <c r="BJ70" s="1252"/>
      <c r="BK70" s="1253"/>
      <c r="BL70" s="1253"/>
      <c r="BM70" s="1253"/>
      <c r="BN70" s="1254"/>
      <c r="BO70" s="1229"/>
      <c r="BP70" s="1229"/>
      <c r="BQ70" s="1229"/>
      <c r="BR70" s="1229"/>
      <c r="BS70" s="1229"/>
      <c r="BT70" s="1229"/>
      <c r="BU70" s="1229"/>
      <c r="BV70" s="1229"/>
      <c r="BW70" s="1229"/>
      <c r="BX70" s="1229"/>
      <c r="BY70" s="1229"/>
      <c r="BZ70" s="1229"/>
      <c r="CA70" s="1229"/>
      <c r="CB70" s="1230"/>
    </row>
    <row r="71" spans="3:80" ht="11.25" customHeight="1">
      <c r="C71" s="1192"/>
      <c r="D71" s="1193"/>
      <c r="E71" s="1193"/>
      <c r="F71" s="1193"/>
      <c r="G71" s="1193"/>
      <c r="H71" s="1193"/>
      <c r="I71" s="1193"/>
      <c r="J71" s="1193"/>
      <c r="K71" s="1193"/>
      <c r="L71" s="1193"/>
      <c r="M71" s="1193"/>
      <c r="N71" s="1193"/>
      <c r="O71" s="1193"/>
      <c r="P71" s="1194"/>
      <c r="Q71" s="1197"/>
      <c r="R71" s="1197"/>
      <c r="S71" s="1197"/>
      <c r="T71" s="1197"/>
      <c r="U71" s="1197"/>
      <c r="V71" s="1197"/>
      <c r="W71" s="1197"/>
      <c r="X71" s="1197"/>
      <c r="Y71" s="1197"/>
      <c r="Z71" s="1197"/>
      <c r="AA71" s="1197"/>
      <c r="AB71" s="1197"/>
      <c r="AC71" s="1197"/>
      <c r="AD71" s="1197"/>
      <c r="AE71" s="1197"/>
      <c r="AF71" s="1197"/>
      <c r="AG71" s="1197"/>
      <c r="AH71" s="1197"/>
      <c r="AI71" s="1197"/>
      <c r="AJ71" s="1195"/>
      <c r="AK71" s="1195"/>
      <c r="AL71" s="1195"/>
      <c r="AM71" s="1195"/>
      <c r="AN71" s="1195"/>
      <c r="AO71" s="1195"/>
      <c r="AP71" s="1195"/>
      <c r="AQ71" s="1195"/>
      <c r="AR71" s="1195"/>
      <c r="AS71" s="1195"/>
      <c r="AT71" s="1195"/>
      <c r="AU71" s="1195"/>
      <c r="AV71" s="1195"/>
      <c r="AW71" s="1195"/>
      <c r="AX71" s="1195"/>
      <c r="AY71" s="1195"/>
      <c r="AZ71" s="1195"/>
      <c r="BA71" s="1195"/>
      <c r="BB71" s="1195"/>
      <c r="BC71" s="1195"/>
      <c r="BD71" s="1195"/>
      <c r="BE71" s="1208"/>
      <c r="BF71" s="1208"/>
      <c r="BG71" s="1208"/>
      <c r="BH71" s="1208"/>
      <c r="BI71" s="1209"/>
      <c r="BJ71" s="1255"/>
      <c r="BK71" s="1256"/>
      <c r="BL71" s="1256"/>
      <c r="BM71" s="1256"/>
      <c r="BN71" s="1257"/>
      <c r="BO71" s="1229"/>
      <c r="BP71" s="1229"/>
      <c r="BQ71" s="1229"/>
      <c r="BR71" s="1229"/>
      <c r="BS71" s="1229"/>
      <c r="BT71" s="1229"/>
      <c r="BU71" s="1229"/>
      <c r="BV71" s="1229"/>
      <c r="BW71" s="1229"/>
      <c r="BX71" s="1229"/>
      <c r="BY71" s="1229"/>
      <c r="BZ71" s="1229"/>
      <c r="CA71" s="1229"/>
      <c r="CB71" s="1230"/>
    </row>
    <row r="72" spans="3:80" ht="11.25" customHeight="1">
      <c r="C72" s="676"/>
      <c r="D72" s="677"/>
      <c r="E72" s="677"/>
      <c r="F72" s="677"/>
      <c r="G72" s="677"/>
      <c r="H72" s="677"/>
      <c r="I72" s="677"/>
      <c r="J72" s="677"/>
      <c r="K72" s="677"/>
      <c r="L72" s="677"/>
      <c r="M72" s="677"/>
      <c r="N72" s="677"/>
      <c r="O72" s="677"/>
      <c r="P72" s="678"/>
      <c r="Q72" s="1179"/>
      <c r="R72" s="1179"/>
      <c r="S72" s="1179"/>
      <c r="T72" s="1179"/>
      <c r="U72" s="1179"/>
      <c r="V72" s="1179"/>
      <c r="W72" s="1179"/>
      <c r="X72" s="1179"/>
      <c r="Y72" s="1179"/>
      <c r="Z72" s="1179"/>
      <c r="AA72" s="1179"/>
      <c r="AB72" s="1179"/>
      <c r="AC72" s="1179"/>
      <c r="AD72" s="1179"/>
      <c r="AE72" s="1179"/>
      <c r="AF72" s="1179"/>
      <c r="AG72" s="1179"/>
      <c r="AH72" s="1179"/>
      <c r="AI72" s="1179"/>
      <c r="AJ72" s="676"/>
      <c r="AK72" s="677"/>
      <c r="AL72" s="677"/>
      <c r="AM72" s="677"/>
      <c r="AN72" s="677"/>
      <c r="AO72" s="677"/>
      <c r="AP72" s="677"/>
      <c r="AQ72" s="677"/>
      <c r="AR72" s="677"/>
      <c r="AS72" s="677"/>
      <c r="AT72" s="677"/>
      <c r="AU72" s="677"/>
      <c r="AV72" s="677"/>
      <c r="AW72" s="677"/>
      <c r="AX72" s="677"/>
      <c r="AY72" s="677"/>
      <c r="AZ72" s="677"/>
      <c r="BA72" s="677"/>
      <c r="BB72" s="677"/>
      <c r="BC72" s="677"/>
      <c r="BD72" s="678"/>
      <c r="BE72" s="1181"/>
      <c r="BF72" s="1181"/>
      <c r="BG72" s="1181"/>
      <c r="BH72" s="1181"/>
      <c r="BI72" s="1182"/>
      <c r="BJ72" s="1180"/>
      <c r="BK72" s="1181"/>
      <c r="BL72" s="1181"/>
      <c r="BM72" s="1181"/>
      <c r="BN72" s="1182"/>
      <c r="BO72" s="676"/>
      <c r="BP72" s="677"/>
      <c r="BQ72" s="677"/>
      <c r="BR72" s="677"/>
      <c r="BS72" s="677"/>
      <c r="BT72" s="677"/>
      <c r="BU72" s="677"/>
      <c r="BV72" s="677"/>
      <c r="BW72" s="677"/>
      <c r="BX72" s="677"/>
      <c r="BY72" s="677"/>
      <c r="BZ72" s="677"/>
      <c r="CA72" s="677"/>
      <c r="CB72" s="678"/>
    </row>
    <row r="73" spans="3:80" ht="11.25" customHeight="1">
      <c r="C73" s="704"/>
      <c r="D73" s="705"/>
      <c r="E73" s="705"/>
      <c r="F73" s="705"/>
      <c r="G73" s="705"/>
      <c r="H73" s="705"/>
      <c r="I73" s="705"/>
      <c r="J73" s="705"/>
      <c r="K73" s="705"/>
      <c r="L73" s="705"/>
      <c r="M73" s="705"/>
      <c r="N73" s="705"/>
      <c r="O73" s="705"/>
      <c r="P73" s="706"/>
      <c r="Q73" s="1179"/>
      <c r="R73" s="1179"/>
      <c r="S73" s="1179"/>
      <c r="T73" s="1179"/>
      <c r="U73" s="1179"/>
      <c r="V73" s="1179"/>
      <c r="W73" s="1179"/>
      <c r="X73" s="1179"/>
      <c r="Y73" s="1179"/>
      <c r="Z73" s="1179"/>
      <c r="AA73" s="1179"/>
      <c r="AB73" s="1179"/>
      <c r="AC73" s="1179"/>
      <c r="AD73" s="1179"/>
      <c r="AE73" s="1179"/>
      <c r="AF73" s="1179"/>
      <c r="AG73" s="1179"/>
      <c r="AH73" s="1179"/>
      <c r="AI73" s="1179"/>
      <c r="AJ73" s="704"/>
      <c r="AK73" s="705"/>
      <c r="AL73" s="705"/>
      <c r="AM73" s="705"/>
      <c r="AN73" s="705"/>
      <c r="AO73" s="705"/>
      <c r="AP73" s="705"/>
      <c r="AQ73" s="705"/>
      <c r="AR73" s="705"/>
      <c r="AS73" s="705"/>
      <c r="AT73" s="705"/>
      <c r="AU73" s="705"/>
      <c r="AV73" s="705"/>
      <c r="AW73" s="705"/>
      <c r="AX73" s="705"/>
      <c r="AY73" s="705"/>
      <c r="AZ73" s="705"/>
      <c r="BA73" s="705"/>
      <c r="BB73" s="705"/>
      <c r="BC73" s="705"/>
      <c r="BD73" s="706"/>
      <c r="BE73" s="1184"/>
      <c r="BF73" s="1184"/>
      <c r="BG73" s="1184"/>
      <c r="BH73" s="1184"/>
      <c r="BI73" s="1185"/>
      <c r="BJ73" s="1183"/>
      <c r="BK73" s="1184"/>
      <c r="BL73" s="1184"/>
      <c r="BM73" s="1184"/>
      <c r="BN73" s="1185"/>
      <c r="BO73" s="704"/>
      <c r="BP73" s="705"/>
      <c r="BQ73" s="705"/>
      <c r="BR73" s="705"/>
      <c r="BS73" s="705"/>
      <c r="BT73" s="705"/>
      <c r="BU73" s="705"/>
      <c r="BV73" s="705"/>
      <c r="BW73" s="705"/>
      <c r="BX73" s="705"/>
      <c r="BY73" s="705"/>
      <c r="BZ73" s="705"/>
      <c r="CA73" s="705"/>
      <c r="CB73" s="706"/>
    </row>
    <row r="74" spans="3:80" ht="11.25" customHeight="1">
      <c r="C74" s="704"/>
      <c r="D74" s="705"/>
      <c r="E74" s="705"/>
      <c r="F74" s="705"/>
      <c r="G74" s="705"/>
      <c r="H74" s="705"/>
      <c r="I74" s="705"/>
      <c r="J74" s="705"/>
      <c r="K74" s="705"/>
      <c r="L74" s="705"/>
      <c r="M74" s="705"/>
      <c r="N74" s="705"/>
      <c r="O74" s="705"/>
      <c r="P74" s="706"/>
      <c r="Q74" s="1179"/>
      <c r="R74" s="1179"/>
      <c r="S74" s="1179"/>
      <c r="T74" s="1179"/>
      <c r="U74" s="1179"/>
      <c r="V74" s="1179"/>
      <c r="W74" s="1179"/>
      <c r="X74" s="1179"/>
      <c r="Y74" s="1179"/>
      <c r="Z74" s="1179"/>
      <c r="AA74" s="1179"/>
      <c r="AB74" s="1179"/>
      <c r="AC74" s="1179"/>
      <c r="AD74" s="1179"/>
      <c r="AE74" s="1179"/>
      <c r="AF74" s="1179"/>
      <c r="AG74" s="1179"/>
      <c r="AH74" s="1179"/>
      <c r="AI74" s="1179"/>
      <c r="AJ74" s="704"/>
      <c r="AK74" s="705"/>
      <c r="AL74" s="705"/>
      <c r="AM74" s="705"/>
      <c r="AN74" s="705"/>
      <c r="AO74" s="705"/>
      <c r="AP74" s="705"/>
      <c r="AQ74" s="705"/>
      <c r="AR74" s="705"/>
      <c r="AS74" s="705"/>
      <c r="AT74" s="705"/>
      <c r="AU74" s="705"/>
      <c r="AV74" s="705"/>
      <c r="AW74" s="705"/>
      <c r="AX74" s="705"/>
      <c r="AY74" s="705"/>
      <c r="AZ74" s="705"/>
      <c r="BA74" s="705"/>
      <c r="BB74" s="705"/>
      <c r="BC74" s="705"/>
      <c r="BD74" s="706"/>
      <c r="BE74" s="1184"/>
      <c r="BF74" s="1184"/>
      <c r="BG74" s="1184"/>
      <c r="BH74" s="1184"/>
      <c r="BI74" s="1185"/>
      <c r="BJ74" s="1183"/>
      <c r="BK74" s="1184"/>
      <c r="BL74" s="1184"/>
      <c r="BM74" s="1184"/>
      <c r="BN74" s="1185"/>
      <c r="BO74" s="704"/>
      <c r="BP74" s="705"/>
      <c r="BQ74" s="705"/>
      <c r="BR74" s="705"/>
      <c r="BS74" s="705"/>
      <c r="BT74" s="705"/>
      <c r="BU74" s="705"/>
      <c r="BV74" s="705"/>
      <c r="BW74" s="705"/>
      <c r="BX74" s="705"/>
      <c r="BY74" s="705"/>
      <c r="BZ74" s="705"/>
      <c r="CA74" s="705"/>
      <c r="CB74" s="706"/>
    </row>
    <row r="75" spans="3:80" ht="11.25" customHeight="1">
      <c r="C75" s="707"/>
      <c r="D75" s="708"/>
      <c r="E75" s="708"/>
      <c r="F75" s="708"/>
      <c r="G75" s="708"/>
      <c r="H75" s="708"/>
      <c r="I75" s="708"/>
      <c r="J75" s="708"/>
      <c r="K75" s="708"/>
      <c r="L75" s="708"/>
      <c r="M75" s="708"/>
      <c r="N75" s="708"/>
      <c r="O75" s="708"/>
      <c r="P75" s="709"/>
      <c r="Q75" s="1179"/>
      <c r="R75" s="1179"/>
      <c r="S75" s="1179"/>
      <c r="T75" s="1179"/>
      <c r="U75" s="1179"/>
      <c r="V75" s="1179"/>
      <c r="W75" s="1179"/>
      <c r="X75" s="1179"/>
      <c r="Y75" s="1179"/>
      <c r="Z75" s="1179"/>
      <c r="AA75" s="1179"/>
      <c r="AB75" s="1179"/>
      <c r="AC75" s="1179"/>
      <c r="AD75" s="1179"/>
      <c r="AE75" s="1179"/>
      <c r="AF75" s="1179"/>
      <c r="AG75" s="1179"/>
      <c r="AH75" s="1179"/>
      <c r="AI75" s="1179"/>
      <c r="AJ75" s="707"/>
      <c r="AK75" s="708"/>
      <c r="AL75" s="708"/>
      <c r="AM75" s="708"/>
      <c r="AN75" s="708"/>
      <c r="AO75" s="708"/>
      <c r="AP75" s="708"/>
      <c r="AQ75" s="708"/>
      <c r="AR75" s="708"/>
      <c r="AS75" s="708"/>
      <c r="AT75" s="708"/>
      <c r="AU75" s="708"/>
      <c r="AV75" s="708"/>
      <c r="AW75" s="708"/>
      <c r="AX75" s="708"/>
      <c r="AY75" s="708"/>
      <c r="AZ75" s="708"/>
      <c r="BA75" s="708"/>
      <c r="BB75" s="708"/>
      <c r="BC75" s="708"/>
      <c r="BD75" s="709"/>
      <c r="BE75" s="1187"/>
      <c r="BF75" s="1187"/>
      <c r="BG75" s="1187"/>
      <c r="BH75" s="1187"/>
      <c r="BI75" s="1188"/>
      <c r="BJ75" s="1186"/>
      <c r="BK75" s="1187"/>
      <c r="BL75" s="1187"/>
      <c r="BM75" s="1187"/>
      <c r="BN75" s="1188"/>
      <c r="BO75" s="707"/>
      <c r="BP75" s="708"/>
      <c r="BQ75" s="708"/>
      <c r="BR75" s="708"/>
      <c r="BS75" s="708"/>
      <c r="BT75" s="708"/>
      <c r="BU75" s="708"/>
      <c r="BV75" s="708"/>
      <c r="BW75" s="708"/>
      <c r="BX75" s="708"/>
      <c r="BY75" s="708"/>
      <c r="BZ75" s="708"/>
      <c r="CA75" s="708"/>
      <c r="CB75" s="709"/>
    </row>
    <row r="76" spans="3:80" ht="11.25" customHeight="1">
      <c r="C76" s="676"/>
      <c r="D76" s="677"/>
      <c r="E76" s="677"/>
      <c r="F76" s="677"/>
      <c r="G76" s="677"/>
      <c r="H76" s="677"/>
      <c r="I76" s="677"/>
      <c r="J76" s="677"/>
      <c r="K76" s="677"/>
      <c r="L76" s="677"/>
      <c r="M76" s="677"/>
      <c r="N76" s="677"/>
      <c r="O76" s="677"/>
      <c r="P76" s="678"/>
      <c r="Q76" s="1179"/>
      <c r="R76" s="1179"/>
      <c r="S76" s="1179"/>
      <c r="T76" s="1179"/>
      <c r="U76" s="1179"/>
      <c r="V76" s="1179"/>
      <c r="W76" s="1179"/>
      <c r="X76" s="1179"/>
      <c r="Y76" s="1179"/>
      <c r="Z76" s="1179"/>
      <c r="AA76" s="1179"/>
      <c r="AB76" s="1179"/>
      <c r="AC76" s="1179"/>
      <c r="AD76" s="1179"/>
      <c r="AE76" s="1179"/>
      <c r="AF76" s="1179"/>
      <c r="AG76" s="1179"/>
      <c r="AH76" s="1179"/>
      <c r="AI76" s="1179"/>
      <c r="AJ76" s="676"/>
      <c r="AK76" s="677"/>
      <c r="AL76" s="677"/>
      <c r="AM76" s="677"/>
      <c r="AN76" s="677"/>
      <c r="AO76" s="677"/>
      <c r="AP76" s="677"/>
      <c r="AQ76" s="677"/>
      <c r="AR76" s="677"/>
      <c r="AS76" s="677"/>
      <c r="AT76" s="677"/>
      <c r="AU76" s="677"/>
      <c r="AV76" s="677"/>
      <c r="AW76" s="677"/>
      <c r="AX76" s="677"/>
      <c r="AY76" s="677"/>
      <c r="AZ76" s="677"/>
      <c r="BA76" s="677"/>
      <c r="BB76" s="677"/>
      <c r="BC76" s="677"/>
      <c r="BD76" s="678"/>
      <c r="BE76" s="1180"/>
      <c r="BF76" s="1181"/>
      <c r="BG76" s="1181"/>
      <c r="BH76" s="1181"/>
      <c r="BI76" s="1182"/>
      <c r="BJ76" s="1180"/>
      <c r="BK76" s="1181"/>
      <c r="BL76" s="1181"/>
      <c r="BM76" s="1181"/>
      <c r="BN76" s="1182"/>
      <c r="BO76" s="676"/>
      <c r="BP76" s="677"/>
      <c r="BQ76" s="677"/>
      <c r="BR76" s="677"/>
      <c r="BS76" s="677"/>
      <c r="BT76" s="677"/>
      <c r="BU76" s="677"/>
      <c r="BV76" s="677"/>
      <c r="BW76" s="677"/>
      <c r="BX76" s="677"/>
      <c r="BY76" s="677"/>
      <c r="BZ76" s="677"/>
      <c r="CA76" s="677"/>
      <c r="CB76" s="678"/>
    </row>
    <row r="77" spans="3:80" ht="11.25" customHeight="1">
      <c r="C77" s="704"/>
      <c r="D77" s="705"/>
      <c r="E77" s="705"/>
      <c r="F77" s="705"/>
      <c r="G77" s="705"/>
      <c r="H77" s="705"/>
      <c r="I77" s="705"/>
      <c r="J77" s="705"/>
      <c r="K77" s="705"/>
      <c r="L77" s="705"/>
      <c r="M77" s="705"/>
      <c r="N77" s="705"/>
      <c r="O77" s="705"/>
      <c r="P77" s="706"/>
      <c r="Q77" s="1179"/>
      <c r="R77" s="1179"/>
      <c r="S77" s="1179"/>
      <c r="T77" s="1179"/>
      <c r="U77" s="1179"/>
      <c r="V77" s="1179"/>
      <c r="W77" s="1179"/>
      <c r="X77" s="1179"/>
      <c r="Y77" s="1179"/>
      <c r="Z77" s="1179"/>
      <c r="AA77" s="1179"/>
      <c r="AB77" s="1179"/>
      <c r="AC77" s="1179"/>
      <c r="AD77" s="1179"/>
      <c r="AE77" s="1179"/>
      <c r="AF77" s="1179"/>
      <c r="AG77" s="1179"/>
      <c r="AH77" s="1179"/>
      <c r="AI77" s="1179"/>
      <c r="AJ77" s="704"/>
      <c r="AK77" s="705"/>
      <c r="AL77" s="705"/>
      <c r="AM77" s="705"/>
      <c r="AN77" s="705"/>
      <c r="AO77" s="705"/>
      <c r="AP77" s="705"/>
      <c r="AQ77" s="705"/>
      <c r="AR77" s="705"/>
      <c r="AS77" s="705"/>
      <c r="AT77" s="705"/>
      <c r="AU77" s="705"/>
      <c r="AV77" s="705"/>
      <c r="AW77" s="705"/>
      <c r="AX77" s="705"/>
      <c r="AY77" s="705"/>
      <c r="AZ77" s="705"/>
      <c r="BA77" s="705"/>
      <c r="BB77" s="705"/>
      <c r="BC77" s="705"/>
      <c r="BD77" s="706"/>
      <c r="BE77" s="1183"/>
      <c r="BF77" s="1184"/>
      <c r="BG77" s="1184"/>
      <c r="BH77" s="1184"/>
      <c r="BI77" s="1185"/>
      <c r="BJ77" s="1183"/>
      <c r="BK77" s="1184"/>
      <c r="BL77" s="1184"/>
      <c r="BM77" s="1184"/>
      <c r="BN77" s="1185"/>
      <c r="BO77" s="704"/>
      <c r="BP77" s="705"/>
      <c r="BQ77" s="705"/>
      <c r="BR77" s="705"/>
      <c r="BS77" s="705"/>
      <c r="BT77" s="705"/>
      <c r="BU77" s="705"/>
      <c r="BV77" s="705"/>
      <c r="BW77" s="705"/>
      <c r="BX77" s="705"/>
      <c r="BY77" s="705"/>
      <c r="BZ77" s="705"/>
      <c r="CA77" s="705"/>
      <c r="CB77" s="706"/>
    </row>
    <row r="78" spans="3:80" ht="11.25" customHeight="1">
      <c r="C78" s="704"/>
      <c r="D78" s="705"/>
      <c r="E78" s="705"/>
      <c r="F78" s="705"/>
      <c r="G78" s="705"/>
      <c r="H78" s="705"/>
      <c r="I78" s="705"/>
      <c r="J78" s="705"/>
      <c r="K78" s="705"/>
      <c r="L78" s="705"/>
      <c r="M78" s="705"/>
      <c r="N78" s="705"/>
      <c r="O78" s="705"/>
      <c r="P78" s="706"/>
      <c r="Q78" s="1179"/>
      <c r="R78" s="1179"/>
      <c r="S78" s="1179"/>
      <c r="T78" s="1179"/>
      <c r="U78" s="1179"/>
      <c r="V78" s="1179"/>
      <c r="W78" s="1179"/>
      <c r="X78" s="1179"/>
      <c r="Y78" s="1179"/>
      <c r="Z78" s="1179"/>
      <c r="AA78" s="1179"/>
      <c r="AB78" s="1179"/>
      <c r="AC78" s="1179"/>
      <c r="AD78" s="1179"/>
      <c r="AE78" s="1179"/>
      <c r="AF78" s="1179"/>
      <c r="AG78" s="1179"/>
      <c r="AH78" s="1179"/>
      <c r="AI78" s="1179"/>
      <c r="AJ78" s="704"/>
      <c r="AK78" s="705"/>
      <c r="AL78" s="705"/>
      <c r="AM78" s="705"/>
      <c r="AN78" s="705"/>
      <c r="AO78" s="705"/>
      <c r="AP78" s="705"/>
      <c r="AQ78" s="705"/>
      <c r="AR78" s="705"/>
      <c r="AS78" s="705"/>
      <c r="AT78" s="705"/>
      <c r="AU78" s="705"/>
      <c r="AV78" s="705"/>
      <c r="AW78" s="705"/>
      <c r="AX78" s="705"/>
      <c r="AY78" s="705"/>
      <c r="AZ78" s="705"/>
      <c r="BA78" s="705"/>
      <c r="BB78" s="705"/>
      <c r="BC78" s="705"/>
      <c r="BD78" s="706"/>
      <c r="BE78" s="1183"/>
      <c r="BF78" s="1184"/>
      <c r="BG78" s="1184"/>
      <c r="BH78" s="1184"/>
      <c r="BI78" s="1185"/>
      <c r="BJ78" s="1183"/>
      <c r="BK78" s="1184"/>
      <c r="BL78" s="1184"/>
      <c r="BM78" s="1184"/>
      <c r="BN78" s="1185"/>
      <c r="BO78" s="704"/>
      <c r="BP78" s="705"/>
      <c r="BQ78" s="705"/>
      <c r="BR78" s="705"/>
      <c r="BS78" s="705"/>
      <c r="BT78" s="705"/>
      <c r="BU78" s="705"/>
      <c r="BV78" s="705"/>
      <c r="BW78" s="705"/>
      <c r="BX78" s="705"/>
      <c r="BY78" s="705"/>
      <c r="BZ78" s="705"/>
      <c r="CA78" s="705"/>
      <c r="CB78" s="706"/>
    </row>
    <row r="79" spans="3:80" ht="11.25" customHeight="1">
      <c r="C79" s="707"/>
      <c r="D79" s="708"/>
      <c r="E79" s="708"/>
      <c r="F79" s="708"/>
      <c r="G79" s="708"/>
      <c r="H79" s="708"/>
      <c r="I79" s="708"/>
      <c r="J79" s="708"/>
      <c r="K79" s="708"/>
      <c r="L79" s="708"/>
      <c r="M79" s="708"/>
      <c r="N79" s="708"/>
      <c r="O79" s="708"/>
      <c r="P79" s="709"/>
      <c r="Q79" s="1179"/>
      <c r="R79" s="1179"/>
      <c r="S79" s="1179"/>
      <c r="T79" s="1179"/>
      <c r="U79" s="1179"/>
      <c r="V79" s="1179"/>
      <c r="W79" s="1179"/>
      <c r="X79" s="1179"/>
      <c r="Y79" s="1179"/>
      <c r="Z79" s="1179"/>
      <c r="AA79" s="1179"/>
      <c r="AB79" s="1179"/>
      <c r="AC79" s="1179"/>
      <c r="AD79" s="1179"/>
      <c r="AE79" s="1179"/>
      <c r="AF79" s="1179"/>
      <c r="AG79" s="1179"/>
      <c r="AH79" s="1179"/>
      <c r="AI79" s="1179"/>
      <c r="AJ79" s="707"/>
      <c r="AK79" s="708"/>
      <c r="AL79" s="708"/>
      <c r="AM79" s="708"/>
      <c r="AN79" s="708"/>
      <c r="AO79" s="708"/>
      <c r="AP79" s="708"/>
      <c r="AQ79" s="708"/>
      <c r="AR79" s="708"/>
      <c r="AS79" s="708"/>
      <c r="AT79" s="708"/>
      <c r="AU79" s="708"/>
      <c r="AV79" s="708"/>
      <c r="AW79" s="708"/>
      <c r="AX79" s="708"/>
      <c r="AY79" s="708"/>
      <c r="AZ79" s="708"/>
      <c r="BA79" s="708"/>
      <c r="BB79" s="708"/>
      <c r="BC79" s="708"/>
      <c r="BD79" s="709"/>
      <c r="BE79" s="1186"/>
      <c r="BF79" s="1187"/>
      <c r="BG79" s="1187"/>
      <c r="BH79" s="1187"/>
      <c r="BI79" s="1188"/>
      <c r="BJ79" s="1186"/>
      <c r="BK79" s="1187"/>
      <c r="BL79" s="1187"/>
      <c r="BM79" s="1187"/>
      <c r="BN79" s="1188"/>
      <c r="BO79" s="707"/>
      <c r="BP79" s="708"/>
      <c r="BQ79" s="708"/>
      <c r="BR79" s="708"/>
      <c r="BS79" s="708"/>
      <c r="BT79" s="708"/>
      <c r="BU79" s="708"/>
      <c r="BV79" s="708"/>
      <c r="BW79" s="708"/>
      <c r="BX79" s="708"/>
      <c r="BY79" s="708"/>
      <c r="BZ79" s="708"/>
      <c r="CA79" s="708"/>
      <c r="CB79" s="709"/>
    </row>
    <row r="80" spans="3:80" ht="11.25" customHeight="1">
      <c r="C80" s="676"/>
      <c r="D80" s="677"/>
      <c r="E80" s="677"/>
      <c r="F80" s="677"/>
      <c r="G80" s="677"/>
      <c r="H80" s="677"/>
      <c r="I80" s="677"/>
      <c r="J80" s="677"/>
      <c r="K80" s="677"/>
      <c r="L80" s="677"/>
      <c r="M80" s="677"/>
      <c r="N80" s="677"/>
      <c r="O80" s="677"/>
      <c r="P80" s="678"/>
      <c r="Q80" s="1179"/>
      <c r="R80" s="1179"/>
      <c r="S80" s="1179"/>
      <c r="T80" s="1179"/>
      <c r="U80" s="1179"/>
      <c r="V80" s="1179"/>
      <c r="W80" s="1179"/>
      <c r="X80" s="1179"/>
      <c r="Y80" s="1179"/>
      <c r="Z80" s="1179"/>
      <c r="AA80" s="1179"/>
      <c r="AB80" s="1179"/>
      <c r="AC80" s="1179"/>
      <c r="AD80" s="1179"/>
      <c r="AE80" s="1179"/>
      <c r="AF80" s="1179"/>
      <c r="AG80" s="1179"/>
      <c r="AH80" s="1179"/>
      <c r="AI80" s="1179"/>
      <c r="AJ80" s="676"/>
      <c r="AK80" s="677"/>
      <c r="AL80" s="677"/>
      <c r="AM80" s="677"/>
      <c r="AN80" s="677"/>
      <c r="AO80" s="677"/>
      <c r="AP80" s="677"/>
      <c r="AQ80" s="677"/>
      <c r="AR80" s="677"/>
      <c r="AS80" s="677"/>
      <c r="AT80" s="677"/>
      <c r="AU80" s="677"/>
      <c r="AV80" s="677"/>
      <c r="AW80" s="677"/>
      <c r="AX80" s="677"/>
      <c r="AY80" s="677"/>
      <c r="AZ80" s="677"/>
      <c r="BA80" s="677"/>
      <c r="BB80" s="677"/>
      <c r="BC80" s="677"/>
      <c r="BD80" s="678"/>
      <c r="BE80" s="1180"/>
      <c r="BF80" s="1181"/>
      <c r="BG80" s="1181"/>
      <c r="BH80" s="1181"/>
      <c r="BI80" s="1182"/>
      <c r="BJ80" s="1180"/>
      <c r="BK80" s="1181"/>
      <c r="BL80" s="1181"/>
      <c r="BM80" s="1181"/>
      <c r="BN80" s="1182"/>
      <c r="BO80" s="676"/>
      <c r="BP80" s="677"/>
      <c r="BQ80" s="677"/>
      <c r="BR80" s="677"/>
      <c r="BS80" s="677"/>
      <c r="BT80" s="677"/>
      <c r="BU80" s="677"/>
      <c r="BV80" s="677"/>
      <c r="BW80" s="677"/>
      <c r="BX80" s="677"/>
      <c r="BY80" s="677"/>
      <c r="BZ80" s="677"/>
      <c r="CA80" s="677"/>
      <c r="CB80" s="678"/>
    </row>
    <row r="81" spans="3:103" ht="11.25" customHeight="1">
      <c r="C81" s="704"/>
      <c r="D81" s="705"/>
      <c r="E81" s="705"/>
      <c r="F81" s="705"/>
      <c r="G81" s="705"/>
      <c r="H81" s="705"/>
      <c r="I81" s="705"/>
      <c r="J81" s="705"/>
      <c r="K81" s="705"/>
      <c r="L81" s="705"/>
      <c r="M81" s="705"/>
      <c r="N81" s="705"/>
      <c r="O81" s="705"/>
      <c r="P81" s="706"/>
      <c r="Q81" s="1179"/>
      <c r="R81" s="1179"/>
      <c r="S81" s="1179"/>
      <c r="T81" s="1179"/>
      <c r="U81" s="1179"/>
      <c r="V81" s="1179"/>
      <c r="W81" s="1179"/>
      <c r="X81" s="1179"/>
      <c r="Y81" s="1179"/>
      <c r="Z81" s="1179"/>
      <c r="AA81" s="1179"/>
      <c r="AB81" s="1179"/>
      <c r="AC81" s="1179"/>
      <c r="AD81" s="1179"/>
      <c r="AE81" s="1179"/>
      <c r="AF81" s="1179"/>
      <c r="AG81" s="1179"/>
      <c r="AH81" s="1179"/>
      <c r="AI81" s="1179"/>
      <c r="AJ81" s="704"/>
      <c r="AK81" s="705"/>
      <c r="AL81" s="705"/>
      <c r="AM81" s="705"/>
      <c r="AN81" s="705"/>
      <c r="AO81" s="705"/>
      <c r="AP81" s="705"/>
      <c r="AQ81" s="705"/>
      <c r="AR81" s="705"/>
      <c r="AS81" s="705"/>
      <c r="AT81" s="705"/>
      <c r="AU81" s="705"/>
      <c r="AV81" s="705"/>
      <c r="AW81" s="705"/>
      <c r="AX81" s="705"/>
      <c r="AY81" s="705"/>
      <c r="AZ81" s="705"/>
      <c r="BA81" s="705"/>
      <c r="BB81" s="705"/>
      <c r="BC81" s="705"/>
      <c r="BD81" s="706"/>
      <c r="BE81" s="1183"/>
      <c r="BF81" s="1184"/>
      <c r="BG81" s="1184"/>
      <c r="BH81" s="1184"/>
      <c r="BI81" s="1185"/>
      <c r="BJ81" s="1183"/>
      <c r="BK81" s="1184"/>
      <c r="BL81" s="1184"/>
      <c r="BM81" s="1184"/>
      <c r="BN81" s="1185"/>
      <c r="BO81" s="704"/>
      <c r="BP81" s="705"/>
      <c r="BQ81" s="705"/>
      <c r="BR81" s="705"/>
      <c r="BS81" s="705"/>
      <c r="BT81" s="705"/>
      <c r="BU81" s="705"/>
      <c r="BV81" s="705"/>
      <c r="BW81" s="705"/>
      <c r="BX81" s="705"/>
      <c r="BY81" s="705"/>
      <c r="BZ81" s="705"/>
      <c r="CA81" s="705"/>
      <c r="CB81" s="706"/>
    </row>
    <row r="82" spans="3:103" ht="11.25" customHeight="1">
      <c r="C82" s="704"/>
      <c r="D82" s="705"/>
      <c r="E82" s="705"/>
      <c r="F82" s="705"/>
      <c r="G82" s="705"/>
      <c r="H82" s="705"/>
      <c r="I82" s="705"/>
      <c r="J82" s="705"/>
      <c r="K82" s="705"/>
      <c r="L82" s="705"/>
      <c r="M82" s="705"/>
      <c r="N82" s="705"/>
      <c r="O82" s="705"/>
      <c r="P82" s="706"/>
      <c r="Q82" s="1179"/>
      <c r="R82" s="1179"/>
      <c r="S82" s="1179"/>
      <c r="T82" s="1179"/>
      <c r="U82" s="1179"/>
      <c r="V82" s="1179"/>
      <c r="W82" s="1179"/>
      <c r="X82" s="1179"/>
      <c r="Y82" s="1179"/>
      <c r="Z82" s="1179"/>
      <c r="AA82" s="1179"/>
      <c r="AB82" s="1179"/>
      <c r="AC82" s="1179"/>
      <c r="AD82" s="1179"/>
      <c r="AE82" s="1179"/>
      <c r="AF82" s="1179"/>
      <c r="AG82" s="1179"/>
      <c r="AH82" s="1179"/>
      <c r="AI82" s="1179"/>
      <c r="AJ82" s="704"/>
      <c r="AK82" s="705"/>
      <c r="AL82" s="705"/>
      <c r="AM82" s="705"/>
      <c r="AN82" s="705"/>
      <c r="AO82" s="705"/>
      <c r="AP82" s="705"/>
      <c r="AQ82" s="705"/>
      <c r="AR82" s="705"/>
      <c r="AS82" s="705"/>
      <c r="AT82" s="705"/>
      <c r="AU82" s="705"/>
      <c r="AV82" s="705"/>
      <c r="AW82" s="705"/>
      <c r="AX82" s="705"/>
      <c r="AY82" s="705"/>
      <c r="AZ82" s="705"/>
      <c r="BA82" s="705"/>
      <c r="BB82" s="705"/>
      <c r="BC82" s="705"/>
      <c r="BD82" s="706"/>
      <c r="BE82" s="1183"/>
      <c r="BF82" s="1184"/>
      <c r="BG82" s="1184"/>
      <c r="BH82" s="1184"/>
      <c r="BI82" s="1185"/>
      <c r="BJ82" s="1183"/>
      <c r="BK82" s="1184"/>
      <c r="BL82" s="1184"/>
      <c r="BM82" s="1184"/>
      <c r="BN82" s="1185"/>
      <c r="BO82" s="704"/>
      <c r="BP82" s="705"/>
      <c r="BQ82" s="705"/>
      <c r="BR82" s="705"/>
      <c r="BS82" s="705"/>
      <c r="BT82" s="705"/>
      <c r="BU82" s="705"/>
      <c r="BV82" s="705"/>
      <c r="BW82" s="705"/>
      <c r="BX82" s="705"/>
      <c r="BY82" s="705"/>
      <c r="BZ82" s="705"/>
      <c r="CA82" s="705"/>
      <c r="CB82" s="706"/>
    </row>
    <row r="83" spans="3:103" ht="11.25" customHeight="1">
      <c r="C83" s="707"/>
      <c r="D83" s="708"/>
      <c r="E83" s="708"/>
      <c r="F83" s="708"/>
      <c r="G83" s="708"/>
      <c r="H83" s="708"/>
      <c r="I83" s="708"/>
      <c r="J83" s="708"/>
      <c r="K83" s="708"/>
      <c r="L83" s="708"/>
      <c r="M83" s="708"/>
      <c r="N83" s="708"/>
      <c r="O83" s="708"/>
      <c r="P83" s="709"/>
      <c r="Q83" s="1179"/>
      <c r="R83" s="1179"/>
      <c r="S83" s="1179"/>
      <c r="T83" s="1179"/>
      <c r="U83" s="1179"/>
      <c r="V83" s="1179"/>
      <c r="W83" s="1179"/>
      <c r="X83" s="1179"/>
      <c r="Y83" s="1179"/>
      <c r="Z83" s="1179"/>
      <c r="AA83" s="1179"/>
      <c r="AB83" s="1179"/>
      <c r="AC83" s="1179"/>
      <c r="AD83" s="1179"/>
      <c r="AE83" s="1179"/>
      <c r="AF83" s="1179"/>
      <c r="AG83" s="1179"/>
      <c r="AH83" s="1179"/>
      <c r="AI83" s="1179"/>
      <c r="AJ83" s="707"/>
      <c r="AK83" s="708"/>
      <c r="AL83" s="708"/>
      <c r="AM83" s="708"/>
      <c r="AN83" s="708"/>
      <c r="AO83" s="708"/>
      <c r="AP83" s="708"/>
      <c r="AQ83" s="708"/>
      <c r="AR83" s="708"/>
      <c r="AS83" s="708"/>
      <c r="AT83" s="708"/>
      <c r="AU83" s="708"/>
      <c r="AV83" s="708"/>
      <c r="AW83" s="708"/>
      <c r="AX83" s="708"/>
      <c r="AY83" s="708"/>
      <c r="AZ83" s="708"/>
      <c r="BA83" s="708"/>
      <c r="BB83" s="708"/>
      <c r="BC83" s="708"/>
      <c r="BD83" s="709"/>
      <c r="BE83" s="1186"/>
      <c r="BF83" s="1187"/>
      <c r="BG83" s="1187"/>
      <c r="BH83" s="1187"/>
      <c r="BI83" s="1188"/>
      <c r="BJ83" s="1186"/>
      <c r="BK83" s="1187"/>
      <c r="BL83" s="1187"/>
      <c r="BM83" s="1187"/>
      <c r="BN83" s="1188"/>
      <c r="BO83" s="707"/>
      <c r="BP83" s="708"/>
      <c r="BQ83" s="708"/>
      <c r="BR83" s="708"/>
      <c r="BS83" s="708"/>
      <c r="BT83" s="708"/>
      <c r="BU83" s="708"/>
      <c r="BV83" s="708"/>
      <c r="BW83" s="708"/>
      <c r="BX83" s="708"/>
      <c r="BY83" s="708"/>
      <c r="BZ83" s="708"/>
      <c r="CA83" s="708"/>
      <c r="CB83" s="709"/>
    </row>
    <row r="84" spans="3:103" ht="11.25" customHeight="1">
      <c r="C84" s="676"/>
      <c r="D84" s="677"/>
      <c r="E84" s="677"/>
      <c r="F84" s="677"/>
      <c r="G84" s="677"/>
      <c r="H84" s="677"/>
      <c r="I84" s="677"/>
      <c r="J84" s="677"/>
      <c r="K84" s="677"/>
      <c r="L84" s="677"/>
      <c r="M84" s="677"/>
      <c r="N84" s="677"/>
      <c r="O84" s="677"/>
      <c r="P84" s="678"/>
      <c r="Q84" s="1179"/>
      <c r="R84" s="1179"/>
      <c r="S84" s="1179"/>
      <c r="T84" s="1179"/>
      <c r="U84" s="1179"/>
      <c r="V84" s="1179"/>
      <c r="W84" s="1179"/>
      <c r="X84" s="1179"/>
      <c r="Y84" s="1179"/>
      <c r="Z84" s="1179"/>
      <c r="AA84" s="1179"/>
      <c r="AB84" s="1179"/>
      <c r="AC84" s="1179"/>
      <c r="AD84" s="1179"/>
      <c r="AE84" s="1179"/>
      <c r="AF84" s="1179"/>
      <c r="AG84" s="1179"/>
      <c r="AH84" s="1179"/>
      <c r="AI84" s="1179"/>
      <c r="AJ84" s="676"/>
      <c r="AK84" s="677"/>
      <c r="AL84" s="677"/>
      <c r="AM84" s="677"/>
      <c r="AN84" s="677"/>
      <c r="AO84" s="677"/>
      <c r="AP84" s="677"/>
      <c r="AQ84" s="677"/>
      <c r="AR84" s="677"/>
      <c r="AS84" s="677"/>
      <c r="AT84" s="677"/>
      <c r="AU84" s="677"/>
      <c r="AV84" s="677"/>
      <c r="AW84" s="677"/>
      <c r="AX84" s="677"/>
      <c r="AY84" s="677"/>
      <c r="AZ84" s="677"/>
      <c r="BA84" s="677"/>
      <c r="BB84" s="677"/>
      <c r="BC84" s="677"/>
      <c r="BD84" s="678"/>
      <c r="BE84" s="1180"/>
      <c r="BF84" s="1181"/>
      <c r="BG84" s="1181"/>
      <c r="BH84" s="1181"/>
      <c r="BI84" s="1182"/>
      <c r="BJ84" s="1180"/>
      <c r="BK84" s="1181"/>
      <c r="BL84" s="1181"/>
      <c r="BM84" s="1181"/>
      <c r="BN84" s="1182"/>
      <c r="BO84" s="676"/>
      <c r="BP84" s="677"/>
      <c r="BQ84" s="677"/>
      <c r="BR84" s="677"/>
      <c r="BS84" s="677"/>
      <c r="BT84" s="677"/>
      <c r="BU84" s="677"/>
      <c r="BV84" s="677"/>
      <c r="BW84" s="677"/>
      <c r="BX84" s="677"/>
      <c r="BY84" s="677"/>
      <c r="BZ84" s="677"/>
      <c r="CA84" s="677"/>
      <c r="CB84" s="678"/>
    </row>
    <row r="85" spans="3:103" ht="11.25" customHeight="1">
      <c r="C85" s="704"/>
      <c r="D85" s="705"/>
      <c r="E85" s="705"/>
      <c r="F85" s="705"/>
      <c r="G85" s="705"/>
      <c r="H85" s="705"/>
      <c r="I85" s="705"/>
      <c r="J85" s="705"/>
      <c r="K85" s="705"/>
      <c r="L85" s="705"/>
      <c r="M85" s="705"/>
      <c r="N85" s="705"/>
      <c r="O85" s="705"/>
      <c r="P85" s="706"/>
      <c r="Q85" s="1179"/>
      <c r="R85" s="1179"/>
      <c r="S85" s="1179"/>
      <c r="T85" s="1179"/>
      <c r="U85" s="1179"/>
      <c r="V85" s="1179"/>
      <c r="W85" s="1179"/>
      <c r="X85" s="1179"/>
      <c r="Y85" s="1179"/>
      <c r="Z85" s="1179"/>
      <c r="AA85" s="1179"/>
      <c r="AB85" s="1179"/>
      <c r="AC85" s="1179"/>
      <c r="AD85" s="1179"/>
      <c r="AE85" s="1179"/>
      <c r="AF85" s="1179"/>
      <c r="AG85" s="1179"/>
      <c r="AH85" s="1179"/>
      <c r="AI85" s="1179"/>
      <c r="AJ85" s="704"/>
      <c r="AK85" s="705"/>
      <c r="AL85" s="705"/>
      <c r="AM85" s="705"/>
      <c r="AN85" s="705"/>
      <c r="AO85" s="705"/>
      <c r="AP85" s="705"/>
      <c r="AQ85" s="705"/>
      <c r="AR85" s="705"/>
      <c r="AS85" s="705"/>
      <c r="AT85" s="705"/>
      <c r="AU85" s="705"/>
      <c r="AV85" s="705"/>
      <c r="AW85" s="705"/>
      <c r="AX85" s="705"/>
      <c r="AY85" s="705"/>
      <c r="AZ85" s="705"/>
      <c r="BA85" s="705"/>
      <c r="BB85" s="705"/>
      <c r="BC85" s="705"/>
      <c r="BD85" s="706"/>
      <c r="BE85" s="1183"/>
      <c r="BF85" s="1184"/>
      <c r="BG85" s="1184"/>
      <c r="BH85" s="1184"/>
      <c r="BI85" s="1185"/>
      <c r="BJ85" s="1183"/>
      <c r="BK85" s="1184"/>
      <c r="BL85" s="1184"/>
      <c r="BM85" s="1184"/>
      <c r="BN85" s="1185"/>
      <c r="BO85" s="704"/>
      <c r="BP85" s="705"/>
      <c r="BQ85" s="705"/>
      <c r="BR85" s="705"/>
      <c r="BS85" s="705"/>
      <c r="BT85" s="705"/>
      <c r="BU85" s="705"/>
      <c r="BV85" s="705"/>
      <c r="BW85" s="705"/>
      <c r="BX85" s="705"/>
      <c r="BY85" s="705"/>
      <c r="BZ85" s="705"/>
      <c r="CA85" s="705"/>
      <c r="CB85" s="706"/>
    </row>
    <row r="86" spans="3:103" ht="11.25" customHeight="1">
      <c r="C86" s="704"/>
      <c r="D86" s="705"/>
      <c r="E86" s="705"/>
      <c r="F86" s="705"/>
      <c r="G86" s="705"/>
      <c r="H86" s="705"/>
      <c r="I86" s="705"/>
      <c r="J86" s="705"/>
      <c r="K86" s="705"/>
      <c r="L86" s="705"/>
      <c r="M86" s="705"/>
      <c r="N86" s="705"/>
      <c r="O86" s="705"/>
      <c r="P86" s="706"/>
      <c r="Q86" s="1179"/>
      <c r="R86" s="1179"/>
      <c r="S86" s="1179"/>
      <c r="T86" s="1179"/>
      <c r="U86" s="1179"/>
      <c r="V86" s="1179"/>
      <c r="W86" s="1179"/>
      <c r="X86" s="1179"/>
      <c r="Y86" s="1179"/>
      <c r="Z86" s="1179"/>
      <c r="AA86" s="1179"/>
      <c r="AB86" s="1179"/>
      <c r="AC86" s="1179"/>
      <c r="AD86" s="1179"/>
      <c r="AE86" s="1179"/>
      <c r="AF86" s="1179"/>
      <c r="AG86" s="1179"/>
      <c r="AH86" s="1179"/>
      <c r="AI86" s="1179"/>
      <c r="AJ86" s="704"/>
      <c r="AK86" s="705"/>
      <c r="AL86" s="705"/>
      <c r="AM86" s="705"/>
      <c r="AN86" s="705"/>
      <c r="AO86" s="705"/>
      <c r="AP86" s="705"/>
      <c r="AQ86" s="705"/>
      <c r="AR86" s="705"/>
      <c r="AS86" s="705"/>
      <c r="AT86" s="705"/>
      <c r="AU86" s="705"/>
      <c r="AV86" s="705"/>
      <c r="AW86" s="705"/>
      <c r="AX86" s="705"/>
      <c r="AY86" s="705"/>
      <c r="AZ86" s="705"/>
      <c r="BA86" s="705"/>
      <c r="BB86" s="705"/>
      <c r="BC86" s="705"/>
      <c r="BD86" s="706"/>
      <c r="BE86" s="1183"/>
      <c r="BF86" s="1184"/>
      <c r="BG86" s="1184"/>
      <c r="BH86" s="1184"/>
      <c r="BI86" s="1185"/>
      <c r="BJ86" s="1183"/>
      <c r="BK86" s="1184"/>
      <c r="BL86" s="1184"/>
      <c r="BM86" s="1184"/>
      <c r="BN86" s="1185"/>
      <c r="BO86" s="704"/>
      <c r="BP86" s="705"/>
      <c r="BQ86" s="705"/>
      <c r="BR86" s="705"/>
      <c r="BS86" s="705"/>
      <c r="BT86" s="705"/>
      <c r="BU86" s="705"/>
      <c r="BV86" s="705"/>
      <c r="BW86" s="705"/>
      <c r="BX86" s="705"/>
      <c r="BY86" s="705"/>
      <c r="BZ86" s="705"/>
      <c r="CA86" s="705"/>
      <c r="CB86" s="706"/>
    </row>
    <row r="87" spans="3:103" ht="11.25" customHeight="1">
      <c r="C87" s="707"/>
      <c r="D87" s="708"/>
      <c r="E87" s="708"/>
      <c r="F87" s="708"/>
      <c r="G87" s="708"/>
      <c r="H87" s="708"/>
      <c r="I87" s="708"/>
      <c r="J87" s="708"/>
      <c r="K87" s="708"/>
      <c r="L87" s="708"/>
      <c r="M87" s="708"/>
      <c r="N87" s="708"/>
      <c r="O87" s="708"/>
      <c r="P87" s="709"/>
      <c r="Q87" s="1179"/>
      <c r="R87" s="1179"/>
      <c r="S87" s="1179"/>
      <c r="T87" s="1179"/>
      <c r="U87" s="1179"/>
      <c r="V87" s="1179"/>
      <c r="W87" s="1179"/>
      <c r="X87" s="1179"/>
      <c r="Y87" s="1179"/>
      <c r="Z87" s="1179"/>
      <c r="AA87" s="1179"/>
      <c r="AB87" s="1179"/>
      <c r="AC87" s="1179"/>
      <c r="AD87" s="1179"/>
      <c r="AE87" s="1179"/>
      <c r="AF87" s="1179"/>
      <c r="AG87" s="1179"/>
      <c r="AH87" s="1179"/>
      <c r="AI87" s="1179"/>
      <c r="AJ87" s="707"/>
      <c r="AK87" s="708"/>
      <c r="AL87" s="708"/>
      <c r="AM87" s="708"/>
      <c r="AN87" s="708"/>
      <c r="AO87" s="708"/>
      <c r="AP87" s="708"/>
      <c r="AQ87" s="708"/>
      <c r="AR87" s="708"/>
      <c r="AS87" s="708"/>
      <c r="AT87" s="708"/>
      <c r="AU87" s="708"/>
      <c r="AV87" s="708"/>
      <c r="AW87" s="708"/>
      <c r="AX87" s="708"/>
      <c r="AY87" s="708"/>
      <c r="AZ87" s="708"/>
      <c r="BA87" s="708"/>
      <c r="BB87" s="708"/>
      <c r="BC87" s="708"/>
      <c r="BD87" s="709"/>
      <c r="BE87" s="1186"/>
      <c r="BF87" s="1187"/>
      <c r="BG87" s="1187"/>
      <c r="BH87" s="1187"/>
      <c r="BI87" s="1188"/>
      <c r="BJ87" s="1186"/>
      <c r="BK87" s="1187"/>
      <c r="BL87" s="1187"/>
      <c r="BM87" s="1187"/>
      <c r="BN87" s="1188"/>
      <c r="BO87" s="707"/>
      <c r="BP87" s="708"/>
      <c r="BQ87" s="708"/>
      <c r="BR87" s="708"/>
      <c r="BS87" s="708"/>
      <c r="BT87" s="708"/>
      <c r="BU87" s="708"/>
      <c r="BV87" s="708"/>
      <c r="BW87" s="708"/>
      <c r="BX87" s="708"/>
      <c r="BY87" s="708"/>
      <c r="BZ87" s="708"/>
      <c r="CA87" s="708"/>
      <c r="CB87" s="709"/>
      <c r="CF87" s="89"/>
      <c r="CG87" s="89"/>
      <c r="CH87" s="89"/>
      <c r="CI87" s="89"/>
      <c r="CJ87" s="89"/>
      <c r="CK87" s="89"/>
      <c r="CL87" s="89"/>
      <c r="CM87" s="89"/>
      <c r="CN87" s="89"/>
      <c r="CO87" s="89"/>
      <c r="CP87" s="89"/>
      <c r="CQ87" s="89"/>
      <c r="CR87" s="89"/>
      <c r="CS87" s="89"/>
      <c r="CT87" s="89"/>
      <c r="CU87" s="89"/>
      <c r="CV87" s="89"/>
      <c r="CW87" s="89"/>
      <c r="CX87" s="89"/>
      <c r="CY87" s="89"/>
    </row>
    <row r="88" spans="3:103" ht="11.25" customHeight="1">
      <c r="C88" s="676"/>
      <c r="D88" s="677"/>
      <c r="E88" s="677"/>
      <c r="F88" s="677"/>
      <c r="G88" s="677"/>
      <c r="H88" s="677"/>
      <c r="I88" s="677"/>
      <c r="J88" s="677"/>
      <c r="K88" s="677"/>
      <c r="L88" s="677"/>
      <c r="M88" s="677"/>
      <c r="N88" s="677"/>
      <c r="O88" s="677"/>
      <c r="P88" s="678"/>
      <c r="Q88" s="1179"/>
      <c r="R88" s="1179"/>
      <c r="S88" s="1179"/>
      <c r="T88" s="1179"/>
      <c r="U88" s="1179"/>
      <c r="V88" s="1179"/>
      <c r="W88" s="1179"/>
      <c r="X88" s="1179"/>
      <c r="Y88" s="1179"/>
      <c r="Z88" s="1179"/>
      <c r="AA88" s="1179"/>
      <c r="AB88" s="1179"/>
      <c r="AC88" s="1179"/>
      <c r="AD88" s="1179"/>
      <c r="AE88" s="1179"/>
      <c r="AF88" s="1179"/>
      <c r="AG88" s="1179"/>
      <c r="AH88" s="1179"/>
      <c r="AI88" s="1179"/>
      <c r="AJ88" s="676"/>
      <c r="AK88" s="677"/>
      <c r="AL88" s="677"/>
      <c r="AM88" s="677"/>
      <c r="AN88" s="677"/>
      <c r="AO88" s="677"/>
      <c r="AP88" s="677"/>
      <c r="AQ88" s="677"/>
      <c r="AR88" s="677"/>
      <c r="AS88" s="677"/>
      <c r="AT88" s="677"/>
      <c r="AU88" s="677"/>
      <c r="AV88" s="677"/>
      <c r="AW88" s="677"/>
      <c r="AX88" s="677"/>
      <c r="AY88" s="677"/>
      <c r="AZ88" s="677"/>
      <c r="BA88" s="677"/>
      <c r="BB88" s="677"/>
      <c r="BC88" s="677"/>
      <c r="BD88" s="678"/>
      <c r="BE88" s="1180"/>
      <c r="BF88" s="1181"/>
      <c r="BG88" s="1181"/>
      <c r="BH88" s="1181"/>
      <c r="BI88" s="1182"/>
      <c r="BJ88" s="1180"/>
      <c r="BK88" s="1181"/>
      <c r="BL88" s="1181"/>
      <c r="BM88" s="1181"/>
      <c r="BN88" s="1182"/>
      <c r="BO88" s="676"/>
      <c r="BP88" s="677"/>
      <c r="BQ88" s="677"/>
      <c r="BR88" s="677"/>
      <c r="BS88" s="677"/>
      <c r="BT88" s="677"/>
      <c r="BU88" s="677"/>
      <c r="BV88" s="677"/>
      <c r="BW88" s="677"/>
      <c r="BX88" s="677"/>
      <c r="BY88" s="677"/>
      <c r="BZ88" s="677"/>
      <c r="CA88" s="677"/>
      <c r="CB88" s="678"/>
      <c r="CF88" s="89"/>
      <c r="CG88" s="89"/>
      <c r="CH88" s="89"/>
      <c r="CI88" s="89"/>
      <c r="CJ88" s="107"/>
      <c r="CK88" s="89"/>
      <c r="CL88" s="89"/>
      <c r="CM88" s="89"/>
      <c r="CN88" s="89"/>
      <c r="CO88" s="89"/>
      <c r="CP88" s="89"/>
      <c r="CQ88" s="89"/>
      <c r="CR88" s="89"/>
      <c r="CS88" s="89"/>
      <c r="CT88" s="89"/>
      <c r="CU88" s="89"/>
      <c r="CV88" s="89"/>
      <c r="CW88" s="89"/>
      <c r="CX88" s="89"/>
      <c r="CY88" s="89"/>
    </row>
    <row r="89" spans="3:103" ht="11.25" customHeight="1">
      <c r="C89" s="704"/>
      <c r="D89" s="705"/>
      <c r="E89" s="705"/>
      <c r="F89" s="705"/>
      <c r="G89" s="705"/>
      <c r="H89" s="705"/>
      <c r="I89" s="705"/>
      <c r="J89" s="705"/>
      <c r="K89" s="705"/>
      <c r="L89" s="705"/>
      <c r="M89" s="705"/>
      <c r="N89" s="705"/>
      <c r="O89" s="705"/>
      <c r="P89" s="706"/>
      <c r="Q89" s="1179"/>
      <c r="R89" s="1179"/>
      <c r="S89" s="1179"/>
      <c r="T89" s="1179"/>
      <c r="U89" s="1179"/>
      <c r="V89" s="1179"/>
      <c r="W89" s="1179"/>
      <c r="X89" s="1179"/>
      <c r="Y89" s="1179"/>
      <c r="Z89" s="1179"/>
      <c r="AA89" s="1179"/>
      <c r="AB89" s="1179"/>
      <c r="AC89" s="1179"/>
      <c r="AD89" s="1179"/>
      <c r="AE89" s="1179"/>
      <c r="AF89" s="1179"/>
      <c r="AG89" s="1179"/>
      <c r="AH89" s="1179"/>
      <c r="AI89" s="1179"/>
      <c r="AJ89" s="704"/>
      <c r="AK89" s="705"/>
      <c r="AL89" s="705"/>
      <c r="AM89" s="705"/>
      <c r="AN89" s="705"/>
      <c r="AO89" s="705"/>
      <c r="AP89" s="705"/>
      <c r="AQ89" s="705"/>
      <c r="AR89" s="705"/>
      <c r="AS89" s="705"/>
      <c r="AT89" s="705"/>
      <c r="AU89" s="705"/>
      <c r="AV89" s="705"/>
      <c r="AW89" s="705"/>
      <c r="AX89" s="705"/>
      <c r="AY89" s="705"/>
      <c r="AZ89" s="705"/>
      <c r="BA89" s="705"/>
      <c r="BB89" s="705"/>
      <c r="BC89" s="705"/>
      <c r="BD89" s="706"/>
      <c r="BE89" s="1183"/>
      <c r="BF89" s="1184"/>
      <c r="BG89" s="1184"/>
      <c r="BH89" s="1184"/>
      <c r="BI89" s="1185"/>
      <c r="BJ89" s="1183"/>
      <c r="BK89" s="1184"/>
      <c r="BL89" s="1184"/>
      <c r="BM89" s="1184"/>
      <c r="BN89" s="1185"/>
      <c r="BO89" s="704"/>
      <c r="BP89" s="705"/>
      <c r="BQ89" s="705"/>
      <c r="BR89" s="705"/>
      <c r="BS89" s="705"/>
      <c r="BT89" s="705"/>
      <c r="BU89" s="705"/>
      <c r="BV89" s="705"/>
      <c r="BW89" s="705"/>
      <c r="BX89" s="705"/>
      <c r="BY89" s="705"/>
      <c r="BZ89" s="705"/>
      <c r="CA89" s="705"/>
      <c r="CB89" s="706"/>
      <c r="CF89" s="89"/>
      <c r="CG89" s="89"/>
      <c r="CH89" s="89"/>
      <c r="CI89" s="89"/>
      <c r="CJ89" s="107"/>
      <c r="CK89" s="89"/>
      <c r="CL89" s="89"/>
      <c r="CM89" s="89"/>
      <c r="CN89" s="89"/>
      <c r="CO89" s="89"/>
      <c r="CP89" s="89"/>
      <c r="CQ89" s="89"/>
      <c r="CR89" s="89"/>
      <c r="CS89" s="89"/>
      <c r="CT89" s="89"/>
      <c r="CU89" s="89"/>
      <c r="CV89" s="89"/>
      <c r="CW89" s="89"/>
      <c r="CX89" s="89"/>
      <c r="CY89" s="89"/>
    </row>
    <row r="90" spans="3:103" ht="11.25" customHeight="1">
      <c r="C90" s="704"/>
      <c r="D90" s="705"/>
      <c r="E90" s="705"/>
      <c r="F90" s="705"/>
      <c r="G90" s="705"/>
      <c r="H90" s="705"/>
      <c r="I90" s="705"/>
      <c r="J90" s="705"/>
      <c r="K90" s="705"/>
      <c r="L90" s="705"/>
      <c r="M90" s="705"/>
      <c r="N90" s="705"/>
      <c r="O90" s="705"/>
      <c r="P90" s="706"/>
      <c r="Q90" s="1179"/>
      <c r="R90" s="1179"/>
      <c r="S90" s="1179"/>
      <c r="T90" s="1179"/>
      <c r="U90" s="1179"/>
      <c r="V90" s="1179"/>
      <c r="W90" s="1179"/>
      <c r="X90" s="1179"/>
      <c r="Y90" s="1179"/>
      <c r="Z90" s="1179"/>
      <c r="AA90" s="1179"/>
      <c r="AB90" s="1179"/>
      <c r="AC90" s="1179"/>
      <c r="AD90" s="1179"/>
      <c r="AE90" s="1179"/>
      <c r="AF90" s="1179"/>
      <c r="AG90" s="1179"/>
      <c r="AH90" s="1179"/>
      <c r="AI90" s="1179"/>
      <c r="AJ90" s="704"/>
      <c r="AK90" s="705"/>
      <c r="AL90" s="705"/>
      <c r="AM90" s="705"/>
      <c r="AN90" s="705"/>
      <c r="AO90" s="705"/>
      <c r="AP90" s="705"/>
      <c r="AQ90" s="705"/>
      <c r="AR90" s="705"/>
      <c r="AS90" s="705"/>
      <c r="AT90" s="705"/>
      <c r="AU90" s="705"/>
      <c r="AV90" s="705"/>
      <c r="AW90" s="705"/>
      <c r="AX90" s="705"/>
      <c r="AY90" s="705"/>
      <c r="AZ90" s="705"/>
      <c r="BA90" s="705"/>
      <c r="BB90" s="705"/>
      <c r="BC90" s="705"/>
      <c r="BD90" s="706"/>
      <c r="BE90" s="1183"/>
      <c r="BF90" s="1184"/>
      <c r="BG90" s="1184"/>
      <c r="BH90" s="1184"/>
      <c r="BI90" s="1185"/>
      <c r="BJ90" s="1183"/>
      <c r="BK90" s="1184"/>
      <c r="BL90" s="1184"/>
      <c r="BM90" s="1184"/>
      <c r="BN90" s="1185"/>
      <c r="BO90" s="704"/>
      <c r="BP90" s="705"/>
      <c r="BQ90" s="705"/>
      <c r="BR90" s="705"/>
      <c r="BS90" s="705"/>
      <c r="BT90" s="705"/>
      <c r="BU90" s="705"/>
      <c r="BV90" s="705"/>
      <c r="BW90" s="705"/>
      <c r="BX90" s="705"/>
      <c r="BY90" s="705"/>
      <c r="BZ90" s="705"/>
      <c r="CA90" s="705"/>
      <c r="CB90" s="706"/>
      <c r="CX90" s="89"/>
      <c r="CY90" s="89"/>
    </row>
    <row r="91" spans="3:103" ht="11.25" customHeight="1">
      <c r="C91" s="707"/>
      <c r="D91" s="708"/>
      <c r="E91" s="708"/>
      <c r="F91" s="708"/>
      <c r="G91" s="708"/>
      <c r="H91" s="708"/>
      <c r="I91" s="708"/>
      <c r="J91" s="708"/>
      <c r="K91" s="708"/>
      <c r="L91" s="708"/>
      <c r="M91" s="708"/>
      <c r="N91" s="708"/>
      <c r="O91" s="708"/>
      <c r="P91" s="709"/>
      <c r="Q91" s="1179"/>
      <c r="R91" s="1179"/>
      <c r="S91" s="1179"/>
      <c r="T91" s="1179"/>
      <c r="U91" s="1179"/>
      <c r="V91" s="1179"/>
      <c r="W91" s="1179"/>
      <c r="X91" s="1179"/>
      <c r="Y91" s="1179"/>
      <c r="Z91" s="1179"/>
      <c r="AA91" s="1179"/>
      <c r="AB91" s="1179"/>
      <c r="AC91" s="1179"/>
      <c r="AD91" s="1179"/>
      <c r="AE91" s="1179"/>
      <c r="AF91" s="1179"/>
      <c r="AG91" s="1179"/>
      <c r="AH91" s="1179"/>
      <c r="AI91" s="1179"/>
      <c r="AJ91" s="707"/>
      <c r="AK91" s="708"/>
      <c r="AL91" s="708"/>
      <c r="AM91" s="708"/>
      <c r="AN91" s="708"/>
      <c r="AO91" s="708"/>
      <c r="AP91" s="708"/>
      <c r="AQ91" s="708"/>
      <c r="AR91" s="708"/>
      <c r="AS91" s="708"/>
      <c r="AT91" s="708"/>
      <c r="AU91" s="708"/>
      <c r="AV91" s="708"/>
      <c r="AW91" s="708"/>
      <c r="AX91" s="708"/>
      <c r="AY91" s="708"/>
      <c r="AZ91" s="708"/>
      <c r="BA91" s="708"/>
      <c r="BB91" s="708"/>
      <c r="BC91" s="708"/>
      <c r="BD91" s="709"/>
      <c r="BE91" s="1186"/>
      <c r="BF91" s="1187"/>
      <c r="BG91" s="1187"/>
      <c r="BH91" s="1187"/>
      <c r="BI91" s="1188"/>
      <c r="BJ91" s="1186"/>
      <c r="BK91" s="1187"/>
      <c r="BL91" s="1187"/>
      <c r="BM91" s="1187"/>
      <c r="BN91" s="1188"/>
      <c r="BO91" s="707"/>
      <c r="BP91" s="708"/>
      <c r="BQ91" s="708"/>
      <c r="BR91" s="708"/>
      <c r="BS91" s="708"/>
      <c r="BT91" s="708"/>
      <c r="BU91" s="708"/>
      <c r="BV91" s="708"/>
      <c r="BW91" s="708"/>
      <c r="BX91" s="708"/>
      <c r="BY91" s="708"/>
      <c r="BZ91" s="708"/>
      <c r="CA91" s="708"/>
      <c r="CB91" s="709"/>
      <c r="CX91" s="89"/>
      <c r="CY91" s="89"/>
    </row>
    <row r="92" spans="3:103" ht="11.25" customHeight="1">
      <c r="C92" s="676"/>
      <c r="D92" s="677"/>
      <c r="E92" s="677"/>
      <c r="F92" s="677"/>
      <c r="G92" s="677"/>
      <c r="H92" s="677"/>
      <c r="I92" s="677"/>
      <c r="J92" s="677"/>
      <c r="K92" s="677"/>
      <c r="L92" s="677"/>
      <c r="M92" s="677"/>
      <c r="N92" s="677"/>
      <c r="O92" s="677"/>
      <c r="P92" s="678"/>
      <c r="Q92" s="1179"/>
      <c r="R92" s="1179"/>
      <c r="S92" s="1179"/>
      <c r="T92" s="1179"/>
      <c r="U92" s="1179"/>
      <c r="V92" s="1179"/>
      <c r="W92" s="1179"/>
      <c r="X92" s="1179"/>
      <c r="Y92" s="1179"/>
      <c r="Z92" s="1179"/>
      <c r="AA92" s="1179"/>
      <c r="AB92" s="1179"/>
      <c r="AC92" s="1179"/>
      <c r="AD92" s="1179"/>
      <c r="AE92" s="1179"/>
      <c r="AF92" s="1179"/>
      <c r="AG92" s="1179"/>
      <c r="AH92" s="1179"/>
      <c r="AI92" s="1179"/>
      <c r="AJ92" s="676"/>
      <c r="AK92" s="677"/>
      <c r="AL92" s="677"/>
      <c r="AM92" s="677"/>
      <c r="AN92" s="677"/>
      <c r="AO92" s="677"/>
      <c r="AP92" s="677"/>
      <c r="AQ92" s="677"/>
      <c r="AR92" s="677"/>
      <c r="AS92" s="677"/>
      <c r="AT92" s="677"/>
      <c r="AU92" s="677"/>
      <c r="AV92" s="677"/>
      <c r="AW92" s="677"/>
      <c r="AX92" s="677"/>
      <c r="AY92" s="677"/>
      <c r="AZ92" s="677"/>
      <c r="BA92" s="677"/>
      <c r="BB92" s="677"/>
      <c r="BC92" s="677"/>
      <c r="BD92" s="678"/>
      <c r="BE92" s="1180"/>
      <c r="BF92" s="1181"/>
      <c r="BG92" s="1181"/>
      <c r="BH92" s="1181"/>
      <c r="BI92" s="1182"/>
      <c r="BJ92" s="1180"/>
      <c r="BK92" s="1181"/>
      <c r="BL92" s="1181"/>
      <c r="BM92" s="1181"/>
      <c r="BN92" s="1182"/>
      <c r="BO92" s="676"/>
      <c r="BP92" s="677"/>
      <c r="BQ92" s="677"/>
      <c r="BR92" s="677"/>
      <c r="BS92" s="677"/>
      <c r="BT92" s="677"/>
      <c r="BU92" s="677"/>
      <c r="BV92" s="677"/>
      <c r="BW92" s="677"/>
      <c r="BX92" s="677"/>
      <c r="BY92" s="677"/>
      <c r="BZ92" s="677"/>
      <c r="CA92" s="677"/>
      <c r="CB92" s="678"/>
      <c r="CX92" s="89"/>
      <c r="CY92" s="89"/>
    </row>
    <row r="93" spans="3:103" ht="11.25" customHeight="1">
      <c r="C93" s="704"/>
      <c r="D93" s="705"/>
      <c r="E93" s="705"/>
      <c r="F93" s="705"/>
      <c r="G93" s="705"/>
      <c r="H93" s="705"/>
      <c r="I93" s="705"/>
      <c r="J93" s="705"/>
      <c r="K93" s="705"/>
      <c r="L93" s="705"/>
      <c r="M93" s="705"/>
      <c r="N93" s="705"/>
      <c r="O93" s="705"/>
      <c r="P93" s="706"/>
      <c r="Q93" s="1179"/>
      <c r="R93" s="1179"/>
      <c r="S93" s="1179"/>
      <c r="T93" s="1179"/>
      <c r="U93" s="1179"/>
      <c r="V93" s="1179"/>
      <c r="W93" s="1179"/>
      <c r="X93" s="1179"/>
      <c r="Y93" s="1179"/>
      <c r="Z93" s="1179"/>
      <c r="AA93" s="1179"/>
      <c r="AB93" s="1179"/>
      <c r="AC93" s="1179"/>
      <c r="AD93" s="1179"/>
      <c r="AE93" s="1179"/>
      <c r="AF93" s="1179"/>
      <c r="AG93" s="1179"/>
      <c r="AH93" s="1179"/>
      <c r="AI93" s="1179"/>
      <c r="AJ93" s="704"/>
      <c r="AK93" s="705"/>
      <c r="AL93" s="705"/>
      <c r="AM93" s="705"/>
      <c r="AN93" s="705"/>
      <c r="AO93" s="705"/>
      <c r="AP93" s="705"/>
      <c r="AQ93" s="705"/>
      <c r="AR93" s="705"/>
      <c r="AS93" s="705"/>
      <c r="AT93" s="705"/>
      <c r="AU93" s="705"/>
      <c r="AV93" s="705"/>
      <c r="AW93" s="705"/>
      <c r="AX93" s="705"/>
      <c r="AY93" s="705"/>
      <c r="AZ93" s="705"/>
      <c r="BA93" s="705"/>
      <c r="BB93" s="705"/>
      <c r="BC93" s="705"/>
      <c r="BD93" s="706"/>
      <c r="BE93" s="1183"/>
      <c r="BF93" s="1184"/>
      <c r="BG93" s="1184"/>
      <c r="BH93" s="1184"/>
      <c r="BI93" s="1185"/>
      <c r="BJ93" s="1183"/>
      <c r="BK93" s="1184"/>
      <c r="BL93" s="1184"/>
      <c r="BM93" s="1184"/>
      <c r="BN93" s="1185"/>
      <c r="BO93" s="704"/>
      <c r="BP93" s="705"/>
      <c r="BQ93" s="705"/>
      <c r="BR93" s="705"/>
      <c r="BS93" s="705"/>
      <c r="BT93" s="705"/>
      <c r="BU93" s="705"/>
      <c r="BV93" s="705"/>
      <c r="BW93" s="705"/>
      <c r="BX93" s="705"/>
      <c r="BY93" s="705"/>
      <c r="BZ93" s="705"/>
      <c r="CA93" s="705"/>
      <c r="CB93" s="706"/>
      <c r="CX93" s="89"/>
      <c r="CY93" s="89"/>
    </row>
    <row r="94" spans="3:103" ht="11.25" customHeight="1">
      <c r="C94" s="704"/>
      <c r="D94" s="705"/>
      <c r="E94" s="705"/>
      <c r="F94" s="705"/>
      <c r="G94" s="705"/>
      <c r="H94" s="705"/>
      <c r="I94" s="705"/>
      <c r="J94" s="705"/>
      <c r="K94" s="705"/>
      <c r="L94" s="705"/>
      <c r="M94" s="705"/>
      <c r="N94" s="705"/>
      <c r="O94" s="705"/>
      <c r="P94" s="706"/>
      <c r="Q94" s="1179"/>
      <c r="R94" s="1179"/>
      <c r="S94" s="1179"/>
      <c r="T94" s="1179"/>
      <c r="U94" s="1179"/>
      <c r="V94" s="1179"/>
      <c r="W94" s="1179"/>
      <c r="X94" s="1179"/>
      <c r="Y94" s="1179"/>
      <c r="Z94" s="1179"/>
      <c r="AA94" s="1179"/>
      <c r="AB94" s="1179"/>
      <c r="AC94" s="1179"/>
      <c r="AD94" s="1179"/>
      <c r="AE94" s="1179"/>
      <c r="AF94" s="1179"/>
      <c r="AG94" s="1179"/>
      <c r="AH94" s="1179"/>
      <c r="AI94" s="1179"/>
      <c r="AJ94" s="704"/>
      <c r="AK94" s="705"/>
      <c r="AL94" s="705"/>
      <c r="AM94" s="705"/>
      <c r="AN94" s="705"/>
      <c r="AO94" s="705"/>
      <c r="AP94" s="705"/>
      <c r="AQ94" s="705"/>
      <c r="AR94" s="705"/>
      <c r="AS94" s="705"/>
      <c r="AT94" s="705"/>
      <c r="AU94" s="705"/>
      <c r="AV94" s="705"/>
      <c r="AW94" s="705"/>
      <c r="AX94" s="705"/>
      <c r="AY94" s="705"/>
      <c r="AZ94" s="705"/>
      <c r="BA94" s="705"/>
      <c r="BB94" s="705"/>
      <c r="BC94" s="705"/>
      <c r="BD94" s="706"/>
      <c r="BE94" s="1183"/>
      <c r="BF94" s="1184"/>
      <c r="BG94" s="1184"/>
      <c r="BH94" s="1184"/>
      <c r="BI94" s="1185"/>
      <c r="BJ94" s="1183"/>
      <c r="BK94" s="1184"/>
      <c r="BL94" s="1184"/>
      <c r="BM94" s="1184"/>
      <c r="BN94" s="1185"/>
      <c r="BO94" s="704"/>
      <c r="BP94" s="705"/>
      <c r="BQ94" s="705"/>
      <c r="BR94" s="705"/>
      <c r="BS94" s="705"/>
      <c r="BT94" s="705"/>
      <c r="BU94" s="705"/>
      <c r="BV94" s="705"/>
      <c r="BW94" s="705"/>
      <c r="BX94" s="705"/>
      <c r="BY94" s="705"/>
      <c r="BZ94" s="705"/>
      <c r="CA94" s="705"/>
      <c r="CB94" s="706"/>
      <c r="CX94" s="89"/>
      <c r="CY94" s="89"/>
    </row>
    <row r="95" spans="3:103" ht="11.25" customHeight="1">
      <c r="C95" s="707"/>
      <c r="D95" s="708"/>
      <c r="E95" s="708"/>
      <c r="F95" s="708"/>
      <c r="G95" s="708"/>
      <c r="H95" s="708"/>
      <c r="I95" s="708"/>
      <c r="J95" s="708"/>
      <c r="K95" s="708"/>
      <c r="L95" s="708"/>
      <c r="M95" s="708"/>
      <c r="N95" s="708"/>
      <c r="O95" s="708"/>
      <c r="P95" s="709"/>
      <c r="Q95" s="1179"/>
      <c r="R95" s="1179"/>
      <c r="S95" s="1179"/>
      <c r="T95" s="1179"/>
      <c r="U95" s="1179"/>
      <c r="V95" s="1179"/>
      <c r="W95" s="1179"/>
      <c r="X95" s="1179"/>
      <c r="Y95" s="1179"/>
      <c r="Z95" s="1179"/>
      <c r="AA95" s="1179"/>
      <c r="AB95" s="1179"/>
      <c r="AC95" s="1179"/>
      <c r="AD95" s="1179"/>
      <c r="AE95" s="1179"/>
      <c r="AF95" s="1179"/>
      <c r="AG95" s="1179"/>
      <c r="AH95" s="1179"/>
      <c r="AI95" s="1179"/>
      <c r="AJ95" s="707"/>
      <c r="AK95" s="708"/>
      <c r="AL95" s="708"/>
      <c r="AM95" s="708"/>
      <c r="AN95" s="708"/>
      <c r="AO95" s="708"/>
      <c r="AP95" s="708"/>
      <c r="AQ95" s="708"/>
      <c r="AR95" s="708"/>
      <c r="AS95" s="708"/>
      <c r="AT95" s="708"/>
      <c r="AU95" s="708"/>
      <c r="AV95" s="708"/>
      <c r="AW95" s="708"/>
      <c r="AX95" s="708"/>
      <c r="AY95" s="708"/>
      <c r="AZ95" s="708"/>
      <c r="BA95" s="708"/>
      <c r="BB95" s="708"/>
      <c r="BC95" s="708"/>
      <c r="BD95" s="709"/>
      <c r="BE95" s="1186"/>
      <c r="BF95" s="1187"/>
      <c r="BG95" s="1187"/>
      <c r="BH95" s="1187"/>
      <c r="BI95" s="1188"/>
      <c r="BJ95" s="1186"/>
      <c r="BK95" s="1187"/>
      <c r="BL95" s="1187"/>
      <c r="BM95" s="1187"/>
      <c r="BN95" s="1188"/>
      <c r="BO95" s="707"/>
      <c r="BP95" s="708"/>
      <c r="BQ95" s="708"/>
      <c r="BR95" s="708"/>
      <c r="BS95" s="708"/>
      <c r="BT95" s="708"/>
      <c r="BU95" s="708"/>
      <c r="BV95" s="708"/>
      <c r="BW95" s="708"/>
      <c r="BX95" s="708"/>
      <c r="BY95" s="708"/>
      <c r="BZ95" s="708"/>
      <c r="CA95" s="708"/>
      <c r="CB95" s="709"/>
      <c r="CX95" s="89"/>
      <c r="CY95" s="89"/>
    </row>
    <row r="96" spans="3:103" ht="11.25" customHeight="1">
      <c r="C96" s="676"/>
      <c r="D96" s="677"/>
      <c r="E96" s="677"/>
      <c r="F96" s="677"/>
      <c r="G96" s="677"/>
      <c r="H96" s="677"/>
      <c r="I96" s="677"/>
      <c r="J96" s="677"/>
      <c r="K96" s="677"/>
      <c r="L96" s="677"/>
      <c r="M96" s="677"/>
      <c r="N96" s="677"/>
      <c r="O96" s="677"/>
      <c r="P96" s="678"/>
      <c r="Q96" s="1179"/>
      <c r="R96" s="1179"/>
      <c r="S96" s="1179"/>
      <c r="T96" s="1179"/>
      <c r="U96" s="1179"/>
      <c r="V96" s="1179"/>
      <c r="W96" s="1179"/>
      <c r="X96" s="1179"/>
      <c r="Y96" s="1179"/>
      <c r="Z96" s="1179"/>
      <c r="AA96" s="1179"/>
      <c r="AB96" s="1179"/>
      <c r="AC96" s="1179"/>
      <c r="AD96" s="1179"/>
      <c r="AE96" s="1179"/>
      <c r="AF96" s="1179"/>
      <c r="AG96" s="1179"/>
      <c r="AH96" s="1179"/>
      <c r="AI96" s="1179"/>
      <c r="AJ96" s="676"/>
      <c r="AK96" s="677"/>
      <c r="AL96" s="677"/>
      <c r="AM96" s="677"/>
      <c r="AN96" s="677"/>
      <c r="AO96" s="677"/>
      <c r="AP96" s="677"/>
      <c r="AQ96" s="677"/>
      <c r="AR96" s="677"/>
      <c r="AS96" s="677"/>
      <c r="AT96" s="677"/>
      <c r="AU96" s="677"/>
      <c r="AV96" s="677"/>
      <c r="AW96" s="677"/>
      <c r="AX96" s="677"/>
      <c r="AY96" s="677"/>
      <c r="AZ96" s="677"/>
      <c r="BA96" s="677"/>
      <c r="BB96" s="677"/>
      <c r="BC96" s="677"/>
      <c r="BD96" s="678"/>
      <c r="BE96" s="1180"/>
      <c r="BF96" s="1181"/>
      <c r="BG96" s="1181"/>
      <c r="BH96" s="1181"/>
      <c r="BI96" s="1182"/>
      <c r="BJ96" s="1180"/>
      <c r="BK96" s="1181"/>
      <c r="BL96" s="1181"/>
      <c r="BM96" s="1181"/>
      <c r="BN96" s="1182"/>
      <c r="BO96" s="676"/>
      <c r="BP96" s="677"/>
      <c r="BQ96" s="677"/>
      <c r="BR96" s="677"/>
      <c r="BS96" s="677"/>
      <c r="BT96" s="677"/>
      <c r="BU96" s="677"/>
      <c r="BV96" s="677"/>
      <c r="BW96" s="677"/>
      <c r="BX96" s="677"/>
      <c r="BY96" s="677"/>
      <c r="BZ96" s="677"/>
      <c r="CA96" s="677"/>
      <c r="CB96" s="678"/>
      <c r="CX96" s="89"/>
      <c r="CY96" s="89"/>
    </row>
    <row r="97" spans="3:103" ht="11.25" customHeight="1">
      <c r="C97" s="704"/>
      <c r="D97" s="705"/>
      <c r="E97" s="705"/>
      <c r="F97" s="705"/>
      <c r="G97" s="705"/>
      <c r="H97" s="705"/>
      <c r="I97" s="705"/>
      <c r="J97" s="705"/>
      <c r="K97" s="705"/>
      <c r="L97" s="705"/>
      <c r="M97" s="705"/>
      <c r="N97" s="705"/>
      <c r="O97" s="705"/>
      <c r="P97" s="706"/>
      <c r="Q97" s="1179"/>
      <c r="R97" s="1179"/>
      <c r="S97" s="1179"/>
      <c r="T97" s="1179"/>
      <c r="U97" s="1179"/>
      <c r="V97" s="1179"/>
      <c r="W97" s="1179"/>
      <c r="X97" s="1179"/>
      <c r="Y97" s="1179"/>
      <c r="Z97" s="1179"/>
      <c r="AA97" s="1179"/>
      <c r="AB97" s="1179"/>
      <c r="AC97" s="1179"/>
      <c r="AD97" s="1179"/>
      <c r="AE97" s="1179"/>
      <c r="AF97" s="1179"/>
      <c r="AG97" s="1179"/>
      <c r="AH97" s="1179"/>
      <c r="AI97" s="1179"/>
      <c r="AJ97" s="704"/>
      <c r="AK97" s="705"/>
      <c r="AL97" s="705"/>
      <c r="AM97" s="705"/>
      <c r="AN97" s="705"/>
      <c r="AO97" s="705"/>
      <c r="AP97" s="705"/>
      <c r="AQ97" s="705"/>
      <c r="AR97" s="705"/>
      <c r="AS97" s="705"/>
      <c r="AT97" s="705"/>
      <c r="AU97" s="705"/>
      <c r="AV97" s="705"/>
      <c r="AW97" s="705"/>
      <c r="AX97" s="705"/>
      <c r="AY97" s="705"/>
      <c r="AZ97" s="705"/>
      <c r="BA97" s="705"/>
      <c r="BB97" s="705"/>
      <c r="BC97" s="705"/>
      <c r="BD97" s="706"/>
      <c r="BE97" s="1183"/>
      <c r="BF97" s="1184"/>
      <c r="BG97" s="1184"/>
      <c r="BH97" s="1184"/>
      <c r="BI97" s="1185"/>
      <c r="BJ97" s="1183"/>
      <c r="BK97" s="1184"/>
      <c r="BL97" s="1184"/>
      <c r="BM97" s="1184"/>
      <c r="BN97" s="1185"/>
      <c r="BO97" s="704"/>
      <c r="BP97" s="705"/>
      <c r="BQ97" s="705"/>
      <c r="BR97" s="705"/>
      <c r="BS97" s="705"/>
      <c r="BT97" s="705"/>
      <c r="BU97" s="705"/>
      <c r="BV97" s="705"/>
      <c r="BW97" s="705"/>
      <c r="BX97" s="705"/>
      <c r="BY97" s="705"/>
      <c r="BZ97" s="705"/>
      <c r="CA97" s="705"/>
      <c r="CB97" s="706"/>
      <c r="CX97" s="89"/>
      <c r="CY97" s="89"/>
    </row>
    <row r="98" spans="3:103" ht="11.25" customHeight="1">
      <c r="C98" s="704"/>
      <c r="D98" s="705"/>
      <c r="E98" s="705"/>
      <c r="F98" s="705"/>
      <c r="G98" s="705"/>
      <c r="H98" s="705"/>
      <c r="I98" s="705"/>
      <c r="J98" s="705"/>
      <c r="K98" s="705"/>
      <c r="L98" s="705"/>
      <c r="M98" s="705"/>
      <c r="N98" s="705"/>
      <c r="O98" s="705"/>
      <c r="P98" s="706"/>
      <c r="Q98" s="1179"/>
      <c r="R98" s="1179"/>
      <c r="S98" s="1179"/>
      <c r="T98" s="1179"/>
      <c r="U98" s="1179"/>
      <c r="V98" s="1179"/>
      <c r="W98" s="1179"/>
      <c r="X98" s="1179"/>
      <c r="Y98" s="1179"/>
      <c r="Z98" s="1179"/>
      <c r="AA98" s="1179"/>
      <c r="AB98" s="1179"/>
      <c r="AC98" s="1179"/>
      <c r="AD98" s="1179"/>
      <c r="AE98" s="1179"/>
      <c r="AF98" s="1179"/>
      <c r="AG98" s="1179"/>
      <c r="AH98" s="1179"/>
      <c r="AI98" s="1179"/>
      <c r="AJ98" s="704"/>
      <c r="AK98" s="705"/>
      <c r="AL98" s="705"/>
      <c r="AM98" s="705"/>
      <c r="AN98" s="705"/>
      <c r="AO98" s="705"/>
      <c r="AP98" s="705"/>
      <c r="AQ98" s="705"/>
      <c r="AR98" s="705"/>
      <c r="AS98" s="705"/>
      <c r="AT98" s="705"/>
      <c r="AU98" s="705"/>
      <c r="AV98" s="705"/>
      <c r="AW98" s="705"/>
      <c r="AX98" s="705"/>
      <c r="AY98" s="705"/>
      <c r="AZ98" s="705"/>
      <c r="BA98" s="705"/>
      <c r="BB98" s="705"/>
      <c r="BC98" s="705"/>
      <c r="BD98" s="706"/>
      <c r="BE98" s="1183"/>
      <c r="BF98" s="1184"/>
      <c r="BG98" s="1184"/>
      <c r="BH98" s="1184"/>
      <c r="BI98" s="1185"/>
      <c r="BJ98" s="1183"/>
      <c r="BK98" s="1184"/>
      <c r="BL98" s="1184"/>
      <c r="BM98" s="1184"/>
      <c r="BN98" s="1185"/>
      <c r="BO98" s="704"/>
      <c r="BP98" s="705"/>
      <c r="BQ98" s="705"/>
      <c r="BR98" s="705"/>
      <c r="BS98" s="705"/>
      <c r="BT98" s="705"/>
      <c r="BU98" s="705"/>
      <c r="BV98" s="705"/>
      <c r="BW98" s="705"/>
      <c r="BX98" s="705"/>
      <c r="BY98" s="705"/>
      <c r="BZ98" s="705"/>
      <c r="CA98" s="705"/>
      <c r="CB98" s="706"/>
      <c r="CX98" s="6"/>
      <c r="CY98" s="6"/>
    </row>
    <row r="99" spans="3:103" ht="11.25" customHeight="1">
      <c r="C99" s="707"/>
      <c r="D99" s="708"/>
      <c r="E99" s="708"/>
      <c r="F99" s="708"/>
      <c r="G99" s="708"/>
      <c r="H99" s="708"/>
      <c r="I99" s="708"/>
      <c r="J99" s="708"/>
      <c r="K99" s="708"/>
      <c r="L99" s="708"/>
      <c r="M99" s="708"/>
      <c r="N99" s="708"/>
      <c r="O99" s="708"/>
      <c r="P99" s="709"/>
      <c r="Q99" s="1179"/>
      <c r="R99" s="1179"/>
      <c r="S99" s="1179"/>
      <c r="T99" s="1179"/>
      <c r="U99" s="1179"/>
      <c r="V99" s="1179"/>
      <c r="W99" s="1179"/>
      <c r="X99" s="1179"/>
      <c r="Y99" s="1179"/>
      <c r="Z99" s="1179"/>
      <c r="AA99" s="1179"/>
      <c r="AB99" s="1179"/>
      <c r="AC99" s="1179"/>
      <c r="AD99" s="1179"/>
      <c r="AE99" s="1179"/>
      <c r="AF99" s="1179"/>
      <c r="AG99" s="1179"/>
      <c r="AH99" s="1179"/>
      <c r="AI99" s="1179"/>
      <c r="AJ99" s="707"/>
      <c r="AK99" s="708"/>
      <c r="AL99" s="708"/>
      <c r="AM99" s="708"/>
      <c r="AN99" s="708"/>
      <c r="AO99" s="708"/>
      <c r="AP99" s="708"/>
      <c r="AQ99" s="708"/>
      <c r="AR99" s="708"/>
      <c r="AS99" s="708"/>
      <c r="AT99" s="708"/>
      <c r="AU99" s="708"/>
      <c r="AV99" s="708"/>
      <c r="AW99" s="708"/>
      <c r="AX99" s="708"/>
      <c r="AY99" s="708"/>
      <c r="AZ99" s="708"/>
      <c r="BA99" s="708"/>
      <c r="BB99" s="708"/>
      <c r="BC99" s="708"/>
      <c r="BD99" s="709"/>
      <c r="BE99" s="1186"/>
      <c r="BF99" s="1187"/>
      <c r="BG99" s="1187"/>
      <c r="BH99" s="1187"/>
      <c r="BI99" s="1188"/>
      <c r="BJ99" s="1186"/>
      <c r="BK99" s="1187"/>
      <c r="BL99" s="1187"/>
      <c r="BM99" s="1187"/>
      <c r="BN99" s="1188"/>
      <c r="BO99" s="707"/>
      <c r="BP99" s="708"/>
      <c r="BQ99" s="708"/>
      <c r="BR99" s="708"/>
      <c r="BS99" s="708"/>
      <c r="BT99" s="708"/>
      <c r="BU99" s="708"/>
      <c r="BV99" s="708"/>
      <c r="BW99" s="708"/>
      <c r="BX99" s="708"/>
      <c r="BY99" s="708"/>
      <c r="BZ99" s="708"/>
      <c r="CA99" s="708"/>
      <c r="CB99" s="709"/>
    </row>
    <row r="100" spans="3:103" ht="11.25" customHeight="1">
      <c r="C100" s="42"/>
      <c r="D100" s="42"/>
      <c r="E100" s="52"/>
      <c r="F100" s="42"/>
      <c r="G100" s="51"/>
      <c r="H100" s="253"/>
      <c r="I100" s="253"/>
      <c r="J100" s="42"/>
      <c r="K100" s="42"/>
      <c r="L100" s="91"/>
      <c r="M100" s="91"/>
      <c r="N100" s="91"/>
      <c r="O100" s="91"/>
      <c r="P100" s="91"/>
      <c r="Q100" s="42"/>
      <c r="R100" s="42"/>
      <c r="S100" s="42"/>
      <c r="T100" s="42"/>
      <c r="Z100" s="14"/>
    </row>
    <row r="101" spans="3:103" ht="11.25" customHeight="1">
      <c r="C101" s="42"/>
      <c r="D101" s="42"/>
      <c r="E101" s="52"/>
      <c r="F101" s="42"/>
      <c r="G101" s="52"/>
      <c r="H101" s="253"/>
      <c r="I101" s="253"/>
      <c r="J101" s="42"/>
      <c r="K101" s="42"/>
      <c r="L101" s="91"/>
      <c r="M101" s="91"/>
      <c r="N101" s="91"/>
      <c r="O101" s="91"/>
      <c r="P101" s="91"/>
      <c r="Q101" s="42"/>
      <c r="R101" s="42"/>
      <c r="S101" s="42"/>
      <c r="T101" s="42"/>
      <c r="Z101" s="14"/>
    </row>
    <row r="102" spans="3:103" ht="11.25" customHeight="1">
      <c r="C102" s="42"/>
      <c r="D102" s="42"/>
      <c r="E102" s="252"/>
      <c r="F102" s="42"/>
      <c r="G102" s="252"/>
      <c r="H102" s="253"/>
      <c r="I102" s="253"/>
      <c r="J102" s="42"/>
      <c r="K102" s="42"/>
      <c r="L102" s="91"/>
      <c r="M102" s="91"/>
      <c r="N102" s="91"/>
      <c r="O102" s="91"/>
      <c r="P102" s="91"/>
      <c r="Q102" s="42"/>
      <c r="R102" s="42"/>
      <c r="S102" s="42"/>
      <c r="T102" s="42"/>
      <c r="Z102" s="14"/>
    </row>
    <row r="103" spans="3:103" ht="11.25" customHeight="1">
      <c r="C103" s="42"/>
      <c r="D103" s="42"/>
      <c r="E103" s="52"/>
      <c r="F103" s="42"/>
      <c r="G103" s="52"/>
      <c r="H103" s="253"/>
      <c r="I103" s="253"/>
      <c r="J103" s="42"/>
      <c r="K103" s="42"/>
      <c r="L103" s="91"/>
      <c r="M103" s="91"/>
      <c r="N103" s="91"/>
      <c r="O103" s="91"/>
      <c r="P103" s="91"/>
      <c r="Q103" s="42"/>
      <c r="R103" s="42"/>
      <c r="S103" s="42"/>
      <c r="T103" s="42"/>
      <c r="Y103" s="14"/>
      <c r="Z103" s="14"/>
    </row>
    <row r="104" spans="3:103" ht="11.25" customHeight="1">
      <c r="C104" s="42"/>
      <c r="D104" s="42"/>
      <c r="E104" s="52"/>
      <c r="F104" s="42"/>
      <c r="G104" s="52"/>
      <c r="H104" s="253"/>
      <c r="I104" s="253"/>
      <c r="J104" s="42"/>
      <c r="K104" s="42"/>
      <c r="L104" s="91"/>
      <c r="M104" s="91"/>
      <c r="N104" s="91"/>
      <c r="O104" s="91"/>
      <c r="P104" s="91"/>
      <c r="Q104" s="42"/>
      <c r="R104" s="42"/>
      <c r="S104" s="42"/>
      <c r="T104" s="42"/>
      <c r="Z104" s="14"/>
    </row>
    <row r="105" spans="3:103" ht="11.25" customHeight="1">
      <c r="C105" s="42"/>
      <c r="D105" s="42"/>
      <c r="E105" s="52"/>
      <c r="F105" s="42"/>
      <c r="G105" s="52"/>
      <c r="H105" s="253"/>
      <c r="I105" s="253"/>
      <c r="J105" s="42"/>
      <c r="K105" s="42"/>
      <c r="L105" s="91"/>
      <c r="M105" s="91"/>
      <c r="N105" s="91"/>
      <c r="O105" s="91"/>
      <c r="P105" s="91"/>
      <c r="Q105" s="42"/>
      <c r="R105" s="42"/>
      <c r="S105" s="42"/>
      <c r="T105" s="42"/>
      <c r="Z105" s="14"/>
    </row>
    <row r="106" spans="3:103" ht="11.25" customHeight="1">
      <c r="C106" s="42"/>
      <c r="D106" s="42"/>
      <c r="E106" s="42"/>
      <c r="F106" s="42"/>
      <c r="G106" s="42"/>
      <c r="H106" s="253"/>
      <c r="I106" s="253"/>
      <c r="J106" s="42"/>
      <c r="K106" s="42"/>
      <c r="L106" s="91"/>
      <c r="M106" s="91"/>
      <c r="N106" s="91"/>
      <c r="O106" s="91"/>
      <c r="P106" s="91"/>
      <c r="Q106" s="42"/>
      <c r="R106" s="42"/>
      <c r="S106" s="42"/>
      <c r="T106" s="42"/>
      <c r="Z106" s="14"/>
    </row>
    <row r="107" spans="3:103" ht="11.25" customHeight="1">
      <c r="C107" s="254"/>
      <c r="D107" s="254"/>
      <c r="E107" s="254"/>
      <c r="F107" s="254"/>
      <c r="G107" s="254"/>
      <c r="H107" s="254"/>
      <c r="I107" s="254"/>
      <c r="J107" s="254"/>
      <c r="K107" s="254"/>
      <c r="L107" s="254"/>
      <c r="M107" s="254"/>
      <c r="N107" s="254"/>
      <c r="O107" s="254"/>
      <c r="P107" s="254"/>
      <c r="Q107" s="254"/>
      <c r="R107" s="254"/>
      <c r="S107" s="254"/>
      <c r="T107" s="254"/>
      <c r="Z107" s="14"/>
    </row>
    <row r="108" spans="3:103" ht="11.25" customHeight="1">
      <c r="C108" s="254"/>
      <c r="D108" s="254"/>
      <c r="E108" s="254"/>
      <c r="F108" s="254"/>
      <c r="G108" s="254"/>
      <c r="H108" s="254"/>
      <c r="I108" s="254"/>
      <c r="J108" s="254"/>
      <c r="K108" s="254"/>
      <c r="L108" s="254"/>
      <c r="M108" s="254"/>
      <c r="N108" s="254"/>
      <c r="O108" s="254"/>
      <c r="P108" s="254"/>
      <c r="Q108" s="254"/>
      <c r="R108" s="254"/>
      <c r="S108" s="254"/>
      <c r="T108" s="254"/>
      <c r="Z108" s="14"/>
    </row>
    <row r="109" spans="3:103" ht="11.25" customHeight="1">
      <c r="C109" s="68"/>
      <c r="D109" s="68"/>
      <c r="E109" s="68"/>
      <c r="F109" s="43"/>
      <c r="G109" s="43"/>
      <c r="H109" s="68"/>
      <c r="I109" s="68"/>
      <c r="J109" s="68"/>
      <c r="K109" s="68"/>
      <c r="L109" s="68"/>
      <c r="M109" s="68"/>
      <c r="N109" s="68"/>
      <c r="O109" s="68"/>
      <c r="P109" s="68"/>
      <c r="Q109" s="68"/>
      <c r="R109" s="68"/>
      <c r="S109" s="68"/>
      <c r="T109" s="68"/>
      <c r="Z109" s="14"/>
    </row>
    <row r="110" spans="3:103" ht="11.25" customHeight="1">
      <c r="C110" s="43"/>
      <c r="D110" s="43"/>
      <c r="E110" s="43"/>
      <c r="F110" s="43"/>
      <c r="G110" s="43"/>
      <c r="H110" s="68"/>
      <c r="I110" s="68"/>
      <c r="J110" s="68"/>
      <c r="K110" s="68"/>
      <c r="L110" s="68"/>
      <c r="M110" s="68"/>
      <c r="N110" s="68"/>
      <c r="O110" s="68"/>
      <c r="P110" s="68"/>
      <c r="Q110" s="68"/>
      <c r="R110" s="68"/>
      <c r="S110" s="68"/>
      <c r="T110" s="68"/>
      <c r="Z110" s="14"/>
    </row>
    <row r="111" spans="3:103" ht="11.25" customHeight="1">
      <c r="C111" s="43"/>
      <c r="D111" s="43"/>
      <c r="E111" s="43"/>
      <c r="F111" s="43"/>
      <c r="G111" s="43"/>
      <c r="H111" s="68"/>
      <c r="I111" s="68"/>
      <c r="J111" s="68"/>
      <c r="K111" s="68"/>
      <c r="L111" s="68"/>
      <c r="M111" s="68"/>
      <c r="N111" s="68"/>
      <c r="O111" s="68"/>
      <c r="P111" s="68"/>
      <c r="Q111" s="68"/>
      <c r="R111" s="68"/>
      <c r="S111" s="68"/>
      <c r="T111" s="68"/>
      <c r="Z111" s="14"/>
    </row>
    <row r="112" spans="3:103" ht="11.25" customHeight="1">
      <c r="C112" s="43"/>
      <c r="D112" s="43"/>
      <c r="E112" s="43"/>
      <c r="F112" s="43"/>
      <c r="G112" s="43"/>
      <c r="H112" s="68"/>
      <c r="I112" s="68"/>
      <c r="J112" s="68"/>
      <c r="K112" s="68"/>
      <c r="L112" s="68"/>
      <c r="M112" s="68"/>
      <c r="N112" s="68"/>
      <c r="O112" s="68"/>
      <c r="P112" s="68"/>
      <c r="Q112" s="68"/>
      <c r="R112" s="68"/>
      <c r="S112" s="68"/>
      <c r="T112" s="68"/>
      <c r="Z112" s="14"/>
    </row>
    <row r="113" spans="3:26" ht="11.25" customHeight="1">
      <c r="C113" s="42"/>
      <c r="D113" s="42"/>
      <c r="E113" s="42"/>
      <c r="F113" s="42"/>
      <c r="G113" s="42"/>
      <c r="H113" s="1243"/>
      <c r="I113" s="1243"/>
      <c r="J113" s="1241"/>
      <c r="K113" s="1241"/>
      <c r="L113" s="1240"/>
      <c r="M113" s="1240"/>
      <c r="N113" s="1240"/>
      <c r="O113" s="1240"/>
      <c r="P113" s="1240"/>
      <c r="Q113" s="1241"/>
      <c r="R113" s="1241"/>
      <c r="S113" s="1241"/>
      <c r="T113" s="1241"/>
      <c r="Y113" s="14"/>
      <c r="Z113" s="14"/>
    </row>
    <row r="114" spans="3:26" ht="11.25" customHeight="1">
      <c r="C114" s="42"/>
      <c r="D114" s="42"/>
      <c r="E114" s="50"/>
      <c r="F114" s="42"/>
      <c r="G114" s="50"/>
      <c r="H114" s="1243"/>
      <c r="I114" s="1243"/>
      <c r="J114" s="1241"/>
      <c r="K114" s="1241"/>
      <c r="L114" s="1240"/>
      <c r="M114" s="1240"/>
      <c r="N114" s="1240"/>
      <c r="O114" s="1240"/>
      <c r="P114" s="1240"/>
      <c r="Q114" s="1241"/>
      <c r="R114" s="1241"/>
      <c r="S114" s="1241"/>
      <c r="T114" s="1241"/>
      <c r="Z114" s="14"/>
    </row>
    <row r="115" spans="3:26" ht="11.25" customHeight="1">
      <c r="C115" s="42"/>
      <c r="D115" s="42"/>
      <c r="E115" s="52"/>
      <c r="F115" s="42"/>
      <c r="G115" s="52"/>
      <c r="H115" s="1243"/>
      <c r="I115" s="1243"/>
      <c r="J115" s="1241"/>
      <c r="K115" s="1241"/>
      <c r="L115" s="1240"/>
      <c r="M115" s="1240"/>
      <c r="N115" s="1240"/>
      <c r="O115" s="1240"/>
      <c r="P115" s="1240"/>
      <c r="Q115" s="1241"/>
      <c r="R115" s="1241"/>
      <c r="S115" s="1241"/>
      <c r="T115" s="1241"/>
      <c r="Z115" s="14"/>
    </row>
    <row r="116" spans="3:26" ht="11.25" customHeight="1">
      <c r="C116" s="42"/>
      <c r="D116" s="42"/>
      <c r="E116" s="52"/>
      <c r="F116" s="42"/>
      <c r="G116" s="52"/>
      <c r="H116" s="1243"/>
      <c r="I116" s="1243"/>
      <c r="J116" s="1241"/>
      <c r="K116" s="1241"/>
      <c r="L116" s="1240"/>
      <c r="M116" s="1240"/>
      <c r="N116" s="1240"/>
      <c r="O116" s="1240"/>
      <c r="P116" s="1240"/>
      <c r="Q116" s="1241"/>
      <c r="R116" s="1241"/>
      <c r="S116" s="1241"/>
      <c r="T116" s="1241"/>
      <c r="Z116" s="14"/>
    </row>
    <row r="117" spans="3:26" ht="11.25" customHeight="1">
      <c r="C117" s="42"/>
      <c r="D117" s="42"/>
      <c r="E117" s="50"/>
      <c r="F117" s="42"/>
      <c r="G117" s="50"/>
      <c r="H117" s="1243"/>
      <c r="I117" s="1243"/>
      <c r="J117" s="1241"/>
      <c r="K117" s="1241"/>
      <c r="L117" s="1240"/>
      <c r="M117" s="1240"/>
      <c r="N117" s="1240"/>
      <c r="O117" s="1240"/>
      <c r="P117" s="1240"/>
      <c r="Q117" s="1241"/>
      <c r="R117" s="1241"/>
      <c r="S117" s="1241"/>
      <c r="T117" s="1241"/>
      <c r="Z117" s="14"/>
    </row>
    <row r="118" spans="3:26" ht="11.25" customHeight="1">
      <c r="C118" s="42"/>
      <c r="D118" s="42"/>
      <c r="E118" s="52"/>
      <c r="F118" s="42"/>
      <c r="G118" s="52"/>
      <c r="H118" s="1243"/>
      <c r="I118" s="1243"/>
      <c r="J118" s="1241"/>
      <c r="K118" s="1241"/>
      <c r="L118" s="1240"/>
      <c r="M118" s="1240"/>
      <c r="N118" s="1240"/>
      <c r="O118" s="1240"/>
      <c r="P118" s="1240"/>
      <c r="Q118" s="1241"/>
      <c r="R118" s="1241"/>
      <c r="S118" s="1241"/>
      <c r="T118" s="1241"/>
      <c r="Y118" s="14"/>
      <c r="Z118" s="14"/>
    </row>
    <row r="119" spans="3:26" ht="11.25" customHeight="1">
      <c r="C119" s="42"/>
      <c r="D119" s="42"/>
      <c r="E119" s="52"/>
      <c r="F119" s="42"/>
      <c r="G119" s="52"/>
      <c r="H119" s="1243"/>
      <c r="I119" s="1243"/>
      <c r="J119" s="1241"/>
      <c r="K119" s="1241"/>
      <c r="L119" s="1240"/>
      <c r="M119" s="1240"/>
      <c r="N119" s="1240"/>
      <c r="O119" s="1240"/>
      <c r="P119" s="1240"/>
      <c r="Q119" s="1241"/>
      <c r="R119" s="1241"/>
      <c r="S119" s="1241"/>
      <c r="T119" s="1241"/>
      <c r="Z119" s="14"/>
    </row>
    <row r="120" spans="3:26" ht="11.25" customHeight="1">
      <c r="C120" s="42"/>
      <c r="D120" s="42"/>
      <c r="E120" s="50"/>
      <c r="F120" s="42"/>
      <c r="G120" s="1245"/>
      <c r="H120" s="1243"/>
      <c r="I120" s="1243"/>
      <c r="J120" s="1241"/>
      <c r="K120" s="1241"/>
      <c r="L120" s="1240"/>
      <c r="M120" s="1240"/>
      <c r="N120" s="1240"/>
      <c r="O120" s="1240"/>
      <c r="P120" s="1240"/>
      <c r="Q120" s="1241"/>
      <c r="R120" s="1241"/>
      <c r="S120" s="1241"/>
      <c r="T120" s="1241"/>
      <c r="Z120" s="14"/>
    </row>
    <row r="121" spans="3:26" ht="11.25" customHeight="1">
      <c r="C121" s="42"/>
      <c r="D121" s="42"/>
      <c r="E121" s="52"/>
      <c r="F121" s="42"/>
      <c r="G121" s="1245"/>
      <c r="H121" s="1243"/>
      <c r="I121" s="1243"/>
      <c r="J121" s="1241"/>
      <c r="K121" s="1241"/>
      <c r="L121" s="1240"/>
      <c r="M121" s="1240"/>
      <c r="N121" s="1240"/>
      <c r="O121" s="1240"/>
      <c r="P121" s="1240"/>
      <c r="Q121" s="1241"/>
      <c r="R121" s="1241"/>
      <c r="S121" s="1241"/>
      <c r="T121" s="1241"/>
      <c r="Z121" s="14"/>
    </row>
    <row r="122" spans="3:26" ht="11.25" customHeight="1">
      <c r="C122" s="42"/>
      <c r="D122" s="42"/>
      <c r="E122" s="52"/>
      <c r="F122" s="42"/>
      <c r="G122" s="52"/>
      <c r="H122" s="1243"/>
      <c r="I122" s="1243"/>
      <c r="J122" s="1241"/>
      <c r="K122" s="1241"/>
      <c r="L122" s="1240"/>
      <c r="M122" s="1240"/>
      <c r="N122" s="1240"/>
      <c r="O122" s="1240"/>
      <c r="P122" s="1240"/>
      <c r="Q122" s="1241"/>
      <c r="R122" s="1241"/>
      <c r="S122" s="1241"/>
      <c r="T122" s="1241"/>
      <c r="Z122" s="14"/>
    </row>
    <row r="123" spans="3:26" ht="11.25" customHeight="1">
      <c r="C123" s="42"/>
      <c r="D123" s="42"/>
      <c r="E123" s="50"/>
      <c r="F123" s="42"/>
      <c r="G123" s="50"/>
      <c r="H123" s="1243"/>
      <c r="I123" s="1243"/>
      <c r="J123" s="1241"/>
      <c r="K123" s="1241"/>
      <c r="L123" s="1240"/>
      <c r="M123" s="1240"/>
      <c r="N123" s="1240"/>
      <c r="O123" s="1240"/>
      <c r="P123" s="1240"/>
      <c r="Q123" s="1241"/>
      <c r="R123" s="1241"/>
      <c r="S123" s="1241"/>
      <c r="T123" s="1241"/>
      <c r="Y123" s="14"/>
      <c r="Z123" s="14"/>
    </row>
    <row r="124" spans="3:26" ht="11.25" customHeight="1">
      <c r="C124" s="42"/>
      <c r="D124" s="42"/>
      <c r="E124" s="52"/>
      <c r="F124" s="42"/>
      <c r="G124" s="52"/>
      <c r="H124" s="1243"/>
      <c r="I124" s="1243"/>
      <c r="J124" s="1241"/>
      <c r="K124" s="1241"/>
      <c r="L124" s="1240"/>
      <c r="M124" s="1240"/>
      <c r="N124" s="1240"/>
      <c r="O124" s="1240"/>
      <c r="P124" s="1240"/>
      <c r="Q124" s="1241"/>
      <c r="R124" s="1241"/>
      <c r="S124" s="1241"/>
      <c r="T124" s="1241"/>
      <c r="Z124" s="14"/>
    </row>
    <row r="125" spans="3:26" ht="11.25" customHeight="1">
      <c r="C125" s="42"/>
      <c r="D125" s="42"/>
      <c r="E125" s="52"/>
      <c r="F125" s="42"/>
      <c r="G125" s="52"/>
      <c r="H125" s="1243"/>
      <c r="I125" s="1243"/>
      <c r="J125" s="1241"/>
      <c r="K125" s="1241"/>
      <c r="L125" s="1240"/>
      <c r="M125" s="1240"/>
      <c r="N125" s="1240"/>
      <c r="O125" s="1240"/>
      <c r="P125" s="1240"/>
      <c r="Q125" s="1241"/>
      <c r="R125" s="1241"/>
      <c r="S125" s="1241"/>
      <c r="T125" s="1241"/>
      <c r="Z125" s="14"/>
    </row>
    <row r="126" spans="3:26" ht="11.25" customHeight="1">
      <c r="C126" s="42"/>
      <c r="D126" s="42"/>
      <c r="E126" s="52"/>
      <c r="F126" s="42"/>
      <c r="G126" s="52"/>
      <c r="H126" s="1243"/>
      <c r="I126" s="1243"/>
      <c r="J126" s="1241"/>
      <c r="K126" s="1241"/>
      <c r="L126" s="1240"/>
      <c r="M126" s="1240"/>
      <c r="N126" s="1240"/>
      <c r="O126" s="1240"/>
      <c r="P126" s="1240"/>
      <c r="Q126" s="1241"/>
      <c r="R126" s="1241"/>
      <c r="S126" s="1241"/>
      <c r="T126" s="1241"/>
      <c r="Z126" s="14"/>
    </row>
    <row r="127" spans="3:26" ht="11.25" customHeight="1">
      <c r="C127" s="42"/>
      <c r="D127" s="42"/>
      <c r="E127" s="42"/>
      <c r="F127" s="42"/>
      <c r="G127" s="42"/>
      <c r="H127" s="1243"/>
      <c r="I127" s="1243"/>
      <c r="J127" s="1241"/>
      <c r="K127" s="1241"/>
      <c r="L127" s="1240"/>
      <c r="M127" s="1240"/>
      <c r="N127" s="1240"/>
      <c r="O127" s="1240"/>
      <c r="P127" s="1240"/>
      <c r="Q127" s="1241"/>
      <c r="R127" s="1241"/>
      <c r="S127" s="1241"/>
      <c r="T127" s="1241"/>
      <c r="Z127" s="14"/>
    </row>
    <row r="128" spans="3:26" ht="11.25" customHeight="1">
      <c r="C128" s="31"/>
      <c r="D128" s="31"/>
      <c r="E128" s="31"/>
      <c r="F128" s="31"/>
      <c r="G128" s="31"/>
      <c r="H128" s="31"/>
      <c r="I128" s="31"/>
      <c r="J128" s="31"/>
      <c r="K128" s="31"/>
      <c r="L128" s="31"/>
      <c r="M128" s="31"/>
      <c r="N128" s="31"/>
      <c r="O128" s="31"/>
      <c r="P128" s="31"/>
      <c r="Q128" s="31"/>
      <c r="R128" s="31"/>
      <c r="S128" s="31"/>
      <c r="T128" s="31"/>
      <c r="Z128" s="14"/>
    </row>
    <row r="129" spans="3:26" ht="11.25" customHeight="1">
      <c r="C129" s="31"/>
      <c r="D129" s="31"/>
      <c r="E129" s="31"/>
      <c r="F129" s="31"/>
      <c r="G129" s="31"/>
      <c r="H129" s="31"/>
      <c r="I129" s="31"/>
      <c r="J129" s="31"/>
      <c r="K129" s="31"/>
      <c r="L129" s="31"/>
      <c r="M129" s="31"/>
      <c r="N129" s="31"/>
      <c r="O129" s="31"/>
      <c r="P129" s="31"/>
      <c r="Q129" s="31"/>
      <c r="R129" s="31"/>
      <c r="S129" s="31"/>
      <c r="T129" s="31"/>
      <c r="Z129" s="14"/>
    </row>
    <row r="130" spans="3:26" ht="11.25" customHeight="1">
      <c r="C130" s="1246"/>
      <c r="D130" s="1246"/>
      <c r="E130" s="1246"/>
      <c r="F130" s="1247"/>
      <c r="G130" s="1247"/>
      <c r="H130" s="1242"/>
      <c r="I130" s="1242"/>
      <c r="J130" s="1242"/>
      <c r="K130" s="1242"/>
      <c r="L130" s="1242"/>
      <c r="M130" s="1242"/>
      <c r="N130" s="1242"/>
      <c r="O130" s="1242"/>
      <c r="P130" s="1242"/>
      <c r="Q130" s="1242"/>
      <c r="R130" s="1242"/>
      <c r="S130" s="1242"/>
      <c r="T130" s="1242"/>
      <c r="Z130" s="14"/>
    </row>
    <row r="131" spans="3:26" ht="11.25" customHeight="1">
      <c r="C131" s="1247"/>
      <c r="D131" s="1247"/>
      <c r="E131" s="1247"/>
      <c r="F131" s="1247"/>
      <c r="G131" s="1247"/>
      <c r="H131" s="1242"/>
      <c r="I131" s="1242"/>
      <c r="J131" s="1242"/>
      <c r="K131" s="1242"/>
      <c r="L131" s="1242"/>
      <c r="M131" s="1242"/>
      <c r="N131" s="1242"/>
      <c r="O131" s="1242"/>
      <c r="P131" s="1242"/>
      <c r="Q131" s="1242"/>
      <c r="R131" s="1242"/>
      <c r="S131" s="1242"/>
      <c r="T131" s="1242"/>
      <c r="Z131" s="14"/>
    </row>
    <row r="132" spans="3:26" ht="11.25" customHeight="1">
      <c r="C132" s="1247"/>
      <c r="D132" s="1247"/>
      <c r="E132" s="1247"/>
      <c r="F132" s="1247"/>
      <c r="G132" s="1247"/>
      <c r="H132" s="1242"/>
      <c r="I132" s="1242"/>
      <c r="J132" s="1242"/>
      <c r="K132" s="1242"/>
      <c r="L132" s="1242"/>
      <c r="M132" s="1242"/>
      <c r="N132" s="1242"/>
      <c r="O132" s="1242"/>
      <c r="P132" s="1242"/>
      <c r="Q132" s="1242"/>
      <c r="R132" s="1242"/>
      <c r="S132" s="1242"/>
      <c r="T132" s="1242"/>
      <c r="Z132" s="14"/>
    </row>
    <row r="133" spans="3:26" ht="11.25" customHeight="1">
      <c r="C133" s="1247"/>
      <c r="D133" s="1247"/>
      <c r="E133" s="1247"/>
      <c r="F133" s="1247"/>
      <c r="G133" s="1247"/>
      <c r="H133" s="1242"/>
      <c r="I133" s="1242"/>
      <c r="J133" s="1242"/>
      <c r="K133" s="1242"/>
      <c r="L133" s="1242"/>
      <c r="M133" s="1242"/>
      <c r="N133" s="1242"/>
      <c r="O133" s="1242"/>
      <c r="P133" s="1242"/>
      <c r="Q133" s="1242"/>
      <c r="R133" s="1242"/>
      <c r="S133" s="1242"/>
      <c r="T133" s="1242"/>
      <c r="Z133" s="14"/>
    </row>
    <row r="134" spans="3:26" ht="11.25" customHeight="1">
      <c r="C134" s="42"/>
      <c r="D134" s="42"/>
      <c r="E134" s="42"/>
      <c r="F134" s="42"/>
      <c r="G134" s="42"/>
      <c r="H134" s="1243"/>
      <c r="I134" s="1243"/>
      <c r="J134" s="1241"/>
      <c r="K134" s="1241"/>
      <c r="L134" s="1240"/>
      <c r="M134" s="1240"/>
      <c r="N134" s="1240"/>
      <c r="O134" s="1240"/>
      <c r="P134" s="1240"/>
      <c r="Q134" s="1241"/>
      <c r="R134" s="1241"/>
      <c r="S134" s="1241"/>
      <c r="T134" s="1241"/>
      <c r="Y134" s="14"/>
      <c r="Z134" s="14"/>
    </row>
    <row r="135" spans="3:26" ht="11.25" customHeight="1">
      <c r="C135" s="42"/>
      <c r="D135" s="42"/>
      <c r="E135" s="50"/>
      <c r="F135" s="42"/>
      <c r="G135" s="50"/>
      <c r="H135" s="1243"/>
      <c r="I135" s="1243"/>
      <c r="J135" s="1241"/>
      <c r="K135" s="1241"/>
      <c r="L135" s="1240"/>
      <c r="M135" s="1240"/>
      <c r="N135" s="1240"/>
      <c r="O135" s="1240"/>
      <c r="P135" s="1240"/>
      <c r="Q135" s="1241"/>
      <c r="R135" s="1241"/>
      <c r="S135" s="1241"/>
      <c r="T135" s="1241"/>
    </row>
    <row r="136" spans="3:26" ht="11.25" customHeight="1">
      <c r="C136" s="42"/>
      <c r="D136" s="42"/>
      <c r="E136" s="52"/>
      <c r="F136" s="42"/>
      <c r="G136" s="52"/>
      <c r="H136" s="1243"/>
      <c r="I136" s="1243"/>
      <c r="J136" s="1241"/>
      <c r="K136" s="1241"/>
      <c r="L136" s="1240"/>
      <c r="M136" s="1240"/>
      <c r="N136" s="1240"/>
      <c r="O136" s="1240"/>
      <c r="P136" s="1240"/>
      <c r="Q136" s="1241"/>
      <c r="R136" s="1241"/>
      <c r="S136" s="1241"/>
      <c r="T136" s="1241"/>
    </row>
    <row r="137" spans="3:26" ht="11.25" customHeight="1">
      <c r="C137" s="42"/>
      <c r="D137" s="42"/>
      <c r="E137" s="52"/>
      <c r="F137" s="42"/>
      <c r="G137" s="52"/>
      <c r="H137" s="1243"/>
      <c r="I137" s="1243"/>
      <c r="J137" s="1241"/>
      <c r="K137" s="1241"/>
      <c r="L137" s="1240"/>
      <c r="M137" s="1240"/>
      <c r="N137" s="1240"/>
      <c r="O137" s="1240"/>
      <c r="P137" s="1240"/>
      <c r="Q137" s="1241"/>
      <c r="R137" s="1241"/>
      <c r="S137" s="1241"/>
      <c r="T137" s="1241"/>
    </row>
    <row r="138" spans="3:26" ht="11.25" customHeight="1">
      <c r="C138" s="42"/>
      <c r="D138" s="42"/>
      <c r="E138" s="50"/>
      <c r="F138" s="42"/>
      <c r="G138" s="50"/>
      <c r="H138" s="1243"/>
      <c r="I138" s="1243"/>
      <c r="J138" s="1241"/>
      <c r="K138" s="1241"/>
      <c r="L138" s="1240"/>
      <c r="M138" s="1240"/>
      <c r="N138" s="1240"/>
      <c r="O138" s="1240"/>
      <c r="P138" s="1240"/>
      <c r="Q138" s="1241"/>
      <c r="R138" s="1241"/>
      <c r="S138" s="1241"/>
      <c r="T138" s="1241"/>
    </row>
    <row r="139" spans="3:26" ht="11.25" customHeight="1">
      <c r="C139" s="42"/>
      <c r="D139" s="42"/>
      <c r="E139" s="52"/>
      <c r="F139" s="42"/>
      <c r="G139" s="52"/>
      <c r="H139" s="1243"/>
      <c r="I139" s="1243"/>
      <c r="J139" s="1241"/>
      <c r="K139" s="1241"/>
      <c r="L139" s="1240"/>
      <c r="M139" s="1240"/>
      <c r="N139" s="1240"/>
      <c r="O139" s="1240"/>
      <c r="P139" s="1240"/>
      <c r="Q139" s="1241"/>
      <c r="R139" s="1241"/>
      <c r="S139" s="1241"/>
      <c r="T139" s="1241"/>
      <c r="Y139" s="14"/>
      <c r="Z139" s="14"/>
    </row>
    <row r="140" spans="3:26" ht="11.25" customHeight="1">
      <c r="C140" s="42"/>
      <c r="D140" s="42"/>
      <c r="E140" s="52"/>
      <c r="F140" s="42"/>
      <c r="G140" s="52"/>
      <c r="H140" s="1243"/>
      <c r="I140" s="1243"/>
      <c r="J140" s="1241"/>
      <c r="K140" s="1241"/>
      <c r="L140" s="1240"/>
      <c r="M140" s="1240"/>
      <c r="N140" s="1240"/>
      <c r="O140" s="1240"/>
      <c r="P140" s="1240"/>
      <c r="Q140" s="1241"/>
      <c r="R140" s="1241"/>
      <c r="S140" s="1241"/>
      <c r="T140" s="1241"/>
    </row>
    <row r="141" spans="3:26" ht="11.25" customHeight="1">
      <c r="C141" s="42"/>
      <c r="D141" s="42"/>
      <c r="E141" s="50"/>
      <c r="F141" s="42"/>
      <c r="G141" s="1245"/>
      <c r="H141" s="1243"/>
      <c r="I141" s="1243"/>
      <c r="J141" s="1241"/>
      <c r="K141" s="1241"/>
      <c r="L141" s="1240"/>
      <c r="M141" s="1240"/>
      <c r="N141" s="1240"/>
      <c r="O141" s="1240"/>
      <c r="P141" s="1240"/>
      <c r="Q141" s="1241"/>
      <c r="R141" s="1241"/>
      <c r="S141" s="1241"/>
      <c r="T141" s="1241"/>
    </row>
    <row r="142" spans="3:26" ht="11.25" customHeight="1">
      <c r="C142" s="42"/>
      <c r="D142" s="42"/>
      <c r="E142" s="52"/>
      <c r="F142" s="42"/>
      <c r="G142" s="1245"/>
      <c r="H142" s="1243"/>
      <c r="I142" s="1243"/>
      <c r="J142" s="1241"/>
      <c r="K142" s="1241"/>
      <c r="L142" s="1240"/>
      <c r="M142" s="1240"/>
      <c r="N142" s="1240"/>
      <c r="O142" s="1240"/>
      <c r="P142" s="1240"/>
      <c r="Q142" s="1241"/>
      <c r="R142" s="1241"/>
      <c r="S142" s="1241"/>
      <c r="T142" s="1241"/>
    </row>
    <row r="143" spans="3:26" ht="11.25" customHeight="1">
      <c r="C143" s="42"/>
      <c r="D143" s="42"/>
      <c r="E143" s="52"/>
      <c r="F143" s="42"/>
      <c r="G143" s="52"/>
      <c r="H143" s="1243"/>
      <c r="I143" s="1243"/>
      <c r="J143" s="1241"/>
      <c r="K143" s="1241"/>
      <c r="L143" s="1240"/>
      <c r="M143" s="1240"/>
      <c r="N143" s="1240"/>
      <c r="O143" s="1240"/>
      <c r="P143" s="1240"/>
      <c r="Q143" s="1241"/>
      <c r="R143" s="1241"/>
      <c r="S143" s="1241"/>
      <c r="T143" s="1241"/>
    </row>
    <row r="144" spans="3:26" ht="11.25" customHeight="1">
      <c r="C144" s="42"/>
      <c r="D144" s="42"/>
      <c r="E144" s="50"/>
      <c r="F144" s="42"/>
      <c r="G144" s="50"/>
      <c r="H144" s="1243"/>
      <c r="I144" s="1243"/>
      <c r="J144" s="1241"/>
      <c r="K144" s="1241"/>
      <c r="L144" s="1244"/>
      <c r="M144" s="1240"/>
      <c r="N144" s="1240"/>
      <c r="O144" s="1240"/>
      <c r="P144" s="1240"/>
      <c r="Q144" s="1241"/>
      <c r="R144" s="1241"/>
      <c r="S144" s="1241"/>
      <c r="T144" s="1241"/>
      <c r="Y144" s="14"/>
      <c r="Z144" s="14"/>
    </row>
    <row r="145" spans="3:20" ht="11.25" customHeight="1">
      <c r="C145" s="42"/>
      <c r="D145" s="42"/>
      <c r="E145" s="52"/>
      <c r="F145" s="42"/>
      <c r="G145" s="52"/>
      <c r="H145" s="1243"/>
      <c r="I145" s="1243"/>
      <c r="J145" s="1241"/>
      <c r="K145" s="1241"/>
      <c r="L145" s="1240"/>
      <c r="M145" s="1240"/>
      <c r="N145" s="1240"/>
      <c r="O145" s="1240"/>
      <c r="P145" s="1240"/>
      <c r="Q145" s="1241"/>
      <c r="R145" s="1241"/>
      <c r="S145" s="1241"/>
      <c r="T145" s="1241"/>
    </row>
    <row r="146" spans="3:20" ht="11.25" customHeight="1">
      <c r="C146" s="42"/>
      <c r="D146" s="42"/>
      <c r="E146" s="52"/>
      <c r="F146" s="42"/>
      <c r="G146" s="52"/>
      <c r="H146" s="1243"/>
      <c r="I146" s="1243"/>
      <c r="J146" s="1241"/>
      <c r="K146" s="1241"/>
      <c r="L146" s="1240"/>
      <c r="M146" s="1240"/>
      <c r="N146" s="1240"/>
      <c r="O146" s="1240"/>
      <c r="P146" s="1240"/>
      <c r="Q146" s="1241"/>
      <c r="R146" s="1241"/>
      <c r="S146" s="1241"/>
      <c r="T146" s="1241"/>
    </row>
    <row r="147" spans="3:20" ht="11.25" customHeight="1">
      <c r="C147" s="42"/>
      <c r="D147" s="42"/>
      <c r="E147" s="52"/>
      <c r="F147" s="42"/>
      <c r="G147" s="52"/>
      <c r="H147" s="1243"/>
      <c r="I147" s="1243"/>
      <c r="J147" s="1241"/>
      <c r="K147" s="1241"/>
      <c r="L147" s="1240"/>
      <c r="M147" s="1240"/>
      <c r="N147" s="1240"/>
      <c r="O147" s="1240"/>
      <c r="P147" s="1240"/>
      <c r="Q147" s="1241"/>
      <c r="R147" s="1241"/>
      <c r="S147" s="1241"/>
      <c r="T147" s="1241"/>
    </row>
    <row r="148" spans="3:20" ht="11.25" customHeight="1">
      <c r="C148" s="42"/>
      <c r="D148" s="42"/>
      <c r="E148" s="42"/>
      <c r="F148" s="42"/>
      <c r="G148" s="42"/>
      <c r="H148" s="1243"/>
      <c r="I148" s="1243"/>
      <c r="J148" s="1241"/>
      <c r="K148" s="1241"/>
      <c r="L148" s="1240"/>
      <c r="M148" s="1240"/>
      <c r="N148" s="1240"/>
      <c r="O148" s="1240"/>
      <c r="P148" s="1240"/>
      <c r="Q148" s="1241"/>
      <c r="R148" s="1241"/>
      <c r="S148" s="1241"/>
      <c r="T148" s="1241"/>
    </row>
  </sheetData>
  <mergeCells count="191">
    <mergeCell ref="B1:CB1"/>
    <mergeCell ref="C6:L7"/>
    <mergeCell ref="C54:L55"/>
    <mergeCell ref="BJ48:BN51"/>
    <mergeCell ref="BO48:CB51"/>
    <mergeCell ref="C44:L47"/>
    <mergeCell ref="M44:AA47"/>
    <mergeCell ref="AB44:AI47"/>
    <mergeCell ref="AJ44:AQ47"/>
    <mergeCell ref="AR44:AY47"/>
    <mergeCell ref="AZ44:BD47"/>
    <mergeCell ref="BE44:BI47"/>
    <mergeCell ref="BJ44:BN47"/>
    <mergeCell ref="BO44:CB47"/>
    <mergeCell ref="C48:L51"/>
    <mergeCell ref="M48:AA51"/>
    <mergeCell ref="AB48:AI51"/>
    <mergeCell ref="AJ48:AQ51"/>
    <mergeCell ref="AR48:AY51"/>
    <mergeCell ref="AZ48:BD51"/>
    <mergeCell ref="BE48:BI51"/>
    <mergeCell ref="AJ8:AQ11"/>
    <mergeCell ref="AB40:AI43"/>
    <mergeCell ref="AB36:AI39"/>
    <mergeCell ref="BJ64:BN71"/>
    <mergeCell ref="BE64:BI71"/>
    <mergeCell ref="BO84:CB87"/>
    <mergeCell ref="BO80:CB83"/>
    <mergeCell ref="BO76:CB79"/>
    <mergeCell ref="BO72:CB75"/>
    <mergeCell ref="BJ72:BN75"/>
    <mergeCell ref="BJ76:BN79"/>
    <mergeCell ref="BJ80:BN83"/>
    <mergeCell ref="BJ84:BN87"/>
    <mergeCell ref="BE72:BI75"/>
    <mergeCell ref="BE76:BI79"/>
    <mergeCell ref="BE80:BI83"/>
    <mergeCell ref="BE84:BI87"/>
    <mergeCell ref="AB32:AI35"/>
    <mergeCell ref="AB28:AI31"/>
    <mergeCell ref="AB24:AI27"/>
    <mergeCell ref="AB20:AI23"/>
    <mergeCell ref="AB16:AI19"/>
    <mergeCell ref="AB12:AI15"/>
    <mergeCell ref="AB8:AI11"/>
    <mergeCell ref="AJ40:AQ43"/>
    <mergeCell ref="AJ36:AQ39"/>
    <mergeCell ref="AJ32:AQ35"/>
    <mergeCell ref="AJ28:AQ31"/>
    <mergeCell ref="AJ24:AQ27"/>
    <mergeCell ref="AJ20:AQ23"/>
    <mergeCell ref="AJ16:AQ19"/>
    <mergeCell ref="AJ12:AQ15"/>
    <mergeCell ref="AZ4:BD11"/>
    <mergeCell ref="AR40:AY43"/>
    <mergeCell ref="AR36:AY39"/>
    <mergeCell ref="AR32:AY35"/>
    <mergeCell ref="AR28:AY31"/>
    <mergeCell ref="AR24:AY27"/>
    <mergeCell ref="AR20:AY23"/>
    <mergeCell ref="AR16:AY19"/>
    <mergeCell ref="AR12:AY15"/>
    <mergeCell ref="AR8:AY11"/>
    <mergeCell ref="AZ16:BD19"/>
    <mergeCell ref="AZ12:BD15"/>
    <mergeCell ref="AZ40:BD43"/>
    <mergeCell ref="AZ36:BD39"/>
    <mergeCell ref="AZ32:BD35"/>
    <mergeCell ref="AZ28:BD31"/>
    <mergeCell ref="AZ24:BD27"/>
    <mergeCell ref="AZ20:BD23"/>
    <mergeCell ref="BO16:CB19"/>
    <mergeCell ref="BO12:CB15"/>
    <mergeCell ref="BJ40:BN43"/>
    <mergeCell ref="BJ36:BN39"/>
    <mergeCell ref="BJ32:BN35"/>
    <mergeCell ref="BJ28:BN31"/>
    <mergeCell ref="BJ24:BN27"/>
    <mergeCell ref="BJ20:BN23"/>
    <mergeCell ref="BJ16:BN19"/>
    <mergeCell ref="BJ12:BN15"/>
    <mergeCell ref="BO40:CB43"/>
    <mergeCell ref="BO36:CB39"/>
    <mergeCell ref="BO32:CB35"/>
    <mergeCell ref="BO28:CB31"/>
    <mergeCell ref="BO24:CB27"/>
    <mergeCell ref="BO20:CB23"/>
    <mergeCell ref="Q123:T127"/>
    <mergeCell ref="H118:I122"/>
    <mergeCell ref="J118:K122"/>
    <mergeCell ref="L118:N122"/>
    <mergeCell ref="L113:N117"/>
    <mergeCell ref="O113:P117"/>
    <mergeCell ref="Q113:T117"/>
    <mergeCell ref="H123:I127"/>
    <mergeCell ref="H113:I117"/>
    <mergeCell ref="J113:K117"/>
    <mergeCell ref="O118:P122"/>
    <mergeCell ref="Q118:T122"/>
    <mergeCell ref="O123:P127"/>
    <mergeCell ref="M40:AA43"/>
    <mergeCell ref="M36:AA39"/>
    <mergeCell ref="M32:AA35"/>
    <mergeCell ref="M28:AA31"/>
    <mergeCell ref="M24:AA27"/>
    <mergeCell ref="M20:AA23"/>
    <mergeCell ref="M16:AA19"/>
    <mergeCell ref="M12:AA15"/>
    <mergeCell ref="M8:AA11"/>
    <mergeCell ref="H134:I138"/>
    <mergeCell ref="J134:K138"/>
    <mergeCell ref="J123:K127"/>
    <mergeCell ref="H144:I148"/>
    <mergeCell ref="J144:K148"/>
    <mergeCell ref="L144:N148"/>
    <mergeCell ref="G120:G121"/>
    <mergeCell ref="G141:G142"/>
    <mergeCell ref="C130:G133"/>
    <mergeCell ref="H130:I133"/>
    <mergeCell ref="L134:N138"/>
    <mergeCell ref="H139:I143"/>
    <mergeCell ref="L139:N143"/>
    <mergeCell ref="J139:K143"/>
    <mergeCell ref="L123:N127"/>
    <mergeCell ref="J130:K133"/>
    <mergeCell ref="O144:P148"/>
    <mergeCell ref="Q144:T148"/>
    <mergeCell ref="O130:P133"/>
    <mergeCell ref="Q130:T133"/>
    <mergeCell ref="O134:P138"/>
    <mergeCell ref="Q134:T138"/>
    <mergeCell ref="O139:P143"/>
    <mergeCell ref="Q139:T143"/>
    <mergeCell ref="L130:N133"/>
    <mergeCell ref="BO8:CB11"/>
    <mergeCell ref="BJ4:BN11"/>
    <mergeCell ref="BE4:BI11"/>
    <mergeCell ref="C2:F2"/>
    <mergeCell ref="C56:BI62"/>
    <mergeCell ref="BK58:BX60"/>
    <mergeCell ref="BO68:CB71"/>
    <mergeCell ref="C40:L43"/>
    <mergeCell ref="C36:L39"/>
    <mergeCell ref="C32:L35"/>
    <mergeCell ref="C28:L31"/>
    <mergeCell ref="C24:L27"/>
    <mergeCell ref="C20:L23"/>
    <mergeCell ref="C16:L19"/>
    <mergeCell ref="C12:L15"/>
    <mergeCell ref="C8:L11"/>
    <mergeCell ref="BE16:BI19"/>
    <mergeCell ref="BE12:BI15"/>
    <mergeCell ref="BE40:BI43"/>
    <mergeCell ref="BE36:BI39"/>
    <mergeCell ref="BE32:BI35"/>
    <mergeCell ref="BE28:BI31"/>
    <mergeCell ref="BE24:BI27"/>
    <mergeCell ref="BE20:BI23"/>
    <mergeCell ref="C68:P71"/>
    <mergeCell ref="C84:P87"/>
    <mergeCell ref="C80:P83"/>
    <mergeCell ref="C76:P79"/>
    <mergeCell ref="C72:P75"/>
    <mergeCell ref="AJ68:BD71"/>
    <mergeCell ref="Q68:AI71"/>
    <mergeCell ref="Q84:AI87"/>
    <mergeCell ref="Q80:AI83"/>
    <mergeCell ref="Q76:AI79"/>
    <mergeCell ref="Q72:AI75"/>
    <mergeCell ref="AJ84:BD87"/>
    <mergeCell ref="AJ80:BD83"/>
    <mergeCell ref="AJ76:BD79"/>
    <mergeCell ref="AJ72:BD75"/>
    <mergeCell ref="Q96:AI99"/>
    <mergeCell ref="AJ96:BD99"/>
    <mergeCell ref="BE96:BI99"/>
    <mergeCell ref="BJ96:BN99"/>
    <mergeCell ref="BO96:CB99"/>
    <mergeCell ref="C88:P91"/>
    <mergeCell ref="Q88:AI91"/>
    <mergeCell ref="AJ88:BD91"/>
    <mergeCell ref="BE88:BI91"/>
    <mergeCell ref="BJ88:BN91"/>
    <mergeCell ref="BO88:CB91"/>
    <mergeCell ref="C92:P95"/>
    <mergeCell ref="Q92:AI95"/>
    <mergeCell ref="AJ92:BD95"/>
    <mergeCell ref="BE92:BI95"/>
    <mergeCell ref="BJ92:BN95"/>
    <mergeCell ref="BO92:CB95"/>
    <mergeCell ref="C96:P99"/>
  </mergeCells>
  <phoneticPr fontId="18" type="noConversion"/>
  <conditionalFormatting sqref="L100:N101">
    <cfRule type="expression" dxfId="70" priority="96" stopIfTrue="1">
      <formula>$Y$98="1"</formula>
    </cfRule>
    <cfRule type="expression" dxfId="69" priority="97" stopIfTrue="1">
      <formula>$Y$98="2"</formula>
    </cfRule>
  </conditionalFormatting>
  <conditionalFormatting sqref="L102:N106">
    <cfRule type="expression" dxfId="68" priority="100" stopIfTrue="1">
      <formula>$Y$103="1"</formula>
    </cfRule>
    <cfRule type="expression" dxfId="67" priority="101" stopIfTrue="1">
      <formula>$Y$103="2"</formula>
    </cfRule>
  </conditionalFormatting>
  <conditionalFormatting sqref="L113:N117">
    <cfRule type="expression" dxfId="66" priority="104" stopIfTrue="1">
      <formula>$Y$113="1"</formula>
    </cfRule>
    <cfRule type="expression" dxfId="65" priority="105" stopIfTrue="1">
      <formula>$Y$113="2"</formula>
    </cfRule>
  </conditionalFormatting>
  <conditionalFormatting sqref="L118:N122">
    <cfRule type="expression" dxfId="64" priority="108" stopIfTrue="1">
      <formula>$Y$118="1"</formula>
    </cfRule>
    <cfRule type="expression" dxfId="63" priority="109" stopIfTrue="1">
      <formula>$Y$118="2"</formula>
    </cfRule>
  </conditionalFormatting>
  <conditionalFormatting sqref="L123:N127">
    <cfRule type="expression" dxfId="62" priority="112" stopIfTrue="1">
      <formula>$Y$123="1"</formula>
    </cfRule>
    <cfRule type="expression" dxfId="61" priority="113" stopIfTrue="1">
      <formula>$Y$123="2"</formula>
    </cfRule>
  </conditionalFormatting>
  <conditionalFormatting sqref="L134:N138">
    <cfRule type="expression" dxfId="60" priority="116" stopIfTrue="1">
      <formula>$Y$134="1"</formula>
    </cfRule>
    <cfRule type="expression" dxfId="59" priority="117" stopIfTrue="1">
      <formula>$Y$134="2"</formula>
    </cfRule>
  </conditionalFormatting>
  <conditionalFormatting sqref="L139:N143">
    <cfRule type="expression" dxfId="58" priority="120" stopIfTrue="1">
      <formula>$Y$139="1"</formula>
    </cfRule>
    <cfRule type="expression" dxfId="57" priority="121" stopIfTrue="1">
      <formula>$Y$139="2"</formula>
    </cfRule>
  </conditionalFormatting>
  <conditionalFormatting sqref="L144:N148">
    <cfRule type="expression" dxfId="56" priority="124" stopIfTrue="1">
      <formula>$Y$144="1"</formula>
    </cfRule>
    <cfRule type="expression" dxfId="55" priority="125" stopIfTrue="1">
      <formula>$Y$144="2"</formula>
    </cfRule>
  </conditionalFormatting>
  <hyperlinks>
    <hyperlink ref="BY59:CB59" location="'5x_Warum'!A1" display="5 Warum" xr:uid="{00000000-0004-0000-0600-000000000000}"/>
  </hyperlinks>
  <pageMargins left="0.70866141732283472" right="0.70866141732283472" top="0.86614173228346458" bottom="0.86614173228346458" header="0.23622047244094491" footer="0.23622047244094491"/>
  <pageSetup paperSize="9" scale="52" orientation="portrait" r:id="rId1"/>
  <headerFooter scaleWithDoc="0" alignWithMargins="0">
    <oddHeader>&amp;R&amp;G</oddHeader>
    <oddFooter>&amp;L&amp;8Index: 102
&amp;6Copyright by Brose. Alle Rechte vorbehalten&amp;C&amp;8Page: &amp;P/ &amp;N (&amp;A)&amp;R&amp;8Date saved: &amp;D
&amp;6Template version 2021</oddFooter>
  </headerFooter>
  <customProperties>
    <customPr name="bConfi" r:id="rId2"/>
    <customPr name="bCopy" r:id="rId3"/>
    <customPr name="bCreate" r:id="rId4"/>
    <customPr name="bDate" r:id="rId5"/>
    <customPr name="bFooter" r:id="rId6"/>
    <customPr name="bFunction" r:id="rId7"/>
    <customPr name="bIndex" r:id="rId8"/>
    <customPr name="bLogo" r:id="rId9"/>
    <customPr name="bOptConfi" r:id="rId10"/>
    <customPr name="bPage" r:id="rId11"/>
    <customPr name="bPages" r:id="rId12"/>
    <customPr name="bPath" r:id="rId13"/>
    <customPr name="bRed" r:id="rId14"/>
    <customPr name="bSheet" r:id="rId15"/>
    <customPr name="bSource" r:id="rId16"/>
    <customPr name="bUser" r:id="rId17"/>
    <customPr name="sFunction" r:id="rId18"/>
    <customPr name="sLanguage" r:id="rId19"/>
    <customPr name="sUser" r:id="rId20"/>
  </customProperties>
  <drawing r:id="rId21"/>
  <legacyDrawingHF r:id="rId22"/>
  <extLst>
    <ext xmlns:x14="http://schemas.microsoft.com/office/spreadsheetml/2009/9/main" uri="{78C0D931-6437-407d-A8EE-F0AAD7539E65}">
      <x14:conditionalFormattings>
        <x14:conditionalFormatting xmlns:xm="http://schemas.microsoft.com/office/excel/2006/main">
          <x14:cfRule type="cellIs" priority="438" operator="equal" id="{88FBC10F-A654-49B3-A77C-43A08ED36C2C}">
            <xm:f>Buttons!$B$55</xm:f>
            <x14:dxf>
              <font>
                <b/>
                <i val="0"/>
                <color auto="1"/>
              </font>
              <fill>
                <patternFill>
                  <bgColor rgb="FF92D050"/>
                </patternFill>
              </fill>
            </x14:dxf>
          </x14:cfRule>
          <x14:cfRule type="cellIs" priority="439" operator="equal" id="{9E90E018-A787-40A5-B1D4-E0958ADF03B5}">
            <xm:f>Buttons!$B$54</xm:f>
            <x14:dxf>
              <font>
                <b/>
                <i val="0"/>
                <color auto="1"/>
              </font>
              <fill>
                <patternFill>
                  <bgColor rgb="FFFF5050"/>
                </patternFill>
              </fill>
            </x14:dxf>
          </x14:cfRule>
          <xm:sqref>AZ12:BA13 AZ16:BA17 AZ20:BA21 AZ24:BA25 AZ28:BA29 AZ32:BA33 AZ36:BA37 AZ40:BA41 AZ44:BA45 AZ48:BA49</xm:sqref>
        </x14:conditionalFormatting>
        <x14:conditionalFormatting xmlns:xm="http://schemas.microsoft.com/office/excel/2006/main">
          <x14:cfRule type="cellIs" priority="458" operator="equal" id="{71AD494A-1782-497A-BB74-01C1108C1477}">
            <xm:f>Buttons!$B$60</xm:f>
            <x14:dxf>
              <font>
                <b/>
                <i val="0"/>
                <color auto="1"/>
              </font>
              <fill>
                <patternFill>
                  <bgColor rgb="FFFFFF00"/>
                </patternFill>
              </fill>
            </x14:dxf>
          </x14:cfRule>
          <x14:cfRule type="cellIs" priority="459" operator="equal" id="{C7AA4086-7B9E-4ED4-B36A-DD1C5F3669D9}">
            <xm:f>Buttons!$B$59</xm:f>
            <x14:dxf>
              <font>
                <b/>
                <i val="0"/>
                <color auto="1"/>
              </font>
              <fill>
                <patternFill>
                  <bgColor rgb="FFFF5050"/>
                </patternFill>
              </fill>
            </x14:dxf>
          </x14:cfRule>
          <x14:cfRule type="cellIs" priority="460" operator="equal" id="{FD2DB23C-0306-4391-B3DB-1EECE1260983}">
            <xm:f>Buttons!$B$58</xm:f>
            <x14:dxf>
              <font>
                <b/>
                <i val="0"/>
                <color auto="1"/>
              </font>
              <fill>
                <patternFill>
                  <bgColor rgb="FF92D050"/>
                </patternFill>
              </fill>
            </x14:dxf>
          </x14:cfRule>
          <xm:sqref>BE12:BE13 BE16:BE17 BE20:BE21 BE24:BE25 BE28:BE29 BE32:BE33 BE36:BE37 BE40:BE41 BE44:BE45 BE48:BE49</xm:sqref>
        </x14:conditionalFormatting>
        <x14:conditionalFormatting xmlns:xm="http://schemas.microsoft.com/office/excel/2006/main">
          <x14:cfRule type="cellIs" priority="488" operator="equal" id="{72A93CC1-C4D7-4291-8A43-24FDE9FDB0A2}">
            <xm:f>Buttons!$B$60</xm:f>
            <x14:dxf>
              <font>
                <b/>
                <i val="0"/>
                <color auto="1"/>
              </font>
              <fill>
                <patternFill>
                  <bgColor rgb="FFFFFF00"/>
                </patternFill>
              </fill>
            </x14:dxf>
          </x14:cfRule>
          <x14:cfRule type="cellIs" priority="489" operator="equal" id="{5A14BD15-AE5E-48EE-B079-5C5813CB7A6F}">
            <xm:f>Buttons!$B$59</xm:f>
            <x14:dxf>
              <font>
                <b/>
                <i val="0"/>
                <color auto="1"/>
              </font>
              <fill>
                <patternFill>
                  <bgColor rgb="FF92D050"/>
                </patternFill>
              </fill>
            </x14:dxf>
          </x14:cfRule>
          <x14:cfRule type="cellIs" priority="490" operator="equal" id="{BE69A340-10B7-4226-86FE-B19746342C54}">
            <xm:f>Buttons!$B$58</xm:f>
            <x14:dxf>
              <font>
                <b/>
                <i val="0"/>
                <color auto="1"/>
              </font>
              <fill>
                <patternFill>
                  <bgColor rgb="FFFF5050"/>
                </patternFill>
              </fill>
            </x14:dxf>
          </x14:cfRule>
          <xm:sqref>BJ12:BJ13 BJ16:BJ17 BJ20:BJ21 BJ24:BJ25 BJ28:BJ29 BJ32:BJ33 BJ36:BJ37 BJ40:BJ41 BJ44:BJ45 BJ48:BJ49</xm:sqref>
        </x14:conditionalFormatting>
        <x14:conditionalFormatting xmlns:xm="http://schemas.microsoft.com/office/excel/2006/main">
          <x14:cfRule type="cellIs" priority="518" operator="equal" id="{212BA710-8F1D-4368-A1F0-D7A226A08990}">
            <xm:f>Buttons!$B$54</xm:f>
            <x14:dxf>
              <font>
                <b/>
                <i val="0"/>
                <color auto="1"/>
              </font>
              <fill>
                <patternFill>
                  <bgColor rgb="FF92D050"/>
                </patternFill>
              </fill>
            </x14:dxf>
          </x14:cfRule>
          <x14:cfRule type="cellIs" priority="519" operator="equal" id="{B2188AF0-8504-4410-BBD3-3B4BE6E8BAD1}">
            <xm:f>Buttons!$B$55</xm:f>
            <x14:dxf>
              <font>
                <b/>
                <i val="0"/>
                <color auto="1"/>
              </font>
              <fill>
                <patternFill>
                  <bgColor rgb="FFFF5050"/>
                </patternFill>
              </fill>
            </x14:dxf>
          </x14:cfRule>
          <xm:sqref>BE72:BN99</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xr:uid="{00000000-0002-0000-0600-000000000000}">
          <x14:formula1>
            <xm:f>Buttons!$B$65:$B$70</xm:f>
          </x14:formula1>
          <xm:sqref>C12:L51</xm:sqref>
        </x14:dataValidation>
        <x14:dataValidation type="list" allowBlank="1" showInputMessage="1" showErrorMessage="1" xr:uid="{00000000-0002-0000-0600-000001000000}">
          <x14:formula1>
            <xm:f>Buttons!$B$54:$B$56</xm:f>
          </x14:formula1>
          <xm:sqref>AZ12:BD51 BE72:BN99</xm:sqref>
        </x14:dataValidation>
        <x14:dataValidation type="list" allowBlank="1" showInputMessage="1" showErrorMessage="1" xr:uid="{00000000-0002-0000-0600-000002000000}">
          <x14:formula1>
            <xm:f>Buttons!$B$58:$B$61</xm:f>
          </x14:formula1>
          <xm:sqref>BE12:BN51</xm:sqref>
        </x14:dataValidation>
        <x14:dataValidation type="list" allowBlank="1" showInputMessage="1" showErrorMessage="1" xr:uid="{00000000-0002-0000-0600-000003000000}">
          <x14:formula1>
            <xm:f>Buttons!$B$72:$B$80</xm:f>
          </x14:formula1>
          <xm:sqref>C72:P99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4">
    <tabColor rgb="FF92D050"/>
    <pageSetUpPr fitToPage="1"/>
  </sheetPr>
  <dimension ref="A1:CA160"/>
  <sheetViews>
    <sheetView showGridLines="0" tabSelected="1" zoomScaleNormal="100" zoomScaleSheetLayoutView="85" workbookViewId="0">
      <pane ySplit="1" topLeftCell="A2" activePane="bottomLeft" state="frozen"/>
      <selection activeCell="D3" sqref="D3"/>
      <selection pane="bottomLeft" activeCell="D3" sqref="D3"/>
    </sheetView>
  </sheetViews>
  <sheetFormatPr baseColWidth="10" defaultColWidth="11" defaultRowHeight="12.75" outlineLevelRow="1"/>
  <cols>
    <col min="1" max="79" width="1.875" style="202" customWidth="1"/>
    <col min="80" max="16384" width="11" style="202"/>
  </cols>
  <sheetData>
    <row r="1" spans="1:79" s="201" customFormat="1" ht="33.75" customHeight="1">
      <c r="A1" s="472"/>
      <c r="B1" s="1312" t="str">
        <f>VLOOKUP(7015,Languages!A5:C410,Languages!A2,FALSE)</f>
        <v>5 Why</v>
      </c>
      <c r="C1" s="1312"/>
      <c r="D1" s="1312"/>
      <c r="E1" s="1312"/>
      <c r="F1" s="1312"/>
      <c r="G1" s="1312"/>
      <c r="H1" s="1312"/>
      <c r="I1" s="1312"/>
      <c r="J1" s="1312"/>
      <c r="K1" s="1312"/>
      <c r="L1" s="1312"/>
      <c r="M1" s="1312"/>
      <c r="N1" s="1312"/>
      <c r="O1" s="1312"/>
      <c r="P1" s="1312"/>
      <c r="Q1" s="1312"/>
      <c r="R1" s="1312"/>
      <c r="S1" s="1312"/>
      <c r="T1" s="1312"/>
      <c r="U1" s="1312"/>
      <c r="V1" s="1312"/>
      <c r="W1" s="1312"/>
      <c r="X1" s="1312"/>
      <c r="Y1" s="1312"/>
      <c r="Z1" s="1312"/>
      <c r="AA1" s="1312"/>
      <c r="AB1" s="1312"/>
      <c r="AC1" s="1312"/>
      <c r="AD1" s="1312"/>
      <c r="AE1" s="1312"/>
      <c r="AF1" s="1312"/>
      <c r="AG1" s="1312"/>
      <c r="AH1" s="1312"/>
      <c r="AI1" s="1312"/>
      <c r="AJ1" s="1312"/>
      <c r="AK1" s="1312"/>
      <c r="AL1" s="1312"/>
      <c r="AM1" s="1312"/>
      <c r="AN1" s="1312"/>
      <c r="AO1" s="1312"/>
      <c r="AP1" s="1312"/>
      <c r="AQ1" s="1312"/>
      <c r="AR1" s="1312"/>
      <c r="AS1" s="1312"/>
      <c r="AT1" s="1312"/>
      <c r="AU1" s="1312"/>
      <c r="AV1" s="1312"/>
      <c r="AW1" s="1312"/>
      <c r="AX1" s="1312"/>
      <c r="AY1" s="1312"/>
      <c r="AZ1" s="1312"/>
      <c r="BA1" s="1312"/>
      <c r="BB1" s="1312"/>
      <c r="BC1" s="1312"/>
      <c r="BD1" s="1312"/>
      <c r="BE1" s="1312"/>
      <c r="BF1" s="1312"/>
      <c r="BG1" s="1312"/>
      <c r="BH1" s="1312"/>
      <c r="BI1" s="1312"/>
      <c r="BJ1" s="1312"/>
      <c r="BK1" s="1312"/>
      <c r="BL1" s="1312"/>
      <c r="BM1" s="1312"/>
      <c r="BN1" s="1312"/>
      <c r="BO1" s="1312"/>
      <c r="BP1" s="1312"/>
      <c r="BQ1" s="1312"/>
      <c r="BR1" s="1312"/>
      <c r="BS1" s="1312"/>
      <c r="BT1" s="1312"/>
      <c r="BU1" s="1312"/>
      <c r="BV1" s="1312"/>
      <c r="BW1" s="1312"/>
      <c r="BX1" s="1312"/>
      <c r="BY1" s="1312"/>
      <c r="BZ1" s="1312"/>
      <c r="CA1" s="1312"/>
    </row>
    <row r="2" spans="1:79" ht="11.25" customHeight="1">
      <c r="A2" s="203"/>
    </row>
    <row r="3" spans="1:79" ht="22.5" customHeight="1">
      <c r="B3" s="1261" t="str">
        <f>VLOOKUP(8001,Languages!A5:C410,Languages!A2,FALSE)</f>
        <v>Problem / Defect:</v>
      </c>
      <c r="C3" s="1261"/>
      <c r="D3" s="1261"/>
      <c r="E3" s="1261"/>
      <c r="F3" s="1261"/>
      <c r="G3" s="1261"/>
      <c r="H3" s="1261"/>
      <c r="I3" s="1261"/>
      <c r="J3" s="1261"/>
      <c r="K3" s="1261"/>
      <c r="L3" s="1261"/>
      <c r="M3" s="1261"/>
      <c r="N3" s="1261"/>
      <c r="O3" s="1261"/>
      <c r="P3" s="1261"/>
      <c r="Q3" s="1261"/>
      <c r="R3" s="1261"/>
      <c r="S3" s="1261"/>
      <c r="T3" s="1261"/>
      <c r="U3" s="1261"/>
      <c r="V3" s="1261"/>
      <c r="W3" s="1261"/>
      <c r="X3" s="1261"/>
      <c r="Y3" s="1261"/>
      <c r="Z3" s="1261"/>
      <c r="AA3" s="1261"/>
      <c r="AB3" s="1261"/>
      <c r="AC3" s="1261"/>
      <c r="AD3" s="1261"/>
      <c r="AE3" s="1261"/>
      <c r="AF3" s="1261"/>
      <c r="AG3" s="1261"/>
      <c r="AH3" s="1261"/>
      <c r="AI3" s="1261"/>
      <c r="AJ3" s="1261"/>
      <c r="AK3" s="1261"/>
      <c r="AL3" s="1261"/>
      <c r="AM3" s="1261"/>
      <c r="AN3" s="1261"/>
      <c r="AO3" s="1261"/>
      <c r="AP3" s="1261"/>
      <c r="AQ3" s="1261"/>
      <c r="AR3" s="1261"/>
      <c r="AS3" s="1261"/>
      <c r="AT3" s="1261"/>
      <c r="AU3" s="1261"/>
      <c r="AV3" s="1261"/>
      <c r="AW3" s="1261"/>
      <c r="AX3" s="1261"/>
      <c r="AY3" s="1261"/>
      <c r="AZ3" s="1261"/>
      <c r="BA3" s="1261"/>
      <c r="BB3" s="1261"/>
      <c r="BC3" s="1261"/>
      <c r="BD3" s="1261"/>
      <c r="BE3" s="1261"/>
      <c r="BF3" s="1261"/>
      <c r="BG3" s="1261"/>
      <c r="BH3" s="1261"/>
      <c r="BI3" s="1261"/>
      <c r="BJ3" s="1261"/>
      <c r="BK3" s="1261"/>
      <c r="BL3" s="1261"/>
      <c r="BM3" s="1261"/>
      <c r="BN3" s="1261"/>
      <c r="BO3" s="1261"/>
      <c r="BP3" s="1261"/>
      <c r="BQ3" s="1261"/>
      <c r="BR3" s="1261"/>
      <c r="BS3" s="1261"/>
      <c r="BT3" s="1261"/>
      <c r="BU3" s="1261"/>
      <c r="BV3" s="1261"/>
      <c r="BW3" s="1261"/>
      <c r="BX3" s="1261"/>
      <c r="BY3" s="1261"/>
      <c r="BZ3" s="1261"/>
    </row>
    <row r="4" spans="1:79" ht="11.25" customHeight="1" thickBot="1">
      <c r="B4" s="360"/>
      <c r="C4" s="360"/>
      <c r="D4" s="360"/>
      <c r="E4" s="360"/>
      <c r="F4" s="360"/>
      <c r="G4" s="360"/>
      <c r="H4" s="360"/>
      <c r="I4" s="360"/>
      <c r="J4" s="360"/>
      <c r="K4" s="360"/>
      <c r="L4" s="360"/>
      <c r="M4" s="360"/>
      <c r="N4" s="360"/>
      <c r="O4" s="360"/>
      <c r="P4" s="360"/>
      <c r="Q4" s="360"/>
      <c r="R4" s="360"/>
      <c r="S4" s="360"/>
      <c r="T4" s="360"/>
      <c r="U4" s="360"/>
      <c r="V4" s="360"/>
      <c r="W4" s="360"/>
      <c r="X4" s="360"/>
      <c r="Y4" s="360"/>
      <c r="Z4" s="360"/>
      <c r="AA4" s="360"/>
      <c r="AB4" s="360"/>
      <c r="AC4" s="360"/>
      <c r="AD4" s="360"/>
      <c r="AE4" s="360"/>
      <c r="AF4" s="360"/>
      <c r="AG4" s="360"/>
      <c r="AH4" s="360"/>
      <c r="AI4" s="360"/>
      <c r="AJ4" s="360"/>
      <c r="AK4" s="360"/>
      <c r="AL4" s="360"/>
      <c r="AM4" s="360"/>
      <c r="AN4" s="360"/>
      <c r="AO4" s="360"/>
      <c r="AP4" s="360"/>
      <c r="AQ4" s="360"/>
      <c r="AR4" s="360"/>
      <c r="AS4" s="360"/>
      <c r="AT4" s="360"/>
      <c r="AU4" s="360"/>
      <c r="AV4" s="360"/>
      <c r="AW4" s="360"/>
      <c r="AX4" s="360"/>
      <c r="AY4" s="360"/>
      <c r="AZ4" s="360"/>
      <c r="BA4" s="360"/>
      <c r="BB4" s="360"/>
      <c r="BC4" s="360"/>
      <c r="BD4" s="360"/>
      <c r="BE4" s="360"/>
      <c r="BF4" s="360"/>
      <c r="BG4" s="360"/>
      <c r="BH4" s="360"/>
      <c r="BI4" s="360"/>
      <c r="BJ4" s="360"/>
      <c r="BK4" s="360"/>
      <c r="BL4" s="360"/>
      <c r="BM4" s="360"/>
      <c r="BN4" s="360"/>
      <c r="BO4" s="360"/>
      <c r="BP4" s="360"/>
      <c r="BQ4" s="360"/>
      <c r="BR4" s="360"/>
      <c r="BS4" s="360"/>
      <c r="BT4" s="360"/>
      <c r="BU4" s="360"/>
      <c r="BV4" s="360"/>
      <c r="BW4" s="360"/>
      <c r="BX4" s="360"/>
      <c r="BY4" s="360"/>
      <c r="BZ4" s="360"/>
    </row>
    <row r="5" spans="1:79" ht="11.25" customHeight="1">
      <c r="B5" s="1262"/>
      <c r="C5" s="1263"/>
      <c r="D5" s="1263"/>
      <c r="E5" s="1263"/>
      <c r="F5" s="1263"/>
      <c r="G5" s="1263"/>
      <c r="H5" s="1263"/>
      <c r="I5" s="1263"/>
      <c r="J5" s="1263"/>
      <c r="K5" s="1263"/>
      <c r="L5" s="1263"/>
      <c r="M5" s="1263"/>
      <c r="N5" s="1263"/>
      <c r="O5" s="1263"/>
      <c r="P5" s="1263"/>
      <c r="Q5" s="1263"/>
      <c r="R5" s="1263"/>
      <c r="S5" s="1263"/>
      <c r="T5" s="1263"/>
      <c r="U5" s="1263"/>
      <c r="V5" s="1263"/>
      <c r="W5" s="1263"/>
      <c r="X5" s="1263"/>
      <c r="Y5" s="1263"/>
      <c r="Z5" s="1263"/>
      <c r="AA5" s="1263"/>
      <c r="AB5" s="1263"/>
      <c r="AC5" s="1263"/>
      <c r="AD5" s="1263"/>
      <c r="AE5" s="1263"/>
      <c r="AF5" s="1263"/>
      <c r="AG5" s="1263"/>
      <c r="AH5" s="1263"/>
      <c r="AI5" s="1263"/>
      <c r="AJ5" s="1263"/>
      <c r="AK5" s="1263"/>
      <c r="AL5" s="1263"/>
      <c r="AM5" s="1263"/>
      <c r="AN5" s="1263"/>
      <c r="AO5" s="1263"/>
      <c r="AP5" s="1263"/>
      <c r="AQ5" s="1263"/>
      <c r="AR5" s="1263"/>
      <c r="AS5" s="1263"/>
      <c r="AT5" s="1263"/>
      <c r="AU5" s="1263"/>
      <c r="AV5" s="1263"/>
      <c r="AW5" s="1263"/>
      <c r="AX5" s="1263"/>
      <c r="AY5" s="1263"/>
      <c r="AZ5" s="1263"/>
      <c r="BA5" s="1263"/>
      <c r="BB5" s="1263"/>
      <c r="BC5" s="1263"/>
      <c r="BD5" s="1263"/>
      <c r="BE5" s="1263"/>
      <c r="BF5" s="1263"/>
      <c r="BG5" s="1263"/>
      <c r="BH5" s="1263"/>
      <c r="BI5" s="1263"/>
      <c r="BJ5" s="1263"/>
      <c r="BK5" s="1263"/>
      <c r="BL5" s="1263"/>
      <c r="BM5" s="1263"/>
      <c r="BN5" s="1263"/>
      <c r="BO5" s="1263"/>
      <c r="BP5" s="1263"/>
      <c r="BQ5" s="1263"/>
      <c r="BR5" s="1263"/>
      <c r="BS5" s="1263"/>
      <c r="BT5" s="1263"/>
      <c r="BU5" s="1263"/>
      <c r="BV5" s="1263"/>
      <c r="BW5" s="1263"/>
      <c r="BX5" s="1263"/>
      <c r="BY5" s="1263"/>
      <c r="BZ5" s="1263"/>
      <c r="CA5" s="1264"/>
    </row>
    <row r="6" spans="1:79" ht="11.25" customHeight="1">
      <c r="B6" s="1265"/>
      <c r="C6" s="1266"/>
      <c r="D6" s="1266"/>
      <c r="E6" s="1266"/>
      <c r="F6" s="1266"/>
      <c r="G6" s="1266"/>
      <c r="H6" s="1266"/>
      <c r="I6" s="1266"/>
      <c r="J6" s="1266"/>
      <c r="K6" s="1266"/>
      <c r="L6" s="1266"/>
      <c r="M6" s="1266"/>
      <c r="N6" s="1266"/>
      <c r="O6" s="1266"/>
      <c r="P6" s="1266"/>
      <c r="Q6" s="1266"/>
      <c r="R6" s="1266"/>
      <c r="S6" s="1266"/>
      <c r="T6" s="1266"/>
      <c r="U6" s="1266"/>
      <c r="V6" s="1266"/>
      <c r="W6" s="1266"/>
      <c r="X6" s="1266"/>
      <c r="Y6" s="1266"/>
      <c r="Z6" s="1266"/>
      <c r="AA6" s="1266"/>
      <c r="AB6" s="1266"/>
      <c r="AC6" s="1266"/>
      <c r="AD6" s="1266"/>
      <c r="AE6" s="1266"/>
      <c r="AF6" s="1266"/>
      <c r="AG6" s="1266"/>
      <c r="AH6" s="1266"/>
      <c r="AI6" s="1266"/>
      <c r="AJ6" s="1266"/>
      <c r="AK6" s="1266"/>
      <c r="AL6" s="1266"/>
      <c r="AM6" s="1266"/>
      <c r="AN6" s="1266"/>
      <c r="AO6" s="1266"/>
      <c r="AP6" s="1266"/>
      <c r="AQ6" s="1266"/>
      <c r="AR6" s="1266"/>
      <c r="AS6" s="1266"/>
      <c r="AT6" s="1266"/>
      <c r="AU6" s="1266"/>
      <c r="AV6" s="1266"/>
      <c r="AW6" s="1266"/>
      <c r="AX6" s="1266"/>
      <c r="AY6" s="1266"/>
      <c r="AZ6" s="1266"/>
      <c r="BA6" s="1266"/>
      <c r="BB6" s="1266"/>
      <c r="BC6" s="1266"/>
      <c r="BD6" s="1266"/>
      <c r="BE6" s="1266"/>
      <c r="BF6" s="1266"/>
      <c r="BG6" s="1266"/>
      <c r="BH6" s="1266"/>
      <c r="BI6" s="1266"/>
      <c r="BJ6" s="1266"/>
      <c r="BK6" s="1266"/>
      <c r="BL6" s="1266"/>
      <c r="BM6" s="1266"/>
      <c r="BN6" s="1266"/>
      <c r="BO6" s="1266"/>
      <c r="BP6" s="1266"/>
      <c r="BQ6" s="1266"/>
      <c r="BR6" s="1266"/>
      <c r="BS6" s="1266"/>
      <c r="BT6" s="1266"/>
      <c r="BU6" s="1266"/>
      <c r="BV6" s="1266"/>
      <c r="BW6" s="1266"/>
      <c r="BX6" s="1266"/>
      <c r="BY6" s="1266"/>
      <c r="BZ6" s="1266"/>
      <c r="CA6" s="1267"/>
    </row>
    <row r="7" spans="1:79" ht="11.25" customHeight="1">
      <c r="A7" s="354"/>
      <c r="B7" s="1265"/>
      <c r="C7" s="1266"/>
      <c r="D7" s="1266"/>
      <c r="E7" s="1266"/>
      <c r="F7" s="1266"/>
      <c r="G7" s="1266"/>
      <c r="H7" s="1266"/>
      <c r="I7" s="1266"/>
      <c r="J7" s="1266"/>
      <c r="K7" s="1266"/>
      <c r="L7" s="1266"/>
      <c r="M7" s="1266"/>
      <c r="N7" s="1266"/>
      <c r="O7" s="1266"/>
      <c r="P7" s="1266"/>
      <c r="Q7" s="1266"/>
      <c r="R7" s="1266"/>
      <c r="S7" s="1266"/>
      <c r="T7" s="1266"/>
      <c r="U7" s="1266"/>
      <c r="V7" s="1266"/>
      <c r="W7" s="1266"/>
      <c r="X7" s="1266"/>
      <c r="Y7" s="1266"/>
      <c r="Z7" s="1266"/>
      <c r="AA7" s="1266"/>
      <c r="AB7" s="1266"/>
      <c r="AC7" s="1266"/>
      <c r="AD7" s="1266"/>
      <c r="AE7" s="1266"/>
      <c r="AF7" s="1266"/>
      <c r="AG7" s="1266"/>
      <c r="AH7" s="1266"/>
      <c r="AI7" s="1266"/>
      <c r="AJ7" s="1266"/>
      <c r="AK7" s="1266"/>
      <c r="AL7" s="1266"/>
      <c r="AM7" s="1266"/>
      <c r="AN7" s="1266"/>
      <c r="AO7" s="1266"/>
      <c r="AP7" s="1266"/>
      <c r="AQ7" s="1266"/>
      <c r="AR7" s="1266"/>
      <c r="AS7" s="1266"/>
      <c r="AT7" s="1266"/>
      <c r="AU7" s="1266"/>
      <c r="AV7" s="1266"/>
      <c r="AW7" s="1266"/>
      <c r="AX7" s="1266"/>
      <c r="AY7" s="1266"/>
      <c r="AZ7" s="1266"/>
      <c r="BA7" s="1266"/>
      <c r="BB7" s="1266"/>
      <c r="BC7" s="1266"/>
      <c r="BD7" s="1266"/>
      <c r="BE7" s="1266"/>
      <c r="BF7" s="1266"/>
      <c r="BG7" s="1266"/>
      <c r="BH7" s="1266"/>
      <c r="BI7" s="1266"/>
      <c r="BJ7" s="1266"/>
      <c r="BK7" s="1266"/>
      <c r="BL7" s="1266"/>
      <c r="BM7" s="1266"/>
      <c r="BN7" s="1266"/>
      <c r="BO7" s="1266"/>
      <c r="BP7" s="1266"/>
      <c r="BQ7" s="1266"/>
      <c r="BR7" s="1266"/>
      <c r="BS7" s="1266"/>
      <c r="BT7" s="1266"/>
      <c r="BU7" s="1266"/>
      <c r="BV7" s="1266"/>
      <c r="BW7" s="1266"/>
      <c r="BX7" s="1266"/>
      <c r="BY7" s="1266"/>
      <c r="BZ7" s="1266"/>
      <c r="CA7" s="1267"/>
    </row>
    <row r="8" spans="1:79" ht="11.25" customHeight="1">
      <c r="B8" s="1265"/>
      <c r="C8" s="1266"/>
      <c r="D8" s="1266"/>
      <c r="E8" s="1266"/>
      <c r="F8" s="1266"/>
      <c r="G8" s="1266"/>
      <c r="H8" s="1266"/>
      <c r="I8" s="1266"/>
      <c r="J8" s="1266"/>
      <c r="K8" s="1266"/>
      <c r="L8" s="1266"/>
      <c r="M8" s="1266"/>
      <c r="N8" s="1266"/>
      <c r="O8" s="1266"/>
      <c r="P8" s="1266"/>
      <c r="Q8" s="1266"/>
      <c r="R8" s="1266"/>
      <c r="S8" s="1266"/>
      <c r="T8" s="1266"/>
      <c r="U8" s="1266"/>
      <c r="V8" s="1266"/>
      <c r="W8" s="1266"/>
      <c r="X8" s="1266"/>
      <c r="Y8" s="1266"/>
      <c r="Z8" s="1266"/>
      <c r="AA8" s="1266"/>
      <c r="AB8" s="1266"/>
      <c r="AC8" s="1266"/>
      <c r="AD8" s="1266"/>
      <c r="AE8" s="1266"/>
      <c r="AF8" s="1266"/>
      <c r="AG8" s="1266"/>
      <c r="AH8" s="1266"/>
      <c r="AI8" s="1266"/>
      <c r="AJ8" s="1266"/>
      <c r="AK8" s="1266"/>
      <c r="AL8" s="1266"/>
      <c r="AM8" s="1266"/>
      <c r="AN8" s="1266"/>
      <c r="AO8" s="1266"/>
      <c r="AP8" s="1266"/>
      <c r="AQ8" s="1266"/>
      <c r="AR8" s="1266"/>
      <c r="AS8" s="1266"/>
      <c r="AT8" s="1266"/>
      <c r="AU8" s="1266"/>
      <c r="AV8" s="1266"/>
      <c r="AW8" s="1266"/>
      <c r="AX8" s="1266"/>
      <c r="AY8" s="1266"/>
      <c r="AZ8" s="1266"/>
      <c r="BA8" s="1266"/>
      <c r="BB8" s="1266"/>
      <c r="BC8" s="1266"/>
      <c r="BD8" s="1266"/>
      <c r="BE8" s="1266"/>
      <c r="BF8" s="1266"/>
      <c r="BG8" s="1266"/>
      <c r="BH8" s="1266"/>
      <c r="BI8" s="1266"/>
      <c r="BJ8" s="1266"/>
      <c r="BK8" s="1266"/>
      <c r="BL8" s="1266"/>
      <c r="BM8" s="1266"/>
      <c r="BN8" s="1266"/>
      <c r="BO8" s="1266"/>
      <c r="BP8" s="1266"/>
      <c r="BQ8" s="1266"/>
      <c r="BR8" s="1266"/>
      <c r="BS8" s="1266"/>
      <c r="BT8" s="1266"/>
      <c r="BU8" s="1266"/>
      <c r="BV8" s="1266"/>
      <c r="BW8" s="1266"/>
      <c r="BX8" s="1266"/>
      <c r="BY8" s="1266"/>
      <c r="BZ8" s="1266"/>
      <c r="CA8" s="1267"/>
    </row>
    <row r="9" spans="1:79" ht="11.25" customHeight="1">
      <c r="B9" s="1265"/>
      <c r="C9" s="1266"/>
      <c r="D9" s="1266"/>
      <c r="E9" s="1266"/>
      <c r="F9" s="1266"/>
      <c r="G9" s="1266"/>
      <c r="H9" s="1266"/>
      <c r="I9" s="1266"/>
      <c r="J9" s="1266"/>
      <c r="K9" s="1266"/>
      <c r="L9" s="1266"/>
      <c r="M9" s="1266"/>
      <c r="N9" s="1266"/>
      <c r="O9" s="1266"/>
      <c r="P9" s="1266"/>
      <c r="Q9" s="1266"/>
      <c r="R9" s="1266"/>
      <c r="S9" s="1266"/>
      <c r="T9" s="1266"/>
      <c r="U9" s="1266"/>
      <c r="V9" s="1266"/>
      <c r="W9" s="1266"/>
      <c r="X9" s="1266"/>
      <c r="Y9" s="1266"/>
      <c r="Z9" s="1266"/>
      <c r="AA9" s="1266"/>
      <c r="AB9" s="1266"/>
      <c r="AC9" s="1266"/>
      <c r="AD9" s="1266"/>
      <c r="AE9" s="1266"/>
      <c r="AF9" s="1266"/>
      <c r="AG9" s="1266"/>
      <c r="AH9" s="1266"/>
      <c r="AI9" s="1266"/>
      <c r="AJ9" s="1266"/>
      <c r="AK9" s="1266"/>
      <c r="AL9" s="1266"/>
      <c r="AM9" s="1266"/>
      <c r="AN9" s="1266"/>
      <c r="AO9" s="1266"/>
      <c r="AP9" s="1266"/>
      <c r="AQ9" s="1266"/>
      <c r="AR9" s="1266"/>
      <c r="AS9" s="1266"/>
      <c r="AT9" s="1266"/>
      <c r="AU9" s="1266"/>
      <c r="AV9" s="1266"/>
      <c r="AW9" s="1266"/>
      <c r="AX9" s="1266"/>
      <c r="AY9" s="1266"/>
      <c r="AZ9" s="1266"/>
      <c r="BA9" s="1266"/>
      <c r="BB9" s="1266"/>
      <c r="BC9" s="1266"/>
      <c r="BD9" s="1266"/>
      <c r="BE9" s="1266"/>
      <c r="BF9" s="1266"/>
      <c r="BG9" s="1266"/>
      <c r="BH9" s="1266"/>
      <c r="BI9" s="1266"/>
      <c r="BJ9" s="1266"/>
      <c r="BK9" s="1266"/>
      <c r="BL9" s="1266"/>
      <c r="BM9" s="1266"/>
      <c r="BN9" s="1266"/>
      <c r="BO9" s="1266"/>
      <c r="BP9" s="1266"/>
      <c r="BQ9" s="1266"/>
      <c r="BR9" s="1266"/>
      <c r="BS9" s="1266"/>
      <c r="BT9" s="1266"/>
      <c r="BU9" s="1266"/>
      <c r="BV9" s="1266"/>
      <c r="BW9" s="1266"/>
      <c r="BX9" s="1266"/>
      <c r="BY9" s="1266"/>
      <c r="BZ9" s="1266"/>
      <c r="CA9" s="1267"/>
    </row>
    <row r="10" spans="1:79" ht="11.25" customHeight="1" thickBot="1">
      <c r="B10" s="1268"/>
      <c r="C10" s="1269"/>
      <c r="D10" s="1269"/>
      <c r="E10" s="1269"/>
      <c r="F10" s="1269"/>
      <c r="G10" s="1269"/>
      <c r="H10" s="1269"/>
      <c r="I10" s="1269"/>
      <c r="J10" s="1269"/>
      <c r="K10" s="1269"/>
      <c r="L10" s="1269"/>
      <c r="M10" s="1269"/>
      <c r="N10" s="1269"/>
      <c r="O10" s="1269"/>
      <c r="P10" s="1269"/>
      <c r="Q10" s="1269"/>
      <c r="R10" s="1269"/>
      <c r="S10" s="1269"/>
      <c r="T10" s="1269"/>
      <c r="U10" s="1269"/>
      <c r="V10" s="1269"/>
      <c r="W10" s="1269"/>
      <c r="X10" s="1269"/>
      <c r="Y10" s="1269"/>
      <c r="Z10" s="1269"/>
      <c r="AA10" s="1269"/>
      <c r="AB10" s="1269"/>
      <c r="AC10" s="1269"/>
      <c r="AD10" s="1269"/>
      <c r="AE10" s="1269"/>
      <c r="AF10" s="1269"/>
      <c r="AG10" s="1269"/>
      <c r="AH10" s="1269"/>
      <c r="AI10" s="1269"/>
      <c r="AJ10" s="1269"/>
      <c r="AK10" s="1269"/>
      <c r="AL10" s="1269"/>
      <c r="AM10" s="1269"/>
      <c r="AN10" s="1269"/>
      <c r="AO10" s="1269"/>
      <c r="AP10" s="1269"/>
      <c r="AQ10" s="1269"/>
      <c r="AR10" s="1269"/>
      <c r="AS10" s="1269"/>
      <c r="AT10" s="1269"/>
      <c r="AU10" s="1269"/>
      <c r="AV10" s="1269"/>
      <c r="AW10" s="1269"/>
      <c r="AX10" s="1269"/>
      <c r="AY10" s="1269"/>
      <c r="AZ10" s="1269"/>
      <c r="BA10" s="1269"/>
      <c r="BB10" s="1269"/>
      <c r="BC10" s="1269"/>
      <c r="BD10" s="1269"/>
      <c r="BE10" s="1269"/>
      <c r="BF10" s="1269"/>
      <c r="BG10" s="1269"/>
      <c r="BH10" s="1269"/>
      <c r="BI10" s="1269"/>
      <c r="BJ10" s="1269"/>
      <c r="BK10" s="1269"/>
      <c r="BL10" s="1269"/>
      <c r="BM10" s="1269"/>
      <c r="BN10" s="1269"/>
      <c r="BO10" s="1269"/>
      <c r="BP10" s="1269"/>
      <c r="BQ10" s="1269"/>
      <c r="BR10" s="1269"/>
      <c r="BS10" s="1269"/>
      <c r="BT10" s="1269"/>
      <c r="BU10" s="1269"/>
      <c r="BV10" s="1269"/>
      <c r="BW10" s="1269"/>
      <c r="BX10" s="1269"/>
      <c r="BY10" s="1269"/>
      <c r="BZ10" s="1269"/>
      <c r="CA10" s="1270"/>
    </row>
    <row r="11" spans="1:79" ht="11.25" customHeight="1"/>
    <row r="12" spans="1:79" ht="11.25" customHeight="1" thickBot="1"/>
    <row r="13" spans="1:79" ht="11.25" customHeight="1">
      <c r="B13" s="1275" t="str">
        <f>VLOOKUP(8002,Languages!A5:C410,Languages!A2,FALSE)</f>
        <v>Occurence</v>
      </c>
      <c r="C13" s="1276"/>
      <c r="D13" s="1277"/>
      <c r="E13" s="1287" t="str">
        <f>VLOOKUP(8008,Languages!A5:C410,Languages!A2,FALSE)</f>
        <v>Use this path to investigate the specific nonconformance caused by the manufacturing process</v>
      </c>
      <c r="F13" s="1287"/>
      <c r="G13" s="1287"/>
      <c r="H13" s="1287"/>
      <c r="I13" s="1287"/>
      <c r="J13" s="1287"/>
      <c r="K13" s="1287"/>
      <c r="L13" s="1287"/>
      <c r="M13" s="1287"/>
      <c r="N13" s="1287"/>
      <c r="O13" s="1287"/>
      <c r="P13" s="1287"/>
      <c r="Q13" s="1287"/>
      <c r="R13" s="1287"/>
      <c r="S13" s="1287"/>
      <c r="T13" s="1287"/>
      <c r="U13" s="1287"/>
      <c r="V13" s="1287"/>
      <c r="W13" s="1287"/>
      <c r="X13" s="1287"/>
      <c r="Y13" s="1287"/>
      <c r="Z13" s="1287"/>
      <c r="AA13" s="1287"/>
      <c r="AB13" s="1287"/>
      <c r="AC13" s="1287"/>
      <c r="AD13" s="1287"/>
      <c r="AE13" s="1287"/>
      <c r="AF13" s="1287"/>
      <c r="AG13" s="1287"/>
      <c r="AH13" s="1287"/>
      <c r="AI13" s="1287"/>
      <c r="AJ13" s="1287"/>
      <c r="AK13" s="1287"/>
      <c r="AL13" s="1287"/>
      <c r="AM13" s="1287"/>
      <c r="AN13" s="1287"/>
      <c r="AO13" s="1287"/>
      <c r="AP13" s="1287"/>
      <c r="AQ13" s="1287"/>
      <c r="AR13" s="1287"/>
      <c r="AS13" s="1287"/>
      <c r="AT13" s="1287"/>
      <c r="AU13" s="1287"/>
      <c r="AV13" s="1287"/>
      <c r="AW13" s="1287"/>
      <c r="AX13" s="1287"/>
      <c r="AY13" s="1287"/>
      <c r="AZ13" s="1287"/>
      <c r="BA13" s="1287"/>
      <c r="BB13" s="1287"/>
      <c r="BC13" s="1287"/>
      <c r="BD13" s="1287"/>
      <c r="BE13" s="1287"/>
      <c r="BF13" s="1287"/>
      <c r="BG13" s="1287"/>
      <c r="BH13" s="1287"/>
      <c r="BI13" s="1287"/>
      <c r="BJ13" s="1287"/>
      <c r="BK13" s="1287"/>
      <c r="BL13" s="1287"/>
      <c r="BM13" s="1287"/>
      <c r="BN13" s="1287"/>
      <c r="BO13" s="1287"/>
      <c r="BP13" s="1287"/>
      <c r="BQ13" s="1287"/>
      <c r="BR13" s="1287"/>
      <c r="BS13" s="1287"/>
      <c r="BT13" s="1287"/>
      <c r="BU13" s="1287"/>
      <c r="BV13" s="1287"/>
      <c r="BW13" s="1287"/>
      <c r="BX13" s="1287"/>
      <c r="BY13" s="1287"/>
      <c r="BZ13" s="1287"/>
      <c r="CA13" s="1288"/>
    </row>
    <row r="14" spans="1:79" ht="11.25" customHeight="1">
      <c r="B14" s="1278"/>
      <c r="C14" s="1279"/>
      <c r="D14" s="1280"/>
      <c r="E14" s="1289"/>
      <c r="F14" s="1289"/>
      <c r="G14" s="1289"/>
      <c r="H14" s="1289"/>
      <c r="I14" s="1289"/>
      <c r="J14" s="1289"/>
      <c r="K14" s="1289"/>
      <c r="L14" s="1289"/>
      <c r="M14" s="1289"/>
      <c r="N14" s="1289"/>
      <c r="O14" s="1289"/>
      <c r="P14" s="1289"/>
      <c r="Q14" s="1289"/>
      <c r="R14" s="1289"/>
      <c r="S14" s="1289"/>
      <c r="T14" s="1289"/>
      <c r="U14" s="1289"/>
      <c r="V14" s="1289"/>
      <c r="W14" s="1289"/>
      <c r="X14" s="1289"/>
      <c r="Y14" s="1289"/>
      <c r="Z14" s="1289"/>
      <c r="AA14" s="1289"/>
      <c r="AB14" s="1289"/>
      <c r="AC14" s="1289"/>
      <c r="AD14" s="1289"/>
      <c r="AE14" s="1289"/>
      <c r="AF14" s="1289"/>
      <c r="AG14" s="1289"/>
      <c r="AH14" s="1289"/>
      <c r="AI14" s="1289"/>
      <c r="AJ14" s="1289"/>
      <c r="AK14" s="1289"/>
      <c r="AL14" s="1289"/>
      <c r="AM14" s="1289"/>
      <c r="AN14" s="1289"/>
      <c r="AO14" s="1289"/>
      <c r="AP14" s="1289"/>
      <c r="AQ14" s="1289"/>
      <c r="AR14" s="1289"/>
      <c r="AS14" s="1289"/>
      <c r="AT14" s="1289"/>
      <c r="AU14" s="1289"/>
      <c r="AV14" s="1289"/>
      <c r="AW14" s="1289"/>
      <c r="AX14" s="1289"/>
      <c r="AY14" s="1289"/>
      <c r="AZ14" s="1289"/>
      <c r="BA14" s="1289"/>
      <c r="BB14" s="1289"/>
      <c r="BC14" s="1289"/>
      <c r="BD14" s="1289"/>
      <c r="BE14" s="1289"/>
      <c r="BF14" s="1289"/>
      <c r="BG14" s="1289"/>
      <c r="BH14" s="1289"/>
      <c r="BI14" s="1289"/>
      <c r="BJ14" s="1289"/>
      <c r="BK14" s="1289"/>
      <c r="BL14" s="1289"/>
      <c r="BM14" s="1289"/>
      <c r="BN14" s="1289"/>
      <c r="BO14" s="1289"/>
      <c r="BP14" s="1289"/>
      <c r="BQ14" s="1289"/>
      <c r="BR14" s="1289"/>
      <c r="BS14" s="1289"/>
      <c r="BT14" s="1289"/>
      <c r="BU14" s="1289"/>
      <c r="BV14" s="1289"/>
      <c r="BW14" s="1289"/>
      <c r="BX14" s="1289"/>
      <c r="BY14" s="1289"/>
      <c r="BZ14" s="1289"/>
      <c r="CA14" s="1290"/>
    </row>
    <row r="15" spans="1:79" ht="11.25" customHeight="1">
      <c r="B15" s="1278"/>
      <c r="C15" s="1279"/>
      <c r="D15" s="1280"/>
      <c r="E15" s="203"/>
      <c r="F15" s="203"/>
      <c r="G15" s="203"/>
      <c r="H15" s="203"/>
      <c r="I15" s="1271"/>
      <c r="J15" s="1272"/>
      <c r="K15" s="1272"/>
      <c r="L15" s="1272"/>
      <c r="M15" s="1272"/>
      <c r="N15" s="1272"/>
      <c r="O15" s="1272"/>
      <c r="P15" s="1272"/>
      <c r="Q15" s="1272"/>
      <c r="R15" s="1272"/>
      <c r="S15" s="1272"/>
      <c r="T15" s="1272"/>
      <c r="U15" s="1272"/>
      <c r="V15" s="1272"/>
      <c r="W15" s="1272"/>
      <c r="X15" s="1272"/>
      <c r="Y15" s="1272"/>
      <c r="Z15" s="1272"/>
      <c r="AA15" s="1272"/>
      <c r="AB15" s="1272"/>
      <c r="AC15" s="1273"/>
      <c r="AD15" s="203"/>
      <c r="AE15" s="203"/>
      <c r="AF15" s="203"/>
      <c r="AG15" s="203"/>
      <c r="AH15" s="1271"/>
      <c r="AI15" s="1272"/>
      <c r="AJ15" s="1272"/>
      <c r="AK15" s="1272"/>
      <c r="AL15" s="1272"/>
      <c r="AM15" s="1272"/>
      <c r="AN15" s="1272"/>
      <c r="AO15" s="1272"/>
      <c r="AP15" s="1272"/>
      <c r="AQ15" s="1272"/>
      <c r="AR15" s="1272"/>
      <c r="AS15" s="1272"/>
      <c r="AT15" s="1272"/>
      <c r="AU15" s="1272"/>
      <c r="AV15" s="1272"/>
      <c r="AW15" s="1272"/>
      <c r="AX15" s="1272"/>
      <c r="AY15" s="1272"/>
      <c r="AZ15" s="1272"/>
      <c r="BA15" s="1272"/>
      <c r="BB15" s="1273"/>
      <c r="BC15" s="203"/>
      <c r="BD15" s="203"/>
      <c r="BE15" s="203"/>
      <c r="BF15" s="203"/>
      <c r="BG15" s="1271"/>
      <c r="BH15" s="1272"/>
      <c r="BI15" s="1272"/>
      <c r="BJ15" s="1272"/>
      <c r="BK15" s="1272"/>
      <c r="BL15" s="1272"/>
      <c r="BM15" s="1272"/>
      <c r="BN15" s="1272"/>
      <c r="BO15" s="1272"/>
      <c r="BP15" s="1272"/>
      <c r="BQ15" s="1272"/>
      <c r="BR15" s="1272"/>
      <c r="BS15" s="1272"/>
      <c r="BT15" s="1272"/>
      <c r="BU15" s="1272"/>
      <c r="BV15" s="1272"/>
      <c r="BW15" s="1272"/>
      <c r="BX15" s="1272"/>
      <c r="BY15" s="1272"/>
      <c r="BZ15" s="1272"/>
      <c r="CA15" s="1274"/>
    </row>
    <row r="16" spans="1:79" ht="11.25" customHeight="1">
      <c r="B16" s="1278"/>
      <c r="C16" s="1279"/>
      <c r="D16" s="1280"/>
      <c r="E16" s="203"/>
      <c r="F16" s="203"/>
      <c r="G16" s="203"/>
      <c r="H16" s="203"/>
      <c r="I16" s="1271"/>
      <c r="J16" s="1272"/>
      <c r="K16" s="1272"/>
      <c r="L16" s="1272"/>
      <c r="M16" s="1272"/>
      <c r="N16" s="1272"/>
      <c r="O16" s="1272"/>
      <c r="P16" s="1272"/>
      <c r="Q16" s="1272"/>
      <c r="R16" s="1272"/>
      <c r="S16" s="1272"/>
      <c r="T16" s="1272"/>
      <c r="U16" s="1272"/>
      <c r="V16" s="1272"/>
      <c r="W16" s="1272"/>
      <c r="X16" s="1272"/>
      <c r="Y16" s="1272"/>
      <c r="Z16" s="1272"/>
      <c r="AA16" s="1272"/>
      <c r="AB16" s="1272"/>
      <c r="AC16" s="1273"/>
      <c r="AD16" s="203"/>
      <c r="AE16" s="203"/>
      <c r="AF16" s="203"/>
      <c r="AG16" s="203"/>
      <c r="AH16" s="1271"/>
      <c r="AI16" s="1272"/>
      <c r="AJ16" s="1272"/>
      <c r="AK16" s="1272"/>
      <c r="AL16" s="1272"/>
      <c r="AM16" s="1272"/>
      <c r="AN16" s="1272"/>
      <c r="AO16" s="1272"/>
      <c r="AP16" s="1272"/>
      <c r="AQ16" s="1272"/>
      <c r="AR16" s="1272"/>
      <c r="AS16" s="1272"/>
      <c r="AT16" s="1272"/>
      <c r="AU16" s="1272"/>
      <c r="AV16" s="1272"/>
      <c r="AW16" s="1272"/>
      <c r="AX16" s="1272"/>
      <c r="AY16" s="1272"/>
      <c r="AZ16" s="1272"/>
      <c r="BA16" s="1272"/>
      <c r="BB16" s="1273"/>
      <c r="BC16" s="203"/>
      <c r="BD16" s="203"/>
      <c r="BE16" s="203"/>
      <c r="BF16" s="203"/>
      <c r="BG16" s="1271"/>
      <c r="BH16" s="1272"/>
      <c r="BI16" s="1272"/>
      <c r="BJ16" s="1272"/>
      <c r="BK16" s="1272"/>
      <c r="BL16" s="1272"/>
      <c r="BM16" s="1272"/>
      <c r="BN16" s="1272"/>
      <c r="BO16" s="1272"/>
      <c r="BP16" s="1272"/>
      <c r="BQ16" s="1272"/>
      <c r="BR16" s="1272"/>
      <c r="BS16" s="1272"/>
      <c r="BT16" s="1272"/>
      <c r="BU16" s="1272"/>
      <c r="BV16" s="1272"/>
      <c r="BW16" s="1272"/>
      <c r="BX16" s="1272"/>
      <c r="BY16" s="1272"/>
      <c r="BZ16" s="1272"/>
      <c r="CA16" s="1274"/>
    </row>
    <row r="17" spans="2:79" ht="11.25" customHeight="1">
      <c r="B17" s="1278"/>
      <c r="C17" s="1279"/>
      <c r="D17" s="1280"/>
      <c r="E17" s="203"/>
      <c r="F17" s="203"/>
      <c r="G17" s="203"/>
      <c r="H17" s="203"/>
      <c r="I17" s="1271"/>
      <c r="J17" s="1272"/>
      <c r="K17" s="1272"/>
      <c r="L17" s="1272"/>
      <c r="M17" s="1272"/>
      <c r="N17" s="1272"/>
      <c r="O17" s="1272"/>
      <c r="P17" s="1272"/>
      <c r="Q17" s="1272"/>
      <c r="R17" s="1272"/>
      <c r="S17" s="1272"/>
      <c r="T17" s="1272"/>
      <c r="U17" s="1272"/>
      <c r="V17" s="1272"/>
      <c r="W17" s="1272"/>
      <c r="X17" s="1272"/>
      <c r="Y17" s="1272"/>
      <c r="Z17" s="1272"/>
      <c r="AA17" s="1272"/>
      <c r="AB17" s="1272"/>
      <c r="AC17" s="1273"/>
      <c r="AD17" s="203"/>
      <c r="AE17" s="203"/>
      <c r="AF17" s="203"/>
      <c r="AG17" s="203"/>
      <c r="AH17" s="1271"/>
      <c r="AI17" s="1272"/>
      <c r="AJ17" s="1272"/>
      <c r="AK17" s="1272"/>
      <c r="AL17" s="1272"/>
      <c r="AM17" s="1272"/>
      <c r="AN17" s="1272"/>
      <c r="AO17" s="1272"/>
      <c r="AP17" s="1272"/>
      <c r="AQ17" s="1272"/>
      <c r="AR17" s="1272"/>
      <c r="AS17" s="1272"/>
      <c r="AT17" s="1272"/>
      <c r="AU17" s="1272"/>
      <c r="AV17" s="1272"/>
      <c r="AW17" s="1272"/>
      <c r="AX17" s="1272"/>
      <c r="AY17" s="1272"/>
      <c r="AZ17" s="1272"/>
      <c r="BA17" s="1272"/>
      <c r="BB17" s="1273"/>
      <c r="BC17" s="203"/>
      <c r="BD17" s="203"/>
      <c r="BE17" s="203"/>
      <c r="BF17" s="203"/>
      <c r="BG17" s="1271"/>
      <c r="BH17" s="1272"/>
      <c r="BI17" s="1272"/>
      <c r="BJ17" s="1272"/>
      <c r="BK17" s="1272"/>
      <c r="BL17" s="1272"/>
      <c r="BM17" s="1272"/>
      <c r="BN17" s="1272"/>
      <c r="BO17" s="1272"/>
      <c r="BP17" s="1272"/>
      <c r="BQ17" s="1272"/>
      <c r="BR17" s="1272"/>
      <c r="BS17" s="1272"/>
      <c r="BT17" s="1272"/>
      <c r="BU17" s="1272"/>
      <c r="BV17" s="1272"/>
      <c r="BW17" s="1272"/>
      <c r="BX17" s="1272"/>
      <c r="BY17" s="1272"/>
      <c r="BZ17" s="1272"/>
      <c r="CA17" s="1274"/>
    </row>
    <row r="18" spans="2:79" ht="11.25" customHeight="1" thickBot="1">
      <c r="B18" s="1278"/>
      <c r="C18" s="1279"/>
      <c r="D18" s="1280"/>
      <c r="E18" s="1292" t="str">
        <f>Buttons!$B$83</f>
        <v>Why?</v>
      </c>
      <c r="F18" s="1293"/>
      <c r="G18" s="1293"/>
      <c r="H18" s="1293"/>
      <c r="I18" s="1271"/>
      <c r="J18" s="1272"/>
      <c r="K18" s="1272"/>
      <c r="L18" s="1272"/>
      <c r="M18" s="1272"/>
      <c r="N18" s="1272"/>
      <c r="O18" s="1272"/>
      <c r="P18" s="1272"/>
      <c r="Q18" s="1272"/>
      <c r="R18" s="1272"/>
      <c r="S18" s="1272"/>
      <c r="T18" s="1272"/>
      <c r="U18" s="1272"/>
      <c r="V18" s="1272"/>
      <c r="W18" s="1272"/>
      <c r="X18" s="1272"/>
      <c r="Y18" s="1272"/>
      <c r="Z18" s="1272"/>
      <c r="AA18" s="1272"/>
      <c r="AB18" s="1272"/>
      <c r="AC18" s="1273"/>
      <c r="AD18" s="1293" t="str">
        <f>Buttons!$B$83</f>
        <v>Why?</v>
      </c>
      <c r="AE18" s="1293"/>
      <c r="AF18" s="1293"/>
      <c r="AG18" s="1293"/>
      <c r="AH18" s="1271"/>
      <c r="AI18" s="1272"/>
      <c r="AJ18" s="1272"/>
      <c r="AK18" s="1272"/>
      <c r="AL18" s="1272"/>
      <c r="AM18" s="1272"/>
      <c r="AN18" s="1272"/>
      <c r="AO18" s="1272"/>
      <c r="AP18" s="1272"/>
      <c r="AQ18" s="1272"/>
      <c r="AR18" s="1272"/>
      <c r="AS18" s="1272"/>
      <c r="AT18" s="1272"/>
      <c r="AU18" s="1272"/>
      <c r="AV18" s="1272"/>
      <c r="AW18" s="1272"/>
      <c r="AX18" s="1272"/>
      <c r="AY18" s="1272"/>
      <c r="AZ18" s="1272"/>
      <c r="BA18" s="1272"/>
      <c r="BB18" s="1273"/>
      <c r="BC18" s="1293" t="str">
        <f>Buttons!$B$83</f>
        <v>Why?</v>
      </c>
      <c r="BD18" s="1293"/>
      <c r="BE18" s="1293"/>
      <c r="BF18" s="1293"/>
      <c r="BG18" s="1271"/>
      <c r="BH18" s="1272"/>
      <c r="BI18" s="1272"/>
      <c r="BJ18" s="1272"/>
      <c r="BK18" s="1272"/>
      <c r="BL18" s="1272"/>
      <c r="BM18" s="1272"/>
      <c r="BN18" s="1272"/>
      <c r="BO18" s="1272"/>
      <c r="BP18" s="1272"/>
      <c r="BQ18" s="1272"/>
      <c r="BR18" s="1272"/>
      <c r="BS18" s="1272"/>
      <c r="BT18" s="1272"/>
      <c r="BU18" s="1272"/>
      <c r="BV18" s="1272"/>
      <c r="BW18" s="1272"/>
      <c r="BX18" s="1272"/>
      <c r="BY18" s="1272"/>
      <c r="BZ18" s="1272"/>
      <c r="CA18" s="1274"/>
    </row>
    <row r="19" spans="2:79" ht="11.25" customHeight="1" thickTop="1">
      <c r="B19" s="1278"/>
      <c r="C19" s="1279"/>
      <c r="D19" s="1280"/>
      <c r="E19" s="355"/>
      <c r="F19" s="356"/>
      <c r="G19" s="342"/>
      <c r="H19" s="363"/>
      <c r="I19" s="1271"/>
      <c r="J19" s="1272"/>
      <c r="K19" s="1272"/>
      <c r="L19" s="1272"/>
      <c r="M19" s="1272"/>
      <c r="N19" s="1272"/>
      <c r="O19" s="1272"/>
      <c r="P19" s="1272"/>
      <c r="Q19" s="1272"/>
      <c r="R19" s="1272"/>
      <c r="S19" s="1272"/>
      <c r="T19" s="1272"/>
      <c r="U19" s="1272"/>
      <c r="V19" s="1272"/>
      <c r="W19" s="1272"/>
      <c r="X19" s="1272"/>
      <c r="Y19" s="1272"/>
      <c r="Z19" s="1272"/>
      <c r="AA19" s="1272"/>
      <c r="AB19" s="1272"/>
      <c r="AC19" s="1273"/>
      <c r="AD19" s="353"/>
      <c r="AE19" s="356"/>
      <c r="AF19" s="342"/>
      <c r="AG19" s="363"/>
      <c r="AH19" s="1271"/>
      <c r="AI19" s="1272"/>
      <c r="AJ19" s="1272"/>
      <c r="AK19" s="1272"/>
      <c r="AL19" s="1272"/>
      <c r="AM19" s="1272"/>
      <c r="AN19" s="1272"/>
      <c r="AO19" s="1272"/>
      <c r="AP19" s="1272"/>
      <c r="AQ19" s="1272"/>
      <c r="AR19" s="1272"/>
      <c r="AS19" s="1272"/>
      <c r="AT19" s="1272"/>
      <c r="AU19" s="1272"/>
      <c r="AV19" s="1272"/>
      <c r="AW19" s="1272"/>
      <c r="AX19" s="1272"/>
      <c r="AY19" s="1272"/>
      <c r="AZ19" s="1272"/>
      <c r="BA19" s="1272"/>
      <c r="BB19" s="1273"/>
      <c r="BC19" s="353"/>
      <c r="BD19" s="356"/>
      <c r="BE19" s="342"/>
      <c r="BF19" s="363"/>
      <c r="BG19" s="1271"/>
      <c r="BH19" s="1272"/>
      <c r="BI19" s="1272"/>
      <c r="BJ19" s="1272"/>
      <c r="BK19" s="1272"/>
      <c r="BL19" s="1272"/>
      <c r="BM19" s="1272"/>
      <c r="BN19" s="1272"/>
      <c r="BO19" s="1272"/>
      <c r="BP19" s="1272"/>
      <c r="BQ19" s="1272"/>
      <c r="BR19" s="1272"/>
      <c r="BS19" s="1272"/>
      <c r="BT19" s="1272"/>
      <c r="BU19" s="1272"/>
      <c r="BV19" s="1272"/>
      <c r="BW19" s="1272"/>
      <c r="BX19" s="1272"/>
      <c r="BY19" s="1272"/>
      <c r="BZ19" s="1272"/>
      <c r="CA19" s="1274"/>
    </row>
    <row r="20" spans="2:79" ht="11.25" customHeight="1" thickBot="1">
      <c r="B20" s="1278"/>
      <c r="C20" s="1279"/>
      <c r="D20" s="1280"/>
      <c r="E20" s="355"/>
      <c r="F20" s="356"/>
      <c r="G20" s="344"/>
      <c r="H20" s="364"/>
      <c r="I20" s="1271"/>
      <c r="J20" s="1272"/>
      <c r="K20" s="1272"/>
      <c r="L20" s="1272"/>
      <c r="M20" s="1272"/>
      <c r="N20" s="1272"/>
      <c r="O20" s="1272"/>
      <c r="P20" s="1272"/>
      <c r="Q20" s="1272"/>
      <c r="R20" s="1272"/>
      <c r="S20" s="1272"/>
      <c r="T20" s="1272"/>
      <c r="U20" s="1272"/>
      <c r="V20" s="1272"/>
      <c r="W20" s="1272"/>
      <c r="X20" s="1272"/>
      <c r="Y20" s="1272"/>
      <c r="Z20" s="1272"/>
      <c r="AA20" s="1272"/>
      <c r="AB20" s="1272"/>
      <c r="AC20" s="1273"/>
      <c r="AD20" s="353"/>
      <c r="AE20" s="356"/>
      <c r="AF20" s="344"/>
      <c r="AG20" s="364"/>
      <c r="AH20" s="1271"/>
      <c r="AI20" s="1272"/>
      <c r="AJ20" s="1272"/>
      <c r="AK20" s="1272"/>
      <c r="AL20" s="1272"/>
      <c r="AM20" s="1272"/>
      <c r="AN20" s="1272"/>
      <c r="AO20" s="1272"/>
      <c r="AP20" s="1272"/>
      <c r="AQ20" s="1272"/>
      <c r="AR20" s="1272"/>
      <c r="AS20" s="1272"/>
      <c r="AT20" s="1272"/>
      <c r="AU20" s="1272"/>
      <c r="AV20" s="1272"/>
      <c r="AW20" s="1272"/>
      <c r="AX20" s="1272"/>
      <c r="AY20" s="1272"/>
      <c r="AZ20" s="1272"/>
      <c r="BA20" s="1272"/>
      <c r="BB20" s="1273"/>
      <c r="BC20" s="353"/>
      <c r="BD20" s="356"/>
      <c r="BE20" s="344"/>
      <c r="BF20" s="364"/>
      <c r="BG20" s="1271"/>
      <c r="BH20" s="1272"/>
      <c r="BI20" s="1272"/>
      <c r="BJ20" s="1272"/>
      <c r="BK20" s="1272"/>
      <c r="BL20" s="1272"/>
      <c r="BM20" s="1272"/>
      <c r="BN20" s="1272"/>
      <c r="BO20" s="1272"/>
      <c r="BP20" s="1272"/>
      <c r="BQ20" s="1272"/>
      <c r="BR20" s="1272"/>
      <c r="BS20" s="1272"/>
      <c r="BT20" s="1272"/>
      <c r="BU20" s="1272"/>
      <c r="BV20" s="1272"/>
      <c r="BW20" s="1272"/>
      <c r="BX20" s="1272"/>
      <c r="BY20" s="1272"/>
      <c r="BZ20" s="1272"/>
      <c r="CA20" s="1274"/>
    </row>
    <row r="21" spans="2:79" ht="11.25" customHeight="1" thickTop="1">
      <c r="B21" s="1278"/>
      <c r="C21" s="1279"/>
      <c r="D21" s="1280"/>
      <c r="E21" s="203"/>
      <c r="F21" s="356"/>
      <c r="G21" s="203"/>
      <c r="H21" s="365"/>
      <c r="I21" s="1271"/>
      <c r="J21" s="1272"/>
      <c r="K21" s="1272"/>
      <c r="L21" s="1272"/>
      <c r="M21" s="1272"/>
      <c r="N21" s="1272"/>
      <c r="O21" s="1272"/>
      <c r="P21" s="1272"/>
      <c r="Q21" s="1272"/>
      <c r="R21" s="1272"/>
      <c r="S21" s="1272"/>
      <c r="T21" s="1272"/>
      <c r="U21" s="1272"/>
      <c r="V21" s="1272"/>
      <c r="W21" s="1272"/>
      <c r="X21" s="1272"/>
      <c r="Y21" s="1272"/>
      <c r="Z21" s="1272"/>
      <c r="AA21" s="1272"/>
      <c r="AB21" s="1272"/>
      <c r="AC21" s="1273"/>
      <c r="AD21" s="203"/>
      <c r="AE21" s="356"/>
      <c r="AF21" s="203"/>
      <c r="AG21" s="365"/>
      <c r="AH21" s="1271"/>
      <c r="AI21" s="1272"/>
      <c r="AJ21" s="1272"/>
      <c r="AK21" s="1272"/>
      <c r="AL21" s="1272"/>
      <c r="AM21" s="1272"/>
      <c r="AN21" s="1272"/>
      <c r="AO21" s="1272"/>
      <c r="AP21" s="1272"/>
      <c r="AQ21" s="1272"/>
      <c r="AR21" s="1272"/>
      <c r="AS21" s="1272"/>
      <c r="AT21" s="1272"/>
      <c r="AU21" s="1272"/>
      <c r="AV21" s="1272"/>
      <c r="AW21" s="1272"/>
      <c r="AX21" s="1272"/>
      <c r="AY21" s="1272"/>
      <c r="AZ21" s="1272"/>
      <c r="BA21" s="1272"/>
      <c r="BB21" s="1273"/>
      <c r="BC21" s="203"/>
      <c r="BD21" s="356"/>
      <c r="BE21" s="203"/>
      <c r="BF21" s="365"/>
      <c r="BG21" s="1271"/>
      <c r="BH21" s="1272"/>
      <c r="BI21" s="1272"/>
      <c r="BJ21" s="1272"/>
      <c r="BK21" s="1272"/>
      <c r="BL21" s="1272"/>
      <c r="BM21" s="1272"/>
      <c r="BN21" s="1272"/>
      <c r="BO21" s="1272"/>
      <c r="BP21" s="1272"/>
      <c r="BQ21" s="1272"/>
      <c r="BR21" s="1272"/>
      <c r="BS21" s="1272"/>
      <c r="BT21" s="1272"/>
      <c r="BU21" s="1272"/>
      <c r="BV21" s="1272"/>
      <c r="BW21" s="1272"/>
      <c r="BX21" s="1272"/>
      <c r="BY21" s="1272"/>
      <c r="BZ21" s="1272"/>
      <c r="CA21" s="1274"/>
    </row>
    <row r="22" spans="2:79" ht="11.25" customHeight="1">
      <c r="B22" s="1278"/>
      <c r="C22" s="1279"/>
      <c r="D22" s="1280"/>
      <c r="E22" s="203"/>
      <c r="F22" s="356"/>
      <c r="G22" s="203"/>
      <c r="H22" s="203"/>
      <c r="I22" s="1271"/>
      <c r="J22" s="1272"/>
      <c r="K22" s="1272"/>
      <c r="L22" s="1272"/>
      <c r="M22" s="1272"/>
      <c r="N22" s="1272"/>
      <c r="O22" s="1272"/>
      <c r="P22" s="1272"/>
      <c r="Q22" s="1272"/>
      <c r="R22" s="1272"/>
      <c r="S22" s="1272"/>
      <c r="T22" s="1272"/>
      <c r="U22" s="1272"/>
      <c r="V22" s="1272"/>
      <c r="W22" s="1272"/>
      <c r="X22" s="1272"/>
      <c r="Y22" s="1272"/>
      <c r="Z22" s="1272"/>
      <c r="AA22" s="1272"/>
      <c r="AB22" s="1272"/>
      <c r="AC22" s="1273"/>
      <c r="AD22" s="203"/>
      <c r="AE22" s="356"/>
      <c r="AF22" s="203"/>
      <c r="AG22" s="203"/>
      <c r="AH22" s="1271"/>
      <c r="AI22" s="1272"/>
      <c r="AJ22" s="1272"/>
      <c r="AK22" s="1272"/>
      <c r="AL22" s="1272"/>
      <c r="AM22" s="1272"/>
      <c r="AN22" s="1272"/>
      <c r="AO22" s="1272"/>
      <c r="AP22" s="1272"/>
      <c r="AQ22" s="1272"/>
      <c r="AR22" s="1272"/>
      <c r="AS22" s="1272"/>
      <c r="AT22" s="1272"/>
      <c r="AU22" s="1272"/>
      <c r="AV22" s="1272"/>
      <c r="AW22" s="1272"/>
      <c r="AX22" s="1272"/>
      <c r="AY22" s="1272"/>
      <c r="AZ22" s="1272"/>
      <c r="BA22" s="1272"/>
      <c r="BB22" s="1273"/>
      <c r="BC22" s="203"/>
      <c r="BD22" s="356"/>
      <c r="BE22" s="203"/>
      <c r="BF22" s="203"/>
      <c r="BG22" s="1271"/>
      <c r="BH22" s="1272"/>
      <c r="BI22" s="1272"/>
      <c r="BJ22" s="1272"/>
      <c r="BK22" s="1272"/>
      <c r="BL22" s="1272"/>
      <c r="BM22" s="1272"/>
      <c r="BN22" s="1272"/>
      <c r="BO22" s="1272"/>
      <c r="BP22" s="1272"/>
      <c r="BQ22" s="1272"/>
      <c r="BR22" s="1272"/>
      <c r="BS22" s="1272"/>
      <c r="BT22" s="1272"/>
      <c r="BU22" s="1272"/>
      <c r="BV22" s="1272"/>
      <c r="BW22" s="1272"/>
      <c r="BX22" s="1272"/>
      <c r="BY22" s="1272"/>
      <c r="BZ22" s="1272"/>
      <c r="CA22" s="1274"/>
    </row>
    <row r="23" spans="2:79" ht="11.25" customHeight="1" thickBot="1">
      <c r="B23" s="1278"/>
      <c r="C23" s="1279"/>
      <c r="D23" s="1280"/>
      <c r="E23" s="1292" t="str">
        <f>Buttons!$B$83</f>
        <v>Why?</v>
      </c>
      <c r="F23" s="1293"/>
      <c r="G23" s="1293"/>
      <c r="H23" s="1293"/>
      <c r="I23" s="1271"/>
      <c r="J23" s="1272"/>
      <c r="K23" s="1272"/>
      <c r="L23" s="1272"/>
      <c r="M23" s="1272"/>
      <c r="N23" s="1272"/>
      <c r="O23" s="1272"/>
      <c r="P23" s="1272"/>
      <c r="Q23" s="1272"/>
      <c r="R23" s="1272"/>
      <c r="S23" s="1272"/>
      <c r="T23" s="1272"/>
      <c r="U23" s="1272"/>
      <c r="V23" s="1272"/>
      <c r="W23" s="1272"/>
      <c r="X23" s="1272"/>
      <c r="Y23" s="1272"/>
      <c r="Z23" s="1272"/>
      <c r="AA23" s="1272"/>
      <c r="AB23" s="1272"/>
      <c r="AC23" s="1273"/>
      <c r="AD23" s="1293" t="str">
        <f>Buttons!$B$83</f>
        <v>Why?</v>
      </c>
      <c r="AE23" s="1293"/>
      <c r="AF23" s="1293"/>
      <c r="AG23" s="1293"/>
      <c r="AH23" s="1271"/>
      <c r="AI23" s="1272"/>
      <c r="AJ23" s="1272"/>
      <c r="AK23" s="1272"/>
      <c r="AL23" s="1272"/>
      <c r="AM23" s="1272"/>
      <c r="AN23" s="1272"/>
      <c r="AO23" s="1272"/>
      <c r="AP23" s="1272"/>
      <c r="AQ23" s="1272"/>
      <c r="AR23" s="1272"/>
      <c r="AS23" s="1272"/>
      <c r="AT23" s="1272"/>
      <c r="AU23" s="1272"/>
      <c r="AV23" s="1272"/>
      <c r="AW23" s="1272"/>
      <c r="AX23" s="1272"/>
      <c r="AY23" s="1272"/>
      <c r="AZ23" s="1272"/>
      <c r="BA23" s="1272"/>
      <c r="BB23" s="1273"/>
      <c r="BC23" s="1293" t="str">
        <f>Buttons!$B$83</f>
        <v>Why?</v>
      </c>
      <c r="BD23" s="1293"/>
      <c r="BE23" s="1293"/>
      <c r="BF23" s="1293"/>
      <c r="BG23" s="1271"/>
      <c r="BH23" s="1272"/>
      <c r="BI23" s="1272"/>
      <c r="BJ23" s="1272"/>
      <c r="BK23" s="1272"/>
      <c r="BL23" s="1272"/>
      <c r="BM23" s="1272"/>
      <c r="BN23" s="1272"/>
      <c r="BO23" s="1272"/>
      <c r="BP23" s="1272"/>
      <c r="BQ23" s="1272"/>
      <c r="BR23" s="1272"/>
      <c r="BS23" s="1272"/>
      <c r="BT23" s="1272"/>
      <c r="BU23" s="1272"/>
      <c r="BV23" s="1272"/>
      <c r="BW23" s="1272"/>
      <c r="BX23" s="1272"/>
      <c r="BY23" s="1272"/>
      <c r="BZ23" s="1272"/>
      <c r="CA23" s="1274"/>
    </row>
    <row r="24" spans="2:79" ht="11.25" customHeight="1" thickTop="1">
      <c r="B24" s="1278"/>
      <c r="C24" s="1279"/>
      <c r="D24" s="1280"/>
      <c r="E24" s="203"/>
      <c r="F24" s="356"/>
      <c r="G24" s="342"/>
      <c r="H24" s="366"/>
      <c r="I24" s="1271"/>
      <c r="J24" s="1272"/>
      <c r="K24" s="1272"/>
      <c r="L24" s="1272"/>
      <c r="M24" s="1272"/>
      <c r="N24" s="1272"/>
      <c r="O24" s="1272"/>
      <c r="P24" s="1272"/>
      <c r="Q24" s="1272"/>
      <c r="R24" s="1272"/>
      <c r="S24" s="1272"/>
      <c r="T24" s="1272"/>
      <c r="U24" s="1272"/>
      <c r="V24" s="1272"/>
      <c r="W24" s="1272"/>
      <c r="X24" s="1272"/>
      <c r="Y24" s="1272"/>
      <c r="Z24" s="1272"/>
      <c r="AA24" s="1272"/>
      <c r="AB24" s="1272"/>
      <c r="AC24" s="1273"/>
      <c r="AD24" s="203"/>
      <c r="AE24" s="356"/>
      <c r="AF24" s="342"/>
      <c r="AG24" s="366"/>
      <c r="AH24" s="1271"/>
      <c r="AI24" s="1272"/>
      <c r="AJ24" s="1272"/>
      <c r="AK24" s="1272"/>
      <c r="AL24" s="1272"/>
      <c r="AM24" s="1272"/>
      <c r="AN24" s="1272"/>
      <c r="AO24" s="1272"/>
      <c r="AP24" s="1272"/>
      <c r="AQ24" s="1272"/>
      <c r="AR24" s="1272"/>
      <c r="AS24" s="1272"/>
      <c r="AT24" s="1272"/>
      <c r="AU24" s="1272"/>
      <c r="AV24" s="1272"/>
      <c r="AW24" s="1272"/>
      <c r="AX24" s="1272"/>
      <c r="AY24" s="1272"/>
      <c r="AZ24" s="1272"/>
      <c r="BA24" s="1272"/>
      <c r="BB24" s="1273"/>
      <c r="BC24" s="203"/>
      <c r="BD24" s="356"/>
      <c r="BE24" s="342"/>
      <c r="BF24" s="366"/>
      <c r="BG24" s="1271"/>
      <c r="BH24" s="1272"/>
      <c r="BI24" s="1272"/>
      <c r="BJ24" s="1272"/>
      <c r="BK24" s="1272"/>
      <c r="BL24" s="1272"/>
      <c r="BM24" s="1272"/>
      <c r="BN24" s="1272"/>
      <c r="BO24" s="1272"/>
      <c r="BP24" s="1272"/>
      <c r="BQ24" s="1272"/>
      <c r="BR24" s="1272"/>
      <c r="BS24" s="1272"/>
      <c r="BT24" s="1272"/>
      <c r="BU24" s="1272"/>
      <c r="BV24" s="1272"/>
      <c r="BW24" s="1272"/>
      <c r="BX24" s="1272"/>
      <c r="BY24" s="1272"/>
      <c r="BZ24" s="1272"/>
      <c r="CA24" s="1274"/>
    </row>
    <row r="25" spans="2:79" ht="11.25" customHeight="1" thickBot="1">
      <c r="B25" s="1278"/>
      <c r="C25" s="1279"/>
      <c r="D25" s="1280"/>
      <c r="E25" s="203"/>
      <c r="F25" s="356"/>
      <c r="G25" s="344"/>
      <c r="H25" s="364"/>
      <c r="I25" s="1271"/>
      <c r="J25" s="1272"/>
      <c r="K25" s="1272"/>
      <c r="L25" s="1272"/>
      <c r="M25" s="1272"/>
      <c r="N25" s="1272"/>
      <c r="O25" s="1272"/>
      <c r="P25" s="1272"/>
      <c r="Q25" s="1272"/>
      <c r="R25" s="1272"/>
      <c r="S25" s="1272"/>
      <c r="T25" s="1272"/>
      <c r="U25" s="1272"/>
      <c r="V25" s="1272"/>
      <c r="W25" s="1272"/>
      <c r="X25" s="1272"/>
      <c r="Y25" s="1272"/>
      <c r="Z25" s="1272"/>
      <c r="AA25" s="1272"/>
      <c r="AB25" s="1272"/>
      <c r="AC25" s="1273"/>
      <c r="AD25" s="203"/>
      <c r="AE25" s="356"/>
      <c r="AF25" s="344"/>
      <c r="AG25" s="364"/>
      <c r="AH25" s="1271"/>
      <c r="AI25" s="1272"/>
      <c r="AJ25" s="1272"/>
      <c r="AK25" s="1272"/>
      <c r="AL25" s="1272"/>
      <c r="AM25" s="1272"/>
      <c r="AN25" s="1272"/>
      <c r="AO25" s="1272"/>
      <c r="AP25" s="1272"/>
      <c r="AQ25" s="1272"/>
      <c r="AR25" s="1272"/>
      <c r="AS25" s="1272"/>
      <c r="AT25" s="1272"/>
      <c r="AU25" s="1272"/>
      <c r="AV25" s="1272"/>
      <c r="AW25" s="1272"/>
      <c r="AX25" s="1272"/>
      <c r="AY25" s="1272"/>
      <c r="AZ25" s="1272"/>
      <c r="BA25" s="1272"/>
      <c r="BB25" s="1273"/>
      <c r="BC25" s="203"/>
      <c r="BD25" s="356"/>
      <c r="BE25" s="344"/>
      <c r="BF25" s="364"/>
      <c r="BG25" s="1271"/>
      <c r="BH25" s="1272"/>
      <c r="BI25" s="1272"/>
      <c r="BJ25" s="1272"/>
      <c r="BK25" s="1272"/>
      <c r="BL25" s="1272"/>
      <c r="BM25" s="1272"/>
      <c r="BN25" s="1272"/>
      <c r="BO25" s="1272"/>
      <c r="BP25" s="1272"/>
      <c r="BQ25" s="1272"/>
      <c r="BR25" s="1272"/>
      <c r="BS25" s="1272"/>
      <c r="BT25" s="1272"/>
      <c r="BU25" s="1272"/>
      <c r="BV25" s="1272"/>
      <c r="BW25" s="1272"/>
      <c r="BX25" s="1272"/>
      <c r="BY25" s="1272"/>
      <c r="BZ25" s="1272"/>
      <c r="CA25" s="1274"/>
    </row>
    <row r="26" spans="2:79" ht="11.25" customHeight="1" thickTop="1">
      <c r="B26" s="1278"/>
      <c r="C26" s="1279"/>
      <c r="D26" s="1280"/>
      <c r="E26" s="203"/>
      <c r="F26" s="356"/>
      <c r="G26" s="203"/>
      <c r="H26" s="365"/>
      <c r="I26" s="1271"/>
      <c r="J26" s="1272"/>
      <c r="K26" s="1272"/>
      <c r="L26" s="1272"/>
      <c r="M26" s="1272"/>
      <c r="N26" s="1272"/>
      <c r="O26" s="1272"/>
      <c r="P26" s="1272"/>
      <c r="Q26" s="1272"/>
      <c r="R26" s="1272"/>
      <c r="S26" s="1272"/>
      <c r="T26" s="1272"/>
      <c r="U26" s="1272"/>
      <c r="V26" s="1272"/>
      <c r="W26" s="1272"/>
      <c r="X26" s="1272"/>
      <c r="Y26" s="1272"/>
      <c r="Z26" s="1272"/>
      <c r="AA26" s="1272"/>
      <c r="AB26" s="1272"/>
      <c r="AC26" s="1273"/>
      <c r="AD26" s="203"/>
      <c r="AE26" s="356"/>
      <c r="AF26" s="203"/>
      <c r="AG26" s="365"/>
      <c r="AH26" s="1271"/>
      <c r="AI26" s="1272"/>
      <c r="AJ26" s="1272"/>
      <c r="AK26" s="1272"/>
      <c r="AL26" s="1272"/>
      <c r="AM26" s="1272"/>
      <c r="AN26" s="1272"/>
      <c r="AO26" s="1272"/>
      <c r="AP26" s="1272"/>
      <c r="AQ26" s="1272"/>
      <c r="AR26" s="1272"/>
      <c r="AS26" s="1272"/>
      <c r="AT26" s="1272"/>
      <c r="AU26" s="1272"/>
      <c r="AV26" s="1272"/>
      <c r="AW26" s="1272"/>
      <c r="AX26" s="1272"/>
      <c r="AY26" s="1272"/>
      <c r="AZ26" s="1272"/>
      <c r="BA26" s="1272"/>
      <c r="BB26" s="1273"/>
      <c r="BC26" s="203"/>
      <c r="BD26" s="356"/>
      <c r="BE26" s="203"/>
      <c r="BF26" s="365"/>
      <c r="BG26" s="1271"/>
      <c r="BH26" s="1272"/>
      <c r="BI26" s="1272"/>
      <c r="BJ26" s="1272"/>
      <c r="BK26" s="1272"/>
      <c r="BL26" s="1272"/>
      <c r="BM26" s="1272"/>
      <c r="BN26" s="1272"/>
      <c r="BO26" s="1272"/>
      <c r="BP26" s="1272"/>
      <c r="BQ26" s="1272"/>
      <c r="BR26" s="1272"/>
      <c r="BS26" s="1272"/>
      <c r="BT26" s="1272"/>
      <c r="BU26" s="1272"/>
      <c r="BV26" s="1272"/>
      <c r="BW26" s="1272"/>
      <c r="BX26" s="1272"/>
      <c r="BY26" s="1272"/>
      <c r="BZ26" s="1272"/>
      <c r="CA26" s="1274"/>
    </row>
    <row r="27" spans="2:79" ht="11.25" customHeight="1">
      <c r="B27" s="1278"/>
      <c r="C27" s="1279"/>
      <c r="D27" s="1280"/>
      <c r="E27" s="203"/>
      <c r="F27" s="356"/>
      <c r="G27" s="203"/>
      <c r="H27" s="203"/>
      <c r="I27" s="1271"/>
      <c r="J27" s="1272"/>
      <c r="K27" s="1272"/>
      <c r="L27" s="1272"/>
      <c r="M27" s="1272"/>
      <c r="N27" s="1272"/>
      <c r="O27" s="1272"/>
      <c r="P27" s="1272"/>
      <c r="Q27" s="1272"/>
      <c r="R27" s="1272"/>
      <c r="S27" s="1272"/>
      <c r="T27" s="1272"/>
      <c r="U27" s="1272"/>
      <c r="V27" s="1272"/>
      <c r="W27" s="1272"/>
      <c r="X27" s="1272"/>
      <c r="Y27" s="1272"/>
      <c r="Z27" s="1272"/>
      <c r="AA27" s="1272"/>
      <c r="AB27" s="1272"/>
      <c r="AC27" s="1273"/>
      <c r="AD27" s="203"/>
      <c r="AE27" s="356"/>
      <c r="AF27" s="203"/>
      <c r="AG27" s="203"/>
      <c r="AH27" s="1271"/>
      <c r="AI27" s="1272"/>
      <c r="AJ27" s="1272"/>
      <c r="AK27" s="1272"/>
      <c r="AL27" s="1272"/>
      <c r="AM27" s="1272"/>
      <c r="AN27" s="1272"/>
      <c r="AO27" s="1272"/>
      <c r="AP27" s="1272"/>
      <c r="AQ27" s="1272"/>
      <c r="AR27" s="1272"/>
      <c r="AS27" s="1272"/>
      <c r="AT27" s="1272"/>
      <c r="AU27" s="1272"/>
      <c r="AV27" s="1272"/>
      <c r="AW27" s="1272"/>
      <c r="AX27" s="1272"/>
      <c r="AY27" s="1272"/>
      <c r="AZ27" s="1272"/>
      <c r="BA27" s="1272"/>
      <c r="BB27" s="1273"/>
      <c r="BC27" s="203"/>
      <c r="BD27" s="356"/>
      <c r="BE27" s="203"/>
      <c r="BF27" s="203"/>
      <c r="BG27" s="1271"/>
      <c r="BH27" s="1272"/>
      <c r="BI27" s="1272"/>
      <c r="BJ27" s="1272"/>
      <c r="BK27" s="1272"/>
      <c r="BL27" s="1272"/>
      <c r="BM27" s="1272"/>
      <c r="BN27" s="1272"/>
      <c r="BO27" s="1272"/>
      <c r="BP27" s="1272"/>
      <c r="BQ27" s="1272"/>
      <c r="BR27" s="1272"/>
      <c r="BS27" s="1272"/>
      <c r="BT27" s="1272"/>
      <c r="BU27" s="1272"/>
      <c r="BV27" s="1272"/>
      <c r="BW27" s="1272"/>
      <c r="BX27" s="1272"/>
      <c r="BY27" s="1272"/>
      <c r="BZ27" s="1272"/>
      <c r="CA27" s="1274"/>
    </row>
    <row r="28" spans="2:79" ht="11.25" customHeight="1" thickBot="1">
      <c r="B28" s="1278"/>
      <c r="C28" s="1279"/>
      <c r="D28" s="1280"/>
      <c r="E28" s="1292" t="str">
        <f>Buttons!$B$83</f>
        <v>Why?</v>
      </c>
      <c r="F28" s="1293"/>
      <c r="G28" s="1293"/>
      <c r="H28" s="1293"/>
      <c r="I28" s="1271"/>
      <c r="J28" s="1272"/>
      <c r="K28" s="1272"/>
      <c r="L28" s="1272"/>
      <c r="M28" s="1272"/>
      <c r="N28" s="1272"/>
      <c r="O28" s="1272"/>
      <c r="P28" s="1272"/>
      <c r="Q28" s="1272"/>
      <c r="R28" s="1272"/>
      <c r="S28" s="1272"/>
      <c r="T28" s="1272"/>
      <c r="U28" s="1272"/>
      <c r="V28" s="1272"/>
      <c r="W28" s="1272"/>
      <c r="X28" s="1272"/>
      <c r="Y28" s="1272"/>
      <c r="Z28" s="1272"/>
      <c r="AA28" s="1272"/>
      <c r="AB28" s="1272"/>
      <c r="AC28" s="1273"/>
      <c r="AD28" s="1293" t="str">
        <f>Buttons!$B$83</f>
        <v>Why?</v>
      </c>
      <c r="AE28" s="1293"/>
      <c r="AF28" s="1293"/>
      <c r="AG28" s="1293"/>
      <c r="AH28" s="1271"/>
      <c r="AI28" s="1272"/>
      <c r="AJ28" s="1272"/>
      <c r="AK28" s="1272"/>
      <c r="AL28" s="1272"/>
      <c r="AM28" s="1272"/>
      <c r="AN28" s="1272"/>
      <c r="AO28" s="1272"/>
      <c r="AP28" s="1272"/>
      <c r="AQ28" s="1272"/>
      <c r="AR28" s="1272"/>
      <c r="AS28" s="1272"/>
      <c r="AT28" s="1272"/>
      <c r="AU28" s="1272"/>
      <c r="AV28" s="1272"/>
      <c r="AW28" s="1272"/>
      <c r="AX28" s="1272"/>
      <c r="AY28" s="1272"/>
      <c r="AZ28" s="1272"/>
      <c r="BA28" s="1272"/>
      <c r="BB28" s="1273"/>
      <c r="BC28" s="1293" t="str">
        <f>Buttons!$B$83</f>
        <v>Why?</v>
      </c>
      <c r="BD28" s="1293"/>
      <c r="BE28" s="1293"/>
      <c r="BF28" s="1293"/>
      <c r="BG28" s="1271"/>
      <c r="BH28" s="1272"/>
      <c r="BI28" s="1272"/>
      <c r="BJ28" s="1272"/>
      <c r="BK28" s="1272"/>
      <c r="BL28" s="1272"/>
      <c r="BM28" s="1272"/>
      <c r="BN28" s="1272"/>
      <c r="BO28" s="1272"/>
      <c r="BP28" s="1272"/>
      <c r="BQ28" s="1272"/>
      <c r="BR28" s="1272"/>
      <c r="BS28" s="1272"/>
      <c r="BT28" s="1272"/>
      <c r="BU28" s="1272"/>
      <c r="BV28" s="1272"/>
      <c r="BW28" s="1272"/>
      <c r="BX28" s="1272"/>
      <c r="BY28" s="1272"/>
      <c r="BZ28" s="1272"/>
      <c r="CA28" s="1274"/>
    </row>
    <row r="29" spans="2:79" ht="11.25" customHeight="1" thickTop="1">
      <c r="B29" s="1278"/>
      <c r="C29" s="1279"/>
      <c r="D29" s="1280"/>
      <c r="E29" s="203"/>
      <c r="F29" s="356"/>
      <c r="G29" s="342"/>
      <c r="H29" s="366"/>
      <c r="I29" s="1271"/>
      <c r="J29" s="1272"/>
      <c r="K29" s="1272"/>
      <c r="L29" s="1272"/>
      <c r="M29" s="1272"/>
      <c r="N29" s="1272"/>
      <c r="O29" s="1272"/>
      <c r="P29" s="1272"/>
      <c r="Q29" s="1272"/>
      <c r="R29" s="1272"/>
      <c r="S29" s="1272"/>
      <c r="T29" s="1272"/>
      <c r="U29" s="1272"/>
      <c r="V29" s="1272"/>
      <c r="W29" s="1272"/>
      <c r="X29" s="1272"/>
      <c r="Y29" s="1272"/>
      <c r="Z29" s="1272"/>
      <c r="AA29" s="1272"/>
      <c r="AB29" s="1272"/>
      <c r="AC29" s="1273"/>
      <c r="AD29" s="203"/>
      <c r="AE29" s="356"/>
      <c r="AF29" s="342"/>
      <c r="AG29" s="366"/>
      <c r="AH29" s="1271"/>
      <c r="AI29" s="1272"/>
      <c r="AJ29" s="1272"/>
      <c r="AK29" s="1272"/>
      <c r="AL29" s="1272"/>
      <c r="AM29" s="1272"/>
      <c r="AN29" s="1272"/>
      <c r="AO29" s="1272"/>
      <c r="AP29" s="1272"/>
      <c r="AQ29" s="1272"/>
      <c r="AR29" s="1272"/>
      <c r="AS29" s="1272"/>
      <c r="AT29" s="1272"/>
      <c r="AU29" s="1272"/>
      <c r="AV29" s="1272"/>
      <c r="AW29" s="1272"/>
      <c r="AX29" s="1272"/>
      <c r="AY29" s="1272"/>
      <c r="AZ29" s="1272"/>
      <c r="BA29" s="1272"/>
      <c r="BB29" s="1273"/>
      <c r="BC29" s="203"/>
      <c r="BD29" s="356"/>
      <c r="BE29" s="342"/>
      <c r="BF29" s="366"/>
      <c r="BG29" s="1271"/>
      <c r="BH29" s="1272"/>
      <c r="BI29" s="1272"/>
      <c r="BJ29" s="1272"/>
      <c r="BK29" s="1272"/>
      <c r="BL29" s="1272"/>
      <c r="BM29" s="1272"/>
      <c r="BN29" s="1272"/>
      <c r="BO29" s="1272"/>
      <c r="BP29" s="1272"/>
      <c r="BQ29" s="1272"/>
      <c r="BR29" s="1272"/>
      <c r="BS29" s="1272"/>
      <c r="BT29" s="1272"/>
      <c r="BU29" s="1272"/>
      <c r="BV29" s="1272"/>
      <c r="BW29" s="1272"/>
      <c r="BX29" s="1272"/>
      <c r="BY29" s="1272"/>
      <c r="BZ29" s="1272"/>
      <c r="CA29" s="1274"/>
    </row>
    <row r="30" spans="2:79" ht="11.25" customHeight="1" thickBot="1">
      <c r="B30" s="1278"/>
      <c r="C30" s="1279"/>
      <c r="D30" s="1280"/>
      <c r="E30" s="203"/>
      <c r="F30" s="356"/>
      <c r="G30" s="344"/>
      <c r="H30" s="364"/>
      <c r="I30" s="1271"/>
      <c r="J30" s="1272"/>
      <c r="K30" s="1272"/>
      <c r="L30" s="1272"/>
      <c r="M30" s="1272"/>
      <c r="N30" s="1272"/>
      <c r="O30" s="1272"/>
      <c r="P30" s="1272"/>
      <c r="Q30" s="1272"/>
      <c r="R30" s="1272"/>
      <c r="S30" s="1272"/>
      <c r="T30" s="1272"/>
      <c r="U30" s="1272"/>
      <c r="V30" s="1272"/>
      <c r="W30" s="1272"/>
      <c r="X30" s="1272"/>
      <c r="Y30" s="1272"/>
      <c r="Z30" s="1272"/>
      <c r="AA30" s="1272"/>
      <c r="AB30" s="1272"/>
      <c r="AC30" s="1273"/>
      <c r="AD30" s="203"/>
      <c r="AE30" s="356"/>
      <c r="AF30" s="344"/>
      <c r="AG30" s="364"/>
      <c r="AH30" s="1271"/>
      <c r="AI30" s="1272"/>
      <c r="AJ30" s="1272"/>
      <c r="AK30" s="1272"/>
      <c r="AL30" s="1272"/>
      <c r="AM30" s="1272"/>
      <c r="AN30" s="1272"/>
      <c r="AO30" s="1272"/>
      <c r="AP30" s="1272"/>
      <c r="AQ30" s="1272"/>
      <c r="AR30" s="1272"/>
      <c r="AS30" s="1272"/>
      <c r="AT30" s="1272"/>
      <c r="AU30" s="1272"/>
      <c r="AV30" s="1272"/>
      <c r="AW30" s="1272"/>
      <c r="AX30" s="1272"/>
      <c r="AY30" s="1272"/>
      <c r="AZ30" s="1272"/>
      <c r="BA30" s="1272"/>
      <c r="BB30" s="1273"/>
      <c r="BC30" s="203"/>
      <c r="BD30" s="356"/>
      <c r="BE30" s="344"/>
      <c r="BF30" s="364"/>
      <c r="BG30" s="1271"/>
      <c r="BH30" s="1272"/>
      <c r="BI30" s="1272"/>
      <c r="BJ30" s="1272"/>
      <c r="BK30" s="1272"/>
      <c r="BL30" s="1272"/>
      <c r="BM30" s="1272"/>
      <c r="BN30" s="1272"/>
      <c r="BO30" s="1272"/>
      <c r="BP30" s="1272"/>
      <c r="BQ30" s="1272"/>
      <c r="BR30" s="1272"/>
      <c r="BS30" s="1272"/>
      <c r="BT30" s="1272"/>
      <c r="BU30" s="1272"/>
      <c r="BV30" s="1272"/>
      <c r="BW30" s="1272"/>
      <c r="BX30" s="1272"/>
      <c r="BY30" s="1272"/>
      <c r="BZ30" s="1272"/>
      <c r="CA30" s="1274"/>
    </row>
    <row r="31" spans="2:79" ht="11.25" customHeight="1" thickTop="1">
      <c r="B31" s="1278"/>
      <c r="C31" s="1279"/>
      <c r="D31" s="1280"/>
      <c r="E31" s="203"/>
      <c r="F31" s="356"/>
      <c r="G31" s="203"/>
      <c r="H31" s="365"/>
      <c r="I31" s="1271"/>
      <c r="J31" s="1272"/>
      <c r="K31" s="1272"/>
      <c r="L31" s="1272"/>
      <c r="M31" s="1272"/>
      <c r="N31" s="1272"/>
      <c r="O31" s="1272"/>
      <c r="P31" s="1272"/>
      <c r="Q31" s="1272"/>
      <c r="R31" s="1272"/>
      <c r="S31" s="1272"/>
      <c r="T31" s="1272"/>
      <c r="U31" s="1272"/>
      <c r="V31" s="1272"/>
      <c r="W31" s="1272"/>
      <c r="X31" s="1272"/>
      <c r="Y31" s="1272"/>
      <c r="Z31" s="1272"/>
      <c r="AA31" s="1272"/>
      <c r="AB31" s="1272"/>
      <c r="AC31" s="1273"/>
      <c r="AD31" s="203"/>
      <c r="AE31" s="356"/>
      <c r="AF31" s="203"/>
      <c r="AG31" s="365"/>
      <c r="AH31" s="1271"/>
      <c r="AI31" s="1272"/>
      <c r="AJ31" s="1272"/>
      <c r="AK31" s="1272"/>
      <c r="AL31" s="1272"/>
      <c r="AM31" s="1272"/>
      <c r="AN31" s="1272"/>
      <c r="AO31" s="1272"/>
      <c r="AP31" s="1272"/>
      <c r="AQ31" s="1272"/>
      <c r="AR31" s="1272"/>
      <c r="AS31" s="1272"/>
      <c r="AT31" s="1272"/>
      <c r="AU31" s="1272"/>
      <c r="AV31" s="1272"/>
      <c r="AW31" s="1272"/>
      <c r="AX31" s="1272"/>
      <c r="AY31" s="1272"/>
      <c r="AZ31" s="1272"/>
      <c r="BA31" s="1272"/>
      <c r="BB31" s="1273"/>
      <c r="BC31" s="203"/>
      <c r="BD31" s="356"/>
      <c r="BE31" s="203"/>
      <c r="BF31" s="365"/>
      <c r="BG31" s="1271"/>
      <c r="BH31" s="1272"/>
      <c r="BI31" s="1272"/>
      <c r="BJ31" s="1272"/>
      <c r="BK31" s="1272"/>
      <c r="BL31" s="1272"/>
      <c r="BM31" s="1272"/>
      <c r="BN31" s="1272"/>
      <c r="BO31" s="1272"/>
      <c r="BP31" s="1272"/>
      <c r="BQ31" s="1272"/>
      <c r="BR31" s="1272"/>
      <c r="BS31" s="1272"/>
      <c r="BT31" s="1272"/>
      <c r="BU31" s="1272"/>
      <c r="BV31" s="1272"/>
      <c r="BW31" s="1272"/>
      <c r="BX31" s="1272"/>
      <c r="BY31" s="1272"/>
      <c r="BZ31" s="1272"/>
      <c r="CA31" s="1274"/>
    </row>
    <row r="32" spans="2:79" ht="11.25" customHeight="1">
      <c r="B32" s="1278"/>
      <c r="C32" s="1279"/>
      <c r="D32" s="1280"/>
      <c r="E32" s="203"/>
      <c r="F32" s="356"/>
      <c r="G32" s="203"/>
      <c r="H32" s="203"/>
      <c r="I32" s="1271"/>
      <c r="J32" s="1272"/>
      <c r="K32" s="1272"/>
      <c r="L32" s="1272"/>
      <c r="M32" s="1272"/>
      <c r="N32" s="1272"/>
      <c r="O32" s="1272"/>
      <c r="P32" s="1272"/>
      <c r="Q32" s="1272"/>
      <c r="R32" s="1272"/>
      <c r="S32" s="1272"/>
      <c r="T32" s="1272"/>
      <c r="U32" s="1272"/>
      <c r="V32" s="1272"/>
      <c r="W32" s="1272"/>
      <c r="X32" s="1272"/>
      <c r="Y32" s="1272"/>
      <c r="Z32" s="1272"/>
      <c r="AA32" s="1272"/>
      <c r="AB32" s="1272"/>
      <c r="AC32" s="1273"/>
      <c r="AD32" s="203"/>
      <c r="AE32" s="356"/>
      <c r="AF32" s="203"/>
      <c r="AG32" s="203"/>
      <c r="AH32" s="1271"/>
      <c r="AI32" s="1272"/>
      <c r="AJ32" s="1272"/>
      <c r="AK32" s="1272"/>
      <c r="AL32" s="1272"/>
      <c r="AM32" s="1272"/>
      <c r="AN32" s="1272"/>
      <c r="AO32" s="1272"/>
      <c r="AP32" s="1272"/>
      <c r="AQ32" s="1272"/>
      <c r="AR32" s="1272"/>
      <c r="AS32" s="1272"/>
      <c r="AT32" s="1272"/>
      <c r="AU32" s="1272"/>
      <c r="AV32" s="1272"/>
      <c r="AW32" s="1272"/>
      <c r="AX32" s="1272"/>
      <c r="AY32" s="1272"/>
      <c r="AZ32" s="1272"/>
      <c r="BA32" s="1272"/>
      <c r="BB32" s="1273"/>
      <c r="BC32" s="203"/>
      <c r="BD32" s="356"/>
      <c r="BE32" s="203"/>
      <c r="BF32" s="203"/>
      <c r="BG32" s="1271"/>
      <c r="BH32" s="1272"/>
      <c r="BI32" s="1272"/>
      <c r="BJ32" s="1272"/>
      <c r="BK32" s="1272"/>
      <c r="BL32" s="1272"/>
      <c r="BM32" s="1272"/>
      <c r="BN32" s="1272"/>
      <c r="BO32" s="1272"/>
      <c r="BP32" s="1272"/>
      <c r="BQ32" s="1272"/>
      <c r="BR32" s="1272"/>
      <c r="BS32" s="1272"/>
      <c r="BT32" s="1272"/>
      <c r="BU32" s="1272"/>
      <c r="BV32" s="1272"/>
      <c r="BW32" s="1272"/>
      <c r="BX32" s="1272"/>
      <c r="BY32" s="1272"/>
      <c r="BZ32" s="1272"/>
      <c r="CA32" s="1274"/>
    </row>
    <row r="33" spans="2:79" ht="11.25" customHeight="1" thickBot="1">
      <c r="B33" s="1278"/>
      <c r="C33" s="1279"/>
      <c r="D33" s="1280"/>
      <c r="E33" s="1292" t="str">
        <f>Buttons!$B$83</f>
        <v>Why?</v>
      </c>
      <c r="F33" s="1293"/>
      <c r="G33" s="1293"/>
      <c r="H33" s="1293"/>
      <c r="I33" s="1271"/>
      <c r="J33" s="1272"/>
      <c r="K33" s="1272"/>
      <c r="L33" s="1272"/>
      <c r="M33" s="1272"/>
      <c r="N33" s="1272"/>
      <c r="O33" s="1272"/>
      <c r="P33" s="1272"/>
      <c r="Q33" s="1272"/>
      <c r="R33" s="1272"/>
      <c r="S33" s="1272"/>
      <c r="T33" s="1272"/>
      <c r="U33" s="1272"/>
      <c r="V33" s="1272"/>
      <c r="W33" s="1272"/>
      <c r="X33" s="1272"/>
      <c r="Y33" s="1272"/>
      <c r="Z33" s="1272"/>
      <c r="AA33" s="1272"/>
      <c r="AB33" s="1272"/>
      <c r="AC33" s="1273"/>
      <c r="AD33" s="1293" t="str">
        <f>Buttons!$B$83</f>
        <v>Why?</v>
      </c>
      <c r="AE33" s="1293"/>
      <c r="AF33" s="1293"/>
      <c r="AG33" s="1293"/>
      <c r="AH33" s="1271"/>
      <c r="AI33" s="1272"/>
      <c r="AJ33" s="1272"/>
      <c r="AK33" s="1272"/>
      <c r="AL33" s="1272"/>
      <c r="AM33" s="1272"/>
      <c r="AN33" s="1272"/>
      <c r="AO33" s="1272"/>
      <c r="AP33" s="1272"/>
      <c r="AQ33" s="1272"/>
      <c r="AR33" s="1272"/>
      <c r="AS33" s="1272"/>
      <c r="AT33" s="1272"/>
      <c r="AU33" s="1272"/>
      <c r="AV33" s="1272"/>
      <c r="AW33" s="1272"/>
      <c r="AX33" s="1272"/>
      <c r="AY33" s="1272"/>
      <c r="AZ33" s="1272"/>
      <c r="BA33" s="1272"/>
      <c r="BB33" s="1273"/>
      <c r="BC33" s="1293" t="str">
        <f>Buttons!$B$83</f>
        <v>Why?</v>
      </c>
      <c r="BD33" s="1293"/>
      <c r="BE33" s="1293"/>
      <c r="BF33" s="1293"/>
      <c r="BG33" s="1271"/>
      <c r="BH33" s="1272"/>
      <c r="BI33" s="1272"/>
      <c r="BJ33" s="1272"/>
      <c r="BK33" s="1272"/>
      <c r="BL33" s="1272"/>
      <c r="BM33" s="1272"/>
      <c r="BN33" s="1272"/>
      <c r="BO33" s="1272"/>
      <c r="BP33" s="1272"/>
      <c r="BQ33" s="1272"/>
      <c r="BR33" s="1272"/>
      <c r="BS33" s="1272"/>
      <c r="BT33" s="1272"/>
      <c r="BU33" s="1272"/>
      <c r="BV33" s="1272"/>
      <c r="BW33" s="1272"/>
      <c r="BX33" s="1272"/>
      <c r="BY33" s="1272"/>
      <c r="BZ33" s="1272"/>
      <c r="CA33" s="1274"/>
    </row>
    <row r="34" spans="2:79" ht="11.25" customHeight="1" thickTop="1">
      <c r="B34" s="1278"/>
      <c r="C34" s="1279"/>
      <c r="D34" s="1280"/>
      <c r="E34" s="203"/>
      <c r="F34" s="356"/>
      <c r="G34" s="342"/>
      <c r="H34" s="366"/>
      <c r="I34" s="1271"/>
      <c r="J34" s="1272"/>
      <c r="K34" s="1272"/>
      <c r="L34" s="1272"/>
      <c r="M34" s="1272"/>
      <c r="N34" s="1272"/>
      <c r="O34" s="1272"/>
      <c r="P34" s="1272"/>
      <c r="Q34" s="1272"/>
      <c r="R34" s="1272"/>
      <c r="S34" s="1272"/>
      <c r="T34" s="1272"/>
      <c r="U34" s="1272"/>
      <c r="V34" s="1272"/>
      <c r="W34" s="1272"/>
      <c r="X34" s="1272"/>
      <c r="Y34" s="1272"/>
      <c r="Z34" s="1272"/>
      <c r="AA34" s="1272"/>
      <c r="AB34" s="1272"/>
      <c r="AC34" s="1273"/>
      <c r="AD34" s="203"/>
      <c r="AE34" s="356"/>
      <c r="AF34" s="342"/>
      <c r="AG34" s="366"/>
      <c r="AH34" s="1271"/>
      <c r="AI34" s="1272"/>
      <c r="AJ34" s="1272"/>
      <c r="AK34" s="1272"/>
      <c r="AL34" s="1272"/>
      <c r="AM34" s="1272"/>
      <c r="AN34" s="1272"/>
      <c r="AO34" s="1272"/>
      <c r="AP34" s="1272"/>
      <c r="AQ34" s="1272"/>
      <c r="AR34" s="1272"/>
      <c r="AS34" s="1272"/>
      <c r="AT34" s="1272"/>
      <c r="AU34" s="1272"/>
      <c r="AV34" s="1272"/>
      <c r="AW34" s="1272"/>
      <c r="AX34" s="1272"/>
      <c r="AY34" s="1272"/>
      <c r="AZ34" s="1272"/>
      <c r="BA34" s="1272"/>
      <c r="BB34" s="1273"/>
      <c r="BC34" s="203"/>
      <c r="BD34" s="356"/>
      <c r="BE34" s="342"/>
      <c r="BF34" s="366"/>
      <c r="BG34" s="1271"/>
      <c r="BH34" s="1272"/>
      <c r="BI34" s="1272"/>
      <c r="BJ34" s="1272"/>
      <c r="BK34" s="1272"/>
      <c r="BL34" s="1272"/>
      <c r="BM34" s="1272"/>
      <c r="BN34" s="1272"/>
      <c r="BO34" s="1272"/>
      <c r="BP34" s="1272"/>
      <c r="BQ34" s="1272"/>
      <c r="BR34" s="1272"/>
      <c r="BS34" s="1272"/>
      <c r="BT34" s="1272"/>
      <c r="BU34" s="1272"/>
      <c r="BV34" s="1272"/>
      <c r="BW34" s="1272"/>
      <c r="BX34" s="1272"/>
      <c r="BY34" s="1272"/>
      <c r="BZ34" s="1272"/>
      <c r="CA34" s="1274"/>
    </row>
    <row r="35" spans="2:79" ht="11.25" customHeight="1" thickBot="1">
      <c r="B35" s="1278"/>
      <c r="C35" s="1279"/>
      <c r="D35" s="1280"/>
      <c r="E35" s="203"/>
      <c r="F35" s="356"/>
      <c r="G35" s="344"/>
      <c r="H35" s="364"/>
      <c r="I35" s="1271"/>
      <c r="J35" s="1272"/>
      <c r="K35" s="1272"/>
      <c r="L35" s="1272"/>
      <c r="M35" s="1272"/>
      <c r="N35" s="1272"/>
      <c r="O35" s="1272"/>
      <c r="P35" s="1272"/>
      <c r="Q35" s="1272"/>
      <c r="R35" s="1272"/>
      <c r="S35" s="1272"/>
      <c r="T35" s="1272"/>
      <c r="U35" s="1272"/>
      <c r="V35" s="1272"/>
      <c r="W35" s="1272"/>
      <c r="X35" s="1272"/>
      <c r="Y35" s="1272"/>
      <c r="Z35" s="1272"/>
      <c r="AA35" s="1272"/>
      <c r="AB35" s="1272"/>
      <c r="AC35" s="1273"/>
      <c r="AD35" s="203"/>
      <c r="AE35" s="356"/>
      <c r="AF35" s="344"/>
      <c r="AG35" s="364"/>
      <c r="AH35" s="1271"/>
      <c r="AI35" s="1272"/>
      <c r="AJ35" s="1272"/>
      <c r="AK35" s="1272"/>
      <c r="AL35" s="1272"/>
      <c r="AM35" s="1272"/>
      <c r="AN35" s="1272"/>
      <c r="AO35" s="1272"/>
      <c r="AP35" s="1272"/>
      <c r="AQ35" s="1272"/>
      <c r="AR35" s="1272"/>
      <c r="AS35" s="1272"/>
      <c r="AT35" s="1272"/>
      <c r="AU35" s="1272"/>
      <c r="AV35" s="1272"/>
      <c r="AW35" s="1272"/>
      <c r="AX35" s="1272"/>
      <c r="AY35" s="1272"/>
      <c r="AZ35" s="1272"/>
      <c r="BA35" s="1272"/>
      <c r="BB35" s="1273"/>
      <c r="BC35" s="203"/>
      <c r="BD35" s="356"/>
      <c r="BE35" s="344"/>
      <c r="BF35" s="364"/>
      <c r="BG35" s="1271"/>
      <c r="BH35" s="1272"/>
      <c r="BI35" s="1272"/>
      <c r="BJ35" s="1272"/>
      <c r="BK35" s="1272"/>
      <c r="BL35" s="1272"/>
      <c r="BM35" s="1272"/>
      <c r="BN35" s="1272"/>
      <c r="BO35" s="1272"/>
      <c r="BP35" s="1272"/>
      <c r="BQ35" s="1272"/>
      <c r="BR35" s="1272"/>
      <c r="BS35" s="1272"/>
      <c r="BT35" s="1272"/>
      <c r="BU35" s="1272"/>
      <c r="BV35" s="1272"/>
      <c r="BW35" s="1272"/>
      <c r="BX35" s="1272"/>
      <c r="BY35" s="1272"/>
      <c r="BZ35" s="1272"/>
      <c r="CA35" s="1274"/>
    </row>
    <row r="36" spans="2:79" ht="11.25" customHeight="1" thickTop="1">
      <c r="B36" s="1278"/>
      <c r="C36" s="1279"/>
      <c r="D36" s="1280"/>
      <c r="E36" s="203"/>
      <c r="F36" s="356"/>
      <c r="G36" s="203"/>
      <c r="H36" s="365"/>
      <c r="I36" s="1271"/>
      <c r="J36" s="1272"/>
      <c r="K36" s="1272"/>
      <c r="L36" s="1272"/>
      <c r="M36" s="1272"/>
      <c r="N36" s="1272"/>
      <c r="O36" s="1272"/>
      <c r="P36" s="1272"/>
      <c r="Q36" s="1272"/>
      <c r="R36" s="1272"/>
      <c r="S36" s="1272"/>
      <c r="T36" s="1272"/>
      <c r="U36" s="1272"/>
      <c r="V36" s="1272"/>
      <c r="W36" s="1272"/>
      <c r="X36" s="1272"/>
      <c r="Y36" s="1272"/>
      <c r="Z36" s="1272"/>
      <c r="AA36" s="1272"/>
      <c r="AB36" s="1272"/>
      <c r="AC36" s="1273"/>
      <c r="AD36" s="203"/>
      <c r="AE36" s="356"/>
      <c r="AF36" s="203"/>
      <c r="AG36" s="365"/>
      <c r="AH36" s="1271"/>
      <c r="AI36" s="1272"/>
      <c r="AJ36" s="1272"/>
      <c r="AK36" s="1272"/>
      <c r="AL36" s="1272"/>
      <c r="AM36" s="1272"/>
      <c r="AN36" s="1272"/>
      <c r="AO36" s="1272"/>
      <c r="AP36" s="1272"/>
      <c r="AQ36" s="1272"/>
      <c r="AR36" s="1272"/>
      <c r="AS36" s="1272"/>
      <c r="AT36" s="1272"/>
      <c r="AU36" s="1272"/>
      <c r="AV36" s="1272"/>
      <c r="AW36" s="1272"/>
      <c r="AX36" s="1272"/>
      <c r="AY36" s="1272"/>
      <c r="AZ36" s="1272"/>
      <c r="BA36" s="1272"/>
      <c r="BB36" s="1273"/>
      <c r="BC36" s="203"/>
      <c r="BD36" s="356"/>
      <c r="BE36" s="203"/>
      <c r="BF36" s="365"/>
      <c r="BG36" s="1271"/>
      <c r="BH36" s="1272"/>
      <c r="BI36" s="1272"/>
      <c r="BJ36" s="1272"/>
      <c r="BK36" s="1272"/>
      <c r="BL36" s="1272"/>
      <c r="BM36" s="1272"/>
      <c r="BN36" s="1272"/>
      <c r="BO36" s="1272"/>
      <c r="BP36" s="1272"/>
      <c r="BQ36" s="1272"/>
      <c r="BR36" s="1272"/>
      <c r="BS36" s="1272"/>
      <c r="BT36" s="1272"/>
      <c r="BU36" s="1272"/>
      <c r="BV36" s="1272"/>
      <c r="BW36" s="1272"/>
      <c r="BX36" s="1272"/>
      <c r="BY36" s="1272"/>
      <c r="BZ36" s="1272"/>
      <c r="CA36" s="1274"/>
    </row>
    <row r="37" spans="2:79" ht="11.25" customHeight="1">
      <c r="B37" s="1278"/>
      <c r="C37" s="1279"/>
      <c r="D37" s="1280"/>
      <c r="E37" s="203"/>
      <c r="F37" s="356"/>
      <c r="G37" s="203"/>
      <c r="H37" s="203"/>
      <c r="I37" s="1271"/>
      <c r="J37" s="1272"/>
      <c r="K37" s="1272"/>
      <c r="L37" s="1272"/>
      <c r="M37" s="1272"/>
      <c r="N37" s="1272"/>
      <c r="O37" s="1272"/>
      <c r="P37" s="1272"/>
      <c r="Q37" s="1272"/>
      <c r="R37" s="1272"/>
      <c r="S37" s="1272"/>
      <c r="T37" s="1272"/>
      <c r="U37" s="1272"/>
      <c r="V37" s="1272"/>
      <c r="W37" s="1272"/>
      <c r="X37" s="1272"/>
      <c r="Y37" s="1272"/>
      <c r="Z37" s="1272"/>
      <c r="AA37" s="1272"/>
      <c r="AB37" s="1272"/>
      <c r="AC37" s="1273"/>
      <c r="AD37" s="203"/>
      <c r="AE37" s="356"/>
      <c r="AF37" s="203"/>
      <c r="AG37" s="203"/>
      <c r="AH37" s="1271"/>
      <c r="AI37" s="1272"/>
      <c r="AJ37" s="1272"/>
      <c r="AK37" s="1272"/>
      <c r="AL37" s="1272"/>
      <c r="AM37" s="1272"/>
      <c r="AN37" s="1272"/>
      <c r="AO37" s="1272"/>
      <c r="AP37" s="1272"/>
      <c r="AQ37" s="1272"/>
      <c r="AR37" s="1272"/>
      <c r="AS37" s="1272"/>
      <c r="AT37" s="1272"/>
      <c r="AU37" s="1272"/>
      <c r="AV37" s="1272"/>
      <c r="AW37" s="1272"/>
      <c r="AX37" s="1272"/>
      <c r="AY37" s="1272"/>
      <c r="AZ37" s="1272"/>
      <c r="BA37" s="1272"/>
      <c r="BB37" s="1273"/>
      <c r="BC37" s="203"/>
      <c r="BD37" s="356"/>
      <c r="BE37" s="203"/>
      <c r="BF37" s="203"/>
      <c r="BG37" s="1271"/>
      <c r="BH37" s="1272"/>
      <c r="BI37" s="1272"/>
      <c r="BJ37" s="1272"/>
      <c r="BK37" s="1272"/>
      <c r="BL37" s="1272"/>
      <c r="BM37" s="1272"/>
      <c r="BN37" s="1272"/>
      <c r="BO37" s="1272"/>
      <c r="BP37" s="1272"/>
      <c r="BQ37" s="1272"/>
      <c r="BR37" s="1272"/>
      <c r="BS37" s="1272"/>
      <c r="BT37" s="1272"/>
      <c r="BU37" s="1272"/>
      <c r="BV37" s="1272"/>
      <c r="BW37" s="1272"/>
      <c r="BX37" s="1272"/>
      <c r="BY37" s="1272"/>
      <c r="BZ37" s="1272"/>
      <c r="CA37" s="1274"/>
    </row>
    <row r="38" spans="2:79" ht="11.25" customHeight="1" thickBot="1">
      <c r="B38" s="1278"/>
      <c r="C38" s="1279"/>
      <c r="D38" s="1280"/>
      <c r="E38" s="1292" t="str">
        <f>Buttons!$B$83</f>
        <v>Why?</v>
      </c>
      <c r="F38" s="1293"/>
      <c r="G38" s="1293"/>
      <c r="H38" s="1293"/>
      <c r="I38" s="1271"/>
      <c r="J38" s="1272"/>
      <c r="K38" s="1272"/>
      <c r="L38" s="1272"/>
      <c r="M38" s="1272"/>
      <c r="N38" s="1272"/>
      <c r="O38" s="1272"/>
      <c r="P38" s="1272"/>
      <c r="Q38" s="1272"/>
      <c r="R38" s="1272"/>
      <c r="S38" s="1272"/>
      <c r="T38" s="1272"/>
      <c r="U38" s="1272"/>
      <c r="V38" s="1272"/>
      <c r="W38" s="1272"/>
      <c r="X38" s="1272"/>
      <c r="Y38" s="1272"/>
      <c r="Z38" s="1272"/>
      <c r="AA38" s="1272"/>
      <c r="AB38" s="1272"/>
      <c r="AC38" s="1273"/>
      <c r="AD38" s="1293" t="str">
        <f>Buttons!$B$83</f>
        <v>Why?</v>
      </c>
      <c r="AE38" s="1293"/>
      <c r="AF38" s="1293"/>
      <c r="AG38" s="1293"/>
      <c r="AH38" s="1271"/>
      <c r="AI38" s="1272"/>
      <c r="AJ38" s="1272"/>
      <c r="AK38" s="1272"/>
      <c r="AL38" s="1272"/>
      <c r="AM38" s="1272"/>
      <c r="AN38" s="1272"/>
      <c r="AO38" s="1272"/>
      <c r="AP38" s="1272"/>
      <c r="AQ38" s="1272"/>
      <c r="AR38" s="1272"/>
      <c r="AS38" s="1272"/>
      <c r="AT38" s="1272"/>
      <c r="AU38" s="1272"/>
      <c r="AV38" s="1272"/>
      <c r="AW38" s="1272"/>
      <c r="AX38" s="1272"/>
      <c r="AY38" s="1272"/>
      <c r="AZ38" s="1272"/>
      <c r="BA38" s="1272"/>
      <c r="BB38" s="1273"/>
      <c r="BC38" s="1293" t="str">
        <f>Buttons!$B$83</f>
        <v>Why?</v>
      </c>
      <c r="BD38" s="1293"/>
      <c r="BE38" s="1293"/>
      <c r="BF38" s="1293"/>
      <c r="BG38" s="1271"/>
      <c r="BH38" s="1272"/>
      <c r="BI38" s="1272"/>
      <c r="BJ38" s="1272"/>
      <c r="BK38" s="1272"/>
      <c r="BL38" s="1272"/>
      <c r="BM38" s="1272"/>
      <c r="BN38" s="1272"/>
      <c r="BO38" s="1272"/>
      <c r="BP38" s="1272"/>
      <c r="BQ38" s="1272"/>
      <c r="BR38" s="1272"/>
      <c r="BS38" s="1272"/>
      <c r="BT38" s="1272"/>
      <c r="BU38" s="1272"/>
      <c r="BV38" s="1272"/>
      <c r="BW38" s="1272"/>
      <c r="BX38" s="1272"/>
      <c r="BY38" s="1272"/>
      <c r="BZ38" s="1272"/>
      <c r="CA38" s="1274"/>
    </row>
    <row r="39" spans="2:79" ht="11.25" customHeight="1" thickTop="1">
      <c r="B39" s="1278"/>
      <c r="C39" s="1279"/>
      <c r="D39" s="1280"/>
      <c r="E39" s="203"/>
      <c r="F39" s="356"/>
      <c r="G39" s="342"/>
      <c r="H39" s="366"/>
      <c r="I39" s="1271"/>
      <c r="J39" s="1272"/>
      <c r="K39" s="1272"/>
      <c r="L39" s="1272"/>
      <c r="M39" s="1272"/>
      <c r="N39" s="1272"/>
      <c r="O39" s="1272"/>
      <c r="P39" s="1272"/>
      <c r="Q39" s="1272"/>
      <c r="R39" s="1272"/>
      <c r="S39" s="1272"/>
      <c r="T39" s="1272"/>
      <c r="U39" s="1272"/>
      <c r="V39" s="1272"/>
      <c r="W39" s="1272"/>
      <c r="X39" s="1272"/>
      <c r="Y39" s="1272"/>
      <c r="Z39" s="1272"/>
      <c r="AA39" s="1272"/>
      <c r="AB39" s="1272"/>
      <c r="AC39" s="1273"/>
      <c r="AD39" s="203"/>
      <c r="AE39" s="356"/>
      <c r="AF39" s="342"/>
      <c r="AG39" s="366"/>
      <c r="AH39" s="1271"/>
      <c r="AI39" s="1272"/>
      <c r="AJ39" s="1272"/>
      <c r="AK39" s="1272"/>
      <c r="AL39" s="1272"/>
      <c r="AM39" s="1272"/>
      <c r="AN39" s="1272"/>
      <c r="AO39" s="1272"/>
      <c r="AP39" s="1272"/>
      <c r="AQ39" s="1272"/>
      <c r="AR39" s="1272"/>
      <c r="AS39" s="1272"/>
      <c r="AT39" s="1272"/>
      <c r="AU39" s="1272"/>
      <c r="AV39" s="1272"/>
      <c r="AW39" s="1272"/>
      <c r="AX39" s="1272"/>
      <c r="AY39" s="1272"/>
      <c r="AZ39" s="1272"/>
      <c r="BA39" s="1272"/>
      <c r="BB39" s="1273"/>
      <c r="BC39" s="203"/>
      <c r="BD39" s="356"/>
      <c r="BE39" s="342"/>
      <c r="BF39" s="366"/>
      <c r="BG39" s="1271"/>
      <c r="BH39" s="1272"/>
      <c r="BI39" s="1272"/>
      <c r="BJ39" s="1272"/>
      <c r="BK39" s="1272"/>
      <c r="BL39" s="1272"/>
      <c r="BM39" s="1272"/>
      <c r="BN39" s="1272"/>
      <c r="BO39" s="1272"/>
      <c r="BP39" s="1272"/>
      <c r="BQ39" s="1272"/>
      <c r="BR39" s="1272"/>
      <c r="BS39" s="1272"/>
      <c r="BT39" s="1272"/>
      <c r="BU39" s="1272"/>
      <c r="BV39" s="1272"/>
      <c r="BW39" s="1272"/>
      <c r="BX39" s="1272"/>
      <c r="BY39" s="1272"/>
      <c r="BZ39" s="1272"/>
      <c r="CA39" s="1274"/>
    </row>
    <row r="40" spans="2:79" ht="11.25" hidden="1" customHeight="1" outlineLevel="1" thickBot="1">
      <c r="B40" s="1278"/>
      <c r="C40" s="1279"/>
      <c r="D40" s="1280"/>
      <c r="E40" s="203"/>
      <c r="F40" s="356"/>
      <c r="G40" s="344"/>
      <c r="H40" s="364"/>
      <c r="I40" s="1271"/>
      <c r="J40" s="1272"/>
      <c r="K40" s="1272"/>
      <c r="L40" s="1272"/>
      <c r="M40" s="1272"/>
      <c r="N40" s="1272"/>
      <c r="O40" s="1272"/>
      <c r="P40" s="1272"/>
      <c r="Q40" s="1272"/>
      <c r="R40" s="1272"/>
      <c r="S40" s="1272"/>
      <c r="T40" s="1272"/>
      <c r="U40" s="1272"/>
      <c r="V40" s="1272"/>
      <c r="W40" s="1272"/>
      <c r="X40" s="1272"/>
      <c r="Y40" s="1272"/>
      <c r="Z40" s="1272"/>
      <c r="AA40" s="1272"/>
      <c r="AB40" s="1272"/>
      <c r="AC40" s="1273"/>
      <c r="AD40" s="203"/>
      <c r="AE40" s="356"/>
      <c r="AF40" s="344"/>
      <c r="AG40" s="364"/>
      <c r="AH40" s="1271"/>
      <c r="AI40" s="1272"/>
      <c r="AJ40" s="1272"/>
      <c r="AK40" s="1272"/>
      <c r="AL40" s="1272"/>
      <c r="AM40" s="1272"/>
      <c r="AN40" s="1272"/>
      <c r="AO40" s="1272"/>
      <c r="AP40" s="1272"/>
      <c r="AQ40" s="1272"/>
      <c r="AR40" s="1272"/>
      <c r="AS40" s="1272"/>
      <c r="AT40" s="1272"/>
      <c r="AU40" s="1272"/>
      <c r="AV40" s="1272"/>
      <c r="AW40" s="1272"/>
      <c r="AX40" s="1272"/>
      <c r="AY40" s="1272"/>
      <c r="AZ40" s="1272"/>
      <c r="BA40" s="1272"/>
      <c r="BB40" s="1273"/>
      <c r="BC40" s="203"/>
      <c r="BD40" s="356"/>
      <c r="BE40" s="344"/>
      <c r="BF40" s="364"/>
      <c r="BG40" s="1271"/>
      <c r="BH40" s="1272"/>
      <c r="BI40" s="1272"/>
      <c r="BJ40" s="1272"/>
      <c r="BK40" s="1272"/>
      <c r="BL40" s="1272"/>
      <c r="BM40" s="1272"/>
      <c r="BN40" s="1272"/>
      <c r="BO40" s="1272"/>
      <c r="BP40" s="1272"/>
      <c r="BQ40" s="1272"/>
      <c r="BR40" s="1272"/>
      <c r="BS40" s="1272"/>
      <c r="BT40" s="1272"/>
      <c r="BU40" s="1272"/>
      <c r="BV40" s="1272"/>
      <c r="BW40" s="1272"/>
      <c r="BX40" s="1272"/>
      <c r="BY40" s="1272"/>
      <c r="BZ40" s="1272"/>
      <c r="CA40" s="1274"/>
    </row>
    <row r="41" spans="2:79" ht="11.25" hidden="1" customHeight="1" outlineLevel="1" thickTop="1">
      <c r="B41" s="1278"/>
      <c r="C41" s="1279"/>
      <c r="D41" s="1280"/>
      <c r="E41" s="203"/>
      <c r="F41" s="356"/>
      <c r="G41" s="203"/>
      <c r="H41" s="365"/>
      <c r="I41" s="1271"/>
      <c r="J41" s="1272"/>
      <c r="K41" s="1272"/>
      <c r="L41" s="1272"/>
      <c r="M41" s="1272"/>
      <c r="N41" s="1272"/>
      <c r="O41" s="1272"/>
      <c r="P41" s="1272"/>
      <c r="Q41" s="1272"/>
      <c r="R41" s="1272"/>
      <c r="S41" s="1272"/>
      <c r="T41" s="1272"/>
      <c r="U41" s="1272"/>
      <c r="V41" s="1272"/>
      <c r="W41" s="1272"/>
      <c r="X41" s="1272"/>
      <c r="Y41" s="1272"/>
      <c r="Z41" s="1272"/>
      <c r="AA41" s="1272"/>
      <c r="AB41" s="1272"/>
      <c r="AC41" s="1273"/>
      <c r="AD41" s="203"/>
      <c r="AE41" s="356"/>
      <c r="AF41" s="203"/>
      <c r="AG41" s="365"/>
      <c r="AH41" s="1271"/>
      <c r="AI41" s="1272"/>
      <c r="AJ41" s="1272"/>
      <c r="AK41" s="1272"/>
      <c r="AL41" s="1272"/>
      <c r="AM41" s="1272"/>
      <c r="AN41" s="1272"/>
      <c r="AO41" s="1272"/>
      <c r="AP41" s="1272"/>
      <c r="AQ41" s="1272"/>
      <c r="AR41" s="1272"/>
      <c r="AS41" s="1272"/>
      <c r="AT41" s="1272"/>
      <c r="AU41" s="1272"/>
      <c r="AV41" s="1272"/>
      <c r="AW41" s="1272"/>
      <c r="AX41" s="1272"/>
      <c r="AY41" s="1272"/>
      <c r="AZ41" s="1272"/>
      <c r="BA41" s="1272"/>
      <c r="BB41" s="1273"/>
      <c r="BC41" s="203"/>
      <c r="BD41" s="356"/>
      <c r="BE41" s="203"/>
      <c r="BF41" s="365"/>
      <c r="BG41" s="1271"/>
      <c r="BH41" s="1272"/>
      <c r="BI41" s="1272"/>
      <c r="BJ41" s="1272"/>
      <c r="BK41" s="1272"/>
      <c r="BL41" s="1272"/>
      <c r="BM41" s="1272"/>
      <c r="BN41" s="1272"/>
      <c r="BO41" s="1272"/>
      <c r="BP41" s="1272"/>
      <c r="BQ41" s="1272"/>
      <c r="BR41" s="1272"/>
      <c r="BS41" s="1272"/>
      <c r="BT41" s="1272"/>
      <c r="BU41" s="1272"/>
      <c r="BV41" s="1272"/>
      <c r="BW41" s="1272"/>
      <c r="BX41" s="1272"/>
      <c r="BY41" s="1272"/>
      <c r="BZ41" s="1272"/>
      <c r="CA41" s="1274"/>
    </row>
    <row r="42" spans="2:79" ht="11.25" hidden="1" customHeight="1" outlineLevel="1">
      <c r="B42" s="1278"/>
      <c r="C42" s="1279"/>
      <c r="D42" s="1280"/>
      <c r="E42" s="203"/>
      <c r="F42" s="356"/>
      <c r="G42" s="203"/>
      <c r="H42" s="203"/>
      <c r="I42" s="1271"/>
      <c r="J42" s="1272"/>
      <c r="K42" s="1272"/>
      <c r="L42" s="1272"/>
      <c r="M42" s="1272"/>
      <c r="N42" s="1272"/>
      <c r="O42" s="1272"/>
      <c r="P42" s="1272"/>
      <c r="Q42" s="1272"/>
      <c r="R42" s="1272"/>
      <c r="S42" s="1272"/>
      <c r="T42" s="1272"/>
      <c r="U42" s="1272"/>
      <c r="V42" s="1272"/>
      <c r="W42" s="1272"/>
      <c r="X42" s="1272"/>
      <c r="Y42" s="1272"/>
      <c r="Z42" s="1272"/>
      <c r="AA42" s="1272"/>
      <c r="AB42" s="1272"/>
      <c r="AC42" s="1273"/>
      <c r="AD42" s="203"/>
      <c r="AE42" s="356"/>
      <c r="AF42" s="203"/>
      <c r="AG42" s="203"/>
      <c r="AH42" s="1271"/>
      <c r="AI42" s="1272"/>
      <c r="AJ42" s="1272"/>
      <c r="AK42" s="1272"/>
      <c r="AL42" s="1272"/>
      <c r="AM42" s="1272"/>
      <c r="AN42" s="1272"/>
      <c r="AO42" s="1272"/>
      <c r="AP42" s="1272"/>
      <c r="AQ42" s="1272"/>
      <c r="AR42" s="1272"/>
      <c r="AS42" s="1272"/>
      <c r="AT42" s="1272"/>
      <c r="AU42" s="1272"/>
      <c r="AV42" s="1272"/>
      <c r="AW42" s="1272"/>
      <c r="AX42" s="1272"/>
      <c r="AY42" s="1272"/>
      <c r="AZ42" s="1272"/>
      <c r="BA42" s="1272"/>
      <c r="BB42" s="1273"/>
      <c r="BC42" s="203"/>
      <c r="BD42" s="356"/>
      <c r="BE42" s="203"/>
      <c r="BF42" s="203"/>
      <c r="BG42" s="1271"/>
      <c r="BH42" s="1272"/>
      <c r="BI42" s="1272"/>
      <c r="BJ42" s="1272"/>
      <c r="BK42" s="1272"/>
      <c r="BL42" s="1272"/>
      <c r="BM42" s="1272"/>
      <c r="BN42" s="1272"/>
      <c r="BO42" s="1272"/>
      <c r="BP42" s="1272"/>
      <c r="BQ42" s="1272"/>
      <c r="BR42" s="1272"/>
      <c r="BS42" s="1272"/>
      <c r="BT42" s="1272"/>
      <c r="BU42" s="1272"/>
      <c r="BV42" s="1272"/>
      <c r="BW42" s="1272"/>
      <c r="BX42" s="1272"/>
      <c r="BY42" s="1272"/>
      <c r="BZ42" s="1272"/>
      <c r="CA42" s="1274"/>
    </row>
    <row r="43" spans="2:79" ht="11.25" hidden="1" customHeight="1" outlineLevel="1" thickBot="1">
      <c r="B43" s="1278"/>
      <c r="C43" s="1279"/>
      <c r="D43" s="1280"/>
      <c r="E43" s="1292" t="str">
        <f>Buttons!$B$83</f>
        <v>Why?</v>
      </c>
      <c r="F43" s="1293"/>
      <c r="G43" s="1293"/>
      <c r="H43" s="1293"/>
      <c r="I43" s="1271"/>
      <c r="J43" s="1272"/>
      <c r="K43" s="1272"/>
      <c r="L43" s="1272"/>
      <c r="M43" s="1272"/>
      <c r="N43" s="1272"/>
      <c r="O43" s="1272"/>
      <c r="P43" s="1272"/>
      <c r="Q43" s="1272"/>
      <c r="R43" s="1272"/>
      <c r="S43" s="1272"/>
      <c r="T43" s="1272"/>
      <c r="U43" s="1272"/>
      <c r="V43" s="1272"/>
      <c r="W43" s="1272"/>
      <c r="X43" s="1272"/>
      <c r="Y43" s="1272"/>
      <c r="Z43" s="1272"/>
      <c r="AA43" s="1272"/>
      <c r="AB43" s="1272"/>
      <c r="AC43" s="1273"/>
      <c r="AD43" s="1293" t="str">
        <f>Buttons!$B$83</f>
        <v>Why?</v>
      </c>
      <c r="AE43" s="1293"/>
      <c r="AF43" s="1293"/>
      <c r="AG43" s="1293"/>
      <c r="AH43" s="1271"/>
      <c r="AI43" s="1272"/>
      <c r="AJ43" s="1272"/>
      <c r="AK43" s="1272"/>
      <c r="AL43" s="1272"/>
      <c r="AM43" s="1272"/>
      <c r="AN43" s="1272"/>
      <c r="AO43" s="1272"/>
      <c r="AP43" s="1272"/>
      <c r="AQ43" s="1272"/>
      <c r="AR43" s="1272"/>
      <c r="AS43" s="1272"/>
      <c r="AT43" s="1272"/>
      <c r="AU43" s="1272"/>
      <c r="AV43" s="1272"/>
      <c r="AW43" s="1272"/>
      <c r="AX43" s="1272"/>
      <c r="AY43" s="1272"/>
      <c r="AZ43" s="1272"/>
      <c r="BA43" s="1272"/>
      <c r="BB43" s="1273"/>
      <c r="BC43" s="1293" t="str">
        <f>Buttons!$B$83</f>
        <v>Why?</v>
      </c>
      <c r="BD43" s="1293"/>
      <c r="BE43" s="1293"/>
      <c r="BF43" s="1293"/>
      <c r="BG43" s="1271"/>
      <c r="BH43" s="1272"/>
      <c r="BI43" s="1272"/>
      <c r="BJ43" s="1272"/>
      <c r="BK43" s="1272"/>
      <c r="BL43" s="1272"/>
      <c r="BM43" s="1272"/>
      <c r="BN43" s="1272"/>
      <c r="BO43" s="1272"/>
      <c r="BP43" s="1272"/>
      <c r="BQ43" s="1272"/>
      <c r="BR43" s="1272"/>
      <c r="BS43" s="1272"/>
      <c r="BT43" s="1272"/>
      <c r="BU43" s="1272"/>
      <c r="BV43" s="1272"/>
      <c r="BW43" s="1272"/>
      <c r="BX43" s="1272"/>
      <c r="BY43" s="1272"/>
      <c r="BZ43" s="1272"/>
      <c r="CA43" s="1274"/>
    </row>
    <row r="44" spans="2:79" ht="11.25" hidden="1" customHeight="1" outlineLevel="1" thickTop="1">
      <c r="B44" s="1278"/>
      <c r="C44" s="1279"/>
      <c r="D44" s="1280"/>
      <c r="E44" s="203"/>
      <c r="F44" s="356"/>
      <c r="G44" s="342"/>
      <c r="H44" s="366"/>
      <c r="I44" s="1271"/>
      <c r="J44" s="1272"/>
      <c r="K44" s="1272"/>
      <c r="L44" s="1272"/>
      <c r="M44" s="1272"/>
      <c r="N44" s="1272"/>
      <c r="O44" s="1272"/>
      <c r="P44" s="1272"/>
      <c r="Q44" s="1272"/>
      <c r="R44" s="1272"/>
      <c r="S44" s="1272"/>
      <c r="T44" s="1272"/>
      <c r="U44" s="1272"/>
      <c r="V44" s="1272"/>
      <c r="W44" s="1272"/>
      <c r="X44" s="1272"/>
      <c r="Y44" s="1272"/>
      <c r="Z44" s="1272"/>
      <c r="AA44" s="1272"/>
      <c r="AB44" s="1272"/>
      <c r="AC44" s="1273"/>
      <c r="AD44" s="203"/>
      <c r="AE44" s="356"/>
      <c r="AF44" s="342"/>
      <c r="AG44" s="366"/>
      <c r="AH44" s="1271"/>
      <c r="AI44" s="1272"/>
      <c r="AJ44" s="1272"/>
      <c r="AK44" s="1272"/>
      <c r="AL44" s="1272"/>
      <c r="AM44" s="1272"/>
      <c r="AN44" s="1272"/>
      <c r="AO44" s="1272"/>
      <c r="AP44" s="1272"/>
      <c r="AQ44" s="1272"/>
      <c r="AR44" s="1272"/>
      <c r="AS44" s="1272"/>
      <c r="AT44" s="1272"/>
      <c r="AU44" s="1272"/>
      <c r="AV44" s="1272"/>
      <c r="AW44" s="1272"/>
      <c r="AX44" s="1272"/>
      <c r="AY44" s="1272"/>
      <c r="AZ44" s="1272"/>
      <c r="BA44" s="1272"/>
      <c r="BB44" s="1273"/>
      <c r="BC44" s="203"/>
      <c r="BD44" s="356"/>
      <c r="BE44" s="342"/>
      <c r="BF44" s="366"/>
      <c r="BG44" s="1271"/>
      <c r="BH44" s="1272"/>
      <c r="BI44" s="1272"/>
      <c r="BJ44" s="1272"/>
      <c r="BK44" s="1272"/>
      <c r="BL44" s="1272"/>
      <c r="BM44" s="1272"/>
      <c r="BN44" s="1272"/>
      <c r="BO44" s="1272"/>
      <c r="BP44" s="1272"/>
      <c r="BQ44" s="1272"/>
      <c r="BR44" s="1272"/>
      <c r="BS44" s="1272"/>
      <c r="BT44" s="1272"/>
      <c r="BU44" s="1272"/>
      <c r="BV44" s="1272"/>
      <c r="BW44" s="1272"/>
      <c r="BX44" s="1272"/>
      <c r="BY44" s="1272"/>
      <c r="BZ44" s="1272"/>
      <c r="CA44" s="1274"/>
    </row>
    <row r="45" spans="2:79" ht="11.25" hidden="1" customHeight="1" outlineLevel="1" thickBot="1">
      <c r="B45" s="1278"/>
      <c r="C45" s="1279"/>
      <c r="D45" s="1280"/>
      <c r="E45" s="203"/>
      <c r="F45" s="356"/>
      <c r="G45" s="344"/>
      <c r="H45" s="364"/>
      <c r="I45" s="1271"/>
      <c r="J45" s="1272"/>
      <c r="K45" s="1272"/>
      <c r="L45" s="1272"/>
      <c r="M45" s="1272"/>
      <c r="N45" s="1272"/>
      <c r="O45" s="1272"/>
      <c r="P45" s="1272"/>
      <c r="Q45" s="1272"/>
      <c r="R45" s="1272"/>
      <c r="S45" s="1272"/>
      <c r="T45" s="1272"/>
      <c r="U45" s="1272"/>
      <c r="V45" s="1272"/>
      <c r="W45" s="1272"/>
      <c r="X45" s="1272"/>
      <c r="Y45" s="1272"/>
      <c r="Z45" s="1272"/>
      <c r="AA45" s="1272"/>
      <c r="AB45" s="1272"/>
      <c r="AC45" s="1273"/>
      <c r="AD45" s="203"/>
      <c r="AE45" s="356"/>
      <c r="AF45" s="344"/>
      <c r="AG45" s="364"/>
      <c r="AH45" s="1271"/>
      <c r="AI45" s="1272"/>
      <c r="AJ45" s="1272"/>
      <c r="AK45" s="1272"/>
      <c r="AL45" s="1272"/>
      <c r="AM45" s="1272"/>
      <c r="AN45" s="1272"/>
      <c r="AO45" s="1272"/>
      <c r="AP45" s="1272"/>
      <c r="AQ45" s="1272"/>
      <c r="AR45" s="1272"/>
      <c r="AS45" s="1272"/>
      <c r="AT45" s="1272"/>
      <c r="AU45" s="1272"/>
      <c r="AV45" s="1272"/>
      <c r="AW45" s="1272"/>
      <c r="AX45" s="1272"/>
      <c r="AY45" s="1272"/>
      <c r="AZ45" s="1272"/>
      <c r="BA45" s="1272"/>
      <c r="BB45" s="1273"/>
      <c r="BC45" s="203"/>
      <c r="BD45" s="356"/>
      <c r="BE45" s="344"/>
      <c r="BF45" s="364"/>
      <c r="BG45" s="1271"/>
      <c r="BH45" s="1272"/>
      <c r="BI45" s="1272"/>
      <c r="BJ45" s="1272"/>
      <c r="BK45" s="1272"/>
      <c r="BL45" s="1272"/>
      <c r="BM45" s="1272"/>
      <c r="BN45" s="1272"/>
      <c r="BO45" s="1272"/>
      <c r="BP45" s="1272"/>
      <c r="BQ45" s="1272"/>
      <c r="BR45" s="1272"/>
      <c r="BS45" s="1272"/>
      <c r="BT45" s="1272"/>
      <c r="BU45" s="1272"/>
      <c r="BV45" s="1272"/>
      <c r="BW45" s="1272"/>
      <c r="BX45" s="1272"/>
      <c r="BY45" s="1272"/>
      <c r="BZ45" s="1272"/>
      <c r="CA45" s="1274"/>
    </row>
    <row r="46" spans="2:79" ht="11.25" hidden="1" customHeight="1" outlineLevel="1" thickTop="1">
      <c r="B46" s="1278"/>
      <c r="C46" s="1279"/>
      <c r="D46" s="1280"/>
      <c r="E46" s="203"/>
      <c r="F46" s="356"/>
      <c r="G46" s="203"/>
      <c r="H46" s="365"/>
      <c r="I46" s="1271"/>
      <c r="J46" s="1272"/>
      <c r="K46" s="1272"/>
      <c r="L46" s="1272"/>
      <c r="M46" s="1272"/>
      <c r="N46" s="1272"/>
      <c r="O46" s="1272"/>
      <c r="P46" s="1272"/>
      <c r="Q46" s="1272"/>
      <c r="R46" s="1272"/>
      <c r="S46" s="1272"/>
      <c r="T46" s="1272"/>
      <c r="U46" s="1272"/>
      <c r="V46" s="1272"/>
      <c r="W46" s="1272"/>
      <c r="X46" s="1272"/>
      <c r="Y46" s="1272"/>
      <c r="Z46" s="1272"/>
      <c r="AA46" s="1272"/>
      <c r="AB46" s="1272"/>
      <c r="AC46" s="1273"/>
      <c r="AD46" s="203"/>
      <c r="AE46" s="356"/>
      <c r="AF46" s="203"/>
      <c r="AG46" s="365"/>
      <c r="AH46" s="1271"/>
      <c r="AI46" s="1272"/>
      <c r="AJ46" s="1272"/>
      <c r="AK46" s="1272"/>
      <c r="AL46" s="1272"/>
      <c r="AM46" s="1272"/>
      <c r="AN46" s="1272"/>
      <c r="AO46" s="1272"/>
      <c r="AP46" s="1272"/>
      <c r="AQ46" s="1272"/>
      <c r="AR46" s="1272"/>
      <c r="AS46" s="1272"/>
      <c r="AT46" s="1272"/>
      <c r="AU46" s="1272"/>
      <c r="AV46" s="1272"/>
      <c r="AW46" s="1272"/>
      <c r="AX46" s="1272"/>
      <c r="AY46" s="1272"/>
      <c r="AZ46" s="1272"/>
      <c r="BA46" s="1272"/>
      <c r="BB46" s="1273"/>
      <c r="BC46" s="203"/>
      <c r="BD46" s="356"/>
      <c r="BE46" s="203"/>
      <c r="BF46" s="365"/>
      <c r="BG46" s="1271"/>
      <c r="BH46" s="1272"/>
      <c r="BI46" s="1272"/>
      <c r="BJ46" s="1272"/>
      <c r="BK46" s="1272"/>
      <c r="BL46" s="1272"/>
      <c r="BM46" s="1272"/>
      <c r="BN46" s="1272"/>
      <c r="BO46" s="1272"/>
      <c r="BP46" s="1272"/>
      <c r="BQ46" s="1272"/>
      <c r="BR46" s="1272"/>
      <c r="BS46" s="1272"/>
      <c r="BT46" s="1272"/>
      <c r="BU46" s="1272"/>
      <c r="BV46" s="1272"/>
      <c r="BW46" s="1272"/>
      <c r="BX46" s="1272"/>
      <c r="BY46" s="1272"/>
      <c r="BZ46" s="1272"/>
      <c r="CA46" s="1274"/>
    </row>
    <row r="47" spans="2:79" ht="11.25" hidden="1" customHeight="1" outlineLevel="1">
      <c r="B47" s="1278"/>
      <c r="C47" s="1279"/>
      <c r="D47" s="1280"/>
      <c r="E47" s="203"/>
      <c r="F47" s="356"/>
      <c r="G47" s="203"/>
      <c r="H47" s="203"/>
      <c r="I47" s="1271"/>
      <c r="J47" s="1272"/>
      <c r="K47" s="1272"/>
      <c r="L47" s="1272"/>
      <c r="M47" s="1272"/>
      <c r="N47" s="1272"/>
      <c r="O47" s="1272"/>
      <c r="P47" s="1272"/>
      <c r="Q47" s="1272"/>
      <c r="R47" s="1272"/>
      <c r="S47" s="1272"/>
      <c r="T47" s="1272"/>
      <c r="U47" s="1272"/>
      <c r="V47" s="1272"/>
      <c r="W47" s="1272"/>
      <c r="X47" s="1272"/>
      <c r="Y47" s="1272"/>
      <c r="Z47" s="1272"/>
      <c r="AA47" s="1272"/>
      <c r="AB47" s="1272"/>
      <c r="AC47" s="1273"/>
      <c r="AD47" s="203"/>
      <c r="AE47" s="356"/>
      <c r="AF47" s="203"/>
      <c r="AG47" s="203"/>
      <c r="AH47" s="1271"/>
      <c r="AI47" s="1272"/>
      <c r="AJ47" s="1272"/>
      <c r="AK47" s="1272"/>
      <c r="AL47" s="1272"/>
      <c r="AM47" s="1272"/>
      <c r="AN47" s="1272"/>
      <c r="AO47" s="1272"/>
      <c r="AP47" s="1272"/>
      <c r="AQ47" s="1272"/>
      <c r="AR47" s="1272"/>
      <c r="AS47" s="1272"/>
      <c r="AT47" s="1272"/>
      <c r="AU47" s="1272"/>
      <c r="AV47" s="1272"/>
      <c r="AW47" s="1272"/>
      <c r="AX47" s="1272"/>
      <c r="AY47" s="1272"/>
      <c r="AZ47" s="1272"/>
      <c r="BA47" s="1272"/>
      <c r="BB47" s="1273"/>
      <c r="BC47" s="203"/>
      <c r="BD47" s="356"/>
      <c r="BE47" s="203"/>
      <c r="BF47" s="203"/>
      <c r="BG47" s="1271"/>
      <c r="BH47" s="1272"/>
      <c r="BI47" s="1272"/>
      <c r="BJ47" s="1272"/>
      <c r="BK47" s="1272"/>
      <c r="BL47" s="1272"/>
      <c r="BM47" s="1272"/>
      <c r="BN47" s="1272"/>
      <c r="BO47" s="1272"/>
      <c r="BP47" s="1272"/>
      <c r="BQ47" s="1272"/>
      <c r="BR47" s="1272"/>
      <c r="BS47" s="1272"/>
      <c r="BT47" s="1272"/>
      <c r="BU47" s="1272"/>
      <c r="BV47" s="1272"/>
      <c r="BW47" s="1272"/>
      <c r="BX47" s="1272"/>
      <c r="BY47" s="1272"/>
      <c r="BZ47" s="1272"/>
      <c r="CA47" s="1274"/>
    </row>
    <row r="48" spans="2:79" ht="11.25" hidden="1" customHeight="1" outlineLevel="1" thickBot="1">
      <c r="B48" s="1278"/>
      <c r="C48" s="1279"/>
      <c r="D48" s="1280"/>
      <c r="E48" s="1292" t="str">
        <f>Buttons!$B$83</f>
        <v>Why?</v>
      </c>
      <c r="F48" s="1293"/>
      <c r="G48" s="1293"/>
      <c r="H48" s="1293"/>
      <c r="I48" s="1271"/>
      <c r="J48" s="1272"/>
      <c r="K48" s="1272"/>
      <c r="L48" s="1272"/>
      <c r="M48" s="1272"/>
      <c r="N48" s="1272"/>
      <c r="O48" s="1272"/>
      <c r="P48" s="1272"/>
      <c r="Q48" s="1272"/>
      <c r="R48" s="1272"/>
      <c r="S48" s="1272"/>
      <c r="T48" s="1272"/>
      <c r="U48" s="1272"/>
      <c r="V48" s="1272"/>
      <c r="W48" s="1272"/>
      <c r="X48" s="1272"/>
      <c r="Y48" s="1272"/>
      <c r="Z48" s="1272"/>
      <c r="AA48" s="1272"/>
      <c r="AB48" s="1272"/>
      <c r="AC48" s="1273"/>
      <c r="AD48" s="1293" t="str">
        <f>Buttons!$B$83</f>
        <v>Why?</v>
      </c>
      <c r="AE48" s="1293"/>
      <c r="AF48" s="1293"/>
      <c r="AG48" s="1293"/>
      <c r="AH48" s="1271"/>
      <c r="AI48" s="1272"/>
      <c r="AJ48" s="1272"/>
      <c r="AK48" s="1272"/>
      <c r="AL48" s="1272"/>
      <c r="AM48" s="1272"/>
      <c r="AN48" s="1272"/>
      <c r="AO48" s="1272"/>
      <c r="AP48" s="1272"/>
      <c r="AQ48" s="1272"/>
      <c r="AR48" s="1272"/>
      <c r="AS48" s="1272"/>
      <c r="AT48" s="1272"/>
      <c r="AU48" s="1272"/>
      <c r="AV48" s="1272"/>
      <c r="AW48" s="1272"/>
      <c r="AX48" s="1272"/>
      <c r="AY48" s="1272"/>
      <c r="AZ48" s="1272"/>
      <c r="BA48" s="1272"/>
      <c r="BB48" s="1273"/>
      <c r="BC48" s="1293" t="str">
        <f>Buttons!$B$83</f>
        <v>Why?</v>
      </c>
      <c r="BD48" s="1293"/>
      <c r="BE48" s="1293"/>
      <c r="BF48" s="1293"/>
      <c r="BG48" s="1271"/>
      <c r="BH48" s="1272"/>
      <c r="BI48" s="1272"/>
      <c r="BJ48" s="1272"/>
      <c r="BK48" s="1272"/>
      <c r="BL48" s="1272"/>
      <c r="BM48" s="1272"/>
      <c r="BN48" s="1272"/>
      <c r="BO48" s="1272"/>
      <c r="BP48" s="1272"/>
      <c r="BQ48" s="1272"/>
      <c r="BR48" s="1272"/>
      <c r="BS48" s="1272"/>
      <c r="BT48" s="1272"/>
      <c r="BU48" s="1272"/>
      <c r="BV48" s="1272"/>
      <c r="BW48" s="1272"/>
      <c r="BX48" s="1272"/>
      <c r="BY48" s="1272"/>
      <c r="BZ48" s="1272"/>
      <c r="CA48" s="1274"/>
    </row>
    <row r="49" spans="2:79" ht="11.25" hidden="1" customHeight="1" outlineLevel="1" thickTop="1">
      <c r="B49" s="1278"/>
      <c r="C49" s="1279"/>
      <c r="D49" s="1280"/>
      <c r="E49" s="203"/>
      <c r="F49" s="356"/>
      <c r="G49" s="342"/>
      <c r="H49" s="366"/>
      <c r="I49" s="1271"/>
      <c r="J49" s="1272"/>
      <c r="K49" s="1272"/>
      <c r="L49" s="1272"/>
      <c r="M49" s="1272"/>
      <c r="N49" s="1272"/>
      <c r="O49" s="1272"/>
      <c r="P49" s="1272"/>
      <c r="Q49" s="1272"/>
      <c r="R49" s="1272"/>
      <c r="S49" s="1272"/>
      <c r="T49" s="1272"/>
      <c r="U49" s="1272"/>
      <c r="V49" s="1272"/>
      <c r="W49" s="1272"/>
      <c r="X49" s="1272"/>
      <c r="Y49" s="1272"/>
      <c r="Z49" s="1272"/>
      <c r="AA49" s="1272"/>
      <c r="AB49" s="1272"/>
      <c r="AC49" s="1273"/>
      <c r="AD49" s="203"/>
      <c r="AE49" s="356"/>
      <c r="AF49" s="342"/>
      <c r="AG49" s="366"/>
      <c r="AH49" s="1271"/>
      <c r="AI49" s="1272"/>
      <c r="AJ49" s="1272"/>
      <c r="AK49" s="1272"/>
      <c r="AL49" s="1272"/>
      <c r="AM49" s="1272"/>
      <c r="AN49" s="1272"/>
      <c r="AO49" s="1272"/>
      <c r="AP49" s="1272"/>
      <c r="AQ49" s="1272"/>
      <c r="AR49" s="1272"/>
      <c r="AS49" s="1272"/>
      <c r="AT49" s="1272"/>
      <c r="AU49" s="1272"/>
      <c r="AV49" s="1272"/>
      <c r="AW49" s="1272"/>
      <c r="AX49" s="1272"/>
      <c r="AY49" s="1272"/>
      <c r="AZ49" s="1272"/>
      <c r="BA49" s="1272"/>
      <c r="BB49" s="1273"/>
      <c r="BC49" s="203"/>
      <c r="BD49" s="356"/>
      <c r="BE49" s="342"/>
      <c r="BF49" s="366"/>
      <c r="BG49" s="1271"/>
      <c r="BH49" s="1272"/>
      <c r="BI49" s="1272"/>
      <c r="BJ49" s="1272"/>
      <c r="BK49" s="1272"/>
      <c r="BL49" s="1272"/>
      <c r="BM49" s="1272"/>
      <c r="BN49" s="1272"/>
      <c r="BO49" s="1272"/>
      <c r="BP49" s="1272"/>
      <c r="BQ49" s="1272"/>
      <c r="BR49" s="1272"/>
      <c r="BS49" s="1272"/>
      <c r="BT49" s="1272"/>
      <c r="BU49" s="1272"/>
      <c r="BV49" s="1272"/>
      <c r="BW49" s="1272"/>
      <c r="BX49" s="1272"/>
      <c r="BY49" s="1272"/>
      <c r="BZ49" s="1272"/>
      <c r="CA49" s="1274"/>
    </row>
    <row r="50" spans="2:79" ht="11.25" customHeight="1" collapsed="1" thickBot="1">
      <c r="B50" s="1278"/>
      <c r="C50" s="1279"/>
      <c r="D50" s="1280"/>
      <c r="E50" s="203"/>
      <c r="F50" s="356"/>
      <c r="G50" s="344"/>
      <c r="H50" s="364"/>
      <c r="I50" s="1271"/>
      <c r="J50" s="1272"/>
      <c r="K50" s="1272"/>
      <c r="L50" s="1272"/>
      <c r="M50" s="1272"/>
      <c r="N50" s="1272"/>
      <c r="O50" s="1272"/>
      <c r="P50" s="1272"/>
      <c r="Q50" s="1272"/>
      <c r="R50" s="1272"/>
      <c r="S50" s="1272"/>
      <c r="T50" s="1272"/>
      <c r="U50" s="1272"/>
      <c r="V50" s="1272"/>
      <c r="W50" s="1272"/>
      <c r="X50" s="1272"/>
      <c r="Y50" s="1272"/>
      <c r="Z50" s="1272"/>
      <c r="AA50" s="1272"/>
      <c r="AB50" s="1272"/>
      <c r="AC50" s="1273"/>
      <c r="AD50" s="203"/>
      <c r="AE50" s="356"/>
      <c r="AF50" s="344"/>
      <c r="AG50" s="364"/>
      <c r="AH50" s="1271"/>
      <c r="AI50" s="1272"/>
      <c r="AJ50" s="1272"/>
      <c r="AK50" s="1272"/>
      <c r="AL50" s="1272"/>
      <c r="AM50" s="1272"/>
      <c r="AN50" s="1272"/>
      <c r="AO50" s="1272"/>
      <c r="AP50" s="1272"/>
      <c r="AQ50" s="1272"/>
      <c r="AR50" s="1272"/>
      <c r="AS50" s="1272"/>
      <c r="AT50" s="1272"/>
      <c r="AU50" s="1272"/>
      <c r="AV50" s="1272"/>
      <c r="AW50" s="1272"/>
      <c r="AX50" s="1272"/>
      <c r="AY50" s="1272"/>
      <c r="AZ50" s="1272"/>
      <c r="BA50" s="1272"/>
      <c r="BB50" s="1273"/>
      <c r="BC50" s="203"/>
      <c r="BD50" s="356"/>
      <c r="BE50" s="344"/>
      <c r="BF50" s="364"/>
      <c r="BG50" s="1271"/>
      <c r="BH50" s="1272"/>
      <c r="BI50" s="1272"/>
      <c r="BJ50" s="1272"/>
      <c r="BK50" s="1272"/>
      <c r="BL50" s="1272"/>
      <c r="BM50" s="1272"/>
      <c r="BN50" s="1272"/>
      <c r="BO50" s="1272"/>
      <c r="BP50" s="1272"/>
      <c r="BQ50" s="1272"/>
      <c r="BR50" s="1272"/>
      <c r="BS50" s="1272"/>
      <c r="BT50" s="1272"/>
      <c r="BU50" s="1272"/>
      <c r="BV50" s="1272"/>
      <c r="BW50" s="1272"/>
      <c r="BX50" s="1272"/>
      <c r="BY50" s="1272"/>
      <c r="BZ50" s="1272"/>
      <c r="CA50" s="1274"/>
    </row>
    <row r="51" spans="2:79" ht="11.25" customHeight="1" thickTop="1">
      <c r="B51" s="1278"/>
      <c r="C51" s="1279"/>
      <c r="D51" s="1280"/>
      <c r="E51" s="203"/>
      <c r="F51" s="356"/>
      <c r="G51" s="203"/>
      <c r="H51" s="365"/>
      <c r="I51" s="1271"/>
      <c r="J51" s="1272"/>
      <c r="K51" s="1272"/>
      <c r="L51" s="1272"/>
      <c r="M51" s="1272"/>
      <c r="N51" s="1272"/>
      <c r="O51" s="1272"/>
      <c r="P51" s="1272"/>
      <c r="Q51" s="1272"/>
      <c r="R51" s="1272"/>
      <c r="S51" s="1272"/>
      <c r="T51" s="1272"/>
      <c r="U51" s="1272"/>
      <c r="V51" s="1272"/>
      <c r="W51" s="1272"/>
      <c r="X51" s="1272"/>
      <c r="Y51" s="1272"/>
      <c r="Z51" s="1272"/>
      <c r="AA51" s="1272"/>
      <c r="AB51" s="1272"/>
      <c r="AC51" s="1273"/>
      <c r="AD51" s="203"/>
      <c r="AE51" s="356"/>
      <c r="AF51" s="203"/>
      <c r="AG51" s="365"/>
      <c r="AH51" s="1271"/>
      <c r="AI51" s="1272"/>
      <c r="AJ51" s="1272"/>
      <c r="AK51" s="1272"/>
      <c r="AL51" s="1272"/>
      <c r="AM51" s="1272"/>
      <c r="AN51" s="1272"/>
      <c r="AO51" s="1272"/>
      <c r="AP51" s="1272"/>
      <c r="AQ51" s="1272"/>
      <c r="AR51" s="1272"/>
      <c r="AS51" s="1272"/>
      <c r="AT51" s="1272"/>
      <c r="AU51" s="1272"/>
      <c r="AV51" s="1272"/>
      <c r="AW51" s="1272"/>
      <c r="AX51" s="1272"/>
      <c r="AY51" s="1272"/>
      <c r="AZ51" s="1272"/>
      <c r="BA51" s="1272"/>
      <c r="BB51" s="1273"/>
      <c r="BC51" s="203"/>
      <c r="BD51" s="356"/>
      <c r="BE51" s="203"/>
      <c r="BF51" s="365"/>
      <c r="BG51" s="1271"/>
      <c r="BH51" s="1272"/>
      <c r="BI51" s="1272"/>
      <c r="BJ51" s="1272"/>
      <c r="BK51" s="1272"/>
      <c r="BL51" s="1272"/>
      <c r="BM51" s="1272"/>
      <c r="BN51" s="1272"/>
      <c r="BO51" s="1272"/>
      <c r="BP51" s="1272"/>
      <c r="BQ51" s="1272"/>
      <c r="BR51" s="1272"/>
      <c r="BS51" s="1272"/>
      <c r="BT51" s="1272"/>
      <c r="BU51" s="1272"/>
      <c r="BV51" s="1272"/>
      <c r="BW51" s="1272"/>
      <c r="BX51" s="1272"/>
      <c r="BY51" s="1272"/>
      <c r="BZ51" s="1272"/>
      <c r="CA51" s="1274"/>
    </row>
    <row r="52" spans="2:79" ht="11.25" customHeight="1">
      <c r="B52" s="1278"/>
      <c r="C52" s="1279"/>
      <c r="D52" s="1280"/>
      <c r="E52" s="203"/>
      <c r="F52" s="356"/>
      <c r="G52" s="203"/>
      <c r="H52" s="203"/>
      <c r="I52" s="1271"/>
      <c r="J52" s="1272"/>
      <c r="K52" s="1272"/>
      <c r="L52" s="1272"/>
      <c r="M52" s="1272"/>
      <c r="N52" s="1272"/>
      <c r="O52" s="1272"/>
      <c r="P52" s="1272"/>
      <c r="Q52" s="1272"/>
      <c r="R52" s="1272"/>
      <c r="S52" s="1272"/>
      <c r="T52" s="1272"/>
      <c r="U52" s="1272"/>
      <c r="V52" s="1272"/>
      <c r="W52" s="1272"/>
      <c r="X52" s="1272"/>
      <c r="Y52" s="1272"/>
      <c r="Z52" s="1272"/>
      <c r="AA52" s="1272"/>
      <c r="AB52" s="1272"/>
      <c r="AC52" s="1273"/>
      <c r="AD52" s="203"/>
      <c r="AE52" s="356"/>
      <c r="AF52" s="203"/>
      <c r="AG52" s="203"/>
      <c r="AH52" s="1271"/>
      <c r="AI52" s="1272"/>
      <c r="AJ52" s="1272"/>
      <c r="AK52" s="1272"/>
      <c r="AL52" s="1272"/>
      <c r="AM52" s="1272"/>
      <c r="AN52" s="1272"/>
      <c r="AO52" s="1272"/>
      <c r="AP52" s="1272"/>
      <c r="AQ52" s="1272"/>
      <c r="AR52" s="1272"/>
      <c r="AS52" s="1272"/>
      <c r="AT52" s="1272"/>
      <c r="AU52" s="1272"/>
      <c r="AV52" s="1272"/>
      <c r="AW52" s="1272"/>
      <c r="AX52" s="1272"/>
      <c r="AY52" s="1272"/>
      <c r="AZ52" s="1272"/>
      <c r="BA52" s="1272"/>
      <c r="BB52" s="1273"/>
      <c r="BC52" s="203"/>
      <c r="BD52" s="356"/>
      <c r="BE52" s="203"/>
      <c r="BF52" s="203"/>
      <c r="BG52" s="1271"/>
      <c r="BH52" s="1272"/>
      <c r="BI52" s="1272"/>
      <c r="BJ52" s="1272"/>
      <c r="BK52" s="1272"/>
      <c r="BL52" s="1272"/>
      <c r="BM52" s="1272"/>
      <c r="BN52" s="1272"/>
      <c r="BO52" s="1272"/>
      <c r="BP52" s="1272"/>
      <c r="BQ52" s="1272"/>
      <c r="BR52" s="1272"/>
      <c r="BS52" s="1272"/>
      <c r="BT52" s="1272"/>
      <c r="BU52" s="1272"/>
      <c r="BV52" s="1272"/>
      <c r="BW52" s="1272"/>
      <c r="BX52" s="1272"/>
      <c r="BY52" s="1272"/>
      <c r="BZ52" s="1272"/>
      <c r="CA52" s="1274"/>
    </row>
    <row r="53" spans="2:79" ht="11.25" customHeight="1">
      <c r="B53" s="1278"/>
      <c r="C53" s="1279"/>
      <c r="D53" s="1280"/>
      <c r="E53" s="357"/>
      <c r="F53" s="203"/>
      <c r="G53" s="203"/>
      <c r="H53" s="203"/>
      <c r="I53" s="1271"/>
      <c r="J53" s="1272"/>
      <c r="K53" s="1272"/>
      <c r="L53" s="1272"/>
      <c r="M53" s="1272"/>
      <c r="N53" s="1272"/>
      <c r="O53" s="1272"/>
      <c r="P53" s="1272"/>
      <c r="Q53" s="1272"/>
      <c r="R53" s="1272"/>
      <c r="S53" s="1272"/>
      <c r="T53" s="1272"/>
      <c r="U53" s="1272"/>
      <c r="V53" s="1272"/>
      <c r="W53" s="1272"/>
      <c r="X53" s="1272"/>
      <c r="Y53" s="1272"/>
      <c r="Z53" s="1272"/>
      <c r="AA53" s="1272"/>
      <c r="AB53" s="1272"/>
      <c r="AC53" s="1273"/>
      <c r="AD53" s="357"/>
      <c r="AE53" s="203"/>
      <c r="AF53" s="203"/>
      <c r="AG53" s="203"/>
      <c r="AH53" s="1271"/>
      <c r="AI53" s="1272"/>
      <c r="AJ53" s="1272"/>
      <c r="AK53" s="1272"/>
      <c r="AL53" s="1272"/>
      <c r="AM53" s="1272"/>
      <c r="AN53" s="1272"/>
      <c r="AO53" s="1272"/>
      <c r="AP53" s="1272"/>
      <c r="AQ53" s="1272"/>
      <c r="AR53" s="1272"/>
      <c r="AS53" s="1272"/>
      <c r="AT53" s="1272"/>
      <c r="AU53" s="1272"/>
      <c r="AV53" s="1272"/>
      <c r="AW53" s="1272"/>
      <c r="AX53" s="1272"/>
      <c r="AY53" s="1272"/>
      <c r="AZ53" s="1272"/>
      <c r="BA53" s="1272"/>
      <c r="BB53" s="1273"/>
      <c r="BC53" s="357"/>
      <c r="BD53" s="203"/>
      <c r="BE53" s="203"/>
      <c r="BF53" s="203"/>
      <c r="BG53" s="1271"/>
      <c r="BH53" s="1272"/>
      <c r="BI53" s="1272"/>
      <c r="BJ53" s="1272"/>
      <c r="BK53" s="1272"/>
      <c r="BL53" s="1272"/>
      <c r="BM53" s="1272"/>
      <c r="BN53" s="1272"/>
      <c r="BO53" s="1272"/>
      <c r="BP53" s="1272"/>
      <c r="BQ53" s="1272"/>
      <c r="BR53" s="1272"/>
      <c r="BS53" s="1272"/>
      <c r="BT53" s="1272"/>
      <c r="BU53" s="1272"/>
      <c r="BV53" s="1272"/>
      <c r="BW53" s="1272"/>
      <c r="BX53" s="1272"/>
      <c r="BY53" s="1272"/>
      <c r="BZ53" s="1272"/>
      <c r="CA53" s="1274"/>
    </row>
    <row r="54" spans="2:79" ht="11.25" customHeight="1" thickBot="1">
      <c r="B54" s="1281"/>
      <c r="C54" s="1282"/>
      <c r="D54" s="1283"/>
      <c r="E54" s="350"/>
      <c r="F54" s="350"/>
      <c r="G54" s="350"/>
      <c r="H54" s="350"/>
      <c r="I54" s="1284"/>
      <c r="J54" s="1285"/>
      <c r="K54" s="1285"/>
      <c r="L54" s="1285"/>
      <c r="M54" s="1285"/>
      <c r="N54" s="1285"/>
      <c r="O54" s="1285"/>
      <c r="P54" s="1285"/>
      <c r="Q54" s="1285"/>
      <c r="R54" s="1285"/>
      <c r="S54" s="1285"/>
      <c r="T54" s="1285"/>
      <c r="U54" s="1285"/>
      <c r="V54" s="1285"/>
      <c r="W54" s="1285"/>
      <c r="X54" s="1285"/>
      <c r="Y54" s="1285"/>
      <c r="Z54" s="1285"/>
      <c r="AA54" s="1285"/>
      <c r="AB54" s="1285"/>
      <c r="AC54" s="1291"/>
      <c r="AD54" s="350"/>
      <c r="AE54" s="350"/>
      <c r="AF54" s="350"/>
      <c r="AG54" s="350"/>
      <c r="AH54" s="1284"/>
      <c r="AI54" s="1285"/>
      <c r="AJ54" s="1285"/>
      <c r="AK54" s="1285"/>
      <c r="AL54" s="1285"/>
      <c r="AM54" s="1285"/>
      <c r="AN54" s="1285"/>
      <c r="AO54" s="1285"/>
      <c r="AP54" s="1285"/>
      <c r="AQ54" s="1285"/>
      <c r="AR54" s="1285"/>
      <c r="AS54" s="1285"/>
      <c r="AT54" s="1285"/>
      <c r="AU54" s="1285"/>
      <c r="AV54" s="1285"/>
      <c r="AW54" s="1285"/>
      <c r="AX54" s="1285"/>
      <c r="AY54" s="1285"/>
      <c r="AZ54" s="1285"/>
      <c r="BA54" s="1285"/>
      <c r="BB54" s="1291"/>
      <c r="BC54" s="350"/>
      <c r="BD54" s="350"/>
      <c r="BE54" s="350"/>
      <c r="BF54" s="350"/>
      <c r="BG54" s="1284"/>
      <c r="BH54" s="1285"/>
      <c r="BI54" s="1285"/>
      <c r="BJ54" s="1285"/>
      <c r="BK54" s="1285"/>
      <c r="BL54" s="1285"/>
      <c r="BM54" s="1285"/>
      <c r="BN54" s="1285"/>
      <c r="BO54" s="1285"/>
      <c r="BP54" s="1285"/>
      <c r="BQ54" s="1285"/>
      <c r="BR54" s="1285"/>
      <c r="BS54" s="1285"/>
      <c r="BT54" s="1285"/>
      <c r="BU54" s="1285"/>
      <c r="BV54" s="1285"/>
      <c r="BW54" s="1285"/>
      <c r="BX54" s="1285"/>
      <c r="BY54" s="1285"/>
      <c r="BZ54" s="1285"/>
      <c r="CA54" s="1286"/>
    </row>
    <row r="55" spans="2:79" ht="11.25" customHeight="1" thickBot="1">
      <c r="Q55" s="340"/>
      <c r="R55" s="340"/>
      <c r="S55" s="340"/>
      <c r="T55" s="349"/>
      <c r="U55" s="349"/>
      <c r="V55" s="349"/>
      <c r="W55" s="349"/>
      <c r="X55" s="349"/>
      <c r="Y55" s="349"/>
      <c r="Z55" s="349"/>
      <c r="AA55" s="349"/>
      <c r="AB55" s="349"/>
      <c r="AC55" s="349"/>
      <c r="AD55" s="340"/>
      <c r="AE55" s="340"/>
    </row>
    <row r="56" spans="2:79" ht="11.25" customHeight="1">
      <c r="B56" s="1322" t="str">
        <f>VLOOKUP(8003,Languages!A5:C410,Languages!A2,FALSE)</f>
        <v>Non-detection</v>
      </c>
      <c r="C56" s="1323"/>
      <c r="D56" s="1324"/>
      <c r="E56" s="1287" t="str">
        <f>VLOOKUP(8009,Languages!A5:C410,Languages!A2,FALSE)</f>
        <v>Use this path to investigate why the problem was not detected</v>
      </c>
      <c r="F56" s="1287"/>
      <c r="G56" s="1287"/>
      <c r="H56" s="1287"/>
      <c r="I56" s="1287"/>
      <c r="J56" s="1287"/>
      <c r="K56" s="1287"/>
      <c r="L56" s="1287"/>
      <c r="M56" s="1287"/>
      <c r="N56" s="1287"/>
      <c r="O56" s="1287"/>
      <c r="P56" s="1287"/>
      <c r="Q56" s="1287"/>
      <c r="R56" s="1287"/>
      <c r="S56" s="1287"/>
      <c r="T56" s="1287"/>
      <c r="U56" s="1287"/>
      <c r="V56" s="1287"/>
      <c r="W56" s="1287"/>
      <c r="X56" s="1287"/>
      <c r="Y56" s="1287"/>
      <c r="Z56" s="1287"/>
      <c r="AA56" s="1287"/>
      <c r="AB56" s="1287"/>
      <c r="AC56" s="1287"/>
      <c r="AD56" s="1287"/>
      <c r="AE56" s="1287"/>
      <c r="AF56" s="1287"/>
      <c r="AG56" s="1287"/>
      <c r="AH56" s="1287"/>
      <c r="AI56" s="1287"/>
      <c r="AJ56" s="1287"/>
      <c r="AK56" s="1287"/>
      <c r="AL56" s="1287"/>
      <c r="AM56" s="1287"/>
      <c r="AN56" s="1287"/>
      <c r="AO56" s="1287"/>
      <c r="AP56" s="1287"/>
      <c r="AQ56" s="1287"/>
      <c r="AR56" s="1287"/>
      <c r="AS56" s="1287"/>
      <c r="AT56" s="1287"/>
      <c r="AU56" s="1287"/>
      <c r="AV56" s="1287"/>
      <c r="AW56" s="1287"/>
      <c r="AX56" s="1287"/>
      <c r="AY56" s="1287"/>
      <c r="AZ56" s="1287"/>
      <c r="BA56" s="1287"/>
      <c r="BB56" s="1287"/>
      <c r="BC56" s="1287"/>
      <c r="BD56" s="1287"/>
      <c r="BE56" s="1287"/>
      <c r="BF56" s="1287"/>
      <c r="BG56" s="1287"/>
      <c r="BH56" s="1287"/>
      <c r="BI56" s="1287"/>
      <c r="BJ56" s="1287"/>
      <c r="BK56" s="1287"/>
      <c r="BL56" s="1287"/>
      <c r="BM56" s="1287"/>
      <c r="BN56" s="1287"/>
      <c r="BO56" s="1287"/>
      <c r="BP56" s="1287"/>
      <c r="BQ56" s="1287"/>
      <c r="BR56" s="1287"/>
      <c r="BS56" s="1287"/>
      <c r="BT56" s="1287"/>
      <c r="BU56" s="1287"/>
      <c r="BV56" s="1287"/>
      <c r="BW56" s="1287"/>
      <c r="BX56" s="1287"/>
      <c r="BY56" s="1287"/>
      <c r="BZ56" s="1287"/>
      <c r="CA56" s="1288"/>
    </row>
    <row r="57" spans="2:79" ht="11.25" customHeight="1">
      <c r="B57" s="1325"/>
      <c r="C57" s="1326"/>
      <c r="D57" s="1327"/>
      <c r="E57" s="1289"/>
      <c r="F57" s="1289"/>
      <c r="G57" s="1289"/>
      <c r="H57" s="1289"/>
      <c r="I57" s="1289"/>
      <c r="J57" s="1289"/>
      <c r="K57" s="1289"/>
      <c r="L57" s="1289"/>
      <c r="M57" s="1289"/>
      <c r="N57" s="1289"/>
      <c r="O57" s="1289"/>
      <c r="P57" s="1289"/>
      <c r="Q57" s="1289"/>
      <c r="R57" s="1289"/>
      <c r="S57" s="1289"/>
      <c r="T57" s="1289"/>
      <c r="U57" s="1289"/>
      <c r="V57" s="1289"/>
      <c r="W57" s="1289"/>
      <c r="X57" s="1289"/>
      <c r="Y57" s="1289"/>
      <c r="Z57" s="1289"/>
      <c r="AA57" s="1289"/>
      <c r="AB57" s="1289"/>
      <c r="AC57" s="1289"/>
      <c r="AD57" s="1289"/>
      <c r="AE57" s="1289"/>
      <c r="AF57" s="1289"/>
      <c r="AG57" s="1289"/>
      <c r="AH57" s="1289"/>
      <c r="AI57" s="1289"/>
      <c r="AJ57" s="1289"/>
      <c r="AK57" s="1289"/>
      <c r="AL57" s="1289"/>
      <c r="AM57" s="1289"/>
      <c r="AN57" s="1289"/>
      <c r="AO57" s="1289"/>
      <c r="AP57" s="1289"/>
      <c r="AQ57" s="1289"/>
      <c r="AR57" s="1289"/>
      <c r="AS57" s="1289"/>
      <c r="AT57" s="1289"/>
      <c r="AU57" s="1289"/>
      <c r="AV57" s="1289"/>
      <c r="AW57" s="1289"/>
      <c r="AX57" s="1289"/>
      <c r="AY57" s="1289"/>
      <c r="AZ57" s="1289"/>
      <c r="BA57" s="1289"/>
      <c r="BB57" s="1289"/>
      <c r="BC57" s="1289"/>
      <c r="BD57" s="1289"/>
      <c r="BE57" s="1289"/>
      <c r="BF57" s="1289"/>
      <c r="BG57" s="1289"/>
      <c r="BH57" s="1289"/>
      <c r="BI57" s="1289"/>
      <c r="BJ57" s="1289"/>
      <c r="BK57" s="1289"/>
      <c r="BL57" s="1289"/>
      <c r="BM57" s="1289"/>
      <c r="BN57" s="1289"/>
      <c r="BO57" s="1289"/>
      <c r="BP57" s="1289"/>
      <c r="BQ57" s="1289"/>
      <c r="BR57" s="1289"/>
      <c r="BS57" s="1289"/>
      <c r="BT57" s="1289"/>
      <c r="BU57" s="1289"/>
      <c r="BV57" s="1289"/>
      <c r="BW57" s="1289"/>
      <c r="BX57" s="1289"/>
      <c r="BY57" s="1289"/>
      <c r="BZ57" s="1289"/>
      <c r="CA57" s="1290"/>
    </row>
    <row r="58" spans="2:79" ht="11.25" customHeight="1">
      <c r="B58" s="1325"/>
      <c r="C58" s="1326"/>
      <c r="D58" s="1327"/>
      <c r="E58" s="203"/>
      <c r="F58" s="203"/>
      <c r="G58" s="203"/>
      <c r="H58" s="203"/>
      <c r="I58" s="1294"/>
      <c r="J58" s="1295"/>
      <c r="K58" s="1295"/>
      <c r="L58" s="1295"/>
      <c r="M58" s="1295"/>
      <c r="N58" s="1295"/>
      <c r="O58" s="1295"/>
      <c r="P58" s="1295"/>
      <c r="Q58" s="1295"/>
      <c r="R58" s="1295"/>
      <c r="S58" s="1295"/>
      <c r="T58" s="1295"/>
      <c r="U58" s="1295"/>
      <c r="V58" s="1295"/>
      <c r="W58" s="1295"/>
      <c r="X58" s="1295"/>
      <c r="Y58" s="1295"/>
      <c r="Z58" s="1295"/>
      <c r="AA58" s="1295"/>
      <c r="AB58" s="1295"/>
      <c r="AC58" s="1303"/>
      <c r="AD58" s="203"/>
      <c r="AE58" s="203"/>
      <c r="AF58" s="203"/>
      <c r="AG58" s="203"/>
      <c r="AH58" s="1294"/>
      <c r="AI58" s="1295"/>
      <c r="AJ58" s="1295"/>
      <c r="AK58" s="1295"/>
      <c r="AL58" s="1295"/>
      <c r="AM58" s="1295"/>
      <c r="AN58" s="1295"/>
      <c r="AO58" s="1295"/>
      <c r="AP58" s="1295"/>
      <c r="AQ58" s="1295"/>
      <c r="AR58" s="1295"/>
      <c r="AS58" s="1295"/>
      <c r="AT58" s="1295"/>
      <c r="AU58" s="1295"/>
      <c r="AV58" s="1295"/>
      <c r="AW58" s="1295"/>
      <c r="AX58" s="1295"/>
      <c r="AY58" s="1295"/>
      <c r="AZ58" s="1295"/>
      <c r="BA58" s="1295"/>
      <c r="BB58" s="1303"/>
      <c r="BC58" s="203"/>
      <c r="BD58" s="203"/>
      <c r="BE58" s="203"/>
      <c r="BF58" s="203"/>
      <c r="BG58" s="1294"/>
      <c r="BH58" s="1295"/>
      <c r="BI58" s="1295"/>
      <c r="BJ58" s="1295"/>
      <c r="BK58" s="1295"/>
      <c r="BL58" s="1295"/>
      <c r="BM58" s="1295"/>
      <c r="BN58" s="1295"/>
      <c r="BO58" s="1295"/>
      <c r="BP58" s="1295"/>
      <c r="BQ58" s="1295"/>
      <c r="BR58" s="1295"/>
      <c r="BS58" s="1295"/>
      <c r="BT58" s="1295"/>
      <c r="BU58" s="1295"/>
      <c r="BV58" s="1295"/>
      <c r="BW58" s="1295"/>
      <c r="BX58" s="1295"/>
      <c r="BY58" s="1295"/>
      <c r="BZ58" s="1295"/>
      <c r="CA58" s="1296"/>
    </row>
    <row r="59" spans="2:79" ht="11.25" customHeight="1">
      <c r="B59" s="1325"/>
      <c r="C59" s="1326"/>
      <c r="D59" s="1327"/>
      <c r="E59" s="203"/>
      <c r="F59" s="203"/>
      <c r="G59" s="203"/>
      <c r="H59" s="203"/>
      <c r="I59" s="1297"/>
      <c r="J59" s="1298"/>
      <c r="K59" s="1298"/>
      <c r="L59" s="1298"/>
      <c r="M59" s="1298"/>
      <c r="N59" s="1298"/>
      <c r="O59" s="1298"/>
      <c r="P59" s="1298"/>
      <c r="Q59" s="1298"/>
      <c r="R59" s="1298"/>
      <c r="S59" s="1298"/>
      <c r="T59" s="1298"/>
      <c r="U59" s="1298"/>
      <c r="V59" s="1298"/>
      <c r="W59" s="1298"/>
      <c r="X59" s="1298"/>
      <c r="Y59" s="1298"/>
      <c r="Z59" s="1298"/>
      <c r="AA59" s="1298"/>
      <c r="AB59" s="1298"/>
      <c r="AC59" s="1304"/>
      <c r="AD59" s="203"/>
      <c r="AE59" s="203"/>
      <c r="AF59" s="203"/>
      <c r="AG59" s="203"/>
      <c r="AH59" s="1297"/>
      <c r="AI59" s="1298"/>
      <c r="AJ59" s="1298"/>
      <c r="AK59" s="1298"/>
      <c r="AL59" s="1298"/>
      <c r="AM59" s="1298"/>
      <c r="AN59" s="1298"/>
      <c r="AO59" s="1298"/>
      <c r="AP59" s="1298"/>
      <c r="AQ59" s="1298"/>
      <c r="AR59" s="1298"/>
      <c r="AS59" s="1298"/>
      <c r="AT59" s="1298"/>
      <c r="AU59" s="1298"/>
      <c r="AV59" s="1298"/>
      <c r="AW59" s="1298"/>
      <c r="AX59" s="1298"/>
      <c r="AY59" s="1298"/>
      <c r="AZ59" s="1298"/>
      <c r="BA59" s="1298"/>
      <c r="BB59" s="1304"/>
      <c r="BC59" s="203"/>
      <c r="BD59" s="203"/>
      <c r="BE59" s="203"/>
      <c r="BF59" s="203"/>
      <c r="BG59" s="1297"/>
      <c r="BH59" s="1298"/>
      <c r="BI59" s="1298"/>
      <c r="BJ59" s="1298"/>
      <c r="BK59" s="1298"/>
      <c r="BL59" s="1298"/>
      <c r="BM59" s="1298"/>
      <c r="BN59" s="1298"/>
      <c r="BO59" s="1298"/>
      <c r="BP59" s="1298"/>
      <c r="BQ59" s="1298"/>
      <c r="BR59" s="1298"/>
      <c r="BS59" s="1298"/>
      <c r="BT59" s="1298"/>
      <c r="BU59" s="1298"/>
      <c r="BV59" s="1298"/>
      <c r="BW59" s="1298"/>
      <c r="BX59" s="1298"/>
      <c r="BY59" s="1298"/>
      <c r="BZ59" s="1298"/>
      <c r="CA59" s="1299"/>
    </row>
    <row r="60" spans="2:79" ht="11.25" customHeight="1">
      <c r="B60" s="1325"/>
      <c r="C60" s="1326"/>
      <c r="D60" s="1327"/>
      <c r="E60" s="203"/>
      <c r="F60" s="203"/>
      <c r="G60" s="203"/>
      <c r="H60" s="203"/>
      <c r="I60" s="1297"/>
      <c r="J60" s="1298"/>
      <c r="K60" s="1298"/>
      <c r="L60" s="1298"/>
      <c r="M60" s="1298"/>
      <c r="N60" s="1298"/>
      <c r="O60" s="1298"/>
      <c r="P60" s="1298"/>
      <c r="Q60" s="1298"/>
      <c r="R60" s="1298"/>
      <c r="S60" s="1298"/>
      <c r="T60" s="1298"/>
      <c r="U60" s="1298"/>
      <c r="V60" s="1298"/>
      <c r="W60" s="1298"/>
      <c r="X60" s="1298"/>
      <c r="Y60" s="1298"/>
      <c r="Z60" s="1298"/>
      <c r="AA60" s="1298"/>
      <c r="AB60" s="1298"/>
      <c r="AC60" s="1304"/>
      <c r="AD60" s="203"/>
      <c r="AE60" s="203"/>
      <c r="AF60" s="203"/>
      <c r="AG60" s="203"/>
      <c r="AH60" s="1297"/>
      <c r="AI60" s="1298"/>
      <c r="AJ60" s="1298"/>
      <c r="AK60" s="1298"/>
      <c r="AL60" s="1298"/>
      <c r="AM60" s="1298"/>
      <c r="AN60" s="1298"/>
      <c r="AO60" s="1298"/>
      <c r="AP60" s="1298"/>
      <c r="AQ60" s="1298"/>
      <c r="AR60" s="1298"/>
      <c r="AS60" s="1298"/>
      <c r="AT60" s="1298"/>
      <c r="AU60" s="1298"/>
      <c r="AV60" s="1298"/>
      <c r="AW60" s="1298"/>
      <c r="AX60" s="1298"/>
      <c r="AY60" s="1298"/>
      <c r="AZ60" s="1298"/>
      <c r="BA60" s="1298"/>
      <c r="BB60" s="1304"/>
      <c r="BC60" s="203"/>
      <c r="BD60" s="203"/>
      <c r="BE60" s="203"/>
      <c r="BF60" s="203"/>
      <c r="BG60" s="1297"/>
      <c r="BH60" s="1298"/>
      <c r="BI60" s="1298"/>
      <c r="BJ60" s="1298"/>
      <c r="BK60" s="1298"/>
      <c r="BL60" s="1298"/>
      <c r="BM60" s="1298"/>
      <c r="BN60" s="1298"/>
      <c r="BO60" s="1298"/>
      <c r="BP60" s="1298"/>
      <c r="BQ60" s="1298"/>
      <c r="BR60" s="1298"/>
      <c r="BS60" s="1298"/>
      <c r="BT60" s="1298"/>
      <c r="BU60" s="1298"/>
      <c r="BV60" s="1298"/>
      <c r="BW60" s="1298"/>
      <c r="BX60" s="1298"/>
      <c r="BY60" s="1298"/>
      <c r="BZ60" s="1298"/>
      <c r="CA60" s="1299"/>
    </row>
    <row r="61" spans="2:79" ht="11.25" customHeight="1" thickBot="1">
      <c r="B61" s="1325"/>
      <c r="C61" s="1326"/>
      <c r="D61" s="1327"/>
      <c r="E61" s="1292" t="str">
        <f>Buttons!$B$83</f>
        <v>Why?</v>
      </c>
      <c r="F61" s="1293"/>
      <c r="G61" s="1293"/>
      <c r="H61" s="1307"/>
      <c r="I61" s="1297"/>
      <c r="J61" s="1298"/>
      <c r="K61" s="1298"/>
      <c r="L61" s="1298"/>
      <c r="M61" s="1298"/>
      <c r="N61" s="1298"/>
      <c r="O61" s="1298"/>
      <c r="P61" s="1298"/>
      <c r="Q61" s="1298"/>
      <c r="R61" s="1298"/>
      <c r="S61" s="1298"/>
      <c r="T61" s="1298"/>
      <c r="U61" s="1298"/>
      <c r="V61" s="1298"/>
      <c r="W61" s="1298"/>
      <c r="X61" s="1298"/>
      <c r="Y61" s="1298"/>
      <c r="Z61" s="1298"/>
      <c r="AA61" s="1298"/>
      <c r="AB61" s="1298"/>
      <c r="AC61" s="1304"/>
      <c r="AD61" s="1306" t="str">
        <f>Buttons!$B$83</f>
        <v>Why?</v>
      </c>
      <c r="AE61" s="1293"/>
      <c r="AF61" s="1293"/>
      <c r="AG61" s="1307"/>
      <c r="AH61" s="1297"/>
      <c r="AI61" s="1298"/>
      <c r="AJ61" s="1298"/>
      <c r="AK61" s="1298"/>
      <c r="AL61" s="1298"/>
      <c r="AM61" s="1298"/>
      <c r="AN61" s="1298"/>
      <c r="AO61" s="1298"/>
      <c r="AP61" s="1298"/>
      <c r="AQ61" s="1298"/>
      <c r="AR61" s="1298"/>
      <c r="AS61" s="1298"/>
      <c r="AT61" s="1298"/>
      <c r="AU61" s="1298"/>
      <c r="AV61" s="1298"/>
      <c r="AW61" s="1298"/>
      <c r="AX61" s="1298"/>
      <c r="AY61" s="1298"/>
      <c r="AZ61" s="1298"/>
      <c r="BA61" s="1298"/>
      <c r="BB61" s="1304"/>
      <c r="BC61" s="1306" t="str">
        <f>Buttons!$B$83</f>
        <v>Why?</v>
      </c>
      <c r="BD61" s="1293"/>
      <c r="BE61" s="1293"/>
      <c r="BF61" s="1307"/>
      <c r="BG61" s="1297"/>
      <c r="BH61" s="1298"/>
      <c r="BI61" s="1298"/>
      <c r="BJ61" s="1298"/>
      <c r="BK61" s="1298"/>
      <c r="BL61" s="1298"/>
      <c r="BM61" s="1298"/>
      <c r="BN61" s="1298"/>
      <c r="BO61" s="1298"/>
      <c r="BP61" s="1298"/>
      <c r="BQ61" s="1298"/>
      <c r="BR61" s="1298"/>
      <c r="BS61" s="1298"/>
      <c r="BT61" s="1298"/>
      <c r="BU61" s="1298"/>
      <c r="BV61" s="1298"/>
      <c r="BW61" s="1298"/>
      <c r="BX61" s="1298"/>
      <c r="BY61" s="1298"/>
      <c r="BZ61" s="1298"/>
      <c r="CA61" s="1299"/>
    </row>
    <row r="62" spans="2:79" ht="11.25" customHeight="1" thickTop="1">
      <c r="B62" s="1325"/>
      <c r="C62" s="1326"/>
      <c r="D62" s="1327"/>
      <c r="E62" s="355"/>
      <c r="F62" s="356"/>
      <c r="G62" s="342"/>
      <c r="H62" s="347"/>
      <c r="I62" s="1300"/>
      <c r="J62" s="1301"/>
      <c r="K62" s="1301"/>
      <c r="L62" s="1301"/>
      <c r="M62" s="1301"/>
      <c r="N62" s="1301"/>
      <c r="O62" s="1301"/>
      <c r="P62" s="1301"/>
      <c r="Q62" s="1301"/>
      <c r="R62" s="1301"/>
      <c r="S62" s="1301"/>
      <c r="T62" s="1301"/>
      <c r="U62" s="1301"/>
      <c r="V62" s="1301"/>
      <c r="W62" s="1301"/>
      <c r="X62" s="1301"/>
      <c r="Y62" s="1301"/>
      <c r="Z62" s="1301"/>
      <c r="AA62" s="1301"/>
      <c r="AB62" s="1301"/>
      <c r="AC62" s="1305"/>
      <c r="AD62" s="353"/>
      <c r="AE62" s="356"/>
      <c r="AF62" s="342"/>
      <c r="AG62" s="347"/>
      <c r="AH62" s="1300"/>
      <c r="AI62" s="1301"/>
      <c r="AJ62" s="1301"/>
      <c r="AK62" s="1301"/>
      <c r="AL62" s="1301"/>
      <c r="AM62" s="1301"/>
      <c r="AN62" s="1301"/>
      <c r="AO62" s="1301"/>
      <c r="AP62" s="1301"/>
      <c r="AQ62" s="1301"/>
      <c r="AR62" s="1301"/>
      <c r="AS62" s="1301"/>
      <c r="AT62" s="1301"/>
      <c r="AU62" s="1301"/>
      <c r="AV62" s="1301"/>
      <c r="AW62" s="1301"/>
      <c r="AX62" s="1301"/>
      <c r="AY62" s="1301"/>
      <c r="AZ62" s="1301"/>
      <c r="BA62" s="1301"/>
      <c r="BB62" s="1305"/>
      <c r="BC62" s="358"/>
      <c r="BD62" s="356"/>
      <c r="BE62" s="342"/>
      <c r="BF62" s="347"/>
      <c r="BG62" s="1300"/>
      <c r="BH62" s="1301"/>
      <c r="BI62" s="1301"/>
      <c r="BJ62" s="1301"/>
      <c r="BK62" s="1301"/>
      <c r="BL62" s="1301"/>
      <c r="BM62" s="1301"/>
      <c r="BN62" s="1301"/>
      <c r="BO62" s="1301"/>
      <c r="BP62" s="1301"/>
      <c r="BQ62" s="1301"/>
      <c r="BR62" s="1301"/>
      <c r="BS62" s="1301"/>
      <c r="BT62" s="1301"/>
      <c r="BU62" s="1301"/>
      <c r="BV62" s="1301"/>
      <c r="BW62" s="1301"/>
      <c r="BX62" s="1301"/>
      <c r="BY62" s="1301"/>
      <c r="BZ62" s="1301"/>
      <c r="CA62" s="1302"/>
    </row>
    <row r="63" spans="2:79" ht="11.25" customHeight="1" thickBot="1">
      <c r="B63" s="1325"/>
      <c r="C63" s="1326"/>
      <c r="D63" s="1327"/>
      <c r="E63" s="355"/>
      <c r="F63" s="356"/>
      <c r="G63" s="344"/>
      <c r="H63" s="345"/>
      <c r="I63" s="1294"/>
      <c r="J63" s="1295"/>
      <c r="K63" s="1295"/>
      <c r="L63" s="1295"/>
      <c r="M63" s="1295"/>
      <c r="N63" s="1295"/>
      <c r="O63" s="1295"/>
      <c r="P63" s="1295"/>
      <c r="Q63" s="1295"/>
      <c r="R63" s="1295"/>
      <c r="S63" s="1295"/>
      <c r="T63" s="1295"/>
      <c r="U63" s="1295"/>
      <c r="V63" s="1295"/>
      <c r="W63" s="1295"/>
      <c r="X63" s="1295"/>
      <c r="Y63" s="1295"/>
      <c r="Z63" s="1295"/>
      <c r="AA63" s="1295"/>
      <c r="AB63" s="1295"/>
      <c r="AC63" s="1295"/>
      <c r="AD63" s="358"/>
      <c r="AE63" s="356"/>
      <c r="AF63" s="344"/>
      <c r="AG63" s="345"/>
      <c r="AH63" s="1294"/>
      <c r="AI63" s="1295"/>
      <c r="AJ63" s="1295"/>
      <c r="AK63" s="1295"/>
      <c r="AL63" s="1295"/>
      <c r="AM63" s="1295"/>
      <c r="AN63" s="1295"/>
      <c r="AO63" s="1295"/>
      <c r="AP63" s="1295"/>
      <c r="AQ63" s="1295"/>
      <c r="AR63" s="1295"/>
      <c r="AS63" s="1295"/>
      <c r="AT63" s="1295"/>
      <c r="AU63" s="1295"/>
      <c r="AV63" s="1295"/>
      <c r="AW63" s="1295"/>
      <c r="AX63" s="1295"/>
      <c r="AY63" s="1295"/>
      <c r="AZ63" s="1295"/>
      <c r="BA63" s="1295"/>
      <c r="BB63" s="1303"/>
      <c r="BC63" s="358"/>
      <c r="BD63" s="356"/>
      <c r="BE63" s="344"/>
      <c r="BF63" s="345"/>
      <c r="BG63" s="1294"/>
      <c r="BH63" s="1295"/>
      <c r="BI63" s="1295"/>
      <c r="BJ63" s="1295"/>
      <c r="BK63" s="1295"/>
      <c r="BL63" s="1295"/>
      <c r="BM63" s="1295"/>
      <c r="BN63" s="1295"/>
      <c r="BO63" s="1295"/>
      <c r="BP63" s="1295"/>
      <c r="BQ63" s="1295"/>
      <c r="BR63" s="1295"/>
      <c r="BS63" s="1295"/>
      <c r="BT63" s="1295"/>
      <c r="BU63" s="1295"/>
      <c r="BV63" s="1295"/>
      <c r="BW63" s="1295"/>
      <c r="BX63" s="1295"/>
      <c r="BY63" s="1295"/>
      <c r="BZ63" s="1295"/>
      <c r="CA63" s="1296"/>
    </row>
    <row r="64" spans="2:79" ht="11.25" customHeight="1" thickTop="1">
      <c r="B64" s="1325"/>
      <c r="C64" s="1326"/>
      <c r="D64" s="1327"/>
      <c r="E64" s="203"/>
      <c r="F64" s="356"/>
      <c r="G64" s="203"/>
      <c r="H64" s="346"/>
      <c r="I64" s="1297"/>
      <c r="J64" s="1298"/>
      <c r="K64" s="1298"/>
      <c r="L64" s="1298"/>
      <c r="M64" s="1298"/>
      <c r="N64" s="1298"/>
      <c r="O64" s="1298"/>
      <c r="P64" s="1298"/>
      <c r="Q64" s="1298"/>
      <c r="R64" s="1298"/>
      <c r="S64" s="1298"/>
      <c r="T64" s="1298"/>
      <c r="U64" s="1298"/>
      <c r="V64" s="1298"/>
      <c r="W64" s="1298"/>
      <c r="X64" s="1298"/>
      <c r="Y64" s="1298"/>
      <c r="Z64" s="1298"/>
      <c r="AA64" s="1298"/>
      <c r="AB64" s="1298"/>
      <c r="AC64" s="1298"/>
      <c r="AD64" s="341"/>
      <c r="AE64" s="356"/>
      <c r="AF64" s="203"/>
      <c r="AG64" s="346"/>
      <c r="AH64" s="1297"/>
      <c r="AI64" s="1298"/>
      <c r="AJ64" s="1298"/>
      <c r="AK64" s="1298"/>
      <c r="AL64" s="1298"/>
      <c r="AM64" s="1298"/>
      <c r="AN64" s="1298"/>
      <c r="AO64" s="1298"/>
      <c r="AP64" s="1298"/>
      <c r="AQ64" s="1298"/>
      <c r="AR64" s="1298"/>
      <c r="AS64" s="1298"/>
      <c r="AT64" s="1298"/>
      <c r="AU64" s="1298"/>
      <c r="AV64" s="1298"/>
      <c r="AW64" s="1298"/>
      <c r="AX64" s="1298"/>
      <c r="AY64" s="1298"/>
      <c r="AZ64" s="1298"/>
      <c r="BA64" s="1298"/>
      <c r="BB64" s="1304"/>
      <c r="BC64" s="341"/>
      <c r="BD64" s="356"/>
      <c r="BE64" s="203"/>
      <c r="BF64" s="346"/>
      <c r="BG64" s="1297"/>
      <c r="BH64" s="1298"/>
      <c r="BI64" s="1298"/>
      <c r="BJ64" s="1298"/>
      <c r="BK64" s="1298"/>
      <c r="BL64" s="1298"/>
      <c r="BM64" s="1298"/>
      <c r="BN64" s="1298"/>
      <c r="BO64" s="1298"/>
      <c r="BP64" s="1298"/>
      <c r="BQ64" s="1298"/>
      <c r="BR64" s="1298"/>
      <c r="BS64" s="1298"/>
      <c r="BT64" s="1298"/>
      <c r="BU64" s="1298"/>
      <c r="BV64" s="1298"/>
      <c r="BW64" s="1298"/>
      <c r="BX64" s="1298"/>
      <c r="BY64" s="1298"/>
      <c r="BZ64" s="1298"/>
      <c r="CA64" s="1299"/>
    </row>
    <row r="65" spans="2:79" ht="11.25" customHeight="1">
      <c r="B65" s="1325"/>
      <c r="C65" s="1326"/>
      <c r="D65" s="1327"/>
      <c r="E65" s="203"/>
      <c r="F65" s="356"/>
      <c r="G65" s="203"/>
      <c r="H65" s="348"/>
      <c r="I65" s="1297"/>
      <c r="J65" s="1298"/>
      <c r="K65" s="1298"/>
      <c r="L65" s="1298"/>
      <c r="M65" s="1298"/>
      <c r="N65" s="1298"/>
      <c r="O65" s="1298"/>
      <c r="P65" s="1298"/>
      <c r="Q65" s="1298"/>
      <c r="R65" s="1298"/>
      <c r="S65" s="1298"/>
      <c r="T65" s="1298"/>
      <c r="U65" s="1298"/>
      <c r="V65" s="1298"/>
      <c r="W65" s="1298"/>
      <c r="X65" s="1298"/>
      <c r="Y65" s="1298"/>
      <c r="Z65" s="1298"/>
      <c r="AA65" s="1298"/>
      <c r="AB65" s="1298"/>
      <c r="AC65" s="1298"/>
      <c r="AD65" s="341"/>
      <c r="AE65" s="356"/>
      <c r="AF65" s="203"/>
      <c r="AG65" s="348"/>
      <c r="AH65" s="1297"/>
      <c r="AI65" s="1298"/>
      <c r="AJ65" s="1298"/>
      <c r="AK65" s="1298"/>
      <c r="AL65" s="1298"/>
      <c r="AM65" s="1298"/>
      <c r="AN65" s="1298"/>
      <c r="AO65" s="1298"/>
      <c r="AP65" s="1298"/>
      <c r="AQ65" s="1298"/>
      <c r="AR65" s="1298"/>
      <c r="AS65" s="1298"/>
      <c r="AT65" s="1298"/>
      <c r="AU65" s="1298"/>
      <c r="AV65" s="1298"/>
      <c r="AW65" s="1298"/>
      <c r="AX65" s="1298"/>
      <c r="AY65" s="1298"/>
      <c r="AZ65" s="1298"/>
      <c r="BA65" s="1298"/>
      <c r="BB65" s="1304"/>
      <c r="BC65" s="341"/>
      <c r="BD65" s="356"/>
      <c r="BE65" s="203"/>
      <c r="BF65" s="348"/>
      <c r="BG65" s="1297"/>
      <c r="BH65" s="1298"/>
      <c r="BI65" s="1298"/>
      <c r="BJ65" s="1298"/>
      <c r="BK65" s="1298"/>
      <c r="BL65" s="1298"/>
      <c r="BM65" s="1298"/>
      <c r="BN65" s="1298"/>
      <c r="BO65" s="1298"/>
      <c r="BP65" s="1298"/>
      <c r="BQ65" s="1298"/>
      <c r="BR65" s="1298"/>
      <c r="BS65" s="1298"/>
      <c r="BT65" s="1298"/>
      <c r="BU65" s="1298"/>
      <c r="BV65" s="1298"/>
      <c r="BW65" s="1298"/>
      <c r="BX65" s="1298"/>
      <c r="BY65" s="1298"/>
      <c r="BZ65" s="1298"/>
      <c r="CA65" s="1299"/>
    </row>
    <row r="66" spans="2:79" ht="11.25" customHeight="1" thickBot="1">
      <c r="B66" s="1325"/>
      <c r="C66" s="1326"/>
      <c r="D66" s="1327"/>
      <c r="E66" s="1292" t="str">
        <f>Buttons!$B$83</f>
        <v>Why?</v>
      </c>
      <c r="F66" s="1293"/>
      <c r="G66" s="1293"/>
      <c r="H66" s="1307"/>
      <c r="I66" s="1297"/>
      <c r="J66" s="1298"/>
      <c r="K66" s="1298"/>
      <c r="L66" s="1298"/>
      <c r="M66" s="1298"/>
      <c r="N66" s="1298"/>
      <c r="O66" s="1298"/>
      <c r="P66" s="1298"/>
      <c r="Q66" s="1298"/>
      <c r="R66" s="1298"/>
      <c r="S66" s="1298"/>
      <c r="T66" s="1298"/>
      <c r="U66" s="1298"/>
      <c r="V66" s="1298"/>
      <c r="W66" s="1298"/>
      <c r="X66" s="1298"/>
      <c r="Y66" s="1298"/>
      <c r="Z66" s="1298"/>
      <c r="AA66" s="1298"/>
      <c r="AB66" s="1298"/>
      <c r="AC66" s="1298"/>
      <c r="AD66" s="1306" t="str">
        <f>Buttons!$B$83</f>
        <v>Why?</v>
      </c>
      <c r="AE66" s="1293"/>
      <c r="AF66" s="1293"/>
      <c r="AG66" s="1307"/>
      <c r="AH66" s="1297"/>
      <c r="AI66" s="1298"/>
      <c r="AJ66" s="1298"/>
      <c r="AK66" s="1298"/>
      <c r="AL66" s="1298"/>
      <c r="AM66" s="1298"/>
      <c r="AN66" s="1298"/>
      <c r="AO66" s="1298"/>
      <c r="AP66" s="1298"/>
      <c r="AQ66" s="1298"/>
      <c r="AR66" s="1298"/>
      <c r="AS66" s="1298"/>
      <c r="AT66" s="1298"/>
      <c r="AU66" s="1298"/>
      <c r="AV66" s="1298"/>
      <c r="AW66" s="1298"/>
      <c r="AX66" s="1298"/>
      <c r="AY66" s="1298"/>
      <c r="AZ66" s="1298"/>
      <c r="BA66" s="1298"/>
      <c r="BB66" s="1304"/>
      <c r="BC66" s="1306" t="str">
        <f>Buttons!$B$83</f>
        <v>Why?</v>
      </c>
      <c r="BD66" s="1293"/>
      <c r="BE66" s="1293"/>
      <c r="BF66" s="1307"/>
      <c r="BG66" s="1297"/>
      <c r="BH66" s="1298"/>
      <c r="BI66" s="1298"/>
      <c r="BJ66" s="1298"/>
      <c r="BK66" s="1298"/>
      <c r="BL66" s="1298"/>
      <c r="BM66" s="1298"/>
      <c r="BN66" s="1298"/>
      <c r="BO66" s="1298"/>
      <c r="BP66" s="1298"/>
      <c r="BQ66" s="1298"/>
      <c r="BR66" s="1298"/>
      <c r="BS66" s="1298"/>
      <c r="BT66" s="1298"/>
      <c r="BU66" s="1298"/>
      <c r="BV66" s="1298"/>
      <c r="BW66" s="1298"/>
      <c r="BX66" s="1298"/>
      <c r="BY66" s="1298"/>
      <c r="BZ66" s="1298"/>
      <c r="CA66" s="1299"/>
    </row>
    <row r="67" spans="2:79" ht="11.25" customHeight="1" thickTop="1">
      <c r="B67" s="1325"/>
      <c r="C67" s="1326"/>
      <c r="D67" s="1327"/>
      <c r="E67" s="203"/>
      <c r="F67" s="356"/>
      <c r="G67" s="342"/>
      <c r="H67" s="343"/>
      <c r="I67" s="1300"/>
      <c r="J67" s="1301"/>
      <c r="K67" s="1301"/>
      <c r="L67" s="1301"/>
      <c r="M67" s="1301"/>
      <c r="N67" s="1301"/>
      <c r="O67" s="1301"/>
      <c r="P67" s="1301"/>
      <c r="Q67" s="1301"/>
      <c r="R67" s="1301"/>
      <c r="S67" s="1301"/>
      <c r="T67" s="1301"/>
      <c r="U67" s="1301"/>
      <c r="V67" s="1301"/>
      <c r="W67" s="1301"/>
      <c r="X67" s="1301"/>
      <c r="Y67" s="1301"/>
      <c r="Z67" s="1301"/>
      <c r="AA67" s="1301"/>
      <c r="AB67" s="1301"/>
      <c r="AC67" s="1301"/>
      <c r="AD67" s="341"/>
      <c r="AE67" s="356"/>
      <c r="AF67" s="342"/>
      <c r="AG67" s="343"/>
      <c r="AH67" s="1300"/>
      <c r="AI67" s="1301"/>
      <c r="AJ67" s="1301"/>
      <c r="AK67" s="1301"/>
      <c r="AL67" s="1301"/>
      <c r="AM67" s="1301"/>
      <c r="AN67" s="1301"/>
      <c r="AO67" s="1301"/>
      <c r="AP67" s="1301"/>
      <c r="AQ67" s="1301"/>
      <c r="AR67" s="1301"/>
      <c r="AS67" s="1301"/>
      <c r="AT67" s="1301"/>
      <c r="AU67" s="1301"/>
      <c r="AV67" s="1301"/>
      <c r="AW67" s="1301"/>
      <c r="AX67" s="1301"/>
      <c r="AY67" s="1301"/>
      <c r="AZ67" s="1301"/>
      <c r="BA67" s="1301"/>
      <c r="BB67" s="1305"/>
      <c r="BC67" s="341"/>
      <c r="BD67" s="356"/>
      <c r="BE67" s="342"/>
      <c r="BF67" s="343"/>
      <c r="BG67" s="1300"/>
      <c r="BH67" s="1301"/>
      <c r="BI67" s="1301"/>
      <c r="BJ67" s="1301"/>
      <c r="BK67" s="1301"/>
      <c r="BL67" s="1301"/>
      <c r="BM67" s="1301"/>
      <c r="BN67" s="1301"/>
      <c r="BO67" s="1301"/>
      <c r="BP67" s="1301"/>
      <c r="BQ67" s="1301"/>
      <c r="BR67" s="1301"/>
      <c r="BS67" s="1301"/>
      <c r="BT67" s="1301"/>
      <c r="BU67" s="1301"/>
      <c r="BV67" s="1301"/>
      <c r="BW67" s="1301"/>
      <c r="BX67" s="1301"/>
      <c r="BY67" s="1301"/>
      <c r="BZ67" s="1301"/>
      <c r="CA67" s="1302"/>
    </row>
    <row r="68" spans="2:79" ht="11.25" customHeight="1" thickBot="1">
      <c r="B68" s="1325"/>
      <c r="C68" s="1326"/>
      <c r="D68" s="1327"/>
      <c r="E68" s="203"/>
      <c r="F68" s="356"/>
      <c r="G68" s="344"/>
      <c r="H68" s="345"/>
      <c r="I68" s="1294"/>
      <c r="J68" s="1295"/>
      <c r="K68" s="1295"/>
      <c r="L68" s="1295"/>
      <c r="M68" s="1295"/>
      <c r="N68" s="1295"/>
      <c r="O68" s="1295"/>
      <c r="P68" s="1295"/>
      <c r="Q68" s="1295"/>
      <c r="R68" s="1295"/>
      <c r="S68" s="1295"/>
      <c r="T68" s="1295"/>
      <c r="U68" s="1295"/>
      <c r="V68" s="1295"/>
      <c r="W68" s="1295"/>
      <c r="X68" s="1295"/>
      <c r="Y68" s="1295"/>
      <c r="Z68" s="1295"/>
      <c r="AA68" s="1295"/>
      <c r="AB68" s="1295"/>
      <c r="AC68" s="1295"/>
      <c r="AD68" s="341"/>
      <c r="AE68" s="356"/>
      <c r="AF68" s="344"/>
      <c r="AG68" s="345"/>
      <c r="AH68" s="1294"/>
      <c r="AI68" s="1295"/>
      <c r="AJ68" s="1295"/>
      <c r="AK68" s="1295"/>
      <c r="AL68" s="1295"/>
      <c r="AM68" s="1295"/>
      <c r="AN68" s="1295"/>
      <c r="AO68" s="1295"/>
      <c r="AP68" s="1295"/>
      <c r="AQ68" s="1295"/>
      <c r="AR68" s="1295"/>
      <c r="AS68" s="1295"/>
      <c r="AT68" s="1295"/>
      <c r="AU68" s="1295"/>
      <c r="AV68" s="1295"/>
      <c r="AW68" s="1295"/>
      <c r="AX68" s="1295"/>
      <c r="AY68" s="1295"/>
      <c r="AZ68" s="1295"/>
      <c r="BA68" s="1295"/>
      <c r="BB68" s="1303"/>
      <c r="BC68" s="341"/>
      <c r="BD68" s="356"/>
      <c r="BE68" s="344"/>
      <c r="BF68" s="345"/>
      <c r="BG68" s="1294"/>
      <c r="BH68" s="1295"/>
      <c r="BI68" s="1295"/>
      <c r="BJ68" s="1295"/>
      <c r="BK68" s="1295"/>
      <c r="BL68" s="1295"/>
      <c r="BM68" s="1295"/>
      <c r="BN68" s="1295"/>
      <c r="BO68" s="1295"/>
      <c r="BP68" s="1295"/>
      <c r="BQ68" s="1295"/>
      <c r="BR68" s="1295"/>
      <c r="BS68" s="1295"/>
      <c r="BT68" s="1295"/>
      <c r="BU68" s="1295"/>
      <c r="BV68" s="1295"/>
      <c r="BW68" s="1295"/>
      <c r="BX68" s="1295"/>
      <c r="BY68" s="1295"/>
      <c r="BZ68" s="1295"/>
      <c r="CA68" s="1296"/>
    </row>
    <row r="69" spans="2:79" ht="11.25" customHeight="1" thickTop="1">
      <c r="B69" s="1325"/>
      <c r="C69" s="1326"/>
      <c r="D69" s="1327"/>
      <c r="E69" s="203"/>
      <c r="F69" s="356"/>
      <c r="G69" s="203"/>
      <c r="H69" s="346"/>
      <c r="I69" s="1297"/>
      <c r="J69" s="1298"/>
      <c r="K69" s="1298"/>
      <c r="L69" s="1298"/>
      <c r="M69" s="1298"/>
      <c r="N69" s="1298"/>
      <c r="O69" s="1298"/>
      <c r="P69" s="1298"/>
      <c r="Q69" s="1298"/>
      <c r="R69" s="1298"/>
      <c r="S69" s="1298"/>
      <c r="T69" s="1298"/>
      <c r="U69" s="1298"/>
      <c r="V69" s="1298"/>
      <c r="W69" s="1298"/>
      <c r="X69" s="1298"/>
      <c r="Y69" s="1298"/>
      <c r="Z69" s="1298"/>
      <c r="AA69" s="1298"/>
      <c r="AB69" s="1298"/>
      <c r="AC69" s="1298"/>
      <c r="AD69" s="341"/>
      <c r="AE69" s="356"/>
      <c r="AF69" s="203"/>
      <c r="AG69" s="346"/>
      <c r="AH69" s="1297"/>
      <c r="AI69" s="1298"/>
      <c r="AJ69" s="1298"/>
      <c r="AK69" s="1298"/>
      <c r="AL69" s="1298"/>
      <c r="AM69" s="1298"/>
      <c r="AN69" s="1298"/>
      <c r="AO69" s="1298"/>
      <c r="AP69" s="1298"/>
      <c r="AQ69" s="1298"/>
      <c r="AR69" s="1298"/>
      <c r="AS69" s="1298"/>
      <c r="AT69" s="1298"/>
      <c r="AU69" s="1298"/>
      <c r="AV69" s="1298"/>
      <c r="AW69" s="1298"/>
      <c r="AX69" s="1298"/>
      <c r="AY69" s="1298"/>
      <c r="AZ69" s="1298"/>
      <c r="BA69" s="1298"/>
      <c r="BB69" s="1304"/>
      <c r="BC69" s="341"/>
      <c r="BD69" s="356"/>
      <c r="BE69" s="203"/>
      <c r="BF69" s="346"/>
      <c r="BG69" s="1297"/>
      <c r="BH69" s="1298"/>
      <c r="BI69" s="1298"/>
      <c r="BJ69" s="1298"/>
      <c r="BK69" s="1298"/>
      <c r="BL69" s="1298"/>
      <c r="BM69" s="1298"/>
      <c r="BN69" s="1298"/>
      <c r="BO69" s="1298"/>
      <c r="BP69" s="1298"/>
      <c r="BQ69" s="1298"/>
      <c r="BR69" s="1298"/>
      <c r="BS69" s="1298"/>
      <c r="BT69" s="1298"/>
      <c r="BU69" s="1298"/>
      <c r="BV69" s="1298"/>
      <c r="BW69" s="1298"/>
      <c r="BX69" s="1298"/>
      <c r="BY69" s="1298"/>
      <c r="BZ69" s="1298"/>
      <c r="CA69" s="1299"/>
    </row>
    <row r="70" spans="2:79" ht="11.25" customHeight="1">
      <c r="B70" s="1325"/>
      <c r="C70" s="1326"/>
      <c r="D70" s="1327"/>
      <c r="E70" s="203"/>
      <c r="F70" s="356"/>
      <c r="G70" s="203"/>
      <c r="H70" s="348"/>
      <c r="I70" s="1297"/>
      <c r="J70" s="1298"/>
      <c r="K70" s="1298"/>
      <c r="L70" s="1298"/>
      <c r="M70" s="1298"/>
      <c r="N70" s="1298"/>
      <c r="O70" s="1298"/>
      <c r="P70" s="1298"/>
      <c r="Q70" s="1298"/>
      <c r="R70" s="1298"/>
      <c r="S70" s="1298"/>
      <c r="T70" s="1298"/>
      <c r="U70" s="1298"/>
      <c r="V70" s="1298"/>
      <c r="W70" s="1298"/>
      <c r="X70" s="1298"/>
      <c r="Y70" s="1298"/>
      <c r="Z70" s="1298"/>
      <c r="AA70" s="1298"/>
      <c r="AB70" s="1298"/>
      <c r="AC70" s="1298"/>
      <c r="AD70" s="341"/>
      <c r="AE70" s="356"/>
      <c r="AF70" s="203"/>
      <c r="AG70" s="348"/>
      <c r="AH70" s="1297"/>
      <c r="AI70" s="1298"/>
      <c r="AJ70" s="1298"/>
      <c r="AK70" s="1298"/>
      <c r="AL70" s="1298"/>
      <c r="AM70" s="1298"/>
      <c r="AN70" s="1298"/>
      <c r="AO70" s="1298"/>
      <c r="AP70" s="1298"/>
      <c r="AQ70" s="1298"/>
      <c r="AR70" s="1298"/>
      <c r="AS70" s="1298"/>
      <c r="AT70" s="1298"/>
      <c r="AU70" s="1298"/>
      <c r="AV70" s="1298"/>
      <c r="AW70" s="1298"/>
      <c r="AX70" s="1298"/>
      <c r="AY70" s="1298"/>
      <c r="AZ70" s="1298"/>
      <c r="BA70" s="1298"/>
      <c r="BB70" s="1304"/>
      <c r="BC70" s="341"/>
      <c r="BD70" s="356"/>
      <c r="BE70" s="203"/>
      <c r="BF70" s="348"/>
      <c r="BG70" s="1297"/>
      <c r="BH70" s="1298"/>
      <c r="BI70" s="1298"/>
      <c r="BJ70" s="1298"/>
      <c r="BK70" s="1298"/>
      <c r="BL70" s="1298"/>
      <c r="BM70" s="1298"/>
      <c r="BN70" s="1298"/>
      <c r="BO70" s="1298"/>
      <c r="BP70" s="1298"/>
      <c r="BQ70" s="1298"/>
      <c r="BR70" s="1298"/>
      <c r="BS70" s="1298"/>
      <c r="BT70" s="1298"/>
      <c r="BU70" s="1298"/>
      <c r="BV70" s="1298"/>
      <c r="BW70" s="1298"/>
      <c r="BX70" s="1298"/>
      <c r="BY70" s="1298"/>
      <c r="BZ70" s="1298"/>
      <c r="CA70" s="1299"/>
    </row>
    <row r="71" spans="2:79" ht="11.25" customHeight="1" thickBot="1">
      <c r="B71" s="1325"/>
      <c r="C71" s="1326"/>
      <c r="D71" s="1327"/>
      <c r="E71" s="1292" t="str">
        <f>Buttons!$B$83</f>
        <v>Why?</v>
      </c>
      <c r="F71" s="1293"/>
      <c r="G71" s="1293"/>
      <c r="H71" s="1307"/>
      <c r="I71" s="1297"/>
      <c r="J71" s="1298"/>
      <c r="K71" s="1298"/>
      <c r="L71" s="1298"/>
      <c r="M71" s="1298"/>
      <c r="N71" s="1298"/>
      <c r="O71" s="1298"/>
      <c r="P71" s="1298"/>
      <c r="Q71" s="1298"/>
      <c r="R71" s="1298"/>
      <c r="S71" s="1298"/>
      <c r="T71" s="1298"/>
      <c r="U71" s="1298"/>
      <c r="V71" s="1298"/>
      <c r="W71" s="1298"/>
      <c r="X71" s="1298"/>
      <c r="Y71" s="1298"/>
      <c r="Z71" s="1298"/>
      <c r="AA71" s="1298"/>
      <c r="AB71" s="1298"/>
      <c r="AC71" s="1298"/>
      <c r="AD71" s="1306" t="str">
        <f>Buttons!$B$83</f>
        <v>Why?</v>
      </c>
      <c r="AE71" s="1293"/>
      <c r="AF71" s="1293"/>
      <c r="AG71" s="1307"/>
      <c r="AH71" s="1297"/>
      <c r="AI71" s="1298"/>
      <c r="AJ71" s="1298"/>
      <c r="AK71" s="1298"/>
      <c r="AL71" s="1298"/>
      <c r="AM71" s="1298"/>
      <c r="AN71" s="1298"/>
      <c r="AO71" s="1298"/>
      <c r="AP71" s="1298"/>
      <c r="AQ71" s="1298"/>
      <c r="AR71" s="1298"/>
      <c r="AS71" s="1298"/>
      <c r="AT71" s="1298"/>
      <c r="AU71" s="1298"/>
      <c r="AV71" s="1298"/>
      <c r="AW71" s="1298"/>
      <c r="AX71" s="1298"/>
      <c r="AY71" s="1298"/>
      <c r="AZ71" s="1298"/>
      <c r="BA71" s="1298"/>
      <c r="BB71" s="1304"/>
      <c r="BC71" s="1306" t="str">
        <f>Buttons!$B$83</f>
        <v>Why?</v>
      </c>
      <c r="BD71" s="1293"/>
      <c r="BE71" s="1293"/>
      <c r="BF71" s="1307"/>
      <c r="BG71" s="1297"/>
      <c r="BH71" s="1298"/>
      <c r="BI71" s="1298"/>
      <c r="BJ71" s="1298"/>
      <c r="BK71" s="1298"/>
      <c r="BL71" s="1298"/>
      <c r="BM71" s="1298"/>
      <c r="BN71" s="1298"/>
      <c r="BO71" s="1298"/>
      <c r="BP71" s="1298"/>
      <c r="BQ71" s="1298"/>
      <c r="BR71" s="1298"/>
      <c r="BS71" s="1298"/>
      <c r="BT71" s="1298"/>
      <c r="BU71" s="1298"/>
      <c r="BV71" s="1298"/>
      <c r="BW71" s="1298"/>
      <c r="BX71" s="1298"/>
      <c r="BY71" s="1298"/>
      <c r="BZ71" s="1298"/>
      <c r="CA71" s="1299"/>
    </row>
    <row r="72" spans="2:79" ht="11.25" customHeight="1" thickTop="1">
      <c r="B72" s="1325"/>
      <c r="C72" s="1326"/>
      <c r="D72" s="1327"/>
      <c r="E72" s="203"/>
      <c r="F72" s="356"/>
      <c r="G72" s="342"/>
      <c r="H72" s="343"/>
      <c r="I72" s="1300"/>
      <c r="J72" s="1301"/>
      <c r="K72" s="1301"/>
      <c r="L72" s="1301"/>
      <c r="M72" s="1301"/>
      <c r="N72" s="1301"/>
      <c r="O72" s="1301"/>
      <c r="P72" s="1301"/>
      <c r="Q72" s="1301"/>
      <c r="R72" s="1301"/>
      <c r="S72" s="1301"/>
      <c r="T72" s="1301"/>
      <c r="U72" s="1301"/>
      <c r="V72" s="1301"/>
      <c r="W72" s="1301"/>
      <c r="X72" s="1301"/>
      <c r="Y72" s="1301"/>
      <c r="Z72" s="1301"/>
      <c r="AA72" s="1301"/>
      <c r="AB72" s="1301"/>
      <c r="AC72" s="1301"/>
      <c r="AD72" s="341"/>
      <c r="AE72" s="356"/>
      <c r="AF72" s="342"/>
      <c r="AG72" s="343"/>
      <c r="AH72" s="1300"/>
      <c r="AI72" s="1301"/>
      <c r="AJ72" s="1301"/>
      <c r="AK72" s="1301"/>
      <c r="AL72" s="1301"/>
      <c r="AM72" s="1301"/>
      <c r="AN72" s="1301"/>
      <c r="AO72" s="1301"/>
      <c r="AP72" s="1301"/>
      <c r="AQ72" s="1301"/>
      <c r="AR72" s="1301"/>
      <c r="AS72" s="1301"/>
      <c r="AT72" s="1301"/>
      <c r="AU72" s="1301"/>
      <c r="AV72" s="1301"/>
      <c r="AW72" s="1301"/>
      <c r="AX72" s="1301"/>
      <c r="AY72" s="1301"/>
      <c r="AZ72" s="1301"/>
      <c r="BA72" s="1301"/>
      <c r="BB72" s="1305"/>
      <c r="BC72" s="341"/>
      <c r="BD72" s="356"/>
      <c r="BE72" s="342"/>
      <c r="BF72" s="343"/>
      <c r="BG72" s="1300"/>
      <c r="BH72" s="1301"/>
      <c r="BI72" s="1301"/>
      <c r="BJ72" s="1301"/>
      <c r="BK72" s="1301"/>
      <c r="BL72" s="1301"/>
      <c r="BM72" s="1301"/>
      <c r="BN72" s="1301"/>
      <c r="BO72" s="1301"/>
      <c r="BP72" s="1301"/>
      <c r="BQ72" s="1301"/>
      <c r="BR72" s="1301"/>
      <c r="BS72" s="1301"/>
      <c r="BT72" s="1301"/>
      <c r="BU72" s="1301"/>
      <c r="BV72" s="1301"/>
      <c r="BW72" s="1301"/>
      <c r="BX72" s="1301"/>
      <c r="BY72" s="1301"/>
      <c r="BZ72" s="1301"/>
      <c r="CA72" s="1302"/>
    </row>
    <row r="73" spans="2:79" ht="11.25" customHeight="1" thickBot="1">
      <c r="B73" s="1325"/>
      <c r="C73" s="1326"/>
      <c r="D73" s="1327"/>
      <c r="E73" s="203"/>
      <c r="F73" s="356"/>
      <c r="G73" s="344"/>
      <c r="H73" s="345"/>
      <c r="I73" s="1294"/>
      <c r="J73" s="1295"/>
      <c r="K73" s="1295"/>
      <c r="L73" s="1295"/>
      <c r="M73" s="1295"/>
      <c r="N73" s="1295"/>
      <c r="O73" s="1295"/>
      <c r="P73" s="1295"/>
      <c r="Q73" s="1295"/>
      <c r="R73" s="1295"/>
      <c r="S73" s="1295"/>
      <c r="T73" s="1295"/>
      <c r="U73" s="1295"/>
      <c r="V73" s="1295"/>
      <c r="W73" s="1295"/>
      <c r="X73" s="1295"/>
      <c r="Y73" s="1295"/>
      <c r="Z73" s="1295"/>
      <c r="AA73" s="1295"/>
      <c r="AB73" s="1295"/>
      <c r="AC73" s="1295"/>
      <c r="AD73" s="341"/>
      <c r="AE73" s="356"/>
      <c r="AF73" s="344"/>
      <c r="AG73" s="345"/>
      <c r="AH73" s="1294"/>
      <c r="AI73" s="1295"/>
      <c r="AJ73" s="1295"/>
      <c r="AK73" s="1295"/>
      <c r="AL73" s="1295"/>
      <c r="AM73" s="1295"/>
      <c r="AN73" s="1295"/>
      <c r="AO73" s="1295"/>
      <c r="AP73" s="1295"/>
      <c r="AQ73" s="1295"/>
      <c r="AR73" s="1295"/>
      <c r="AS73" s="1295"/>
      <c r="AT73" s="1295"/>
      <c r="AU73" s="1295"/>
      <c r="AV73" s="1295"/>
      <c r="AW73" s="1295"/>
      <c r="AX73" s="1295"/>
      <c r="AY73" s="1295"/>
      <c r="AZ73" s="1295"/>
      <c r="BA73" s="1295"/>
      <c r="BB73" s="1303"/>
      <c r="BC73" s="341"/>
      <c r="BD73" s="356"/>
      <c r="BE73" s="344"/>
      <c r="BF73" s="345"/>
      <c r="BG73" s="1294"/>
      <c r="BH73" s="1295"/>
      <c r="BI73" s="1295"/>
      <c r="BJ73" s="1295"/>
      <c r="BK73" s="1295"/>
      <c r="BL73" s="1295"/>
      <c r="BM73" s="1295"/>
      <c r="BN73" s="1295"/>
      <c r="BO73" s="1295"/>
      <c r="BP73" s="1295"/>
      <c r="BQ73" s="1295"/>
      <c r="BR73" s="1295"/>
      <c r="BS73" s="1295"/>
      <c r="BT73" s="1295"/>
      <c r="BU73" s="1295"/>
      <c r="BV73" s="1295"/>
      <c r="BW73" s="1295"/>
      <c r="BX73" s="1295"/>
      <c r="BY73" s="1295"/>
      <c r="BZ73" s="1295"/>
      <c r="CA73" s="1296"/>
    </row>
    <row r="74" spans="2:79" ht="11.25" customHeight="1" thickTop="1">
      <c r="B74" s="1325"/>
      <c r="C74" s="1326"/>
      <c r="D74" s="1327"/>
      <c r="E74" s="203"/>
      <c r="F74" s="356"/>
      <c r="G74" s="203"/>
      <c r="H74" s="346"/>
      <c r="I74" s="1297"/>
      <c r="J74" s="1298"/>
      <c r="K74" s="1298"/>
      <c r="L74" s="1298"/>
      <c r="M74" s="1298"/>
      <c r="N74" s="1298"/>
      <c r="O74" s="1298"/>
      <c r="P74" s="1298"/>
      <c r="Q74" s="1298"/>
      <c r="R74" s="1298"/>
      <c r="S74" s="1298"/>
      <c r="T74" s="1298"/>
      <c r="U74" s="1298"/>
      <c r="V74" s="1298"/>
      <c r="W74" s="1298"/>
      <c r="X74" s="1298"/>
      <c r="Y74" s="1298"/>
      <c r="Z74" s="1298"/>
      <c r="AA74" s="1298"/>
      <c r="AB74" s="1298"/>
      <c r="AC74" s="1298"/>
      <c r="AD74" s="341"/>
      <c r="AE74" s="356"/>
      <c r="AF74" s="203"/>
      <c r="AG74" s="346"/>
      <c r="AH74" s="1297"/>
      <c r="AI74" s="1298"/>
      <c r="AJ74" s="1298"/>
      <c r="AK74" s="1298"/>
      <c r="AL74" s="1298"/>
      <c r="AM74" s="1298"/>
      <c r="AN74" s="1298"/>
      <c r="AO74" s="1298"/>
      <c r="AP74" s="1298"/>
      <c r="AQ74" s="1298"/>
      <c r="AR74" s="1298"/>
      <c r="AS74" s="1298"/>
      <c r="AT74" s="1298"/>
      <c r="AU74" s="1298"/>
      <c r="AV74" s="1298"/>
      <c r="AW74" s="1298"/>
      <c r="AX74" s="1298"/>
      <c r="AY74" s="1298"/>
      <c r="AZ74" s="1298"/>
      <c r="BA74" s="1298"/>
      <c r="BB74" s="1304"/>
      <c r="BC74" s="341"/>
      <c r="BD74" s="356"/>
      <c r="BE74" s="203"/>
      <c r="BF74" s="346"/>
      <c r="BG74" s="1297"/>
      <c r="BH74" s="1298"/>
      <c r="BI74" s="1298"/>
      <c r="BJ74" s="1298"/>
      <c r="BK74" s="1298"/>
      <c r="BL74" s="1298"/>
      <c r="BM74" s="1298"/>
      <c r="BN74" s="1298"/>
      <c r="BO74" s="1298"/>
      <c r="BP74" s="1298"/>
      <c r="BQ74" s="1298"/>
      <c r="BR74" s="1298"/>
      <c r="BS74" s="1298"/>
      <c r="BT74" s="1298"/>
      <c r="BU74" s="1298"/>
      <c r="BV74" s="1298"/>
      <c r="BW74" s="1298"/>
      <c r="BX74" s="1298"/>
      <c r="BY74" s="1298"/>
      <c r="BZ74" s="1298"/>
      <c r="CA74" s="1299"/>
    </row>
    <row r="75" spans="2:79" ht="11.25" customHeight="1">
      <c r="B75" s="1325"/>
      <c r="C75" s="1326"/>
      <c r="D75" s="1327"/>
      <c r="E75" s="203"/>
      <c r="F75" s="356"/>
      <c r="G75" s="203"/>
      <c r="H75" s="348"/>
      <c r="I75" s="1297"/>
      <c r="J75" s="1298"/>
      <c r="K75" s="1298"/>
      <c r="L75" s="1298"/>
      <c r="M75" s="1298"/>
      <c r="N75" s="1298"/>
      <c r="O75" s="1298"/>
      <c r="P75" s="1298"/>
      <c r="Q75" s="1298"/>
      <c r="R75" s="1298"/>
      <c r="S75" s="1298"/>
      <c r="T75" s="1298"/>
      <c r="U75" s="1298"/>
      <c r="V75" s="1298"/>
      <c r="W75" s="1298"/>
      <c r="X75" s="1298"/>
      <c r="Y75" s="1298"/>
      <c r="Z75" s="1298"/>
      <c r="AA75" s="1298"/>
      <c r="AB75" s="1298"/>
      <c r="AC75" s="1298"/>
      <c r="AD75" s="341"/>
      <c r="AE75" s="356"/>
      <c r="AF75" s="203"/>
      <c r="AG75" s="348"/>
      <c r="AH75" s="1297"/>
      <c r="AI75" s="1298"/>
      <c r="AJ75" s="1298"/>
      <c r="AK75" s="1298"/>
      <c r="AL75" s="1298"/>
      <c r="AM75" s="1298"/>
      <c r="AN75" s="1298"/>
      <c r="AO75" s="1298"/>
      <c r="AP75" s="1298"/>
      <c r="AQ75" s="1298"/>
      <c r="AR75" s="1298"/>
      <c r="AS75" s="1298"/>
      <c r="AT75" s="1298"/>
      <c r="AU75" s="1298"/>
      <c r="AV75" s="1298"/>
      <c r="AW75" s="1298"/>
      <c r="AX75" s="1298"/>
      <c r="AY75" s="1298"/>
      <c r="AZ75" s="1298"/>
      <c r="BA75" s="1298"/>
      <c r="BB75" s="1304"/>
      <c r="BC75" s="341"/>
      <c r="BD75" s="356"/>
      <c r="BE75" s="203"/>
      <c r="BF75" s="348"/>
      <c r="BG75" s="1297"/>
      <c r="BH75" s="1298"/>
      <c r="BI75" s="1298"/>
      <c r="BJ75" s="1298"/>
      <c r="BK75" s="1298"/>
      <c r="BL75" s="1298"/>
      <c r="BM75" s="1298"/>
      <c r="BN75" s="1298"/>
      <c r="BO75" s="1298"/>
      <c r="BP75" s="1298"/>
      <c r="BQ75" s="1298"/>
      <c r="BR75" s="1298"/>
      <c r="BS75" s="1298"/>
      <c r="BT75" s="1298"/>
      <c r="BU75" s="1298"/>
      <c r="BV75" s="1298"/>
      <c r="BW75" s="1298"/>
      <c r="BX75" s="1298"/>
      <c r="BY75" s="1298"/>
      <c r="BZ75" s="1298"/>
      <c r="CA75" s="1299"/>
    </row>
    <row r="76" spans="2:79" ht="11.25" customHeight="1" thickBot="1">
      <c r="B76" s="1325"/>
      <c r="C76" s="1326"/>
      <c r="D76" s="1327"/>
      <c r="E76" s="1292" t="str">
        <f>Buttons!$B$83</f>
        <v>Why?</v>
      </c>
      <c r="F76" s="1293"/>
      <c r="G76" s="1293"/>
      <c r="H76" s="1307"/>
      <c r="I76" s="1297"/>
      <c r="J76" s="1298"/>
      <c r="K76" s="1298"/>
      <c r="L76" s="1298"/>
      <c r="M76" s="1298"/>
      <c r="N76" s="1298"/>
      <c r="O76" s="1298"/>
      <c r="P76" s="1298"/>
      <c r="Q76" s="1298"/>
      <c r="R76" s="1298"/>
      <c r="S76" s="1298"/>
      <c r="T76" s="1298"/>
      <c r="U76" s="1298"/>
      <c r="V76" s="1298"/>
      <c r="W76" s="1298"/>
      <c r="X76" s="1298"/>
      <c r="Y76" s="1298"/>
      <c r="Z76" s="1298"/>
      <c r="AA76" s="1298"/>
      <c r="AB76" s="1298"/>
      <c r="AC76" s="1298"/>
      <c r="AD76" s="1306" t="str">
        <f>Buttons!$B$83</f>
        <v>Why?</v>
      </c>
      <c r="AE76" s="1293"/>
      <c r="AF76" s="1293"/>
      <c r="AG76" s="1307"/>
      <c r="AH76" s="1297"/>
      <c r="AI76" s="1298"/>
      <c r="AJ76" s="1298"/>
      <c r="AK76" s="1298"/>
      <c r="AL76" s="1298"/>
      <c r="AM76" s="1298"/>
      <c r="AN76" s="1298"/>
      <c r="AO76" s="1298"/>
      <c r="AP76" s="1298"/>
      <c r="AQ76" s="1298"/>
      <c r="AR76" s="1298"/>
      <c r="AS76" s="1298"/>
      <c r="AT76" s="1298"/>
      <c r="AU76" s="1298"/>
      <c r="AV76" s="1298"/>
      <c r="AW76" s="1298"/>
      <c r="AX76" s="1298"/>
      <c r="AY76" s="1298"/>
      <c r="AZ76" s="1298"/>
      <c r="BA76" s="1298"/>
      <c r="BB76" s="1304"/>
      <c r="BC76" s="1306" t="str">
        <f>Buttons!$B$83</f>
        <v>Why?</v>
      </c>
      <c r="BD76" s="1293"/>
      <c r="BE76" s="1293"/>
      <c r="BF76" s="1307"/>
      <c r="BG76" s="1297"/>
      <c r="BH76" s="1298"/>
      <c r="BI76" s="1298"/>
      <c r="BJ76" s="1298"/>
      <c r="BK76" s="1298"/>
      <c r="BL76" s="1298"/>
      <c r="BM76" s="1298"/>
      <c r="BN76" s="1298"/>
      <c r="BO76" s="1298"/>
      <c r="BP76" s="1298"/>
      <c r="BQ76" s="1298"/>
      <c r="BR76" s="1298"/>
      <c r="BS76" s="1298"/>
      <c r="BT76" s="1298"/>
      <c r="BU76" s="1298"/>
      <c r="BV76" s="1298"/>
      <c r="BW76" s="1298"/>
      <c r="BX76" s="1298"/>
      <c r="BY76" s="1298"/>
      <c r="BZ76" s="1298"/>
      <c r="CA76" s="1299"/>
    </row>
    <row r="77" spans="2:79" ht="11.25" customHeight="1" thickTop="1">
      <c r="B77" s="1325"/>
      <c r="C77" s="1326"/>
      <c r="D77" s="1327"/>
      <c r="E77" s="203"/>
      <c r="F77" s="356"/>
      <c r="G77" s="342"/>
      <c r="H77" s="343"/>
      <c r="I77" s="1300"/>
      <c r="J77" s="1301"/>
      <c r="K77" s="1301"/>
      <c r="L77" s="1301"/>
      <c r="M77" s="1301"/>
      <c r="N77" s="1301"/>
      <c r="O77" s="1301"/>
      <c r="P77" s="1301"/>
      <c r="Q77" s="1301"/>
      <c r="R77" s="1301"/>
      <c r="S77" s="1301"/>
      <c r="T77" s="1301"/>
      <c r="U77" s="1301"/>
      <c r="V77" s="1301"/>
      <c r="W77" s="1301"/>
      <c r="X77" s="1301"/>
      <c r="Y77" s="1301"/>
      <c r="Z77" s="1301"/>
      <c r="AA77" s="1301"/>
      <c r="AB77" s="1301"/>
      <c r="AC77" s="1301"/>
      <c r="AD77" s="341"/>
      <c r="AE77" s="356"/>
      <c r="AF77" s="342"/>
      <c r="AG77" s="343"/>
      <c r="AH77" s="1300"/>
      <c r="AI77" s="1301"/>
      <c r="AJ77" s="1301"/>
      <c r="AK77" s="1301"/>
      <c r="AL77" s="1301"/>
      <c r="AM77" s="1301"/>
      <c r="AN77" s="1301"/>
      <c r="AO77" s="1301"/>
      <c r="AP77" s="1301"/>
      <c r="AQ77" s="1301"/>
      <c r="AR77" s="1301"/>
      <c r="AS77" s="1301"/>
      <c r="AT77" s="1301"/>
      <c r="AU77" s="1301"/>
      <c r="AV77" s="1301"/>
      <c r="AW77" s="1301"/>
      <c r="AX77" s="1301"/>
      <c r="AY77" s="1301"/>
      <c r="AZ77" s="1301"/>
      <c r="BA77" s="1301"/>
      <c r="BB77" s="1305"/>
      <c r="BC77" s="341"/>
      <c r="BD77" s="356"/>
      <c r="BE77" s="342"/>
      <c r="BF77" s="343"/>
      <c r="BG77" s="1300"/>
      <c r="BH77" s="1301"/>
      <c r="BI77" s="1301"/>
      <c r="BJ77" s="1301"/>
      <c r="BK77" s="1301"/>
      <c r="BL77" s="1301"/>
      <c r="BM77" s="1301"/>
      <c r="BN77" s="1301"/>
      <c r="BO77" s="1301"/>
      <c r="BP77" s="1301"/>
      <c r="BQ77" s="1301"/>
      <c r="BR77" s="1301"/>
      <c r="BS77" s="1301"/>
      <c r="BT77" s="1301"/>
      <c r="BU77" s="1301"/>
      <c r="BV77" s="1301"/>
      <c r="BW77" s="1301"/>
      <c r="BX77" s="1301"/>
      <c r="BY77" s="1301"/>
      <c r="BZ77" s="1301"/>
      <c r="CA77" s="1302"/>
    </row>
    <row r="78" spans="2:79" ht="11.25" customHeight="1" thickBot="1">
      <c r="B78" s="1325"/>
      <c r="C78" s="1326"/>
      <c r="D78" s="1327"/>
      <c r="E78" s="203"/>
      <c r="F78" s="356"/>
      <c r="G78" s="344"/>
      <c r="H78" s="345"/>
      <c r="I78" s="1294"/>
      <c r="J78" s="1295"/>
      <c r="K78" s="1295"/>
      <c r="L78" s="1295"/>
      <c r="M78" s="1295"/>
      <c r="N78" s="1295"/>
      <c r="O78" s="1295"/>
      <c r="P78" s="1295"/>
      <c r="Q78" s="1295"/>
      <c r="R78" s="1295"/>
      <c r="S78" s="1295"/>
      <c r="T78" s="1295"/>
      <c r="U78" s="1295"/>
      <c r="V78" s="1295"/>
      <c r="W78" s="1295"/>
      <c r="X78" s="1295"/>
      <c r="Y78" s="1295"/>
      <c r="Z78" s="1295"/>
      <c r="AA78" s="1295"/>
      <c r="AB78" s="1295"/>
      <c r="AC78" s="1295"/>
      <c r="AD78" s="341"/>
      <c r="AE78" s="356"/>
      <c r="AF78" s="344"/>
      <c r="AG78" s="345"/>
      <c r="AH78" s="1294"/>
      <c r="AI78" s="1295"/>
      <c r="AJ78" s="1295"/>
      <c r="AK78" s="1295"/>
      <c r="AL78" s="1295"/>
      <c r="AM78" s="1295"/>
      <c r="AN78" s="1295"/>
      <c r="AO78" s="1295"/>
      <c r="AP78" s="1295"/>
      <c r="AQ78" s="1295"/>
      <c r="AR78" s="1295"/>
      <c r="AS78" s="1295"/>
      <c r="AT78" s="1295"/>
      <c r="AU78" s="1295"/>
      <c r="AV78" s="1295"/>
      <c r="AW78" s="1295"/>
      <c r="AX78" s="1295"/>
      <c r="AY78" s="1295"/>
      <c r="AZ78" s="1295"/>
      <c r="BA78" s="1295"/>
      <c r="BB78" s="1303"/>
      <c r="BC78" s="341"/>
      <c r="BD78" s="356"/>
      <c r="BE78" s="344"/>
      <c r="BF78" s="345"/>
      <c r="BG78" s="1294"/>
      <c r="BH78" s="1295"/>
      <c r="BI78" s="1295"/>
      <c r="BJ78" s="1295"/>
      <c r="BK78" s="1295"/>
      <c r="BL78" s="1295"/>
      <c r="BM78" s="1295"/>
      <c r="BN78" s="1295"/>
      <c r="BO78" s="1295"/>
      <c r="BP78" s="1295"/>
      <c r="BQ78" s="1295"/>
      <c r="BR78" s="1295"/>
      <c r="BS78" s="1295"/>
      <c r="BT78" s="1295"/>
      <c r="BU78" s="1295"/>
      <c r="BV78" s="1295"/>
      <c r="BW78" s="1295"/>
      <c r="BX78" s="1295"/>
      <c r="BY78" s="1295"/>
      <c r="BZ78" s="1295"/>
      <c r="CA78" s="1296"/>
    </row>
    <row r="79" spans="2:79" ht="11.25" customHeight="1" thickTop="1">
      <c r="B79" s="1325"/>
      <c r="C79" s="1326"/>
      <c r="D79" s="1327"/>
      <c r="E79" s="203"/>
      <c r="F79" s="356"/>
      <c r="G79" s="203"/>
      <c r="H79" s="346"/>
      <c r="I79" s="1297"/>
      <c r="J79" s="1298"/>
      <c r="K79" s="1298"/>
      <c r="L79" s="1298"/>
      <c r="M79" s="1298"/>
      <c r="N79" s="1298"/>
      <c r="O79" s="1298"/>
      <c r="P79" s="1298"/>
      <c r="Q79" s="1298"/>
      <c r="R79" s="1298"/>
      <c r="S79" s="1298"/>
      <c r="T79" s="1298"/>
      <c r="U79" s="1298"/>
      <c r="V79" s="1298"/>
      <c r="W79" s="1298"/>
      <c r="X79" s="1298"/>
      <c r="Y79" s="1298"/>
      <c r="Z79" s="1298"/>
      <c r="AA79" s="1298"/>
      <c r="AB79" s="1298"/>
      <c r="AC79" s="1298"/>
      <c r="AD79" s="341"/>
      <c r="AE79" s="356"/>
      <c r="AF79" s="203"/>
      <c r="AG79" s="346"/>
      <c r="AH79" s="1297"/>
      <c r="AI79" s="1298"/>
      <c r="AJ79" s="1298"/>
      <c r="AK79" s="1298"/>
      <c r="AL79" s="1298"/>
      <c r="AM79" s="1298"/>
      <c r="AN79" s="1298"/>
      <c r="AO79" s="1298"/>
      <c r="AP79" s="1298"/>
      <c r="AQ79" s="1298"/>
      <c r="AR79" s="1298"/>
      <c r="AS79" s="1298"/>
      <c r="AT79" s="1298"/>
      <c r="AU79" s="1298"/>
      <c r="AV79" s="1298"/>
      <c r="AW79" s="1298"/>
      <c r="AX79" s="1298"/>
      <c r="AY79" s="1298"/>
      <c r="AZ79" s="1298"/>
      <c r="BA79" s="1298"/>
      <c r="BB79" s="1304"/>
      <c r="BC79" s="341"/>
      <c r="BD79" s="356"/>
      <c r="BE79" s="203"/>
      <c r="BF79" s="346"/>
      <c r="BG79" s="1297"/>
      <c r="BH79" s="1298"/>
      <c r="BI79" s="1298"/>
      <c r="BJ79" s="1298"/>
      <c r="BK79" s="1298"/>
      <c r="BL79" s="1298"/>
      <c r="BM79" s="1298"/>
      <c r="BN79" s="1298"/>
      <c r="BO79" s="1298"/>
      <c r="BP79" s="1298"/>
      <c r="BQ79" s="1298"/>
      <c r="BR79" s="1298"/>
      <c r="BS79" s="1298"/>
      <c r="BT79" s="1298"/>
      <c r="BU79" s="1298"/>
      <c r="BV79" s="1298"/>
      <c r="BW79" s="1298"/>
      <c r="BX79" s="1298"/>
      <c r="BY79" s="1298"/>
      <c r="BZ79" s="1298"/>
      <c r="CA79" s="1299"/>
    </row>
    <row r="80" spans="2:79" ht="11.25" customHeight="1">
      <c r="B80" s="1325"/>
      <c r="C80" s="1326"/>
      <c r="D80" s="1327"/>
      <c r="E80" s="203"/>
      <c r="F80" s="356"/>
      <c r="G80" s="203"/>
      <c r="H80" s="348"/>
      <c r="I80" s="1297"/>
      <c r="J80" s="1298"/>
      <c r="K80" s="1298"/>
      <c r="L80" s="1298"/>
      <c r="M80" s="1298"/>
      <c r="N80" s="1298"/>
      <c r="O80" s="1298"/>
      <c r="P80" s="1298"/>
      <c r="Q80" s="1298"/>
      <c r="R80" s="1298"/>
      <c r="S80" s="1298"/>
      <c r="T80" s="1298"/>
      <c r="U80" s="1298"/>
      <c r="V80" s="1298"/>
      <c r="W80" s="1298"/>
      <c r="X80" s="1298"/>
      <c r="Y80" s="1298"/>
      <c r="Z80" s="1298"/>
      <c r="AA80" s="1298"/>
      <c r="AB80" s="1298"/>
      <c r="AC80" s="1298"/>
      <c r="AD80" s="341"/>
      <c r="AE80" s="356"/>
      <c r="AF80" s="203"/>
      <c r="AG80" s="348"/>
      <c r="AH80" s="1297"/>
      <c r="AI80" s="1298"/>
      <c r="AJ80" s="1298"/>
      <c r="AK80" s="1298"/>
      <c r="AL80" s="1298"/>
      <c r="AM80" s="1298"/>
      <c r="AN80" s="1298"/>
      <c r="AO80" s="1298"/>
      <c r="AP80" s="1298"/>
      <c r="AQ80" s="1298"/>
      <c r="AR80" s="1298"/>
      <c r="AS80" s="1298"/>
      <c r="AT80" s="1298"/>
      <c r="AU80" s="1298"/>
      <c r="AV80" s="1298"/>
      <c r="AW80" s="1298"/>
      <c r="AX80" s="1298"/>
      <c r="AY80" s="1298"/>
      <c r="AZ80" s="1298"/>
      <c r="BA80" s="1298"/>
      <c r="BB80" s="1304"/>
      <c r="BC80" s="341"/>
      <c r="BD80" s="356"/>
      <c r="BE80" s="203"/>
      <c r="BF80" s="348"/>
      <c r="BG80" s="1297"/>
      <c r="BH80" s="1298"/>
      <c r="BI80" s="1298"/>
      <c r="BJ80" s="1298"/>
      <c r="BK80" s="1298"/>
      <c r="BL80" s="1298"/>
      <c r="BM80" s="1298"/>
      <c r="BN80" s="1298"/>
      <c r="BO80" s="1298"/>
      <c r="BP80" s="1298"/>
      <c r="BQ80" s="1298"/>
      <c r="BR80" s="1298"/>
      <c r="BS80" s="1298"/>
      <c r="BT80" s="1298"/>
      <c r="BU80" s="1298"/>
      <c r="BV80" s="1298"/>
      <c r="BW80" s="1298"/>
      <c r="BX80" s="1298"/>
      <c r="BY80" s="1298"/>
      <c r="BZ80" s="1298"/>
      <c r="CA80" s="1299"/>
    </row>
    <row r="81" spans="2:79" ht="11.25" customHeight="1" thickBot="1">
      <c r="B81" s="1325"/>
      <c r="C81" s="1326"/>
      <c r="D81" s="1327"/>
      <c r="E81" s="1292" t="str">
        <f>Buttons!$B$83</f>
        <v>Why?</v>
      </c>
      <c r="F81" s="1293"/>
      <c r="G81" s="1293"/>
      <c r="H81" s="1307"/>
      <c r="I81" s="1297"/>
      <c r="J81" s="1298"/>
      <c r="K81" s="1298"/>
      <c r="L81" s="1298"/>
      <c r="M81" s="1298"/>
      <c r="N81" s="1298"/>
      <c r="O81" s="1298"/>
      <c r="P81" s="1298"/>
      <c r="Q81" s="1298"/>
      <c r="R81" s="1298"/>
      <c r="S81" s="1298"/>
      <c r="T81" s="1298"/>
      <c r="U81" s="1298"/>
      <c r="V81" s="1298"/>
      <c r="W81" s="1298"/>
      <c r="X81" s="1298"/>
      <c r="Y81" s="1298"/>
      <c r="Z81" s="1298"/>
      <c r="AA81" s="1298"/>
      <c r="AB81" s="1298"/>
      <c r="AC81" s="1298"/>
      <c r="AD81" s="1306" t="str">
        <f>Buttons!$B$83</f>
        <v>Why?</v>
      </c>
      <c r="AE81" s="1293"/>
      <c r="AF81" s="1293"/>
      <c r="AG81" s="1307"/>
      <c r="AH81" s="1297"/>
      <c r="AI81" s="1298"/>
      <c r="AJ81" s="1298"/>
      <c r="AK81" s="1298"/>
      <c r="AL81" s="1298"/>
      <c r="AM81" s="1298"/>
      <c r="AN81" s="1298"/>
      <c r="AO81" s="1298"/>
      <c r="AP81" s="1298"/>
      <c r="AQ81" s="1298"/>
      <c r="AR81" s="1298"/>
      <c r="AS81" s="1298"/>
      <c r="AT81" s="1298"/>
      <c r="AU81" s="1298"/>
      <c r="AV81" s="1298"/>
      <c r="AW81" s="1298"/>
      <c r="AX81" s="1298"/>
      <c r="AY81" s="1298"/>
      <c r="AZ81" s="1298"/>
      <c r="BA81" s="1298"/>
      <c r="BB81" s="1304"/>
      <c r="BC81" s="1306" t="str">
        <f>Buttons!$B$83</f>
        <v>Why?</v>
      </c>
      <c r="BD81" s="1293"/>
      <c r="BE81" s="1293"/>
      <c r="BF81" s="1307"/>
      <c r="BG81" s="1297"/>
      <c r="BH81" s="1298"/>
      <c r="BI81" s="1298"/>
      <c r="BJ81" s="1298"/>
      <c r="BK81" s="1298"/>
      <c r="BL81" s="1298"/>
      <c r="BM81" s="1298"/>
      <c r="BN81" s="1298"/>
      <c r="BO81" s="1298"/>
      <c r="BP81" s="1298"/>
      <c r="BQ81" s="1298"/>
      <c r="BR81" s="1298"/>
      <c r="BS81" s="1298"/>
      <c r="BT81" s="1298"/>
      <c r="BU81" s="1298"/>
      <c r="BV81" s="1298"/>
      <c r="BW81" s="1298"/>
      <c r="BX81" s="1298"/>
      <c r="BY81" s="1298"/>
      <c r="BZ81" s="1298"/>
      <c r="CA81" s="1299"/>
    </row>
    <row r="82" spans="2:79" ht="11.25" customHeight="1" thickTop="1">
      <c r="B82" s="1325"/>
      <c r="C82" s="1326"/>
      <c r="D82" s="1327"/>
      <c r="E82" s="203"/>
      <c r="F82" s="356"/>
      <c r="G82" s="342"/>
      <c r="H82" s="343"/>
      <c r="I82" s="1300"/>
      <c r="J82" s="1301"/>
      <c r="K82" s="1301"/>
      <c r="L82" s="1301"/>
      <c r="M82" s="1301"/>
      <c r="N82" s="1301"/>
      <c r="O82" s="1301"/>
      <c r="P82" s="1301"/>
      <c r="Q82" s="1301"/>
      <c r="R82" s="1301"/>
      <c r="S82" s="1301"/>
      <c r="T82" s="1301"/>
      <c r="U82" s="1301"/>
      <c r="V82" s="1301"/>
      <c r="W82" s="1301"/>
      <c r="X82" s="1301"/>
      <c r="Y82" s="1301"/>
      <c r="Z82" s="1301"/>
      <c r="AA82" s="1301"/>
      <c r="AB82" s="1301"/>
      <c r="AC82" s="1301"/>
      <c r="AD82" s="341"/>
      <c r="AE82" s="356"/>
      <c r="AF82" s="342"/>
      <c r="AG82" s="343"/>
      <c r="AH82" s="1300"/>
      <c r="AI82" s="1301"/>
      <c r="AJ82" s="1301"/>
      <c r="AK82" s="1301"/>
      <c r="AL82" s="1301"/>
      <c r="AM82" s="1301"/>
      <c r="AN82" s="1301"/>
      <c r="AO82" s="1301"/>
      <c r="AP82" s="1301"/>
      <c r="AQ82" s="1301"/>
      <c r="AR82" s="1301"/>
      <c r="AS82" s="1301"/>
      <c r="AT82" s="1301"/>
      <c r="AU82" s="1301"/>
      <c r="AV82" s="1301"/>
      <c r="AW82" s="1301"/>
      <c r="AX82" s="1301"/>
      <c r="AY82" s="1301"/>
      <c r="AZ82" s="1301"/>
      <c r="BA82" s="1301"/>
      <c r="BB82" s="1305"/>
      <c r="BC82" s="341"/>
      <c r="BD82" s="356"/>
      <c r="BE82" s="342"/>
      <c r="BF82" s="343"/>
      <c r="BG82" s="1300"/>
      <c r="BH82" s="1301"/>
      <c r="BI82" s="1301"/>
      <c r="BJ82" s="1301"/>
      <c r="BK82" s="1301"/>
      <c r="BL82" s="1301"/>
      <c r="BM82" s="1301"/>
      <c r="BN82" s="1301"/>
      <c r="BO82" s="1301"/>
      <c r="BP82" s="1301"/>
      <c r="BQ82" s="1301"/>
      <c r="BR82" s="1301"/>
      <c r="BS82" s="1301"/>
      <c r="BT82" s="1301"/>
      <c r="BU82" s="1301"/>
      <c r="BV82" s="1301"/>
      <c r="BW82" s="1301"/>
      <c r="BX82" s="1301"/>
      <c r="BY82" s="1301"/>
      <c r="BZ82" s="1301"/>
      <c r="CA82" s="1302"/>
    </row>
    <row r="83" spans="2:79" ht="11.25" hidden="1" customHeight="1" outlineLevel="1" thickBot="1">
      <c r="B83" s="1325"/>
      <c r="C83" s="1326"/>
      <c r="D83" s="1327"/>
      <c r="E83" s="203"/>
      <c r="F83" s="356"/>
      <c r="G83" s="344"/>
      <c r="H83" s="345"/>
      <c r="I83" s="1294"/>
      <c r="J83" s="1295"/>
      <c r="K83" s="1295"/>
      <c r="L83" s="1295"/>
      <c r="M83" s="1295"/>
      <c r="N83" s="1295"/>
      <c r="O83" s="1295"/>
      <c r="P83" s="1295"/>
      <c r="Q83" s="1295"/>
      <c r="R83" s="1295"/>
      <c r="S83" s="1295"/>
      <c r="T83" s="1295"/>
      <c r="U83" s="1295"/>
      <c r="V83" s="1295"/>
      <c r="W83" s="1295"/>
      <c r="X83" s="1295"/>
      <c r="Y83" s="1295"/>
      <c r="Z83" s="1295"/>
      <c r="AA83" s="1295"/>
      <c r="AB83" s="1295"/>
      <c r="AC83" s="1295"/>
      <c r="AD83" s="341"/>
      <c r="AE83" s="356"/>
      <c r="AF83" s="344"/>
      <c r="AG83" s="345"/>
      <c r="AH83" s="1294"/>
      <c r="AI83" s="1295"/>
      <c r="AJ83" s="1295"/>
      <c r="AK83" s="1295"/>
      <c r="AL83" s="1295"/>
      <c r="AM83" s="1295"/>
      <c r="AN83" s="1295"/>
      <c r="AO83" s="1295"/>
      <c r="AP83" s="1295"/>
      <c r="AQ83" s="1295"/>
      <c r="AR83" s="1295"/>
      <c r="AS83" s="1295"/>
      <c r="AT83" s="1295"/>
      <c r="AU83" s="1295"/>
      <c r="AV83" s="1295"/>
      <c r="AW83" s="1295"/>
      <c r="AX83" s="1295"/>
      <c r="AY83" s="1295"/>
      <c r="AZ83" s="1295"/>
      <c r="BA83" s="1295"/>
      <c r="BB83" s="1303"/>
      <c r="BC83" s="341"/>
      <c r="BD83" s="356"/>
      <c r="BE83" s="344"/>
      <c r="BF83" s="345"/>
      <c r="BG83" s="1294"/>
      <c r="BH83" s="1295"/>
      <c r="BI83" s="1295"/>
      <c r="BJ83" s="1295"/>
      <c r="BK83" s="1295"/>
      <c r="BL83" s="1295"/>
      <c r="BM83" s="1295"/>
      <c r="BN83" s="1295"/>
      <c r="BO83" s="1295"/>
      <c r="BP83" s="1295"/>
      <c r="BQ83" s="1295"/>
      <c r="BR83" s="1295"/>
      <c r="BS83" s="1295"/>
      <c r="BT83" s="1295"/>
      <c r="BU83" s="1295"/>
      <c r="BV83" s="1295"/>
      <c r="BW83" s="1295"/>
      <c r="BX83" s="1295"/>
      <c r="BY83" s="1295"/>
      <c r="BZ83" s="1295"/>
      <c r="CA83" s="1296"/>
    </row>
    <row r="84" spans="2:79" ht="11.25" hidden="1" customHeight="1" outlineLevel="1" thickTop="1">
      <c r="B84" s="1325"/>
      <c r="C84" s="1326"/>
      <c r="D84" s="1327"/>
      <c r="E84" s="203"/>
      <c r="F84" s="356"/>
      <c r="G84" s="203"/>
      <c r="H84" s="346"/>
      <c r="I84" s="1297"/>
      <c r="J84" s="1298"/>
      <c r="K84" s="1298"/>
      <c r="L84" s="1298"/>
      <c r="M84" s="1298"/>
      <c r="N84" s="1298"/>
      <c r="O84" s="1298"/>
      <c r="P84" s="1298"/>
      <c r="Q84" s="1298"/>
      <c r="R84" s="1298"/>
      <c r="S84" s="1298"/>
      <c r="T84" s="1298"/>
      <c r="U84" s="1298"/>
      <c r="V84" s="1298"/>
      <c r="W84" s="1298"/>
      <c r="X84" s="1298"/>
      <c r="Y84" s="1298"/>
      <c r="Z84" s="1298"/>
      <c r="AA84" s="1298"/>
      <c r="AB84" s="1298"/>
      <c r="AC84" s="1298"/>
      <c r="AD84" s="341"/>
      <c r="AE84" s="356"/>
      <c r="AF84" s="203"/>
      <c r="AG84" s="346"/>
      <c r="AH84" s="1297"/>
      <c r="AI84" s="1298"/>
      <c r="AJ84" s="1298"/>
      <c r="AK84" s="1298"/>
      <c r="AL84" s="1298"/>
      <c r="AM84" s="1298"/>
      <c r="AN84" s="1298"/>
      <c r="AO84" s="1298"/>
      <c r="AP84" s="1298"/>
      <c r="AQ84" s="1298"/>
      <c r="AR84" s="1298"/>
      <c r="AS84" s="1298"/>
      <c r="AT84" s="1298"/>
      <c r="AU84" s="1298"/>
      <c r="AV84" s="1298"/>
      <c r="AW84" s="1298"/>
      <c r="AX84" s="1298"/>
      <c r="AY84" s="1298"/>
      <c r="AZ84" s="1298"/>
      <c r="BA84" s="1298"/>
      <c r="BB84" s="1304"/>
      <c r="BC84" s="341"/>
      <c r="BD84" s="356"/>
      <c r="BE84" s="203"/>
      <c r="BF84" s="346"/>
      <c r="BG84" s="1297"/>
      <c r="BH84" s="1298"/>
      <c r="BI84" s="1298"/>
      <c r="BJ84" s="1298"/>
      <c r="BK84" s="1298"/>
      <c r="BL84" s="1298"/>
      <c r="BM84" s="1298"/>
      <c r="BN84" s="1298"/>
      <c r="BO84" s="1298"/>
      <c r="BP84" s="1298"/>
      <c r="BQ84" s="1298"/>
      <c r="BR84" s="1298"/>
      <c r="BS84" s="1298"/>
      <c r="BT84" s="1298"/>
      <c r="BU84" s="1298"/>
      <c r="BV84" s="1298"/>
      <c r="BW84" s="1298"/>
      <c r="BX84" s="1298"/>
      <c r="BY84" s="1298"/>
      <c r="BZ84" s="1298"/>
      <c r="CA84" s="1299"/>
    </row>
    <row r="85" spans="2:79" ht="11.25" hidden="1" customHeight="1" outlineLevel="1">
      <c r="B85" s="1325"/>
      <c r="C85" s="1326"/>
      <c r="D85" s="1327"/>
      <c r="E85" s="203"/>
      <c r="F85" s="356"/>
      <c r="G85" s="203"/>
      <c r="H85" s="348"/>
      <c r="I85" s="1297"/>
      <c r="J85" s="1298"/>
      <c r="K85" s="1298"/>
      <c r="L85" s="1298"/>
      <c r="M85" s="1298"/>
      <c r="N85" s="1298"/>
      <c r="O85" s="1298"/>
      <c r="P85" s="1298"/>
      <c r="Q85" s="1298"/>
      <c r="R85" s="1298"/>
      <c r="S85" s="1298"/>
      <c r="T85" s="1298"/>
      <c r="U85" s="1298"/>
      <c r="V85" s="1298"/>
      <c r="W85" s="1298"/>
      <c r="X85" s="1298"/>
      <c r="Y85" s="1298"/>
      <c r="Z85" s="1298"/>
      <c r="AA85" s="1298"/>
      <c r="AB85" s="1298"/>
      <c r="AC85" s="1298"/>
      <c r="AD85" s="341"/>
      <c r="AE85" s="356"/>
      <c r="AF85" s="203"/>
      <c r="AG85" s="348"/>
      <c r="AH85" s="1297"/>
      <c r="AI85" s="1298"/>
      <c r="AJ85" s="1298"/>
      <c r="AK85" s="1298"/>
      <c r="AL85" s="1298"/>
      <c r="AM85" s="1298"/>
      <c r="AN85" s="1298"/>
      <c r="AO85" s="1298"/>
      <c r="AP85" s="1298"/>
      <c r="AQ85" s="1298"/>
      <c r="AR85" s="1298"/>
      <c r="AS85" s="1298"/>
      <c r="AT85" s="1298"/>
      <c r="AU85" s="1298"/>
      <c r="AV85" s="1298"/>
      <c r="AW85" s="1298"/>
      <c r="AX85" s="1298"/>
      <c r="AY85" s="1298"/>
      <c r="AZ85" s="1298"/>
      <c r="BA85" s="1298"/>
      <c r="BB85" s="1304"/>
      <c r="BC85" s="341"/>
      <c r="BD85" s="356"/>
      <c r="BE85" s="203"/>
      <c r="BF85" s="348"/>
      <c r="BG85" s="1297"/>
      <c r="BH85" s="1298"/>
      <c r="BI85" s="1298"/>
      <c r="BJ85" s="1298"/>
      <c r="BK85" s="1298"/>
      <c r="BL85" s="1298"/>
      <c r="BM85" s="1298"/>
      <c r="BN85" s="1298"/>
      <c r="BO85" s="1298"/>
      <c r="BP85" s="1298"/>
      <c r="BQ85" s="1298"/>
      <c r="BR85" s="1298"/>
      <c r="BS85" s="1298"/>
      <c r="BT85" s="1298"/>
      <c r="BU85" s="1298"/>
      <c r="BV85" s="1298"/>
      <c r="BW85" s="1298"/>
      <c r="BX85" s="1298"/>
      <c r="BY85" s="1298"/>
      <c r="BZ85" s="1298"/>
      <c r="CA85" s="1299"/>
    </row>
    <row r="86" spans="2:79" ht="11.25" hidden="1" customHeight="1" outlineLevel="1" thickBot="1">
      <c r="B86" s="1325"/>
      <c r="C86" s="1326"/>
      <c r="D86" s="1327"/>
      <c r="E86" s="1292" t="str">
        <f>Buttons!$B$83</f>
        <v>Why?</v>
      </c>
      <c r="F86" s="1293"/>
      <c r="G86" s="1293"/>
      <c r="H86" s="1307"/>
      <c r="I86" s="1297"/>
      <c r="J86" s="1298"/>
      <c r="K86" s="1298"/>
      <c r="L86" s="1298"/>
      <c r="M86" s="1298"/>
      <c r="N86" s="1298"/>
      <c r="O86" s="1298"/>
      <c r="P86" s="1298"/>
      <c r="Q86" s="1298"/>
      <c r="R86" s="1298"/>
      <c r="S86" s="1298"/>
      <c r="T86" s="1298"/>
      <c r="U86" s="1298"/>
      <c r="V86" s="1298"/>
      <c r="W86" s="1298"/>
      <c r="X86" s="1298"/>
      <c r="Y86" s="1298"/>
      <c r="Z86" s="1298"/>
      <c r="AA86" s="1298"/>
      <c r="AB86" s="1298"/>
      <c r="AC86" s="1298"/>
      <c r="AD86" s="1306" t="str">
        <f>Buttons!$B$83</f>
        <v>Why?</v>
      </c>
      <c r="AE86" s="1293"/>
      <c r="AF86" s="1293"/>
      <c r="AG86" s="1307"/>
      <c r="AH86" s="1297"/>
      <c r="AI86" s="1298"/>
      <c r="AJ86" s="1298"/>
      <c r="AK86" s="1298"/>
      <c r="AL86" s="1298"/>
      <c r="AM86" s="1298"/>
      <c r="AN86" s="1298"/>
      <c r="AO86" s="1298"/>
      <c r="AP86" s="1298"/>
      <c r="AQ86" s="1298"/>
      <c r="AR86" s="1298"/>
      <c r="AS86" s="1298"/>
      <c r="AT86" s="1298"/>
      <c r="AU86" s="1298"/>
      <c r="AV86" s="1298"/>
      <c r="AW86" s="1298"/>
      <c r="AX86" s="1298"/>
      <c r="AY86" s="1298"/>
      <c r="AZ86" s="1298"/>
      <c r="BA86" s="1298"/>
      <c r="BB86" s="1304"/>
      <c r="BC86" s="1306" t="str">
        <f>Buttons!$B$83</f>
        <v>Why?</v>
      </c>
      <c r="BD86" s="1293"/>
      <c r="BE86" s="1293"/>
      <c r="BF86" s="1307"/>
      <c r="BG86" s="1297"/>
      <c r="BH86" s="1298"/>
      <c r="BI86" s="1298"/>
      <c r="BJ86" s="1298"/>
      <c r="BK86" s="1298"/>
      <c r="BL86" s="1298"/>
      <c r="BM86" s="1298"/>
      <c r="BN86" s="1298"/>
      <c r="BO86" s="1298"/>
      <c r="BP86" s="1298"/>
      <c r="BQ86" s="1298"/>
      <c r="BR86" s="1298"/>
      <c r="BS86" s="1298"/>
      <c r="BT86" s="1298"/>
      <c r="BU86" s="1298"/>
      <c r="BV86" s="1298"/>
      <c r="BW86" s="1298"/>
      <c r="BX86" s="1298"/>
      <c r="BY86" s="1298"/>
      <c r="BZ86" s="1298"/>
      <c r="CA86" s="1299"/>
    </row>
    <row r="87" spans="2:79" ht="11.25" hidden="1" customHeight="1" outlineLevel="1" thickTop="1">
      <c r="B87" s="1325"/>
      <c r="C87" s="1326"/>
      <c r="D87" s="1327"/>
      <c r="E87" s="203"/>
      <c r="F87" s="356"/>
      <c r="G87" s="342"/>
      <c r="H87" s="343"/>
      <c r="I87" s="1300"/>
      <c r="J87" s="1301"/>
      <c r="K87" s="1301"/>
      <c r="L87" s="1301"/>
      <c r="M87" s="1301"/>
      <c r="N87" s="1301"/>
      <c r="O87" s="1301"/>
      <c r="P87" s="1301"/>
      <c r="Q87" s="1301"/>
      <c r="R87" s="1301"/>
      <c r="S87" s="1301"/>
      <c r="T87" s="1301"/>
      <c r="U87" s="1301"/>
      <c r="V87" s="1301"/>
      <c r="W87" s="1301"/>
      <c r="X87" s="1301"/>
      <c r="Y87" s="1301"/>
      <c r="Z87" s="1301"/>
      <c r="AA87" s="1301"/>
      <c r="AB87" s="1301"/>
      <c r="AC87" s="1301"/>
      <c r="AD87" s="341"/>
      <c r="AE87" s="356"/>
      <c r="AF87" s="342"/>
      <c r="AG87" s="343"/>
      <c r="AH87" s="1300"/>
      <c r="AI87" s="1301"/>
      <c r="AJ87" s="1301"/>
      <c r="AK87" s="1301"/>
      <c r="AL87" s="1301"/>
      <c r="AM87" s="1301"/>
      <c r="AN87" s="1301"/>
      <c r="AO87" s="1301"/>
      <c r="AP87" s="1301"/>
      <c r="AQ87" s="1301"/>
      <c r="AR87" s="1301"/>
      <c r="AS87" s="1301"/>
      <c r="AT87" s="1301"/>
      <c r="AU87" s="1301"/>
      <c r="AV87" s="1301"/>
      <c r="AW87" s="1301"/>
      <c r="AX87" s="1301"/>
      <c r="AY87" s="1301"/>
      <c r="AZ87" s="1301"/>
      <c r="BA87" s="1301"/>
      <c r="BB87" s="1305"/>
      <c r="BC87" s="341"/>
      <c r="BD87" s="356"/>
      <c r="BE87" s="342"/>
      <c r="BF87" s="343"/>
      <c r="BG87" s="1300"/>
      <c r="BH87" s="1301"/>
      <c r="BI87" s="1301"/>
      <c r="BJ87" s="1301"/>
      <c r="BK87" s="1301"/>
      <c r="BL87" s="1301"/>
      <c r="BM87" s="1301"/>
      <c r="BN87" s="1301"/>
      <c r="BO87" s="1301"/>
      <c r="BP87" s="1301"/>
      <c r="BQ87" s="1301"/>
      <c r="BR87" s="1301"/>
      <c r="BS87" s="1301"/>
      <c r="BT87" s="1301"/>
      <c r="BU87" s="1301"/>
      <c r="BV87" s="1301"/>
      <c r="BW87" s="1301"/>
      <c r="BX87" s="1301"/>
      <c r="BY87" s="1301"/>
      <c r="BZ87" s="1301"/>
      <c r="CA87" s="1302"/>
    </row>
    <row r="88" spans="2:79" ht="11.25" hidden="1" customHeight="1" outlineLevel="1" thickBot="1">
      <c r="B88" s="1325"/>
      <c r="C88" s="1326"/>
      <c r="D88" s="1327"/>
      <c r="E88" s="203"/>
      <c r="F88" s="356"/>
      <c r="G88" s="344"/>
      <c r="H88" s="345"/>
      <c r="I88" s="1294"/>
      <c r="J88" s="1295"/>
      <c r="K88" s="1295"/>
      <c r="L88" s="1295"/>
      <c r="M88" s="1295"/>
      <c r="N88" s="1295"/>
      <c r="O88" s="1295"/>
      <c r="P88" s="1295"/>
      <c r="Q88" s="1295"/>
      <c r="R88" s="1295"/>
      <c r="S88" s="1295"/>
      <c r="T88" s="1295"/>
      <c r="U88" s="1295"/>
      <c r="V88" s="1295"/>
      <c r="W88" s="1295"/>
      <c r="X88" s="1295"/>
      <c r="Y88" s="1295"/>
      <c r="Z88" s="1295"/>
      <c r="AA88" s="1295"/>
      <c r="AB88" s="1295"/>
      <c r="AC88" s="1295"/>
      <c r="AD88" s="341"/>
      <c r="AE88" s="356"/>
      <c r="AF88" s="344"/>
      <c r="AG88" s="345"/>
      <c r="AH88" s="1294"/>
      <c r="AI88" s="1295"/>
      <c r="AJ88" s="1295"/>
      <c r="AK88" s="1295"/>
      <c r="AL88" s="1295"/>
      <c r="AM88" s="1295"/>
      <c r="AN88" s="1295"/>
      <c r="AO88" s="1295"/>
      <c r="AP88" s="1295"/>
      <c r="AQ88" s="1295"/>
      <c r="AR88" s="1295"/>
      <c r="AS88" s="1295"/>
      <c r="AT88" s="1295"/>
      <c r="AU88" s="1295"/>
      <c r="AV88" s="1295"/>
      <c r="AW88" s="1295"/>
      <c r="AX88" s="1295"/>
      <c r="AY88" s="1295"/>
      <c r="AZ88" s="1295"/>
      <c r="BA88" s="1295"/>
      <c r="BB88" s="1303"/>
      <c r="BC88" s="341"/>
      <c r="BD88" s="356"/>
      <c r="BE88" s="344"/>
      <c r="BF88" s="345"/>
      <c r="BG88" s="1294"/>
      <c r="BH88" s="1295"/>
      <c r="BI88" s="1295"/>
      <c r="BJ88" s="1295"/>
      <c r="BK88" s="1295"/>
      <c r="BL88" s="1295"/>
      <c r="BM88" s="1295"/>
      <c r="BN88" s="1295"/>
      <c r="BO88" s="1295"/>
      <c r="BP88" s="1295"/>
      <c r="BQ88" s="1295"/>
      <c r="BR88" s="1295"/>
      <c r="BS88" s="1295"/>
      <c r="BT88" s="1295"/>
      <c r="BU88" s="1295"/>
      <c r="BV88" s="1295"/>
      <c r="BW88" s="1295"/>
      <c r="BX88" s="1295"/>
      <c r="BY88" s="1295"/>
      <c r="BZ88" s="1295"/>
      <c r="CA88" s="1296"/>
    </row>
    <row r="89" spans="2:79" ht="11.25" hidden="1" customHeight="1" outlineLevel="1" thickTop="1">
      <c r="B89" s="1325"/>
      <c r="C89" s="1326"/>
      <c r="D89" s="1327"/>
      <c r="E89" s="203"/>
      <c r="F89" s="356"/>
      <c r="G89" s="203"/>
      <c r="H89" s="346"/>
      <c r="I89" s="1297"/>
      <c r="J89" s="1298"/>
      <c r="K89" s="1298"/>
      <c r="L89" s="1298"/>
      <c r="M89" s="1298"/>
      <c r="N89" s="1298"/>
      <c r="O89" s="1298"/>
      <c r="P89" s="1298"/>
      <c r="Q89" s="1298"/>
      <c r="R89" s="1298"/>
      <c r="S89" s="1298"/>
      <c r="T89" s="1298"/>
      <c r="U89" s="1298"/>
      <c r="V89" s="1298"/>
      <c r="W89" s="1298"/>
      <c r="X89" s="1298"/>
      <c r="Y89" s="1298"/>
      <c r="Z89" s="1298"/>
      <c r="AA89" s="1298"/>
      <c r="AB89" s="1298"/>
      <c r="AC89" s="1298"/>
      <c r="AD89" s="341"/>
      <c r="AE89" s="356"/>
      <c r="AF89" s="203"/>
      <c r="AG89" s="346"/>
      <c r="AH89" s="1297"/>
      <c r="AI89" s="1298"/>
      <c r="AJ89" s="1298"/>
      <c r="AK89" s="1298"/>
      <c r="AL89" s="1298"/>
      <c r="AM89" s="1298"/>
      <c r="AN89" s="1298"/>
      <c r="AO89" s="1298"/>
      <c r="AP89" s="1298"/>
      <c r="AQ89" s="1298"/>
      <c r="AR89" s="1298"/>
      <c r="AS89" s="1298"/>
      <c r="AT89" s="1298"/>
      <c r="AU89" s="1298"/>
      <c r="AV89" s="1298"/>
      <c r="AW89" s="1298"/>
      <c r="AX89" s="1298"/>
      <c r="AY89" s="1298"/>
      <c r="AZ89" s="1298"/>
      <c r="BA89" s="1298"/>
      <c r="BB89" s="1304"/>
      <c r="BC89" s="341"/>
      <c r="BD89" s="356"/>
      <c r="BE89" s="203"/>
      <c r="BF89" s="346"/>
      <c r="BG89" s="1297"/>
      <c r="BH89" s="1298"/>
      <c r="BI89" s="1298"/>
      <c r="BJ89" s="1298"/>
      <c r="BK89" s="1298"/>
      <c r="BL89" s="1298"/>
      <c r="BM89" s="1298"/>
      <c r="BN89" s="1298"/>
      <c r="BO89" s="1298"/>
      <c r="BP89" s="1298"/>
      <c r="BQ89" s="1298"/>
      <c r="BR89" s="1298"/>
      <c r="BS89" s="1298"/>
      <c r="BT89" s="1298"/>
      <c r="BU89" s="1298"/>
      <c r="BV89" s="1298"/>
      <c r="BW89" s="1298"/>
      <c r="BX89" s="1298"/>
      <c r="BY89" s="1298"/>
      <c r="BZ89" s="1298"/>
      <c r="CA89" s="1299"/>
    </row>
    <row r="90" spans="2:79" ht="11.25" hidden="1" customHeight="1" outlineLevel="1">
      <c r="B90" s="1325"/>
      <c r="C90" s="1326"/>
      <c r="D90" s="1327"/>
      <c r="E90" s="203"/>
      <c r="F90" s="356"/>
      <c r="G90" s="203"/>
      <c r="H90" s="348"/>
      <c r="I90" s="1297"/>
      <c r="J90" s="1298"/>
      <c r="K90" s="1298"/>
      <c r="L90" s="1298"/>
      <c r="M90" s="1298"/>
      <c r="N90" s="1298"/>
      <c r="O90" s="1298"/>
      <c r="P90" s="1298"/>
      <c r="Q90" s="1298"/>
      <c r="R90" s="1298"/>
      <c r="S90" s="1298"/>
      <c r="T90" s="1298"/>
      <c r="U90" s="1298"/>
      <c r="V90" s="1298"/>
      <c r="W90" s="1298"/>
      <c r="X90" s="1298"/>
      <c r="Y90" s="1298"/>
      <c r="Z90" s="1298"/>
      <c r="AA90" s="1298"/>
      <c r="AB90" s="1298"/>
      <c r="AC90" s="1298"/>
      <c r="AD90" s="341"/>
      <c r="AE90" s="356"/>
      <c r="AF90" s="203"/>
      <c r="AG90" s="348"/>
      <c r="AH90" s="1297"/>
      <c r="AI90" s="1298"/>
      <c r="AJ90" s="1298"/>
      <c r="AK90" s="1298"/>
      <c r="AL90" s="1298"/>
      <c r="AM90" s="1298"/>
      <c r="AN90" s="1298"/>
      <c r="AO90" s="1298"/>
      <c r="AP90" s="1298"/>
      <c r="AQ90" s="1298"/>
      <c r="AR90" s="1298"/>
      <c r="AS90" s="1298"/>
      <c r="AT90" s="1298"/>
      <c r="AU90" s="1298"/>
      <c r="AV90" s="1298"/>
      <c r="AW90" s="1298"/>
      <c r="AX90" s="1298"/>
      <c r="AY90" s="1298"/>
      <c r="AZ90" s="1298"/>
      <c r="BA90" s="1298"/>
      <c r="BB90" s="1304"/>
      <c r="BC90" s="341"/>
      <c r="BD90" s="356"/>
      <c r="BE90" s="203"/>
      <c r="BF90" s="348"/>
      <c r="BG90" s="1297"/>
      <c r="BH90" s="1298"/>
      <c r="BI90" s="1298"/>
      <c r="BJ90" s="1298"/>
      <c r="BK90" s="1298"/>
      <c r="BL90" s="1298"/>
      <c r="BM90" s="1298"/>
      <c r="BN90" s="1298"/>
      <c r="BO90" s="1298"/>
      <c r="BP90" s="1298"/>
      <c r="BQ90" s="1298"/>
      <c r="BR90" s="1298"/>
      <c r="BS90" s="1298"/>
      <c r="BT90" s="1298"/>
      <c r="BU90" s="1298"/>
      <c r="BV90" s="1298"/>
      <c r="BW90" s="1298"/>
      <c r="BX90" s="1298"/>
      <c r="BY90" s="1298"/>
      <c r="BZ90" s="1298"/>
      <c r="CA90" s="1299"/>
    </row>
    <row r="91" spans="2:79" ht="11.25" hidden="1" customHeight="1" outlineLevel="1" thickBot="1">
      <c r="B91" s="1325"/>
      <c r="C91" s="1326"/>
      <c r="D91" s="1327"/>
      <c r="E91" s="1292" t="str">
        <f>Buttons!$B$83</f>
        <v>Why?</v>
      </c>
      <c r="F91" s="1293"/>
      <c r="G91" s="1293"/>
      <c r="H91" s="1307"/>
      <c r="I91" s="1297"/>
      <c r="J91" s="1298"/>
      <c r="K91" s="1298"/>
      <c r="L91" s="1298"/>
      <c r="M91" s="1298"/>
      <c r="N91" s="1298"/>
      <c r="O91" s="1298"/>
      <c r="P91" s="1298"/>
      <c r="Q91" s="1298"/>
      <c r="R91" s="1298"/>
      <c r="S91" s="1298"/>
      <c r="T91" s="1298"/>
      <c r="U91" s="1298"/>
      <c r="V91" s="1298"/>
      <c r="W91" s="1298"/>
      <c r="X91" s="1298"/>
      <c r="Y91" s="1298"/>
      <c r="Z91" s="1298"/>
      <c r="AA91" s="1298"/>
      <c r="AB91" s="1298"/>
      <c r="AC91" s="1298"/>
      <c r="AD91" s="1306" t="str">
        <f>Buttons!$B$83</f>
        <v>Why?</v>
      </c>
      <c r="AE91" s="1293"/>
      <c r="AF91" s="1293"/>
      <c r="AG91" s="1307"/>
      <c r="AH91" s="1297"/>
      <c r="AI91" s="1298"/>
      <c r="AJ91" s="1298"/>
      <c r="AK91" s="1298"/>
      <c r="AL91" s="1298"/>
      <c r="AM91" s="1298"/>
      <c r="AN91" s="1298"/>
      <c r="AO91" s="1298"/>
      <c r="AP91" s="1298"/>
      <c r="AQ91" s="1298"/>
      <c r="AR91" s="1298"/>
      <c r="AS91" s="1298"/>
      <c r="AT91" s="1298"/>
      <c r="AU91" s="1298"/>
      <c r="AV91" s="1298"/>
      <c r="AW91" s="1298"/>
      <c r="AX91" s="1298"/>
      <c r="AY91" s="1298"/>
      <c r="AZ91" s="1298"/>
      <c r="BA91" s="1298"/>
      <c r="BB91" s="1304"/>
      <c r="BC91" s="1306" t="str">
        <f>Buttons!$B$83</f>
        <v>Why?</v>
      </c>
      <c r="BD91" s="1293"/>
      <c r="BE91" s="1293"/>
      <c r="BF91" s="1307"/>
      <c r="BG91" s="1297"/>
      <c r="BH91" s="1298"/>
      <c r="BI91" s="1298"/>
      <c r="BJ91" s="1298"/>
      <c r="BK91" s="1298"/>
      <c r="BL91" s="1298"/>
      <c r="BM91" s="1298"/>
      <c r="BN91" s="1298"/>
      <c r="BO91" s="1298"/>
      <c r="BP91" s="1298"/>
      <c r="BQ91" s="1298"/>
      <c r="BR91" s="1298"/>
      <c r="BS91" s="1298"/>
      <c r="BT91" s="1298"/>
      <c r="BU91" s="1298"/>
      <c r="BV91" s="1298"/>
      <c r="BW91" s="1298"/>
      <c r="BX91" s="1298"/>
      <c r="BY91" s="1298"/>
      <c r="BZ91" s="1298"/>
      <c r="CA91" s="1299"/>
    </row>
    <row r="92" spans="2:79" ht="11.25" hidden="1" customHeight="1" outlineLevel="1" thickTop="1">
      <c r="B92" s="1325"/>
      <c r="C92" s="1326"/>
      <c r="D92" s="1327"/>
      <c r="E92" s="203"/>
      <c r="F92" s="356"/>
      <c r="G92" s="342"/>
      <c r="H92" s="343"/>
      <c r="I92" s="1300"/>
      <c r="J92" s="1301"/>
      <c r="K92" s="1301"/>
      <c r="L92" s="1301"/>
      <c r="M92" s="1301"/>
      <c r="N92" s="1301"/>
      <c r="O92" s="1301"/>
      <c r="P92" s="1301"/>
      <c r="Q92" s="1301"/>
      <c r="R92" s="1301"/>
      <c r="S92" s="1301"/>
      <c r="T92" s="1301"/>
      <c r="U92" s="1301"/>
      <c r="V92" s="1301"/>
      <c r="W92" s="1301"/>
      <c r="X92" s="1301"/>
      <c r="Y92" s="1301"/>
      <c r="Z92" s="1301"/>
      <c r="AA92" s="1301"/>
      <c r="AB92" s="1301"/>
      <c r="AC92" s="1301"/>
      <c r="AD92" s="341"/>
      <c r="AE92" s="356"/>
      <c r="AF92" s="342"/>
      <c r="AG92" s="343"/>
      <c r="AH92" s="1300"/>
      <c r="AI92" s="1301"/>
      <c r="AJ92" s="1301"/>
      <c r="AK92" s="1301"/>
      <c r="AL92" s="1301"/>
      <c r="AM92" s="1301"/>
      <c r="AN92" s="1301"/>
      <c r="AO92" s="1301"/>
      <c r="AP92" s="1301"/>
      <c r="AQ92" s="1301"/>
      <c r="AR92" s="1301"/>
      <c r="AS92" s="1301"/>
      <c r="AT92" s="1301"/>
      <c r="AU92" s="1301"/>
      <c r="AV92" s="1301"/>
      <c r="AW92" s="1301"/>
      <c r="AX92" s="1301"/>
      <c r="AY92" s="1301"/>
      <c r="AZ92" s="1301"/>
      <c r="BA92" s="1301"/>
      <c r="BB92" s="1305"/>
      <c r="BC92" s="341"/>
      <c r="BD92" s="356"/>
      <c r="BE92" s="342"/>
      <c r="BF92" s="343"/>
      <c r="BG92" s="1300"/>
      <c r="BH92" s="1301"/>
      <c r="BI92" s="1301"/>
      <c r="BJ92" s="1301"/>
      <c r="BK92" s="1301"/>
      <c r="BL92" s="1301"/>
      <c r="BM92" s="1301"/>
      <c r="BN92" s="1301"/>
      <c r="BO92" s="1301"/>
      <c r="BP92" s="1301"/>
      <c r="BQ92" s="1301"/>
      <c r="BR92" s="1301"/>
      <c r="BS92" s="1301"/>
      <c r="BT92" s="1301"/>
      <c r="BU92" s="1301"/>
      <c r="BV92" s="1301"/>
      <c r="BW92" s="1301"/>
      <c r="BX92" s="1301"/>
      <c r="BY92" s="1301"/>
      <c r="BZ92" s="1301"/>
      <c r="CA92" s="1302"/>
    </row>
    <row r="93" spans="2:79" ht="11.25" customHeight="1" collapsed="1" thickBot="1">
      <c r="B93" s="1325"/>
      <c r="C93" s="1326"/>
      <c r="D93" s="1327"/>
      <c r="E93" s="203"/>
      <c r="F93" s="356"/>
      <c r="G93" s="344"/>
      <c r="H93" s="345"/>
      <c r="I93" s="1294"/>
      <c r="J93" s="1295"/>
      <c r="K93" s="1295"/>
      <c r="L93" s="1295"/>
      <c r="M93" s="1295"/>
      <c r="N93" s="1295"/>
      <c r="O93" s="1295"/>
      <c r="P93" s="1295"/>
      <c r="Q93" s="1295"/>
      <c r="R93" s="1295"/>
      <c r="S93" s="1295"/>
      <c r="T93" s="1295"/>
      <c r="U93" s="1295"/>
      <c r="V93" s="1295"/>
      <c r="W93" s="1295"/>
      <c r="X93" s="1295"/>
      <c r="Y93" s="1295"/>
      <c r="Z93" s="1295"/>
      <c r="AA93" s="1295"/>
      <c r="AB93" s="1295"/>
      <c r="AC93" s="1295"/>
      <c r="AD93" s="341"/>
      <c r="AE93" s="356"/>
      <c r="AF93" s="344"/>
      <c r="AG93" s="345"/>
      <c r="AH93" s="1294"/>
      <c r="AI93" s="1295"/>
      <c r="AJ93" s="1295"/>
      <c r="AK93" s="1295"/>
      <c r="AL93" s="1295"/>
      <c r="AM93" s="1295"/>
      <c r="AN93" s="1295"/>
      <c r="AO93" s="1295"/>
      <c r="AP93" s="1295"/>
      <c r="AQ93" s="1295"/>
      <c r="AR93" s="1295"/>
      <c r="AS93" s="1295"/>
      <c r="AT93" s="1295"/>
      <c r="AU93" s="1295"/>
      <c r="AV93" s="1295"/>
      <c r="AW93" s="1295"/>
      <c r="AX93" s="1295"/>
      <c r="AY93" s="1295"/>
      <c r="AZ93" s="1295"/>
      <c r="BA93" s="1295"/>
      <c r="BB93" s="1303"/>
      <c r="BC93" s="341"/>
      <c r="BD93" s="356"/>
      <c r="BE93" s="344"/>
      <c r="BF93" s="345"/>
      <c r="BG93" s="1294"/>
      <c r="BH93" s="1295"/>
      <c r="BI93" s="1295"/>
      <c r="BJ93" s="1295"/>
      <c r="BK93" s="1295"/>
      <c r="BL93" s="1295"/>
      <c r="BM93" s="1295"/>
      <c r="BN93" s="1295"/>
      <c r="BO93" s="1295"/>
      <c r="BP93" s="1295"/>
      <c r="BQ93" s="1295"/>
      <c r="BR93" s="1295"/>
      <c r="BS93" s="1295"/>
      <c r="BT93" s="1295"/>
      <c r="BU93" s="1295"/>
      <c r="BV93" s="1295"/>
      <c r="BW93" s="1295"/>
      <c r="BX93" s="1295"/>
      <c r="BY93" s="1295"/>
      <c r="BZ93" s="1295"/>
      <c r="CA93" s="1296"/>
    </row>
    <row r="94" spans="2:79" ht="11.25" customHeight="1" thickTop="1">
      <c r="B94" s="1325"/>
      <c r="C94" s="1326"/>
      <c r="D94" s="1327"/>
      <c r="E94" s="203"/>
      <c r="F94" s="356"/>
      <c r="G94" s="203"/>
      <c r="H94" s="346"/>
      <c r="I94" s="1297"/>
      <c r="J94" s="1298"/>
      <c r="K94" s="1298"/>
      <c r="L94" s="1298"/>
      <c r="M94" s="1298"/>
      <c r="N94" s="1298"/>
      <c r="O94" s="1298"/>
      <c r="P94" s="1298"/>
      <c r="Q94" s="1298"/>
      <c r="R94" s="1298"/>
      <c r="S94" s="1298"/>
      <c r="T94" s="1298"/>
      <c r="U94" s="1298"/>
      <c r="V94" s="1298"/>
      <c r="W94" s="1298"/>
      <c r="X94" s="1298"/>
      <c r="Y94" s="1298"/>
      <c r="Z94" s="1298"/>
      <c r="AA94" s="1298"/>
      <c r="AB94" s="1298"/>
      <c r="AC94" s="1298"/>
      <c r="AD94" s="341"/>
      <c r="AE94" s="356"/>
      <c r="AF94" s="203"/>
      <c r="AG94" s="346"/>
      <c r="AH94" s="1297"/>
      <c r="AI94" s="1298"/>
      <c r="AJ94" s="1298"/>
      <c r="AK94" s="1298"/>
      <c r="AL94" s="1298"/>
      <c r="AM94" s="1298"/>
      <c r="AN94" s="1298"/>
      <c r="AO94" s="1298"/>
      <c r="AP94" s="1298"/>
      <c r="AQ94" s="1298"/>
      <c r="AR94" s="1298"/>
      <c r="AS94" s="1298"/>
      <c r="AT94" s="1298"/>
      <c r="AU94" s="1298"/>
      <c r="AV94" s="1298"/>
      <c r="AW94" s="1298"/>
      <c r="AX94" s="1298"/>
      <c r="AY94" s="1298"/>
      <c r="AZ94" s="1298"/>
      <c r="BA94" s="1298"/>
      <c r="BB94" s="1304"/>
      <c r="BC94" s="341"/>
      <c r="BD94" s="356"/>
      <c r="BE94" s="203"/>
      <c r="BF94" s="346"/>
      <c r="BG94" s="1297"/>
      <c r="BH94" s="1298"/>
      <c r="BI94" s="1298"/>
      <c r="BJ94" s="1298"/>
      <c r="BK94" s="1298"/>
      <c r="BL94" s="1298"/>
      <c r="BM94" s="1298"/>
      <c r="BN94" s="1298"/>
      <c r="BO94" s="1298"/>
      <c r="BP94" s="1298"/>
      <c r="BQ94" s="1298"/>
      <c r="BR94" s="1298"/>
      <c r="BS94" s="1298"/>
      <c r="BT94" s="1298"/>
      <c r="BU94" s="1298"/>
      <c r="BV94" s="1298"/>
      <c r="BW94" s="1298"/>
      <c r="BX94" s="1298"/>
      <c r="BY94" s="1298"/>
      <c r="BZ94" s="1298"/>
      <c r="CA94" s="1299"/>
    </row>
    <row r="95" spans="2:79" ht="11.25" customHeight="1">
      <c r="B95" s="1325"/>
      <c r="C95" s="1326"/>
      <c r="D95" s="1327"/>
      <c r="E95" s="203"/>
      <c r="F95" s="356"/>
      <c r="G95" s="203"/>
      <c r="H95" s="203"/>
      <c r="I95" s="1297"/>
      <c r="J95" s="1298"/>
      <c r="K95" s="1298"/>
      <c r="L95" s="1298"/>
      <c r="M95" s="1298"/>
      <c r="N95" s="1298"/>
      <c r="O95" s="1298"/>
      <c r="P95" s="1298"/>
      <c r="Q95" s="1298"/>
      <c r="R95" s="1298"/>
      <c r="S95" s="1298"/>
      <c r="T95" s="1298"/>
      <c r="U95" s="1298"/>
      <c r="V95" s="1298"/>
      <c r="W95" s="1298"/>
      <c r="X95" s="1298"/>
      <c r="Y95" s="1298"/>
      <c r="Z95" s="1298"/>
      <c r="AA95" s="1298"/>
      <c r="AB95" s="1298"/>
      <c r="AC95" s="1298"/>
      <c r="AD95" s="341"/>
      <c r="AE95" s="356"/>
      <c r="AF95" s="203"/>
      <c r="AG95" s="348"/>
      <c r="AH95" s="1297"/>
      <c r="AI95" s="1298"/>
      <c r="AJ95" s="1298"/>
      <c r="AK95" s="1298"/>
      <c r="AL95" s="1298"/>
      <c r="AM95" s="1298"/>
      <c r="AN95" s="1298"/>
      <c r="AO95" s="1298"/>
      <c r="AP95" s="1298"/>
      <c r="AQ95" s="1298"/>
      <c r="AR95" s="1298"/>
      <c r="AS95" s="1298"/>
      <c r="AT95" s="1298"/>
      <c r="AU95" s="1298"/>
      <c r="AV95" s="1298"/>
      <c r="AW95" s="1298"/>
      <c r="AX95" s="1298"/>
      <c r="AY95" s="1298"/>
      <c r="AZ95" s="1298"/>
      <c r="BA95" s="1298"/>
      <c r="BB95" s="1304"/>
      <c r="BC95" s="341"/>
      <c r="BD95" s="356"/>
      <c r="BE95" s="203"/>
      <c r="BF95" s="348"/>
      <c r="BG95" s="1297"/>
      <c r="BH95" s="1298"/>
      <c r="BI95" s="1298"/>
      <c r="BJ95" s="1298"/>
      <c r="BK95" s="1298"/>
      <c r="BL95" s="1298"/>
      <c r="BM95" s="1298"/>
      <c r="BN95" s="1298"/>
      <c r="BO95" s="1298"/>
      <c r="BP95" s="1298"/>
      <c r="BQ95" s="1298"/>
      <c r="BR95" s="1298"/>
      <c r="BS95" s="1298"/>
      <c r="BT95" s="1298"/>
      <c r="BU95" s="1298"/>
      <c r="BV95" s="1298"/>
      <c r="BW95" s="1298"/>
      <c r="BX95" s="1298"/>
      <c r="BY95" s="1298"/>
      <c r="BZ95" s="1298"/>
      <c r="CA95" s="1299"/>
    </row>
    <row r="96" spans="2:79" ht="11.25" customHeight="1">
      <c r="B96" s="1325"/>
      <c r="C96" s="1326"/>
      <c r="D96" s="1327"/>
      <c r="E96" s="357"/>
      <c r="F96" s="203"/>
      <c r="G96" s="203"/>
      <c r="H96" s="203"/>
      <c r="I96" s="1297"/>
      <c r="J96" s="1298"/>
      <c r="K96" s="1298"/>
      <c r="L96" s="1298"/>
      <c r="M96" s="1298"/>
      <c r="N96" s="1298"/>
      <c r="O96" s="1298"/>
      <c r="P96" s="1298"/>
      <c r="Q96" s="1298"/>
      <c r="R96" s="1298"/>
      <c r="S96" s="1298"/>
      <c r="T96" s="1298"/>
      <c r="U96" s="1298"/>
      <c r="V96" s="1298"/>
      <c r="W96" s="1298"/>
      <c r="X96" s="1298"/>
      <c r="Y96" s="1298"/>
      <c r="Z96" s="1298"/>
      <c r="AA96" s="1298"/>
      <c r="AB96" s="1298"/>
      <c r="AC96" s="1298"/>
      <c r="AD96" s="359"/>
      <c r="AE96" s="203"/>
      <c r="AF96" s="203"/>
      <c r="AG96" s="348"/>
      <c r="AH96" s="1297"/>
      <c r="AI96" s="1298"/>
      <c r="AJ96" s="1298"/>
      <c r="AK96" s="1298"/>
      <c r="AL96" s="1298"/>
      <c r="AM96" s="1298"/>
      <c r="AN96" s="1298"/>
      <c r="AO96" s="1298"/>
      <c r="AP96" s="1298"/>
      <c r="AQ96" s="1298"/>
      <c r="AR96" s="1298"/>
      <c r="AS96" s="1298"/>
      <c r="AT96" s="1298"/>
      <c r="AU96" s="1298"/>
      <c r="AV96" s="1298"/>
      <c r="AW96" s="1298"/>
      <c r="AX96" s="1298"/>
      <c r="AY96" s="1298"/>
      <c r="AZ96" s="1298"/>
      <c r="BA96" s="1298"/>
      <c r="BB96" s="1304"/>
      <c r="BC96" s="359"/>
      <c r="BD96" s="203"/>
      <c r="BE96" s="203"/>
      <c r="BF96" s="348"/>
      <c r="BG96" s="1297"/>
      <c r="BH96" s="1298"/>
      <c r="BI96" s="1298"/>
      <c r="BJ96" s="1298"/>
      <c r="BK96" s="1298"/>
      <c r="BL96" s="1298"/>
      <c r="BM96" s="1298"/>
      <c r="BN96" s="1298"/>
      <c r="BO96" s="1298"/>
      <c r="BP96" s="1298"/>
      <c r="BQ96" s="1298"/>
      <c r="BR96" s="1298"/>
      <c r="BS96" s="1298"/>
      <c r="BT96" s="1298"/>
      <c r="BU96" s="1298"/>
      <c r="BV96" s="1298"/>
      <c r="BW96" s="1298"/>
      <c r="BX96" s="1298"/>
      <c r="BY96" s="1298"/>
      <c r="BZ96" s="1298"/>
      <c r="CA96" s="1299"/>
    </row>
    <row r="97" spans="1:79" ht="11.25" customHeight="1" thickBot="1">
      <c r="B97" s="1328"/>
      <c r="C97" s="1329"/>
      <c r="D97" s="1330"/>
      <c r="E97" s="350"/>
      <c r="F97" s="350"/>
      <c r="G97" s="350"/>
      <c r="H97" s="350"/>
      <c r="I97" s="1308"/>
      <c r="J97" s="1309"/>
      <c r="K97" s="1309"/>
      <c r="L97" s="1309"/>
      <c r="M97" s="1309"/>
      <c r="N97" s="1309"/>
      <c r="O97" s="1309"/>
      <c r="P97" s="1309"/>
      <c r="Q97" s="1309"/>
      <c r="R97" s="1309"/>
      <c r="S97" s="1309"/>
      <c r="T97" s="1309"/>
      <c r="U97" s="1309"/>
      <c r="V97" s="1309"/>
      <c r="W97" s="1309"/>
      <c r="X97" s="1309"/>
      <c r="Y97" s="1309"/>
      <c r="Z97" s="1309"/>
      <c r="AA97" s="1309"/>
      <c r="AB97" s="1309"/>
      <c r="AC97" s="1310"/>
      <c r="AD97" s="350"/>
      <c r="AE97" s="350"/>
      <c r="AF97" s="350"/>
      <c r="AG97" s="350"/>
      <c r="AH97" s="1308"/>
      <c r="AI97" s="1309"/>
      <c r="AJ97" s="1309"/>
      <c r="AK97" s="1309"/>
      <c r="AL97" s="1309"/>
      <c r="AM97" s="1309"/>
      <c r="AN97" s="1309"/>
      <c r="AO97" s="1309"/>
      <c r="AP97" s="1309"/>
      <c r="AQ97" s="1309"/>
      <c r="AR97" s="1309"/>
      <c r="AS97" s="1309"/>
      <c r="AT97" s="1309"/>
      <c r="AU97" s="1309"/>
      <c r="AV97" s="1309"/>
      <c r="AW97" s="1309"/>
      <c r="AX97" s="1309"/>
      <c r="AY97" s="1309"/>
      <c r="AZ97" s="1309"/>
      <c r="BA97" s="1309"/>
      <c r="BB97" s="1310"/>
      <c r="BC97" s="350"/>
      <c r="BD97" s="350"/>
      <c r="BE97" s="350"/>
      <c r="BF97" s="350"/>
      <c r="BG97" s="1308"/>
      <c r="BH97" s="1309"/>
      <c r="BI97" s="1309"/>
      <c r="BJ97" s="1309"/>
      <c r="BK97" s="1309"/>
      <c r="BL97" s="1309"/>
      <c r="BM97" s="1309"/>
      <c r="BN97" s="1309"/>
      <c r="BO97" s="1309"/>
      <c r="BP97" s="1309"/>
      <c r="BQ97" s="1309"/>
      <c r="BR97" s="1309"/>
      <c r="BS97" s="1309"/>
      <c r="BT97" s="1309"/>
      <c r="BU97" s="1309"/>
      <c r="BV97" s="1309"/>
      <c r="BW97" s="1309"/>
      <c r="BX97" s="1309"/>
      <c r="BY97" s="1309"/>
      <c r="BZ97" s="1309"/>
      <c r="CA97" s="1311"/>
    </row>
    <row r="98" spans="1:79" ht="11.25" customHeight="1" thickBot="1">
      <c r="A98" s="340"/>
      <c r="B98" s="339"/>
      <c r="C98" s="339"/>
      <c r="D98" s="339"/>
      <c r="E98" s="340"/>
      <c r="F98" s="340"/>
      <c r="G98" s="340"/>
      <c r="H98" s="340"/>
      <c r="I98" s="351"/>
      <c r="J98" s="351"/>
      <c r="K98" s="351"/>
      <c r="L98" s="352"/>
      <c r="M98" s="352"/>
      <c r="N98" s="352"/>
      <c r="O98" s="352"/>
      <c r="P98" s="352"/>
      <c r="Q98" s="352"/>
      <c r="R98" s="352"/>
      <c r="S98" s="352"/>
      <c r="T98" s="352"/>
      <c r="U98" s="352"/>
      <c r="V98" s="352"/>
      <c r="W98" s="352"/>
      <c r="X98" s="352"/>
      <c r="Y98" s="352"/>
      <c r="Z98" s="352"/>
      <c r="AA98" s="351"/>
      <c r="AB98" s="351"/>
      <c r="AC98" s="351"/>
      <c r="AD98" s="338"/>
      <c r="AE98" s="338"/>
      <c r="AF98" s="338"/>
      <c r="AG98" s="338"/>
      <c r="AH98" s="351"/>
      <c r="AI98" s="351"/>
      <c r="AJ98" s="351"/>
      <c r="AK98" s="352"/>
      <c r="AL98" s="352"/>
      <c r="AM98" s="352"/>
      <c r="AN98" s="352"/>
      <c r="AO98" s="352"/>
      <c r="AP98" s="352"/>
      <c r="AQ98" s="352"/>
      <c r="AR98" s="352"/>
      <c r="AS98" s="352"/>
      <c r="AT98" s="352"/>
      <c r="AU98" s="352"/>
      <c r="AV98" s="352"/>
      <c r="AW98" s="352"/>
      <c r="AX98" s="352"/>
      <c r="AY98" s="352"/>
      <c r="AZ98" s="351"/>
      <c r="BA98" s="351"/>
      <c r="BB98" s="351"/>
      <c r="BC98" s="338"/>
      <c r="BD98" s="338"/>
      <c r="BE98" s="338"/>
      <c r="BF98" s="338"/>
      <c r="BG98" s="351"/>
      <c r="BH98" s="351"/>
      <c r="BI98" s="351"/>
      <c r="BJ98" s="352"/>
      <c r="BK98" s="352"/>
      <c r="BL98" s="352"/>
      <c r="BM98" s="352"/>
      <c r="BN98" s="352"/>
      <c r="BO98" s="352"/>
      <c r="BP98" s="352"/>
      <c r="BQ98" s="352"/>
      <c r="BR98" s="352"/>
      <c r="BS98" s="352"/>
      <c r="BT98" s="352"/>
      <c r="BU98" s="352"/>
      <c r="BV98" s="352"/>
      <c r="BW98" s="352"/>
      <c r="BX98" s="352"/>
      <c r="BY98" s="351"/>
      <c r="BZ98" s="351"/>
      <c r="CA98" s="351"/>
    </row>
    <row r="99" spans="1:79" ht="11.25" customHeight="1">
      <c r="B99" s="1313" t="str">
        <f>VLOOKUP(8004,Languages!A5:C410,Languages!A2,FALSE)</f>
        <v>Systemic</v>
      </c>
      <c r="C99" s="1314"/>
      <c r="D99" s="1315"/>
      <c r="E99" s="1287" t="str">
        <f>VLOOKUP(8010,Languages!A5:C410,Languages!A2,FALSE)</f>
        <v xml:space="preserve">Use this path to investigate what process/system is not robust </v>
      </c>
      <c r="F99" s="1287"/>
      <c r="G99" s="1287"/>
      <c r="H99" s="1287"/>
      <c r="I99" s="1287"/>
      <c r="J99" s="1287"/>
      <c r="K99" s="1287"/>
      <c r="L99" s="1287"/>
      <c r="M99" s="1287"/>
      <c r="N99" s="1287"/>
      <c r="O99" s="1287"/>
      <c r="P99" s="1287"/>
      <c r="Q99" s="1287"/>
      <c r="R99" s="1287"/>
      <c r="S99" s="1287"/>
      <c r="T99" s="1287"/>
      <c r="U99" s="1287"/>
      <c r="V99" s="1287"/>
      <c r="W99" s="1287"/>
      <c r="X99" s="1287"/>
      <c r="Y99" s="1287"/>
      <c r="Z99" s="1287"/>
      <c r="AA99" s="1287"/>
      <c r="AB99" s="1287"/>
      <c r="AC99" s="1287"/>
      <c r="AD99" s="1287"/>
      <c r="AE99" s="1287"/>
      <c r="AF99" s="1287"/>
      <c r="AG99" s="1287"/>
      <c r="AH99" s="1287"/>
      <c r="AI99" s="1287"/>
      <c r="AJ99" s="1287"/>
      <c r="AK99" s="1287"/>
      <c r="AL99" s="1287"/>
      <c r="AM99" s="1287"/>
      <c r="AN99" s="1287"/>
      <c r="AO99" s="1287"/>
      <c r="AP99" s="1287"/>
      <c r="AQ99" s="1287"/>
      <c r="AR99" s="1287"/>
      <c r="AS99" s="1287"/>
      <c r="AT99" s="1287"/>
      <c r="AU99" s="1287"/>
      <c r="AV99" s="1287"/>
      <c r="AW99" s="1287"/>
      <c r="AX99" s="1287"/>
      <c r="AY99" s="1287"/>
      <c r="AZ99" s="1287"/>
      <c r="BA99" s="1287"/>
      <c r="BB99" s="1287"/>
      <c r="BC99" s="1287"/>
      <c r="BD99" s="1287"/>
      <c r="BE99" s="1287"/>
      <c r="BF99" s="1287"/>
      <c r="BG99" s="1287"/>
      <c r="BH99" s="1287"/>
      <c r="BI99" s="1287"/>
      <c r="BJ99" s="1287"/>
      <c r="BK99" s="1287"/>
      <c r="BL99" s="1287"/>
      <c r="BM99" s="1287"/>
      <c r="BN99" s="1287"/>
      <c r="BO99" s="1287"/>
      <c r="BP99" s="1287"/>
      <c r="BQ99" s="1287"/>
      <c r="BR99" s="1287"/>
      <c r="BS99" s="1287"/>
      <c r="BT99" s="1287"/>
      <c r="BU99" s="1287"/>
      <c r="BV99" s="1287"/>
      <c r="BW99" s="1287"/>
      <c r="BX99" s="1287"/>
      <c r="BY99" s="1287"/>
      <c r="BZ99" s="1287"/>
      <c r="CA99" s="1288"/>
    </row>
    <row r="100" spans="1:79" ht="11.25" customHeight="1">
      <c r="B100" s="1316"/>
      <c r="C100" s="1317"/>
      <c r="D100" s="1318"/>
      <c r="E100" s="1289"/>
      <c r="F100" s="1289"/>
      <c r="G100" s="1289"/>
      <c r="H100" s="1289"/>
      <c r="I100" s="1289"/>
      <c r="J100" s="1289"/>
      <c r="K100" s="1289"/>
      <c r="L100" s="1289"/>
      <c r="M100" s="1289"/>
      <c r="N100" s="1289"/>
      <c r="O100" s="1289"/>
      <c r="P100" s="1289"/>
      <c r="Q100" s="1289"/>
      <c r="R100" s="1289"/>
      <c r="S100" s="1289"/>
      <c r="T100" s="1289"/>
      <c r="U100" s="1289"/>
      <c r="V100" s="1289"/>
      <c r="W100" s="1289"/>
      <c r="X100" s="1289"/>
      <c r="Y100" s="1289"/>
      <c r="Z100" s="1289"/>
      <c r="AA100" s="1289"/>
      <c r="AB100" s="1289"/>
      <c r="AC100" s="1289"/>
      <c r="AD100" s="1289"/>
      <c r="AE100" s="1289"/>
      <c r="AF100" s="1289"/>
      <c r="AG100" s="1289"/>
      <c r="AH100" s="1289"/>
      <c r="AI100" s="1289"/>
      <c r="AJ100" s="1289"/>
      <c r="AK100" s="1289"/>
      <c r="AL100" s="1289"/>
      <c r="AM100" s="1289"/>
      <c r="AN100" s="1289"/>
      <c r="AO100" s="1289"/>
      <c r="AP100" s="1289"/>
      <c r="AQ100" s="1289"/>
      <c r="AR100" s="1289"/>
      <c r="AS100" s="1289"/>
      <c r="AT100" s="1289"/>
      <c r="AU100" s="1289"/>
      <c r="AV100" s="1289"/>
      <c r="AW100" s="1289"/>
      <c r="AX100" s="1289"/>
      <c r="AY100" s="1289"/>
      <c r="AZ100" s="1289"/>
      <c r="BA100" s="1289"/>
      <c r="BB100" s="1289"/>
      <c r="BC100" s="1289"/>
      <c r="BD100" s="1289"/>
      <c r="BE100" s="1289"/>
      <c r="BF100" s="1289"/>
      <c r="BG100" s="1289"/>
      <c r="BH100" s="1289"/>
      <c r="BI100" s="1289"/>
      <c r="BJ100" s="1289"/>
      <c r="BK100" s="1289"/>
      <c r="BL100" s="1289"/>
      <c r="BM100" s="1289"/>
      <c r="BN100" s="1289"/>
      <c r="BO100" s="1289"/>
      <c r="BP100" s="1289"/>
      <c r="BQ100" s="1289"/>
      <c r="BR100" s="1289"/>
      <c r="BS100" s="1289"/>
      <c r="BT100" s="1289"/>
      <c r="BU100" s="1289"/>
      <c r="BV100" s="1289"/>
      <c r="BW100" s="1289"/>
      <c r="BX100" s="1289"/>
      <c r="BY100" s="1289"/>
      <c r="BZ100" s="1289"/>
      <c r="CA100" s="1290"/>
    </row>
    <row r="101" spans="1:79" ht="11.25" customHeight="1">
      <c r="B101" s="1316"/>
      <c r="C101" s="1317"/>
      <c r="D101" s="1318"/>
      <c r="E101" s="203"/>
      <c r="F101" s="203"/>
      <c r="G101" s="203"/>
      <c r="H101" s="203"/>
      <c r="I101" s="1294"/>
      <c r="J101" s="1295"/>
      <c r="K101" s="1295"/>
      <c r="L101" s="1295"/>
      <c r="M101" s="1295"/>
      <c r="N101" s="1295"/>
      <c r="O101" s="1295"/>
      <c r="P101" s="1295"/>
      <c r="Q101" s="1295"/>
      <c r="R101" s="1295"/>
      <c r="S101" s="1295"/>
      <c r="T101" s="1295"/>
      <c r="U101" s="1295"/>
      <c r="V101" s="1295"/>
      <c r="W101" s="1295"/>
      <c r="X101" s="1295"/>
      <c r="Y101" s="1295"/>
      <c r="Z101" s="1295"/>
      <c r="AA101" s="1295"/>
      <c r="AB101" s="1295"/>
      <c r="AC101" s="1303"/>
      <c r="AD101" s="203"/>
      <c r="AE101" s="203"/>
      <c r="AF101" s="203"/>
      <c r="AG101" s="203"/>
      <c r="AH101" s="1294"/>
      <c r="AI101" s="1295"/>
      <c r="AJ101" s="1295"/>
      <c r="AK101" s="1295"/>
      <c r="AL101" s="1295"/>
      <c r="AM101" s="1295"/>
      <c r="AN101" s="1295"/>
      <c r="AO101" s="1295"/>
      <c r="AP101" s="1295"/>
      <c r="AQ101" s="1295"/>
      <c r="AR101" s="1295"/>
      <c r="AS101" s="1295"/>
      <c r="AT101" s="1295"/>
      <c r="AU101" s="1295"/>
      <c r="AV101" s="1295"/>
      <c r="AW101" s="1295"/>
      <c r="AX101" s="1295"/>
      <c r="AY101" s="1295"/>
      <c r="AZ101" s="1295"/>
      <c r="BA101" s="1295"/>
      <c r="BB101" s="1303"/>
      <c r="BC101" s="203"/>
      <c r="BD101" s="203"/>
      <c r="BE101" s="203"/>
      <c r="BF101" s="203"/>
      <c r="BG101" s="1294"/>
      <c r="BH101" s="1295"/>
      <c r="BI101" s="1295"/>
      <c r="BJ101" s="1295"/>
      <c r="BK101" s="1295"/>
      <c r="BL101" s="1295"/>
      <c r="BM101" s="1295"/>
      <c r="BN101" s="1295"/>
      <c r="BO101" s="1295"/>
      <c r="BP101" s="1295"/>
      <c r="BQ101" s="1295"/>
      <c r="BR101" s="1295"/>
      <c r="BS101" s="1295"/>
      <c r="BT101" s="1295"/>
      <c r="BU101" s="1295"/>
      <c r="BV101" s="1295"/>
      <c r="BW101" s="1295"/>
      <c r="BX101" s="1295"/>
      <c r="BY101" s="1295"/>
      <c r="BZ101" s="1295"/>
      <c r="CA101" s="1296"/>
    </row>
    <row r="102" spans="1:79" ht="11.25" customHeight="1">
      <c r="B102" s="1316"/>
      <c r="C102" s="1317"/>
      <c r="D102" s="1318"/>
      <c r="E102" s="203"/>
      <c r="F102" s="203"/>
      <c r="G102" s="203"/>
      <c r="H102" s="203"/>
      <c r="I102" s="1297"/>
      <c r="J102" s="1298"/>
      <c r="K102" s="1298"/>
      <c r="L102" s="1298"/>
      <c r="M102" s="1298"/>
      <c r="N102" s="1298"/>
      <c r="O102" s="1298"/>
      <c r="P102" s="1298"/>
      <c r="Q102" s="1298"/>
      <c r="R102" s="1298"/>
      <c r="S102" s="1298"/>
      <c r="T102" s="1298"/>
      <c r="U102" s="1298"/>
      <c r="V102" s="1298"/>
      <c r="W102" s="1298"/>
      <c r="X102" s="1298"/>
      <c r="Y102" s="1298"/>
      <c r="Z102" s="1298"/>
      <c r="AA102" s="1298"/>
      <c r="AB102" s="1298"/>
      <c r="AC102" s="1304"/>
      <c r="AD102" s="203"/>
      <c r="AE102" s="203"/>
      <c r="AF102" s="203"/>
      <c r="AG102" s="203"/>
      <c r="AH102" s="1297"/>
      <c r="AI102" s="1298"/>
      <c r="AJ102" s="1298"/>
      <c r="AK102" s="1298"/>
      <c r="AL102" s="1298"/>
      <c r="AM102" s="1298"/>
      <c r="AN102" s="1298"/>
      <c r="AO102" s="1298"/>
      <c r="AP102" s="1298"/>
      <c r="AQ102" s="1298"/>
      <c r="AR102" s="1298"/>
      <c r="AS102" s="1298"/>
      <c r="AT102" s="1298"/>
      <c r="AU102" s="1298"/>
      <c r="AV102" s="1298"/>
      <c r="AW102" s="1298"/>
      <c r="AX102" s="1298"/>
      <c r="AY102" s="1298"/>
      <c r="AZ102" s="1298"/>
      <c r="BA102" s="1298"/>
      <c r="BB102" s="1304"/>
      <c r="BC102" s="203"/>
      <c r="BD102" s="203"/>
      <c r="BE102" s="203"/>
      <c r="BF102" s="203"/>
      <c r="BG102" s="1297"/>
      <c r="BH102" s="1298"/>
      <c r="BI102" s="1298"/>
      <c r="BJ102" s="1298"/>
      <c r="BK102" s="1298"/>
      <c r="BL102" s="1298"/>
      <c r="BM102" s="1298"/>
      <c r="BN102" s="1298"/>
      <c r="BO102" s="1298"/>
      <c r="BP102" s="1298"/>
      <c r="BQ102" s="1298"/>
      <c r="BR102" s="1298"/>
      <c r="BS102" s="1298"/>
      <c r="BT102" s="1298"/>
      <c r="BU102" s="1298"/>
      <c r="BV102" s="1298"/>
      <c r="BW102" s="1298"/>
      <c r="BX102" s="1298"/>
      <c r="BY102" s="1298"/>
      <c r="BZ102" s="1298"/>
      <c r="CA102" s="1299"/>
    </row>
    <row r="103" spans="1:79" ht="11.25" customHeight="1">
      <c r="B103" s="1316"/>
      <c r="C103" s="1317"/>
      <c r="D103" s="1318"/>
      <c r="E103" s="203"/>
      <c r="F103" s="203"/>
      <c r="G103" s="203"/>
      <c r="H103" s="203"/>
      <c r="I103" s="1297"/>
      <c r="J103" s="1298"/>
      <c r="K103" s="1298"/>
      <c r="L103" s="1298"/>
      <c r="M103" s="1298"/>
      <c r="N103" s="1298"/>
      <c r="O103" s="1298"/>
      <c r="P103" s="1298"/>
      <c r="Q103" s="1298"/>
      <c r="R103" s="1298"/>
      <c r="S103" s="1298"/>
      <c r="T103" s="1298"/>
      <c r="U103" s="1298"/>
      <c r="V103" s="1298"/>
      <c r="W103" s="1298"/>
      <c r="X103" s="1298"/>
      <c r="Y103" s="1298"/>
      <c r="Z103" s="1298"/>
      <c r="AA103" s="1298"/>
      <c r="AB103" s="1298"/>
      <c r="AC103" s="1304"/>
      <c r="AD103" s="203"/>
      <c r="AE103" s="203"/>
      <c r="AF103" s="203"/>
      <c r="AG103" s="203"/>
      <c r="AH103" s="1297"/>
      <c r="AI103" s="1298"/>
      <c r="AJ103" s="1298"/>
      <c r="AK103" s="1298"/>
      <c r="AL103" s="1298"/>
      <c r="AM103" s="1298"/>
      <c r="AN103" s="1298"/>
      <c r="AO103" s="1298"/>
      <c r="AP103" s="1298"/>
      <c r="AQ103" s="1298"/>
      <c r="AR103" s="1298"/>
      <c r="AS103" s="1298"/>
      <c r="AT103" s="1298"/>
      <c r="AU103" s="1298"/>
      <c r="AV103" s="1298"/>
      <c r="AW103" s="1298"/>
      <c r="AX103" s="1298"/>
      <c r="AY103" s="1298"/>
      <c r="AZ103" s="1298"/>
      <c r="BA103" s="1298"/>
      <c r="BB103" s="1304"/>
      <c r="BC103" s="203"/>
      <c r="BD103" s="203"/>
      <c r="BE103" s="203"/>
      <c r="BF103" s="203"/>
      <c r="BG103" s="1297"/>
      <c r="BH103" s="1298"/>
      <c r="BI103" s="1298"/>
      <c r="BJ103" s="1298"/>
      <c r="BK103" s="1298"/>
      <c r="BL103" s="1298"/>
      <c r="BM103" s="1298"/>
      <c r="BN103" s="1298"/>
      <c r="BO103" s="1298"/>
      <c r="BP103" s="1298"/>
      <c r="BQ103" s="1298"/>
      <c r="BR103" s="1298"/>
      <c r="BS103" s="1298"/>
      <c r="BT103" s="1298"/>
      <c r="BU103" s="1298"/>
      <c r="BV103" s="1298"/>
      <c r="BW103" s="1298"/>
      <c r="BX103" s="1298"/>
      <c r="BY103" s="1298"/>
      <c r="BZ103" s="1298"/>
      <c r="CA103" s="1299"/>
    </row>
    <row r="104" spans="1:79" ht="11.25" customHeight="1" thickBot="1">
      <c r="B104" s="1316"/>
      <c r="C104" s="1317"/>
      <c r="D104" s="1318"/>
      <c r="E104" s="1293" t="str">
        <f>Buttons!$B$83</f>
        <v>Why?</v>
      </c>
      <c r="F104" s="1293"/>
      <c r="G104" s="1293"/>
      <c r="H104" s="1307"/>
      <c r="I104" s="1297"/>
      <c r="J104" s="1298"/>
      <c r="K104" s="1298"/>
      <c r="L104" s="1298"/>
      <c r="M104" s="1298"/>
      <c r="N104" s="1298"/>
      <c r="O104" s="1298"/>
      <c r="P104" s="1298"/>
      <c r="Q104" s="1298"/>
      <c r="R104" s="1298"/>
      <c r="S104" s="1298"/>
      <c r="T104" s="1298"/>
      <c r="U104" s="1298"/>
      <c r="V104" s="1298"/>
      <c r="W104" s="1298"/>
      <c r="X104" s="1298"/>
      <c r="Y104" s="1298"/>
      <c r="Z104" s="1298"/>
      <c r="AA104" s="1298"/>
      <c r="AB104" s="1298"/>
      <c r="AC104" s="1304"/>
      <c r="AD104" s="1293" t="str">
        <f>Buttons!$B$83</f>
        <v>Why?</v>
      </c>
      <c r="AE104" s="1293"/>
      <c r="AF104" s="1293"/>
      <c r="AG104" s="1307"/>
      <c r="AH104" s="1297"/>
      <c r="AI104" s="1298"/>
      <c r="AJ104" s="1298"/>
      <c r="AK104" s="1298"/>
      <c r="AL104" s="1298"/>
      <c r="AM104" s="1298"/>
      <c r="AN104" s="1298"/>
      <c r="AO104" s="1298"/>
      <c r="AP104" s="1298"/>
      <c r="AQ104" s="1298"/>
      <c r="AR104" s="1298"/>
      <c r="AS104" s="1298"/>
      <c r="AT104" s="1298"/>
      <c r="AU104" s="1298"/>
      <c r="AV104" s="1298"/>
      <c r="AW104" s="1298"/>
      <c r="AX104" s="1298"/>
      <c r="AY104" s="1298"/>
      <c r="AZ104" s="1298"/>
      <c r="BA104" s="1298"/>
      <c r="BB104" s="1304"/>
      <c r="BC104" s="1306" t="str">
        <f>Buttons!$B$83</f>
        <v>Why?</v>
      </c>
      <c r="BD104" s="1293"/>
      <c r="BE104" s="1293"/>
      <c r="BF104" s="1307"/>
      <c r="BG104" s="1297"/>
      <c r="BH104" s="1298"/>
      <c r="BI104" s="1298"/>
      <c r="BJ104" s="1298"/>
      <c r="BK104" s="1298"/>
      <c r="BL104" s="1298"/>
      <c r="BM104" s="1298"/>
      <c r="BN104" s="1298"/>
      <c r="BO104" s="1298"/>
      <c r="BP104" s="1298"/>
      <c r="BQ104" s="1298"/>
      <c r="BR104" s="1298"/>
      <c r="BS104" s="1298"/>
      <c r="BT104" s="1298"/>
      <c r="BU104" s="1298"/>
      <c r="BV104" s="1298"/>
      <c r="BW104" s="1298"/>
      <c r="BX104" s="1298"/>
      <c r="BY104" s="1298"/>
      <c r="BZ104" s="1298"/>
      <c r="CA104" s="1299"/>
    </row>
    <row r="105" spans="1:79" ht="11.25" customHeight="1" thickTop="1">
      <c r="B105" s="1316"/>
      <c r="C105" s="1317"/>
      <c r="D105" s="1318"/>
      <c r="E105" s="353"/>
      <c r="F105" s="356"/>
      <c r="G105" s="342"/>
      <c r="H105" s="347"/>
      <c r="I105" s="1300"/>
      <c r="J105" s="1301"/>
      <c r="K105" s="1301"/>
      <c r="L105" s="1301"/>
      <c r="M105" s="1301"/>
      <c r="N105" s="1301"/>
      <c r="O105" s="1301"/>
      <c r="P105" s="1301"/>
      <c r="Q105" s="1301"/>
      <c r="R105" s="1301"/>
      <c r="S105" s="1301"/>
      <c r="T105" s="1301"/>
      <c r="U105" s="1301"/>
      <c r="V105" s="1301"/>
      <c r="W105" s="1301"/>
      <c r="X105" s="1301"/>
      <c r="Y105" s="1301"/>
      <c r="Z105" s="1301"/>
      <c r="AA105" s="1301"/>
      <c r="AB105" s="1301"/>
      <c r="AC105" s="1305"/>
      <c r="AD105" s="353"/>
      <c r="AE105" s="356"/>
      <c r="AF105" s="342"/>
      <c r="AG105" s="347"/>
      <c r="AH105" s="1300"/>
      <c r="AI105" s="1301"/>
      <c r="AJ105" s="1301"/>
      <c r="AK105" s="1301"/>
      <c r="AL105" s="1301"/>
      <c r="AM105" s="1301"/>
      <c r="AN105" s="1301"/>
      <c r="AO105" s="1301"/>
      <c r="AP105" s="1301"/>
      <c r="AQ105" s="1301"/>
      <c r="AR105" s="1301"/>
      <c r="AS105" s="1301"/>
      <c r="AT105" s="1301"/>
      <c r="AU105" s="1301"/>
      <c r="AV105" s="1301"/>
      <c r="AW105" s="1301"/>
      <c r="AX105" s="1301"/>
      <c r="AY105" s="1301"/>
      <c r="AZ105" s="1301"/>
      <c r="BA105" s="1301"/>
      <c r="BB105" s="1305"/>
      <c r="BC105" s="358"/>
      <c r="BD105" s="356"/>
      <c r="BE105" s="342"/>
      <c r="BF105" s="347"/>
      <c r="BG105" s="1300"/>
      <c r="BH105" s="1301"/>
      <c r="BI105" s="1301"/>
      <c r="BJ105" s="1301"/>
      <c r="BK105" s="1301"/>
      <c r="BL105" s="1301"/>
      <c r="BM105" s="1301"/>
      <c r="BN105" s="1301"/>
      <c r="BO105" s="1301"/>
      <c r="BP105" s="1301"/>
      <c r="BQ105" s="1301"/>
      <c r="BR105" s="1301"/>
      <c r="BS105" s="1301"/>
      <c r="BT105" s="1301"/>
      <c r="BU105" s="1301"/>
      <c r="BV105" s="1301"/>
      <c r="BW105" s="1301"/>
      <c r="BX105" s="1301"/>
      <c r="BY105" s="1301"/>
      <c r="BZ105" s="1301"/>
      <c r="CA105" s="1302"/>
    </row>
    <row r="106" spans="1:79" ht="11.25" customHeight="1" thickBot="1">
      <c r="B106" s="1316"/>
      <c r="C106" s="1317"/>
      <c r="D106" s="1318"/>
      <c r="E106" s="353"/>
      <c r="F106" s="356"/>
      <c r="G106" s="344"/>
      <c r="H106" s="345"/>
      <c r="I106" s="1294"/>
      <c r="J106" s="1295"/>
      <c r="K106" s="1295"/>
      <c r="L106" s="1295"/>
      <c r="M106" s="1295"/>
      <c r="N106" s="1295"/>
      <c r="O106" s="1295"/>
      <c r="P106" s="1295"/>
      <c r="Q106" s="1295"/>
      <c r="R106" s="1295"/>
      <c r="S106" s="1295"/>
      <c r="T106" s="1295"/>
      <c r="U106" s="1295"/>
      <c r="V106" s="1295"/>
      <c r="W106" s="1295"/>
      <c r="X106" s="1295"/>
      <c r="Y106" s="1295"/>
      <c r="Z106" s="1295"/>
      <c r="AA106" s="1295"/>
      <c r="AB106" s="1295"/>
      <c r="AC106" s="1295"/>
      <c r="AD106" s="358"/>
      <c r="AE106" s="356"/>
      <c r="AF106" s="344"/>
      <c r="AG106" s="345"/>
      <c r="AH106" s="1294"/>
      <c r="AI106" s="1295"/>
      <c r="AJ106" s="1295"/>
      <c r="AK106" s="1295"/>
      <c r="AL106" s="1295"/>
      <c r="AM106" s="1295"/>
      <c r="AN106" s="1295"/>
      <c r="AO106" s="1295"/>
      <c r="AP106" s="1295"/>
      <c r="AQ106" s="1295"/>
      <c r="AR106" s="1295"/>
      <c r="AS106" s="1295"/>
      <c r="AT106" s="1295"/>
      <c r="AU106" s="1295"/>
      <c r="AV106" s="1295"/>
      <c r="AW106" s="1295"/>
      <c r="AX106" s="1295"/>
      <c r="AY106" s="1295"/>
      <c r="AZ106" s="1295"/>
      <c r="BA106" s="1295"/>
      <c r="BB106" s="1303"/>
      <c r="BC106" s="358"/>
      <c r="BD106" s="356"/>
      <c r="BE106" s="344"/>
      <c r="BF106" s="345"/>
      <c r="BG106" s="1294"/>
      <c r="BH106" s="1295"/>
      <c r="BI106" s="1295"/>
      <c r="BJ106" s="1295"/>
      <c r="BK106" s="1295"/>
      <c r="BL106" s="1295"/>
      <c r="BM106" s="1295"/>
      <c r="BN106" s="1295"/>
      <c r="BO106" s="1295"/>
      <c r="BP106" s="1295"/>
      <c r="BQ106" s="1295"/>
      <c r="BR106" s="1295"/>
      <c r="BS106" s="1295"/>
      <c r="BT106" s="1295"/>
      <c r="BU106" s="1295"/>
      <c r="BV106" s="1295"/>
      <c r="BW106" s="1295"/>
      <c r="BX106" s="1295"/>
      <c r="BY106" s="1295"/>
      <c r="BZ106" s="1295"/>
      <c r="CA106" s="1296"/>
    </row>
    <row r="107" spans="1:79" ht="11.25" customHeight="1" thickTop="1">
      <c r="B107" s="1316"/>
      <c r="C107" s="1317"/>
      <c r="D107" s="1318"/>
      <c r="E107" s="203"/>
      <c r="F107" s="356"/>
      <c r="G107" s="203"/>
      <c r="H107" s="346"/>
      <c r="I107" s="1297"/>
      <c r="J107" s="1298"/>
      <c r="K107" s="1298"/>
      <c r="L107" s="1298"/>
      <c r="M107" s="1298"/>
      <c r="N107" s="1298"/>
      <c r="O107" s="1298"/>
      <c r="P107" s="1298"/>
      <c r="Q107" s="1298"/>
      <c r="R107" s="1298"/>
      <c r="S107" s="1298"/>
      <c r="T107" s="1298"/>
      <c r="U107" s="1298"/>
      <c r="V107" s="1298"/>
      <c r="W107" s="1298"/>
      <c r="X107" s="1298"/>
      <c r="Y107" s="1298"/>
      <c r="Z107" s="1298"/>
      <c r="AA107" s="1298"/>
      <c r="AB107" s="1298"/>
      <c r="AC107" s="1298"/>
      <c r="AD107" s="341"/>
      <c r="AE107" s="356"/>
      <c r="AF107" s="203"/>
      <c r="AG107" s="346"/>
      <c r="AH107" s="1297"/>
      <c r="AI107" s="1298"/>
      <c r="AJ107" s="1298"/>
      <c r="AK107" s="1298"/>
      <c r="AL107" s="1298"/>
      <c r="AM107" s="1298"/>
      <c r="AN107" s="1298"/>
      <c r="AO107" s="1298"/>
      <c r="AP107" s="1298"/>
      <c r="AQ107" s="1298"/>
      <c r="AR107" s="1298"/>
      <c r="AS107" s="1298"/>
      <c r="AT107" s="1298"/>
      <c r="AU107" s="1298"/>
      <c r="AV107" s="1298"/>
      <c r="AW107" s="1298"/>
      <c r="AX107" s="1298"/>
      <c r="AY107" s="1298"/>
      <c r="AZ107" s="1298"/>
      <c r="BA107" s="1298"/>
      <c r="BB107" s="1304"/>
      <c r="BC107" s="341"/>
      <c r="BD107" s="356"/>
      <c r="BE107" s="203"/>
      <c r="BF107" s="346"/>
      <c r="BG107" s="1297"/>
      <c r="BH107" s="1298"/>
      <c r="BI107" s="1298"/>
      <c r="BJ107" s="1298"/>
      <c r="BK107" s="1298"/>
      <c r="BL107" s="1298"/>
      <c r="BM107" s="1298"/>
      <c r="BN107" s="1298"/>
      <c r="BO107" s="1298"/>
      <c r="BP107" s="1298"/>
      <c r="BQ107" s="1298"/>
      <c r="BR107" s="1298"/>
      <c r="BS107" s="1298"/>
      <c r="BT107" s="1298"/>
      <c r="BU107" s="1298"/>
      <c r="BV107" s="1298"/>
      <c r="BW107" s="1298"/>
      <c r="BX107" s="1298"/>
      <c r="BY107" s="1298"/>
      <c r="BZ107" s="1298"/>
      <c r="CA107" s="1299"/>
    </row>
    <row r="108" spans="1:79" ht="11.25" customHeight="1">
      <c r="B108" s="1316"/>
      <c r="C108" s="1317"/>
      <c r="D108" s="1318"/>
      <c r="E108" s="203"/>
      <c r="F108" s="356"/>
      <c r="G108" s="203"/>
      <c r="H108" s="348"/>
      <c r="I108" s="1297"/>
      <c r="J108" s="1298"/>
      <c r="K108" s="1298"/>
      <c r="L108" s="1298"/>
      <c r="M108" s="1298"/>
      <c r="N108" s="1298"/>
      <c r="O108" s="1298"/>
      <c r="P108" s="1298"/>
      <c r="Q108" s="1298"/>
      <c r="R108" s="1298"/>
      <c r="S108" s="1298"/>
      <c r="T108" s="1298"/>
      <c r="U108" s="1298"/>
      <c r="V108" s="1298"/>
      <c r="W108" s="1298"/>
      <c r="X108" s="1298"/>
      <c r="Y108" s="1298"/>
      <c r="Z108" s="1298"/>
      <c r="AA108" s="1298"/>
      <c r="AB108" s="1298"/>
      <c r="AC108" s="1298"/>
      <c r="AD108" s="341"/>
      <c r="AE108" s="356"/>
      <c r="AF108" s="203"/>
      <c r="AG108" s="348"/>
      <c r="AH108" s="1297"/>
      <c r="AI108" s="1298"/>
      <c r="AJ108" s="1298"/>
      <c r="AK108" s="1298"/>
      <c r="AL108" s="1298"/>
      <c r="AM108" s="1298"/>
      <c r="AN108" s="1298"/>
      <c r="AO108" s="1298"/>
      <c r="AP108" s="1298"/>
      <c r="AQ108" s="1298"/>
      <c r="AR108" s="1298"/>
      <c r="AS108" s="1298"/>
      <c r="AT108" s="1298"/>
      <c r="AU108" s="1298"/>
      <c r="AV108" s="1298"/>
      <c r="AW108" s="1298"/>
      <c r="AX108" s="1298"/>
      <c r="AY108" s="1298"/>
      <c r="AZ108" s="1298"/>
      <c r="BA108" s="1298"/>
      <c r="BB108" s="1304"/>
      <c r="BC108" s="341"/>
      <c r="BD108" s="356"/>
      <c r="BE108" s="203"/>
      <c r="BF108" s="348"/>
      <c r="BG108" s="1297"/>
      <c r="BH108" s="1298"/>
      <c r="BI108" s="1298"/>
      <c r="BJ108" s="1298"/>
      <c r="BK108" s="1298"/>
      <c r="BL108" s="1298"/>
      <c r="BM108" s="1298"/>
      <c r="BN108" s="1298"/>
      <c r="BO108" s="1298"/>
      <c r="BP108" s="1298"/>
      <c r="BQ108" s="1298"/>
      <c r="BR108" s="1298"/>
      <c r="BS108" s="1298"/>
      <c r="BT108" s="1298"/>
      <c r="BU108" s="1298"/>
      <c r="BV108" s="1298"/>
      <c r="BW108" s="1298"/>
      <c r="BX108" s="1298"/>
      <c r="BY108" s="1298"/>
      <c r="BZ108" s="1298"/>
      <c r="CA108" s="1299"/>
    </row>
    <row r="109" spans="1:79" ht="11.25" customHeight="1" thickBot="1">
      <c r="B109" s="1316"/>
      <c r="C109" s="1317"/>
      <c r="D109" s="1318"/>
      <c r="E109" s="1293" t="str">
        <f>Buttons!$B$83</f>
        <v>Why?</v>
      </c>
      <c r="F109" s="1293"/>
      <c r="G109" s="1293"/>
      <c r="H109" s="1307"/>
      <c r="I109" s="1297"/>
      <c r="J109" s="1298"/>
      <c r="K109" s="1298"/>
      <c r="L109" s="1298"/>
      <c r="M109" s="1298"/>
      <c r="N109" s="1298"/>
      <c r="O109" s="1298"/>
      <c r="P109" s="1298"/>
      <c r="Q109" s="1298"/>
      <c r="R109" s="1298"/>
      <c r="S109" s="1298"/>
      <c r="T109" s="1298"/>
      <c r="U109" s="1298"/>
      <c r="V109" s="1298"/>
      <c r="W109" s="1298"/>
      <c r="X109" s="1298"/>
      <c r="Y109" s="1298"/>
      <c r="Z109" s="1298"/>
      <c r="AA109" s="1298"/>
      <c r="AB109" s="1298"/>
      <c r="AC109" s="1298"/>
      <c r="AD109" s="1306" t="str">
        <f>Buttons!$B$83</f>
        <v>Why?</v>
      </c>
      <c r="AE109" s="1293"/>
      <c r="AF109" s="1293"/>
      <c r="AG109" s="1307"/>
      <c r="AH109" s="1297"/>
      <c r="AI109" s="1298"/>
      <c r="AJ109" s="1298"/>
      <c r="AK109" s="1298"/>
      <c r="AL109" s="1298"/>
      <c r="AM109" s="1298"/>
      <c r="AN109" s="1298"/>
      <c r="AO109" s="1298"/>
      <c r="AP109" s="1298"/>
      <c r="AQ109" s="1298"/>
      <c r="AR109" s="1298"/>
      <c r="AS109" s="1298"/>
      <c r="AT109" s="1298"/>
      <c r="AU109" s="1298"/>
      <c r="AV109" s="1298"/>
      <c r="AW109" s="1298"/>
      <c r="AX109" s="1298"/>
      <c r="AY109" s="1298"/>
      <c r="AZ109" s="1298"/>
      <c r="BA109" s="1298"/>
      <c r="BB109" s="1304"/>
      <c r="BC109" s="1306" t="str">
        <f>Buttons!$B$83</f>
        <v>Why?</v>
      </c>
      <c r="BD109" s="1293"/>
      <c r="BE109" s="1293"/>
      <c r="BF109" s="1307"/>
      <c r="BG109" s="1297"/>
      <c r="BH109" s="1298"/>
      <c r="BI109" s="1298"/>
      <c r="BJ109" s="1298"/>
      <c r="BK109" s="1298"/>
      <c r="BL109" s="1298"/>
      <c r="BM109" s="1298"/>
      <c r="BN109" s="1298"/>
      <c r="BO109" s="1298"/>
      <c r="BP109" s="1298"/>
      <c r="BQ109" s="1298"/>
      <c r="BR109" s="1298"/>
      <c r="BS109" s="1298"/>
      <c r="BT109" s="1298"/>
      <c r="BU109" s="1298"/>
      <c r="BV109" s="1298"/>
      <c r="BW109" s="1298"/>
      <c r="BX109" s="1298"/>
      <c r="BY109" s="1298"/>
      <c r="BZ109" s="1298"/>
      <c r="CA109" s="1299"/>
    </row>
    <row r="110" spans="1:79" ht="11.25" customHeight="1" thickTop="1">
      <c r="B110" s="1316"/>
      <c r="C110" s="1317"/>
      <c r="D110" s="1318"/>
      <c r="E110" s="203"/>
      <c r="F110" s="356"/>
      <c r="G110" s="342"/>
      <c r="H110" s="343"/>
      <c r="I110" s="1300"/>
      <c r="J110" s="1301"/>
      <c r="K110" s="1301"/>
      <c r="L110" s="1301"/>
      <c r="M110" s="1301"/>
      <c r="N110" s="1301"/>
      <c r="O110" s="1301"/>
      <c r="P110" s="1301"/>
      <c r="Q110" s="1301"/>
      <c r="R110" s="1301"/>
      <c r="S110" s="1301"/>
      <c r="T110" s="1301"/>
      <c r="U110" s="1301"/>
      <c r="V110" s="1301"/>
      <c r="W110" s="1301"/>
      <c r="X110" s="1301"/>
      <c r="Y110" s="1301"/>
      <c r="Z110" s="1301"/>
      <c r="AA110" s="1301"/>
      <c r="AB110" s="1301"/>
      <c r="AC110" s="1301"/>
      <c r="AD110" s="341"/>
      <c r="AE110" s="356"/>
      <c r="AF110" s="342"/>
      <c r="AG110" s="343"/>
      <c r="AH110" s="1300"/>
      <c r="AI110" s="1301"/>
      <c r="AJ110" s="1301"/>
      <c r="AK110" s="1301"/>
      <c r="AL110" s="1301"/>
      <c r="AM110" s="1301"/>
      <c r="AN110" s="1301"/>
      <c r="AO110" s="1301"/>
      <c r="AP110" s="1301"/>
      <c r="AQ110" s="1301"/>
      <c r="AR110" s="1301"/>
      <c r="AS110" s="1301"/>
      <c r="AT110" s="1301"/>
      <c r="AU110" s="1301"/>
      <c r="AV110" s="1301"/>
      <c r="AW110" s="1301"/>
      <c r="AX110" s="1301"/>
      <c r="AY110" s="1301"/>
      <c r="AZ110" s="1301"/>
      <c r="BA110" s="1301"/>
      <c r="BB110" s="1305"/>
      <c r="BC110" s="341"/>
      <c r="BD110" s="356"/>
      <c r="BE110" s="342"/>
      <c r="BF110" s="343"/>
      <c r="BG110" s="1300"/>
      <c r="BH110" s="1301"/>
      <c r="BI110" s="1301"/>
      <c r="BJ110" s="1301"/>
      <c r="BK110" s="1301"/>
      <c r="BL110" s="1301"/>
      <c r="BM110" s="1301"/>
      <c r="BN110" s="1301"/>
      <c r="BO110" s="1301"/>
      <c r="BP110" s="1301"/>
      <c r="BQ110" s="1301"/>
      <c r="BR110" s="1301"/>
      <c r="BS110" s="1301"/>
      <c r="BT110" s="1301"/>
      <c r="BU110" s="1301"/>
      <c r="BV110" s="1301"/>
      <c r="BW110" s="1301"/>
      <c r="BX110" s="1301"/>
      <c r="BY110" s="1301"/>
      <c r="BZ110" s="1301"/>
      <c r="CA110" s="1302"/>
    </row>
    <row r="111" spans="1:79" ht="11.25" customHeight="1" thickBot="1">
      <c r="B111" s="1316"/>
      <c r="C111" s="1317"/>
      <c r="D111" s="1318"/>
      <c r="E111" s="203"/>
      <c r="F111" s="356"/>
      <c r="G111" s="344"/>
      <c r="H111" s="345"/>
      <c r="I111" s="1294"/>
      <c r="J111" s="1295"/>
      <c r="K111" s="1295"/>
      <c r="L111" s="1295"/>
      <c r="M111" s="1295"/>
      <c r="N111" s="1295"/>
      <c r="O111" s="1295"/>
      <c r="P111" s="1295"/>
      <c r="Q111" s="1295"/>
      <c r="R111" s="1295"/>
      <c r="S111" s="1295"/>
      <c r="T111" s="1295"/>
      <c r="U111" s="1295"/>
      <c r="V111" s="1295"/>
      <c r="W111" s="1295"/>
      <c r="X111" s="1295"/>
      <c r="Y111" s="1295"/>
      <c r="Z111" s="1295"/>
      <c r="AA111" s="1295"/>
      <c r="AB111" s="1295"/>
      <c r="AC111" s="1295"/>
      <c r="AD111" s="341"/>
      <c r="AE111" s="356"/>
      <c r="AF111" s="344"/>
      <c r="AG111" s="345"/>
      <c r="AH111" s="1294"/>
      <c r="AI111" s="1295"/>
      <c r="AJ111" s="1295"/>
      <c r="AK111" s="1295"/>
      <c r="AL111" s="1295"/>
      <c r="AM111" s="1295"/>
      <c r="AN111" s="1295"/>
      <c r="AO111" s="1295"/>
      <c r="AP111" s="1295"/>
      <c r="AQ111" s="1295"/>
      <c r="AR111" s="1295"/>
      <c r="AS111" s="1295"/>
      <c r="AT111" s="1295"/>
      <c r="AU111" s="1295"/>
      <c r="AV111" s="1295"/>
      <c r="AW111" s="1295"/>
      <c r="AX111" s="1295"/>
      <c r="AY111" s="1295"/>
      <c r="AZ111" s="1295"/>
      <c r="BA111" s="1295"/>
      <c r="BB111" s="1303"/>
      <c r="BC111" s="341"/>
      <c r="BD111" s="356"/>
      <c r="BE111" s="344"/>
      <c r="BF111" s="345"/>
      <c r="BG111" s="1294"/>
      <c r="BH111" s="1295"/>
      <c r="BI111" s="1295"/>
      <c r="BJ111" s="1295"/>
      <c r="BK111" s="1295"/>
      <c r="BL111" s="1295"/>
      <c r="BM111" s="1295"/>
      <c r="BN111" s="1295"/>
      <c r="BO111" s="1295"/>
      <c r="BP111" s="1295"/>
      <c r="BQ111" s="1295"/>
      <c r="BR111" s="1295"/>
      <c r="BS111" s="1295"/>
      <c r="BT111" s="1295"/>
      <c r="BU111" s="1295"/>
      <c r="BV111" s="1295"/>
      <c r="BW111" s="1295"/>
      <c r="BX111" s="1295"/>
      <c r="BY111" s="1295"/>
      <c r="BZ111" s="1295"/>
      <c r="CA111" s="1296"/>
    </row>
    <row r="112" spans="1:79" ht="11.25" customHeight="1" thickTop="1">
      <c r="B112" s="1316"/>
      <c r="C112" s="1317"/>
      <c r="D112" s="1318"/>
      <c r="E112" s="203"/>
      <c r="F112" s="356"/>
      <c r="G112" s="203"/>
      <c r="H112" s="346"/>
      <c r="I112" s="1297"/>
      <c r="J112" s="1298"/>
      <c r="K112" s="1298"/>
      <c r="L112" s="1298"/>
      <c r="M112" s="1298"/>
      <c r="N112" s="1298"/>
      <c r="O112" s="1298"/>
      <c r="P112" s="1298"/>
      <c r="Q112" s="1298"/>
      <c r="R112" s="1298"/>
      <c r="S112" s="1298"/>
      <c r="T112" s="1298"/>
      <c r="U112" s="1298"/>
      <c r="V112" s="1298"/>
      <c r="W112" s="1298"/>
      <c r="X112" s="1298"/>
      <c r="Y112" s="1298"/>
      <c r="Z112" s="1298"/>
      <c r="AA112" s="1298"/>
      <c r="AB112" s="1298"/>
      <c r="AC112" s="1298"/>
      <c r="AD112" s="341"/>
      <c r="AE112" s="356"/>
      <c r="AF112" s="203"/>
      <c r="AG112" s="346"/>
      <c r="AH112" s="1297"/>
      <c r="AI112" s="1298"/>
      <c r="AJ112" s="1298"/>
      <c r="AK112" s="1298"/>
      <c r="AL112" s="1298"/>
      <c r="AM112" s="1298"/>
      <c r="AN112" s="1298"/>
      <c r="AO112" s="1298"/>
      <c r="AP112" s="1298"/>
      <c r="AQ112" s="1298"/>
      <c r="AR112" s="1298"/>
      <c r="AS112" s="1298"/>
      <c r="AT112" s="1298"/>
      <c r="AU112" s="1298"/>
      <c r="AV112" s="1298"/>
      <c r="AW112" s="1298"/>
      <c r="AX112" s="1298"/>
      <c r="AY112" s="1298"/>
      <c r="AZ112" s="1298"/>
      <c r="BA112" s="1298"/>
      <c r="BB112" s="1304"/>
      <c r="BC112" s="341"/>
      <c r="BD112" s="356"/>
      <c r="BE112" s="203"/>
      <c r="BF112" s="346"/>
      <c r="BG112" s="1297"/>
      <c r="BH112" s="1298"/>
      <c r="BI112" s="1298"/>
      <c r="BJ112" s="1298"/>
      <c r="BK112" s="1298"/>
      <c r="BL112" s="1298"/>
      <c r="BM112" s="1298"/>
      <c r="BN112" s="1298"/>
      <c r="BO112" s="1298"/>
      <c r="BP112" s="1298"/>
      <c r="BQ112" s="1298"/>
      <c r="BR112" s="1298"/>
      <c r="BS112" s="1298"/>
      <c r="BT112" s="1298"/>
      <c r="BU112" s="1298"/>
      <c r="BV112" s="1298"/>
      <c r="BW112" s="1298"/>
      <c r="BX112" s="1298"/>
      <c r="BY112" s="1298"/>
      <c r="BZ112" s="1298"/>
      <c r="CA112" s="1299"/>
    </row>
    <row r="113" spans="2:79" ht="11.25" customHeight="1">
      <c r="B113" s="1316"/>
      <c r="C113" s="1317"/>
      <c r="D113" s="1318"/>
      <c r="E113" s="203"/>
      <c r="F113" s="356"/>
      <c r="G113" s="203"/>
      <c r="H113" s="348"/>
      <c r="I113" s="1297"/>
      <c r="J113" s="1298"/>
      <c r="K113" s="1298"/>
      <c r="L113" s="1298"/>
      <c r="M113" s="1298"/>
      <c r="N113" s="1298"/>
      <c r="O113" s="1298"/>
      <c r="P113" s="1298"/>
      <c r="Q113" s="1298"/>
      <c r="R113" s="1298"/>
      <c r="S113" s="1298"/>
      <c r="T113" s="1298"/>
      <c r="U113" s="1298"/>
      <c r="V113" s="1298"/>
      <c r="W113" s="1298"/>
      <c r="X113" s="1298"/>
      <c r="Y113" s="1298"/>
      <c r="Z113" s="1298"/>
      <c r="AA113" s="1298"/>
      <c r="AB113" s="1298"/>
      <c r="AC113" s="1298"/>
      <c r="AD113" s="341"/>
      <c r="AE113" s="356"/>
      <c r="AF113" s="203"/>
      <c r="AG113" s="348"/>
      <c r="AH113" s="1297"/>
      <c r="AI113" s="1298"/>
      <c r="AJ113" s="1298"/>
      <c r="AK113" s="1298"/>
      <c r="AL113" s="1298"/>
      <c r="AM113" s="1298"/>
      <c r="AN113" s="1298"/>
      <c r="AO113" s="1298"/>
      <c r="AP113" s="1298"/>
      <c r="AQ113" s="1298"/>
      <c r="AR113" s="1298"/>
      <c r="AS113" s="1298"/>
      <c r="AT113" s="1298"/>
      <c r="AU113" s="1298"/>
      <c r="AV113" s="1298"/>
      <c r="AW113" s="1298"/>
      <c r="AX113" s="1298"/>
      <c r="AY113" s="1298"/>
      <c r="AZ113" s="1298"/>
      <c r="BA113" s="1298"/>
      <c r="BB113" s="1304"/>
      <c r="BC113" s="341"/>
      <c r="BD113" s="356"/>
      <c r="BE113" s="203"/>
      <c r="BF113" s="348"/>
      <c r="BG113" s="1297"/>
      <c r="BH113" s="1298"/>
      <c r="BI113" s="1298"/>
      <c r="BJ113" s="1298"/>
      <c r="BK113" s="1298"/>
      <c r="BL113" s="1298"/>
      <c r="BM113" s="1298"/>
      <c r="BN113" s="1298"/>
      <c r="BO113" s="1298"/>
      <c r="BP113" s="1298"/>
      <c r="BQ113" s="1298"/>
      <c r="BR113" s="1298"/>
      <c r="BS113" s="1298"/>
      <c r="BT113" s="1298"/>
      <c r="BU113" s="1298"/>
      <c r="BV113" s="1298"/>
      <c r="BW113" s="1298"/>
      <c r="BX113" s="1298"/>
      <c r="BY113" s="1298"/>
      <c r="BZ113" s="1298"/>
      <c r="CA113" s="1299"/>
    </row>
    <row r="114" spans="2:79" ht="11.25" customHeight="1" thickBot="1">
      <c r="B114" s="1316"/>
      <c r="C114" s="1317"/>
      <c r="D114" s="1318"/>
      <c r="E114" s="1293" t="str">
        <f>Buttons!$B$83</f>
        <v>Why?</v>
      </c>
      <c r="F114" s="1293"/>
      <c r="G114" s="1293"/>
      <c r="H114" s="1307"/>
      <c r="I114" s="1297"/>
      <c r="J114" s="1298"/>
      <c r="K114" s="1298"/>
      <c r="L114" s="1298"/>
      <c r="M114" s="1298"/>
      <c r="N114" s="1298"/>
      <c r="O114" s="1298"/>
      <c r="P114" s="1298"/>
      <c r="Q114" s="1298"/>
      <c r="R114" s="1298"/>
      <c r="S114" s="1298"/>
      <c r="T114" s="1298"/>
      <c r="U114" s="1298"/>
      <c r="V114" s="1298"/>
      <c r="W114" s="1298"/>
      <c r="X114" s="1298"/>
      <c r="Y114" s="1298"/>
      <c r="Z114" s="1298"/>
      <c r="AA114" s="1298"/>
      <c r="AB114" s="1298"/>
      <c r="AC114" s="1298"/>
      <c r="AD114" s="1306" t="str">
        <f>Buttons!$B$83</f>
        <v>Why?</v>
      </c>
      <c r="AE114" s="1293"/>
      <c r="AF114" s="1293"/>
      <c r="AG114" s="1307"/>
      <c r="AH114" s="1297"/>
      <c r="AI114" s="1298"/>
      <c r="AJ114" s="1298"/>
      <c r="AK114" s="1298"/>
      <c r="AL114" s="1298"/>
      <c r="AM114" s="1298"/>
      <c r="AN114" s="1298"/>
      <c r="AO114" s="1298"/>
      <c r="AP114" s="1298"/>
      <c r="AQ114" s="1298"/>
      <c r="AR114" s="1298"/>
      <c r="AS114" s="1298"/>
      <c r="AT114" s="1298"/>
      <c r="AU114" s="1298"/>
      <c r="AV114" s="1298"/>
      <c r="AW114" s="1298"/>
      <c r="AX114" s="1298"/>
      <c r="AY114" s="1298"/>
      <c r="AZ114" s="1298"/>
      <c r="BA114" s="1298"/>
      <c r="BB114" s="1304"/>
      <c r="BC114" s="1306" t="str">
        <f>Buttons!$B$83</f>
        <v>Why?</v>
      </c>
      <c r="BD114" s="1293"/>
      <c r="BE114" s="1293"/>
      <c r="BF114" s="1307"/>
      <c r="BG114" s="1297"/>
      <c r="BH114" s="1298"/>
      <c r="BI114" s="1298"/>
      <c r="BJ114" s="1298"/>
      <c r="BK114" s="1298"/>
      <c r="BL114" s="1298"/>
      <c r="BM114" s="1298"/>
      <c r="BN114" s="1298"/>
      <c r="BO114" s="1298"/>
      <c r="BP114" s="1298"/>
      <c r="BQ114" s="1298"/>
      <c r="BR114" s="1298"/>
      <c r="BS114" s="1298"/>
      <c r="BT114" s="1298"/>
      <c r="BU114" s="1298"/>
      <c r="BV114" s="1298"/>
      <c r="BW114" s="1298"/>
      <c r="BX114" s="1298"/>
      <c r="BY114" s="1298"/>
      <c r="BZ114" s="1298"/>
      <c r="CA114" s="1299"/>
    </row>
    <row r="115" spans="2:79" ht="11.25" customHeight="1" thickTop="1">
      <c r="B115" s="1316"/>
      <c r="C115" s="1317"/>
      <c r="D115" s="1318"/>
      <c r="E115" s="203"/>
      <c r="F115" s="356"/>
      <c r="G115" s="342"/>
      <c r="H115" s="343"/>
      <c r="I115" s="1300"/>
      <c r="J115" s="1301"/>
      <c r="K115" s="1301"/>
      <c r="L115" s="1301"/>
      <c r="M115" s="1301"/>
      <c r="N115" s="1301"/>
      <c r="O115" s="1301"/>
      <c r="P115" s="1301"/>
      <c r="Q115" s="1301"/>
      <c r="R115" s="1301"/>
      <c r="S115" s="1301"/>
      <c r="T115" s="1301"/>
      <c r="U115" s="1301"/>
      <c r="V115" s="1301"/>
      <c r="W115" s="1301"/>
      <c r="X115" s="1301"/>
      <c r="Y115" s="1301"/>
      <c r="Z115" s="1301"/>
      <c r="AA115" s="1301"/>
      <c r="AB115" s="1301"/>
      <c r="AC115" s="1301"/>
      <c r="AD115" s="341"/>
      <c r="AE115" s="356"/>
      <c r="AF115" s="342"/>
      <c r="AG115" s="343"/>
      <c r="AH115" s="1300"/>
      <c r="AI115" s="1301"/>
      <c r="AJ115" s="1301"/>
      <c r="AK115" s="1301"/>
      <c r="AL115" s="1301"/>
      <c r="AM115" s="1301"/>
      <c r="AN115" s="1301"/>
      <c r="AO115" s="1301"/>
      <c r="AP115" s="1301"/>
      <c r="AQ115" s="1301"/>
      <c r="AR115" s="1301"/>
      <c r="AS115" s="1301"/>
      <c r="AT115" s="1301"/>
      <c r="AU115" s="1301"/>
      <c r="AV115" s="1301"/>
      <c r="AW115" s="1301"/>
      <c r="AX115" s="1301"/>
      <c r="AY115" s="1301"/>
      <c r="AZ115" s="1301"/>
      <c r="BA115" s="1301"/>
      <c r="BB115" s="1305"/>
      <c r="BC115" s="341"/>
      <c r="BD115" s="356"/>
      <c r="BE115" s="342"/>
      <c r="BF115" s="343"/>
      <c r="BG115" s="1300"/>
      <c r="BH115" s="1301"/>
      <c r="BI115" s="1301"/>
      <c r="BJ115" s="1301"/>
      <c r="BK115" s="1301"/>
      <c r="BL115" s="1301"/>
      <c r="BM115" s="1301"/>
      <c r="BN115" s="1301"/>
      <c r="BO115" s="1301"/>
      <c r="BP115" s="1301"/>
      <c r="BQ115" s="1301"/>
      <c r="BR115" s="1301"/>
      <c r="BS115" s="1301"/>
      <c r="BT115" s="1301"/>
      <c r="BU115" s="1301"/>
      <c r="BV115" s="1301"/>
      <c r="BW115" s="1301"/>
      <c r="BX115" s="1301"/>
      <c r="BY115" s="1301"/>
      <c r="BZ115" s="1301"/>
      <c r="CA115" s="1302"/>
    </row>
    <row r="116" spans="2:79" ht="11.25" customHeight="1" thickBot="1">
      <c r="B116" s="1316"/>
      <c r="C116" s="1317"/>
      <c r="D116" s="1318"/>
      <c r="E116" s="203"/>
      <c r="F116" s="356"/>
      <c r="G116" s="344"/>
      <c r="H116" s="345"/>
      <c r="I116" s="1294"/>
      <c r="J116" s="1295"/>
      <c r="K116" s="1295"/>
      <c r="L116" s="1295"/>
      <c r="M116" s="1295"/>
      <c r="N116" s="1295"/>
      <c r="O116" s="1295"/>
      <c r="P116" s="1295"/>
      <c r="Q116" s="1295"/>
      <c r="R116" s="1295"/>
      <c r="S116" s="1295"/>
      <c r="T116" s="1295"/>
      <c r="U116" s="1295"/>
      <c r="V116" s="1295"/>
      <c r="W116" s="1295"/>
      <c r="X116" s="1295"/>
      <c r="Y116" s="1295"/>
      <c r="Z116" s="1295"/>
      <c r="AA116" s="1295"/>
      <c r="AB116" s="1295"/>
      <c r="AC116" s="1295"/>
      <c r="AD116" s="341"/>
      <c r="AE116" s="356"/>
      <c r="AF116" s="344"/>
      <c r="AG116" s="345"/>
      <c r="AH116" s="1294"/>
      <c r="AI116" s="1295"/>
      <c r="AJ116" s="1295"/>
      <c r="AK116" s="1295"/>
      <c r="AL116" s="1295"/>
      <c r="AM116" s="1295"/>
      <c r="AN116" s="1295"/>
      <c r="AO116" s="1295"/>
      <c r="AP116" s="1295"/>
      <c r="AQ116" s="1295"/>
      <c r="AR116" s="1295"/>
      <c r="AS116" s="1295"/>
      <c r="AT116" s="1295"/>
      <c r="AU116" s="1295"/>
      <c r="AV116" s="1295"/>
      <c r="AW116" s="1295"/>
      <c r="AX116" s="1295"/>
      <c r="AY116" s="1295"/>
      <c r="AZ116" s="1295"/>
      <c r="BA116" s="1295"/>
      <c r="BB116" s="1303"/>
      <c r="BC116" s="341"/>
      <c r="BD116" s="356"/>
      <c r="BE116" s="344"/>
      <c r="BF116" s="345"/>
      <c r="BG116" s="1294"/>
      <c r="BH116" s="1295"/>
      <c r="BI116" s="1295"/>
      <c r="BJ116" s="1295"/>
      <c r="BK116" s="1295"/>
      <c r="BL116" s="1295"/>
      <c r="BM116" s="1295"/>
      <c r="BN116" s="1295"/>
      <c r="BO116" s="1295"/>
      <c r="BP116" s="1295"/>
      <c r="BQ116" s="1295"/>
      <c r="BR116" s="1295"/>
      <c r="BS116" s="1295"/>
      <c r="BT116" s="1295"/>
      <c r="BU116" s="1295"/>
      <c r="BV116" s="1295"/>
      <c r="BW116" s="1295"/>
      <c r="BX116" s="1295"/>
      <c r="BY116" s="1295"/>
      <c r="BZ116" s="1295"/>
      <c r="CA116" s="1296"/>
    </row>
    <row r="117" spans="2:79" ht="11.25" customHeight="1" thickTop="1">
      <c r="B117" s="1316"/>
      <c r="C117" s="1317"/>
      <c r="D117" s="1318"/>
      <c r="E117" s="203"/>
      <c r="F117" s="356"/>
      <c r="G117" s="203"/>
      <c r="H117" s="346"/>
      <c r="I117" s="1297"/>
      <c r="J117" s="1298"/>
      <c r="K117" s="1298"/>
      <c r="L117" s="1298"/>
      <c r="M117" s="1298"/>
      <c r="N117" s="1298"/>
      <c r="O117" s="1298"/>
      <c r="P117" s="1298"/>
      <c r="Q117" s="1298"/>
      <c r="R117" s="1298"/>
      <c r="S117" s="1298"/>
      <c r="T117" s="1298"/>
      <c r="U117" s="1298"/>
      <c r="V117" s="1298"/>
      <c r="W117" s="1298"/>
      <c r="X117" s="1298"/>
      <c r="Y117" s="1298"/>
      <c r="Z117" s="1298"/>
      <c r="AA117" s="1298"/>
      <c r="AB117" s="1298"/>
      <c r="AC117" s="1298"/>
      <c r="AD117" s="341"/>
      <c r="AE117" s="356"/>
      <c r="AF117" s="203"/>
      <c r="AG117" s="346"/>
      <c r="AH117" s="1297"/>
      <c r="AI117" s="1298"/>
      <c r="AJ117" s="1298"/>
      <c r="AK117" s="1298"/>
      <c r="AL117" s="1298"/>
      <c r="AM117" s="1298"/>
      <c r="AN117" s="1298"/>
      <c r="AO117" s="1298"/>
      <c r="AP117" s="1298"/>
      <c r="AQ117" s="1298"/>
      <c r="AR117" s="1298"/>
      <c r="AS117" s="1298"/>
      <c r="AT117" s="1298"/>
      <c r="AU117" s="1298"/>
      <c r="AV117" s="1298"/>
      <c r="AW117" s="1298"/>
      <c r="AX117" s="1298"/>
      <c r="AY117" s="1298"/>
      <c r="AZ117" s="1298"/>
      <c r="BA117" s="1298"/>
      <c r="BB117" s="1304"/>
      <c r="BC117" s="341"/>
      <c r="BD117" s="356"/>
      <c r="BE117" s="203"/>
      <c r="BF117" s="346"/>
      <c r="BG117" s="1297"/>
      <c r="BH117" s="1298"/>
      <c r="BI117" s="1298"/>
      <c r="BJ117" s="1298"/>
      <c r="BK117" s="1298"/>
      <c r="BL117" s="1298"/>
      <c r="BM117" s="1298"/>
      <c r="BN117" s="1298"/>
      <c r="BO117" s="1298"/>
      <c r="BP117" s="1298"/>
      <c r="BQ117" s="1298"/>
      <c r="BR117" s="1298"/>
      <c r="BS117" s="1298"/>
      <c r="BT117" s="1298"/>
      <c r="BU117" s="1298"/>
      <c r="BV117" s="1298"/>
      <c r="BW117" s="1298"/>
      <c r="BX117" s="1298"/>
      <c r="BY117" s="1298"/>
      <c r="BZ117" s="1298"/>
      <c r="CA117" s="1299"/>
    </row>
    <row r="118" spans="2:79" ht="11.25" customHeight="1">
      <c r="B118" s="1316"/>
      <c r="C118" s="1317"/>
      <c r="D118" s="1318"/>
      <c r="E118" s="203"/>
      <c r="F118" s="356"/>
      <c r="G118" s="203"/>
      <c r="H118" s="348"/>
      <c r="I118" s="1297"/>
      <c r="J118" s="1298"/>
      <c r="K118" s="1298"/>
      <c r="L118" s="1298"/>
      <c r="M118" s="1298"/>
      <c r="N118" s="1298"/>
      <c r="O118" s="1298"/>
      <c r="P118" s="1298"/>
      <c r="Q118" s="1298"/>
      <c r="R118" s="1298"/>
      <c r="S118" s="1298"/>
      <c r="T118" s="1298"/>
      <c r="U118" s="1298"/>
      <c r="V118" s="1298"/>
      <c r="W118" s="1298"/>
      <c r="X118" s="1298"/>
      <c r="Y118" s="1298"/>
      <c r="Z118" s="1298"/>
      <c r="AA118" s="1298"/>
      <c r="AB118" s="1298"/>
      <c r="AC118" s="1298"/>
      <c r="AD118" s="341"/>
      <c r="AE118" s="356"/>
      <c r="AF118" s="203"/>
      <c r="AG118" s="348"/>
      <c r="AH118" s="1297"/>
      <c r="AI118" s="1298"/>
      <c r="AJ118" s="1298"/>
      <c r="AK118" s="1298"/>
      <c r="AL118" s="1298"/>
      <c r="AM118" s="1298"/>
      <c r="AN118" s="1298"/>
      <c r="AO118" s="1298"/>
      <c r="AP118" s="1298"/>
      <c r="AQ118" s="1298"/>
      <c r="AR118" s="1298"/>
      <c r="AS118" s="1298"/>
      <c r="AT118" s="1298"/>
      <c r="AU118" s="1298"/>
      <c r="AV118" s="1298"/>
      <c r="AW118" s="1298"/>
      <c r="AX118" s="1298"/>
      <c r="AY118" s="1298"/>
      <c r="AZ118" s="1298"/>
      <c r="BA118" s="1298"/>
      <c r="BB118" s="1304"/>
      <c r="BC118" s="341"/>
      <c r="BD118" s="356"/>
      <c r="BE118" s="203"/>
      <c r="BF118" s="348"/>
      <c r="BG118" s="1297"/>
      <c r="BH118" s="1298"/>
      <c r="BI118" s="1298"/>
      <c r="BJ118" s="1298"/>
      <c r="BK118" s="1298"/>
      <c r="BL118" s="1298"/>
      <c r="BM118" s="1298"/>
      <c r="BN118" s="1298"/>
      <c r="BO118" s="1298"/>
      <c r="BP118" s="1298"/>
      <c r="BQ118" s="1298"/>
      <c r="BR118" s="1298"/>
      <c r="BS118" s="1298"/>
      <c r="BT118" s="1298"/>
      <c r="BU118" s="1298"/>
      <c r="BV118" s="1298"/>
      <c r="BW118" s="1298"/>
      <c r="BX118" s="1298"/>
      <c r="BY118" s="1298"/>
      <c r="BZ118" s="1298"/>
      <c r="CA118" s="1299"/>
    </row>
    <row r="119" spans="2:79" ht="11.25" customHeight="1" thickBot="1">
      <c r="B119" s="1316"/>
      <c r="C119" s="1317"/>
      <c r="D119" s="1318"/>
      <c r="E119" s="1293" t="str">
        <f>Buttons!$B$83</f>
        <v>Why?</v>
      </c>
      <c r="F119" s="1293"/>
      <c r="G119" s="1293"/>
      <c r="H119" s="1307"/>
      <c r="I119" s="1297"/>
      <c r="J119" s="1298"/>
      <c r="K119" s="1298"/>
      <c r="L119" s="1298"/>
      <c r="M119" s="1298"/>
      <c r="N119" s="1298"/>
      <c r="O119" s="1298"/>
      <c r="P119" s="1298"/>
      <c r="Q119" s="1298"/>
      <c r="R119" s="1298"/>
      <c r="S119" s="1298"/>
      <c r="T119" s="1298"/>
      <c r="U119" s="1298"/>
      <c r="V119" s="1298"/>
      <c r="W119" s="1298"/>
      <c r="X119" s="1298"/>
      <c r="Y119" s="1298"/>
      <c r="Z119" s="1298"/>
      <c r="AA119" s="1298"/>
      <c r="AB119" s="1298"/>
      <c r="AC119" s="1298"/>
      <c r="AD119" s="1306" t="str">
        <f>Buttons!$B$83</f>
        <v>Why?</v>
      </c>
      <c r="AE119" s="1293"/>
      <c r="AF119" s="1293"/>
      <c r="AG119" s="1307"/>
      <c r="AH119" s="1297"/>
      <c r="AI119" s="1298"/>
      <c r="AJ119" s="1298"/>
      <c r="AK119" s="1298"/>
      <c r="AL119" s="1298"/>
      <c r="AM119" s="1298"/>
      <c r="AN119" s="1298"/>
      <c r="AO119" s="1298"/>
      <c r="AP119" s="1298"/>
      <c r="AQ119" s="1298"/>
      <c r="AR119" s="1298"/>
      <c r="AS119" s="1298"/>
      <c r="AT119" s="1298"/>
      <c r="AU119" s="1298"/>
      <c r="AV119" s="1298"/>
      <c r="AW119" s="1298"/>
      <c r="AX119" s="1298"/>
      <c r="AY119" s="1298"/>
      <c r="AZ119" s="1298"/>
      <c r="BA119" s="1298"/>
      <c r="BB119" s="1304"/>
      <c r="BC119" s="1306" t="str">
        <f>Buttons!$B$83</f>
        <v>Why?</v>
      </c>
      <c r="BD119" s="1293"/>
      <c r="BE119" s="1293"/>
      <c r="BF119" s="1307"/>
      <c r="BG119" s="1297"/>
      <c r="BH119" s="1298"/>
      <c r="BI119" s="1298"/>
      <c r="BJ119" s="1298"/>
      <c r="BK119" s="1298"/>
      <c r="BL119" s="1298"/>
      <c r="BM119" s="1298"/>
      <c r="BN119" s="1298"/>
      <c r="BO119" s="1298"/>
      <c r="BP119" s="1298"/>
      <c r="BQ119" s="1298"/>
      <c r="BR119" s="1298"/>
      <c r="BS119" s="1298"/>
      <c r="BT119" s="1298"/>
      <c r="BU119" s="1298"/>
      <c r="BV119" s="1298"/>
      <c r="BW119" s="1298"/>
      <c r="BX119" s="1298"/>
      <c r="BY119" s="1298"/>
      <c r="BZ119" s="1298"/>
      <c r="CA119" s="1299"/>
    </row>
    <row r="120" spans="2:79" ht="11.25" customHeight="1" thickTop="1">
      <c r="B120" s="1316"/>
      <c r="C120" s="1317"/>
      <c r="D120" s="1318"/>
      <c r="E120" s="203"/>
      <c r="F120" s="356"/>
      <c r="G120" s="342"/>
      <c r="H120" s="343"/>
      <c r="I120" s="1300"/>
      <c r="J120" s="1301"/>
      <c r="K120" s="1301"/>
      <c r="L120" s="1301"/>
      <c r="M120" s="1301"/>
      <c r="N120" s="1301"/>
      <c r="O120" s="1301"/>
      <c r="P120" s="1301"/>
      <c r="Q120" s="1301"/>
      <c r="R120" s="1301"/>
      <c r="S120" s="1301"/>
      <c r="T120" s="1301"/>
      <c r="U120" s="1301"/>
      <c r="V120" s="1301"/>
      <c r="W120" s="1301"/>
      <c r="X120" s="1301"/>
      <c r="Y120" s="1301"/>
      <c r="Z120" s="1301"/>
      <c r="AA120" s="1301"/>
      <c r="AB120" s="1301"/>
      <c r="AC120" s="1301"/>
      <c r="AD120" s="341"/>
      <c r="AE120" s="356"/>
      <c r="AF120" s="342"/>
      <c r="AG120" s="343"/>
      <c r="AH120" s="1300"/>
      <c r="AI120" s="1301"/>
      <c r="AJ120" s="1301"/>
      <c r="AK120" s="1301"/>
      <c r="AL120" s="1301"/>
      <c r="AM120" s="1301"/>
      <c r="AN120" s="1301"/>
      <c r="AO120" s="1301"/>
      <c r="AP120" s="1301"/>
      <c r="AQ120" s="1301"/>
      <c r="AR120" s="1301"/>
      <c r="AS120" s="1301"/>
      <c r="AT120" s="1301"/>
      <c r="AU120" s="1301"/>
      <c r="AV120" s="1301"/>
      <c r="AW120" s="1301"/>
      <c r="AX120" s="1301"/>
      <c r="AY120" s="1301"/>
      <c r="AZ120" s="1301"/>
      <c r="BA120" s="1301"/>
      <c r="BB120" s="1305"/>
      <c r="BC120" s="341"/>
      <c r="BD120" s="356"/>
      <c r="BE120" s="342"/>
      <c r="BF120" s="343"/>
      <c r="BG120" s="1300"/>
      <c r="BH120" s="1301"/>
      <c r="BI120" s="1301"/>
      <c r="BJ120" s="1301"/>
      <c r="BK120" s="1301"/>
      <c r="BL120" s="1301"/>
      <c r="BM120" s="1301"/>
      <c r="BN120" s="1301"/>
      <c r="BO120" s="1301"/>
      <c r="BP120" s="1301"/>
      <c r="BQ120" s="1301"/>
      <c r="BR120" s="1301"/>
      <c r="BS120" s="1301"/>
      <c r="BT120" s="1301"/>
      <c r="BU120" s="1301"/>
      <c r="BV120" s="1301"/>
      <c r="BW120" s="1301"/>
      <c r="BX120" s="1301"/>
      <c r="BY120" s="1301"/>
      <c r="BZ120" s="1301"/>
      <c r="CA120" s="1302"/>
    </row>
    <row r="121" spans="2:79" ht="11.25" customHeight="1" thickBot="1">
      <c r="B121" s="1316"/>
      <c r="C121" s="1317"/>
      <c r="D121" s="1318"/>
      <c r="E121" s="203"/>
      <c r="F121" s="356"/>
      <c r="G121" s="344"/>
      <c r="H121" s="345"/>
      <c r="I121" s="1294"/>
      <c r="J121" s="1295"/>
      <c r="K121" s="1295"/>
      <c r="L121" s="1295"/>
      <c r="M121" s="1295"/>
      <c r="N121" s="1295"/>
      <c r="O121" s="1295"/>
      <c r="P121" s="1295"/>
      <c r="Q121" s="1295"/>
      <c r="R121" s="1295"/>
      <c r="S121" s="1295"/>
      <c r="T121" s="1295"/>
      <c r="U121" s="1295"/>
      <c r="V121" s="1295"/>
      <c r="W121" s="1295"/>
      <c r="X121" s="1295"/>
      <c r="Y121" s="1295"/>
      <c r="Z121" s="1295"/>
      <c r="AA121" s="1295"/>
      <c r="AB121" s="1295"/>
      <c r="AC121" s="1295"/>
      <c r="AD121" s="341"/>
      <c r="AE121" s="356"/>
      <c r="AF121" s="344"/>
      <c r="AG121" s="345"/>
      <c r="AH121" s="1294"/>
      <c r="AI121" s="1295"/>
      <c r="AJ121" s="1295"/>
      <c r="AK121" s="1295"/>
      <c r="AL121" s="1295"/>
      <c r="AM121" s="1295"/>
      <c r="AN121" s="1295"/>
      <c r="AO121" s="1295"/>
      <c r="AP121" s="1295"/>
      <c r="AQ121" s="1295"/>
      <c r="AR121" s="1295"/>
      <c r="AS121" s="1295"/>
      <c r="AT121" s="1295"/>
      <c r="AU121" s="1295"/>
      <c r="AV121" s="1295"/>
      <c r="AW121" s="1295"/>
      <c r="AX121" s="1295"/>
      <c r="AY121" s="1295"/>
      <c r="AZ121" s="1295"/>
      <c r="BA121" s="1295"/>
      <c r="BB121" s="1303"/>
      <c r="BC121" s="341"/>
      <c r="BD121" s="356"/>
      <c r="BE121" s="344"/>
      <c r="BF121" s="345"/>
      <c r="BG121" s="1294"/>
      <c r="BH121" s="1295"/>
      <c r="BI121" s="1295"/>
      <c r="BJ121" s="1295"/>
      <c r="BK121" s="1295"/>
      <c r="BL121" s="1295"/>
      <c r="BM121" s="1295"/>
      <c r="BN121" s="1295"/>
      <c r="BO121" s="1295"/>
      <c r="BP121" s="1295"/>
      <c r="BQ121" s="1295"/>
      <c r="BR121" s="1295"/>
      <c r="BS121" s="1295"/>
      <c r="BT121" s="1295"/>
      <c r="BU121" s="1295"/>
      <c r="BV121" s="1295"/>
      <c r="BW121" s="1295"/>
      <c r="BX121" s="1295"/>
      <c r="BY121" s="1295"/>
      <c r="BZ121" s="1295"/>
      <c r="CA121" s="1296"/>
    </row>
    <row r="122" spans="2:79" ht="11.25" customHeight="1" thickTop="1">
      <c r="B122" s="1316"/>
      <c r="C122" s="1317"/>
      <c r="D122" s="1318"/>
      <c r="E122" s="203"/>
      <c r="F122" s="356"/>
      <c r="G122" s="203"/>
      <c r="H122" s="346"/>
      <c r="I122" s="1297"/>
      <c r="J122" s="1298"/>
      <c r="K122" s="1298"/>
      <c r="L122" s="1298"/>
      <c r="M122" s="1298"/>
      <c r="N122" s="1298"/>
      <c r="O122" s="1298"/>
      <c r="P122" s="1298"/>
      <c r="Q122" s="1298"/>
      <c r="R122" s="1298"/>
      <c r="S122" s="1298"/>
      <c r="T122" s="1298"/>
      <c r="U122" s="1298"/>
      <c r="V122" s="1298"/>
      <c r="W122" s="1298"/>
      <c r="X122" s="1298"/>
      <c r="Y122" s="1298"/>
      <c r="Z122" s="1298"/>
      <c r="AA122" s="1298"/>
      <c r="AB122" s="1298"/>
      <c r="AC122" s="1298"/>
      <c r="AD122" s="341"/>
      <c r="AE122" s="356"/>
      <c r="AF122" s="203"/>
      <c r="AG122" s="346"/>
      <c r="AH122" s="1297"/>
      <c r="AI122" s="1298"/>
      <c r="AJ122" s="1298"/>
      <c r="AK122" s="1298"/>
      <c r="AL122" s="1298"/>
      <c r="AM122" s="1298"/>
      <c r="AN122" s="1298"/>
      <c r="AO122" s="1298"/>
      <c r="AP122" s="1298"/>
      <c r="AQ122" s="1298"/>
      <c r="AR122" s="1298"/>
      <c r="AS122" s="1298"/>
      <c r="AT122" s="1298"/>
      <c r="AU122" s="1298"/>
      <c r="AV122" s="1298"/>
      <c r="AW122" s="1298"/>
      <c r="AX122" s="1298"/>
      <c r="AY122" s="1298"/>
      <c r="AZ122" s="1298"/>
      <c r="BA122" s="1298"/>
      <c r="BB122" s="1304"/>
      <c r="BC122" s="341"/>
      <c r="BD122" s="356"/>
      <c r="BE122" s="203"/>
      <c r="BF122" s="346"/>
      <c r="BG122" s="1297"/>
      <c r="BH122" s="1298"/>
      <c r="BI122" s="1298"/>
      <c r="BJ122" s="1298"/>
      <c r="BK122" s="1298"/>
      <c r="BL122" s="1298"/>
      <c r="BM122" s="1298"/>
      <c r="BN122" s="1298"/>
      <c r="BO122" s="1298"/>
      <c r="BP122" s="1298"/>
      <c r="BQ122" s="1298"/>
      <c r="BR122" s="1298"/>
      <c r="BS122" s="1298"/>
      <c r="BT122" s="1298"/>
      <c r="BU122" s="1298"/>
      <c r="BV122" s="1298"/>
      <c r="BW122" s="1298"/>
      <c r="BX122" s="1298"/>
      <c r="BY122" s="1298"/>
      <c r="BZ122" s="1298"/>
      <c r="CA122" s="1299"/>
    </row>
    <row r="123" spans="2:79" ht="11.25" customHeight="1">
      <c r="B123" s="1316"/>
      <c r="C123" s="1317"/>
      <c r="D123" s="1318"/>
      <c r="E123" s="203"/>
      <c r="F123" s="356"/>
      <c r="G123" s="203"/>
      <c r="H123" s="348"/>
      <c r="I123" s="1297"/>
      <c r="J123" s="1298"/>
      <c r="K123" s="1298"/>
      <c r="L123" s="1298"/>
      <c r="M123" s="1298"/>
      <c r="N123" s="1298"/>
      <c r="O123" s="1298"/>
      <c r="P123" s="1298"/>
      <c r="Q123" s="1298"/>
      <c r="R123" s="1298"/>
      <c r="S123" s="1298"/>
      <c r="T123" s="1298"/>
      <c r="U123" s="1298"/>
      <c r="V123" s="1298"/>
      <c r="W123" s="1298"/>
      <c r="X123" s="1298"/>
      <c r="Y123" s="1298"/>
      <c r="Z123" s="1298"/>
      <c r="AA123" s="1298"/>
      <c r="AB123" s="1298"/>
      <c r="AC123" s="1298"/>
      <c r="AD123" s="341"/>
      <c r="AE123" s="356"/>
      <c r="AF123" s="203"/>
      <c r="AG123" s="348"/>
      <c r="AH123" s="1297"/>
      <c r="AI123" s="1298"/>
      <c r="AJ123" s="1298"/>
      <c r="AK123" s="1298"/>
      <c r="AL123" s="1298"/>
      <c r="AM123" s="1298"/>
      <c r="AN123" s="1298"/>
      <c r="AO123" s="1298"/>
      <c r="AP123" s="1298"/>
      <c r="AQ123" s="1298"/>
      <c r="AR123" s="1298"/>
      <c r="AS123" s="1298"/>
      <c r="AT123" s="1298"/>
      <c r="AU123" s="1298"/>
      <c r="AV123" s="1298"/>
      <c r="AW123" s="1298"/>
      <c r="AX123" s="1298"/>
      <c r="AY123" s="1298"/>
      <c r="AZ123" s="1298"/>
      <c r="BA123" s="1298"/>
      <c r="BB123" s="1304"/>
      <c r="BC123" s="341"/>
      <c r="BD123" s="356"/>
      <c r="BE123" s="203"/>
      <c r="BF123" s="348"/>
      <c r="BG123" s="1297"/>
      <c r="BH123" s="1298"/>
      <c r="BI123" s="1298"/>
      <c r="BJ123" s="1298"/>
      <c r="BK123" s="1298"/>
      <c r="BL123" s="1298"/>
      <c r="BM123" s="1298"/>
      <c r="BN123" s="1298"/>
      <c r="BO123" s="1298"/>
      <c r="BP123" s="1298"/>
      <c r="BQ123" s="1298"/>
      <c r="BR123" s="1298"/>
      <c r="BS123" s="1298"/>
      <c r="BT123" s="1298"/>
      <c r="BU123" s="1298"/>
      <c r="BV123" s="1298"/>
      <c r="BW123" s="1298"/>
      <c r="BX123" s="1298"/>
      <c r="BY123" s="1298"/>
      <c r="BZ123" s="1298"/>
      <c r="CA123" s="1299"/>
    </row>
    <row r="124" spans="2:79" ht="11.25" customHeight="1" thickBot="1">
      <c r="B124" s="1316"/>
      <c r="C124" s="1317"/>
      <c r="D124" s="1318"/>
      <c r="E124" s="1293" t="str">
        <f>Buttons!$B$83</f>
        <v>Why?</v>
      </c>
      <c r="F124" s="1293"/>
      <c r="G124" s="1293"/>
      <c r="H124" s="1307"/>
      <c r="I124" s="1297"/>
      <c r="J124" s="1298"/>
      <c r="K124" s="1298"/>
      <c r="L124" s="1298"/>
      <c r="M124" s="1298"/>
      <c r="N124" s="1298"/>
      <c r="O124" s="1298"/>
      <c r="P124" s="1298"/>
      <c r="Q124" s="1298"/>
      <c r="R124" s="1298"/>
      <c r="S124" s="1298"/>
      <c r="T124" s="1298"/>
      <c r="U124" s="1298"/>
      <c r="V124" s="1298"/>
      <c r="W124" s="1298"/>
      <c r="X124" s="1298"/>
      <c r="Y124" s="1298"/>
      <c r="Z124" s="1298"/>
      <c r="AA124" s="1298"/>
      <c r="AB124" s="1298"/>
      <c r="AC124" s="1298"/>
      <c r="AD124" s="1306" t="str">
        <f>Buttons!$B$83</f>
        <v>Why?</v>
      </c>
      <c r="AE124" s="1293"/>
      <c r="AF124" s="1293"/>
      <c r="AG124" s="1307"/>
      <c r="AH124" s="1297"/>
      <c r="AI124" s="1298"/>
      <c r="AJ124" s="1298"/>
      <c r="AK124" s="1298"/>
      <c r="AL124" s="1298"/>
      <c r="AM124" s="1298"/>
      <c r="AN124" s="1298"/>
      <c r="AO124" s="1298"/>
      <c r="AP124" s="1298"/>
      <c r="AQ124" s="1298"/>
      <c r="AR124" s="1298"/>
      <c r="AS124" s="1298"/>
      <c r="AT124" s="1298"/>
      <c r="AU124" s="1298"/>
      <c r="AV124" s="1298"/>
      <c r="AW124" s="1298"/>
      <c r="AX124" s="1298"/>
      <c r="AY124" s="1298"/>
      <c r="AZ124" s="1298"/>
      <c r="BA124" s="1298"/>
      <c r="BB124" s="1304"/>
      <c r="BC124" s="1306" t="str">
        <f>Buttons!$B$83</f>
        <v>Why?</v>
      </c>
      <c r="BD124" s="1293"/>
      <c r="BE124" s="1293"/>
      <c r="BF124" s="1307"/>
      <c r="BG124" s="1297"/>
      <c r="BH124" s="1298"/>
      <c r="BI124" s="1298"/>
      <c r="BJ124" s="1298"/>
      <c r="BK124" s="1298"/>
      <c r="BL124" s="1298"/>
      <c r="BM124" s="1298"/>
      <c r="BN124" s="1298"/>
      <c r="BO124" s="1298"/>
      <c r="BP124" s="1298"/>
      <c r="BQ124" s="1298"/>
      <c r="BR124" s="1298"/>
      <c r="BS124" s="1298"/>
      <c r="BT124" s="1298"/>
      <c r="BU124" s="1298"/>
      <c r="BV124" s="1298"/>
      <c r="BW124" s="1298"/>
      <c r="BX124" s="1298"/>
      <c r="BY124" s="1298"/>
      <c r="BZ124" s="1298"/>
      <c r="CA124" s="1299"/>
    </row>
    <row r="125" spans="2:79" ht="11.25" customHeight="1" thickTop="1">
      <c r="B125" s="1316"/>
      <c r="C125" s="1317"/>
      <c r="D125" s="1318"/>
      <c r="E125" s="203"/>
      <c r="F125" s="356"/>
      <c r="G125" s="342"/>
      <c r="H125" s="343"/>
      <c r="I125" s="1300"/>
      <c r="J125" s="1301"/>
      <c r="K125" s="1301"/>
      <c r="L125" s="1301"/>
      <c r="M125" s="1301"/>
      <c r="N125" s="1301"/>
      <c r="O125" s="1301"/>
      <c r="P125" s="1301"/>
      <c r="Q125" s="1301"/>
      <c r="R125" s="1301"/>
      <c r="S125" s="1301"/>
      <c r="T125" s="1301"/>
      <c r="U125" s="1301"/>
      <c r="V125" s="1301"/>
      <c r="W125" s="1301"/>
      <c r="X125" s="1301"/>
      <c r="Y125" s="1301"/>
      <c r="Z125" s="1301"/>
      <c r="AA125" s="1301"/>
      <c r="AB125" s="1301"/>
      <c r="AC125" s="1301"/>
      <c r="AD125" s="341"/>
      <c r="AE125" s="356"/>
      <c r="AF125" s="342"/>
      <c r="AG125" s="343"/>
      <c r="AH125" s="1300"/>
      <c r="AI125" s="1301"/>
      <c r="AJ125" s="1301"/>
      <c r="AK125" s="1301"/>
      <c r="AL125" s="1301"/>
      <c r="AM125" s="1301"/>
      <c r="AN125" s="1301"/>
      <c r="AO125" s="1301"/>
      <c r="AP125" s="1301"/>
      <c r="AQ125" s="1301"/>
      <c r="AR125" s="1301"/>
      <c r="AS125" s="1301"/>
      <c r="AT125" s="1301"/>
      <c r="AU125" s="1301"/>
      <c r="AV125" s="1301"/>
      <c r="AW125" s="1301"/>
      <c r="AX125" s="1301"/>
      <c r="AY125" s="1301"/>
      <c r="AZ125" s="1301"/>
      <c r="BA125" s="1301"/>
      <c r="BB125" s="1305"/>
      <c r="BC125" s="341"/>
      <c r="BD125" s="356"/>
      <c r="BE125" s="342"/>
      <c r="BF125" s="343"/>
      <c r="BG125" s="1300"/>
      <c r="BH125" s="1301"/>
      <c r="BI125" s="1301"/>
      <c r="BJ125" s="1301"/>
      <c r="BK125" s="1301"/>
      <c r="BL125" s="1301"/>
      <c r="BM125" s="1301"/>
      <c r="BN125" s="1301"/>
      <c r="BO125" s="1301"/>
      <c r="BP125" s="1301"/>
      <c r="BQ125" s="1301"/>
      <c r="BR125" s="1301"/>
      <c r="BS125" s="1301"/>
      <c r="BT125" s="1301"/>
      <c r="BU125" s="1301"/>
      <c r="BV125" s="1301"/>
      <c r="BW125" s="1301"/>
      <c r="BX125" s="1301"/>
      <c r="BY125" s="1301"/>
      <c r="BZ125" s="1301"/>
      <c r="CA125" s="1302"/>
    </row>
    <row r="126" spans="2:79" ht="11.25" hidden="1" customHeight="1" outlineLevel="1" thickBot="1">
      <c r="B126" s="1316"/>
      <c r="C126" s="1317"/>
      <c r="D126" s="1318"/>
      <c r="E126" s="203"/>
      <c r="F126" s="356"/>
      <c r="G126" s="344"/>
      <c r="H126" s="345"/>
      <c r="I126" s="1294"/>
      <c r="J126" s="1295"/>
      <c r="K126" s="1295"/>
      <c r="L126" s="1295"/>
      <c r="M126" s="1295"/>
      <c r="N126" s="1295"/>
      <c r="O126" s="1295"/>
      <c r="P126" s="1295"/>
      <c r="Q126" s="1295"/>
      <c r="R126" s="1295"/>
      <c r="S126" s="1295"/>
      <c r="T126" s="1295"/>
      <c r="U126" s="1295"/>
      <c r="V126" s="1295"/>
      <c r="W126" s="1295"/>
      <c r="X126" s="1295"/>
      <c r="Y126" s="1295"/>
      <c r="Z126" s="1295"/>
      <c r="AA126" s="1295"/>
      <c r="AB126" s="1295"/>
      <c r="AC126" s="1295"/>
      <c r="AD126" s="341"/>
      <c r="AE126" s="356"/>
      <c r="AF126" s="344"/>
      <c r="AG126" s="345"/>
      <c r="AH126" s="1294"/>
      <c r="AI126" s="1295"/>
      <c r="AJ126" s="1295"/>
      <c r="AK126" s="1295"/>
      <c r="AL126" s="1295"/>
      <c r="AM126" s="1295"/>
      <c r="AN126" s="1295"/>
      <c r="AO126" s="1295"/>
      <c r="AP126" s="1295"/>
      <c r="AQ126" s="1295"/>
      <c r="AR126" s="1295"/>
      <c r="AS126" s="1295"/>
      <c r="AT126" s="1295"/>
      <c r="AU126" s="1295"/>
      <c r="AV126" s="1295"/>
      <c r="AW126" s="1295"/>
      <c r="AX126" s="1295"/>
      <c r="AY126" s="1295"/>
      <c r="AZ126" s="1295"/>
      <c r="BA126" s="1295"/>
      <c r="BB126" s="1303"/>
      <c r="BC126" s="341"/>
      <c r="BD126" s="356"/>
      <c r="BE126" s="344"/>
      <c r="BF126" s="345"/>
      <c r="BG126" s="1294"/>
      <c r="BH126" s="1295"/>
      <c r="BI126" s="1295"/>
      <c r="BJ126" s="1295"/>
      <c r="BK126" s="1295"/>
      <c r="BL126" s="1295"/>
      <c r="BM126" s="1295"/>
      <c r="BN126" s="1295"/>
      <c r="BO126" s="1295"/>
      <c r="BP126" s="1295"/>
      <c r="BQ126" s="1295"/>
      <c r="BR126" s="1295"/>
      <c r="BS126" s="1295"/>
      <c r="BT126" s="1295"/>
      <c r="BU126" s="1295"/>
      <c r="BV126" s="1295"/>
      <c r="BW126" s="1295"/>
      <c r="BX126" s="1295"/>
      <c r="BY126" s="1295"/>
      <c r="BZ126" s="1295"/>
      <c r="CA126" s="1296"/>
    </row>
    <row r="127" spans="2:79" ht="11.25" hidden="1" customHeight="1" outlineLevel="1" thickTop="1">
      <c r="B127" s="1316"/>
      <c r="C127" s="1317"/>
      <c r="D127" s="1318"/>
      <c r="E127" s="203"/>
      <c r="F127" s="356"/>
      <c r="G127" s="203"/>
      <c r="H127" s="346"/>
      <c r="I127" s="1297"/>
      <c r="J127" s="1298"/>
      <c r="K127" s="1298"/>
      <c r="L127" s="1298"/>
      <c r="M127" s="1298"/>
      <c r="N127" s="1298"/>
      <c r="O127" s="1298"/>
      <c r="P127" s="1298"/>
      <c r="Q127" s="1298"/>
      <c r="R127" s="1298"/>
      <c r="S127" s="1298"/>
      <c r="T127" s="1298"/>
      <c r="U127" s="1298"/>
      <c r="V127" s="1298"/>
      <c r="W127" s="1298"/>
      <c r="X127" s="1298"/>
      <c r="Y127" s="1298"/>
      <c r="Z127" s="1298"/>
      <c r="AA127" s="1298"/>
      <c r="AB127" s="1298"/>
      <c r="AC127" s="1298"/>
      <c r="AD127" s="341"/>
      <c r="AE127" s="356"/>
      <c r="AF127" s="203"/>
      <c r="AG127" s="346"/>
      <c r="AH127" s="1297"/>
      <c r="AI127" s="1298"/>
      <c r="AJ127" s="1298"/>
      <c r="AK127" s="1298"/>
      <c r="AL127" s="1298"/>
      <c r="AM127" s="1298"/>
      <c r="AN127" s="1298"/>
      <c r="AO127" s="1298"/>
      <c r="AP127" s="1298"/>
      <c r="AQ127" s="1298"/>
      <c r="AR127" s="1298"/>
      <c r="AS127" s="1298"/>
      <c r="AT127" s="1298"/>
      <c r="AU127" s="1298"/>
      <c r="AV127" s="1298"/>
      <c r="AW127" s="1298"/>
      <c r="AX127" s="1298"/>
      <c r="AY127" s="1298"/>
      <c r="AZ127" s="1298"/>
      <c r="BA127" s="1298"/>
      <c r="BB127" s="1304"/>
      <c r="BC127" s="341"/>
      <c r="BD127" s="356"/>
      <c r="BE127" s="203"/>
      <c r="BF127" s="346"/>
      <c r="BG127" s="1297"/>
      <c r="BH127" s="1298"/>
      <c r="BI127" s="1298"/>
      <c r="BJ127" s="1298"/>
      <c r="BK127" s="1298"/>
      <c r="BL127" s="1298"/>
      <c r="BM127" s="1298"/>
      <c r="BN127" s="1298"/>
      <c r="BO127" s="1298"/>
      <c r="BP127" s="1298"/>
      <c r="BQ127" s="1298"/>
      <c r="BR127" s="1298"/>
      <c r="BS127" s="1298"/>
      <c r="BT127" s="1298"/>
      <c r="BU127" s="1298"/>
      <c r="BV127" s="1298"/>
      <c r="BW127" s="1298"/>
      <c r="BX127" s="1298"/>
      <c r="BY127" s="1298"/>
      <c r="BZ127" s="1298"/>
      <c r="CA127" s="1299"/>
    </row>
    <row r="128" spans="2:79" ht="11.25" hidden="1" customHeight="1" outlineLevel="1">
      <c r="B128" s="1316"/>
      <c r="C128" s="1317"/>
      <c r="D128" s="1318"/>
      <c r="E128" s="203"/>
      <c r="F128" s="356"/>
      <c r="G128" s="203"/>
      <c r="H128" s="348"/>
      <c r="I128" s="1297"/>
      <c r="J128" s="1298"/>
      <c r="K128" s="1298"/>
      <c r="L128" s="1298"/>
      <c r="M128" s="1298"/>
      <c r="N128" s="1298"/>
      <c r="O128" s="1298"/>
      <c r="P128" s="1298"/>
      <c r="Q128" s="1298"/>
      <c r="R128" s="1298"/>
      <c r="S128" s="1298"/>
      <c r="T128" s="1298"/>
      <c r="U128" s="1298"/>
      <c r="V128" s="1298"/>
      <c r="W128" s="1298"/>
      <c r="X128" s="1298"/>
      <c r="Y128" s="1298"/>
      <c r="Z128" s="1298"/>
      <c r="AA128" s="1298"/>
      <c r="AB128" s="1298"/>
      <c r="AC128" s="1298"/>
      <c r="AD128" s="341"/>
      <c r="AE128" s="356"/>
      <c r="AF128" s="203"/>
      <c r="AG128" s="348"/>
      <c r="AH128" s="1297"/>
      <c r="AI128" s="1298"/>
      <c r="AJ128" s="1298"/>
      <c r="AK128" s="1298"/>
      <c r="AL128" s="1298"/>
      <c r="AM128" s="1298"/>
      <c r="AN128" s="1298"/>
      <c r="AO128" s="1298"/>
      <c r="AP128" s="1298"/>
      <c r="AQ128" s="1298"/>
      <c r="AR128" s="1298"/>
      <c r="AS128" s="1298"/>
      <c r="AT128" s="1298"/>
      <c r="AU128" s="1298"/>
      <c r="AV128" s="1298"/>
      <c r="AW128" s="1298"/>
      <c r="AX128" s="1298"/>
      <c r="AY128" s="1298"/>
      <c r="AZ128" s="1298"/>
      <c r="BA128" s="1298"/>
      <c r="BB128" s="1304"/>
      <c r="BC128" s="341"/>
      <c r="BD128" s="356"/>
      <c r="BE128" s="203"/>
      <c r="BF128" s="348"/>
      <c r="BG128" s="1297"/>
      <c r="BH128" s="1298"/>
      <c r="BI128" s="1298"/>
      <c r="BJ128" s="1298"/>
      <c r="BK128" s="1298"/>
      <c r="BL128" s="1298"/>
      <c r="BM128" s="1298"/>
      <c r="BN128" s="1298"/>
      <c r="BO128" s="1298"/>
      <c r="BP128" s="1298"/>
      <c r="BQ128" s="1298"/>
      <c r="BR128" s="1298"/>
      <c r="BS128" s="1298"/>
      <c r="BT128" s="1298"/>
      <c r="BU128" s="1298"/>
      <c r="BV128" s="1298"/>
      <c r="BW128" s="1298"/>
      <c r="BX128" s="1298"/>
      <c r="BY128" s="1298"/>
      <c r="BZ128" s="1298"/>
      <c r="CA128" s="1299"/>
    </row>
    <row r="129" spans="2:79" ht="11.25" hidden="1" customHeight="1" outlineLevel="1" thickBot="1">
      <c r="B129" s="1316"/>
      <c r="C129" s="1317"/>
      <c r="D129" s="1318"/>
      <c r="E129" s="1293" t="str">
        <f>Buttons!$B$83</f>
        <v>Why?</v>
      </c>
      <c r="F129" s="1293"/>
      <c r="G129" s="1293"/>
      <c r="H129" s="1307"/>
      <c r="I129" s="1297"/>
      <c r="J129" s="1298"/>
      <c r="K129" s="1298"/>
      <c r="L129" s="1298"/>
      <c r="M129" s="1298"/>
      <c r="N129" s="1298"/>
      <c r="O129" s="1298"/>
      <c r="P129" s="1298"/>
      <c r="Q129" s="1298"/>
      <c r="R129" s="1298"/>
      <c r="S129" s="1298"/>
      <c r="T129" s="1298"/>
      <c r="U129" s="1298"/>
      <c r="V129" s="1298"/>
      <c r="W129" s="1298"/>
      <c r="X129" s="1298"/>
      <c r="Y129" s="1298"/>
      <c r="Z129" s="1298"/>
      <c r="AA129" s="1298"/>
      <c r="AB129" s="1298"/>
      <c r="AC129" s="1298"/>
      <c r="AD129" s="1306" t="str">
        <f>Buttons!$B$83</f>
        <v>Why?</v>
      </c>
      <c r="AE129" s="1293"/>
      <c r="AF129" s="1293"/>
      <c r="AG129" s="1307"/>
      <c r="AH129" s="1297"/>
      <c r="AI129" s="1298"/>
      <c r="AJ129" s="1298"/>
      <c r="AK129" s="1298"/>
      <c r="AL129" s="1298"/>
      <c r="AM129" s="1298"/>
      <c r="AN129" s="1298"/>
      <c r="AO129" s="1298"/>
      <c r="AP129" s="1298"/>
      <c r="AQ129" s="1298"/>
      <c r="AR129" s="1298"/>
      <c r="AS129" s="1298"/>
      <c r="AT129" s="1298"/>
      <c r="AU129" s="1298"/>
      <c r="AV129" s="1298"/>
      <c r="AW129" s="1298"/>
      <c r="AX129" s="1298"/>
      <c r="AY129" s="1298"/>
      <c r="AZ129" s="1298"/>
      <c r="BA129" s="1298"/>
      <c r="BB129" s="1304"/>
      <c r="BC129" s="1306" t="str">
        <f>Buttons!$B$83</f>
        <v>Why?</v>
      </c>
      <c r="BD129" s="1293"/>
      <c r="BE129" s="1293"/>
      <c r="BF129" s="1307"/>
      <c r="BG129" s="1297"/>
      <c r="BH129" s="1298"/>
      <c r="BI129" s="1298"/>
      <c r="BJ129" s="1298"/>
      <c r="BK129" s="1298"/>
      <c r="BL129" s="1298"/>
      <c r="BM129" s="1298"/>
      <c r="BN129" s="1298"/>
      <c r="BO129" s="1298"/>
      <c r="BP129" s="1298"/>
      <c r="BQ129" s="1298"/>
      <c r="BR129" s="1298"/>
      <c r="BS129" s="1298"/>
      <c r="BT129" s="1298"/>
      <c r="BU129" s="1298"/>
      <c r="BV129" s="1298"/>
      <c r="BW129" s="1298"/>
      <c r="BX129" s="1298"/>
      <c r="BY129" s="1298"/>
      <c r="BZ129" s="1298"/>
      <c r="CA129" s="1299"/>
    </row>
    <row r="130" spans="2:79" ht="11.25" hidden="1" customHeight="1" outlineLevel="1" thickTop="1">
      <c r="B130" s="1316"/>
      <c r="C130" s="1317"/>
      <c r="D130" s="1318"/>
      <c r="E130" s="203"/>
      <c r="F130" s="356"/>
      <c r="G130" s="342"/>
      <c r="H130" s="343"/>
      <c r="I130" s="1300"/>
      <c r="J130" s="1301"/>
      <c r="K130" s="1301"/>
      <c r="L130" s="1301"/>
      <c r="M130" s="1301"/>
      <c r="N130" s="1301"/>
      <c r="O130" s="1301"/>
      <c r="P130" s="1301"/>
      <c r="Q130" s="1301"/>
      <c r="R130" s="1301"/>
      <c r="S130" s="1301"/>
      <c r="T130" s="1301"/>
      <c r="U130" s="1301"/>
      <c r="V130" s="1301"/>
      <c r="W130" s="1301"/>
      <c r="X130" s="1301"/>
      <c r="Y130" s="1301"/>
      <c r="Z130" s="1301"/>
      <c r="AA130" s="1301"/>
      <c r="AB130" s="1301"/>
      <c r="AC130" s="1301"/>
      <c r="AD130" s="341"/>
      <c r="AE130" s="356"/>
      <c r="AF130" s="342"/>
      <c r="AG130" s="343"/>
      <c r="AH130" s="1300"/>
      <c r="AI130" s="1301"/>
      <c r="AJ130" s="1301"/>
      <c r="AK130" s="1301"/>
      <c r="AL130" s="1301"/>
      <c r="AM130" s="1301"/>
      <c r="AN130" s="1301"/>
      <c r="AO130" s="1301"/>
      <c r="AP130" s="1301"/>
      <c r="AQ130" s="1301"/>
      <c r="AR130" s="1301"/>
      <c r="AS130" s="1301"/>
      <c r="AT130" s="1301"/>
      <c r="AU130" s="1301"/>
      <c r="AV130" s="1301"/>
      <c r="AW130" s="1301"/>
      <c r="AX130" s="1301"/>
      <c r="AY130" s="1301"/>
      <c r="AZ130" s="1301"/>
      <c r="BA130" s="1301"/>
      <c r="BB130" s="1305"/>
      <c r="BC130" s="341"/>
      <c r="BD130" s="356"/>
      <c r="BE130" s="342"/>
      <c r="BF130" s="343"/>
      <c r="BG130" s="1300"/>
      <c r="BH130" s="1301"/>
      <c r="BI130" s="1301"/>
      <c r="BJ130" s="1301"/>
      <c r="BK130" s="1301"/>
      <c r="BL130" s="1301"/>
      <c r="BM130" s="1301"/>
      <c r="BN130" s="1301"/>
      <c r="BO130" s="1301"/>
      <c r="BP130" s="1301"/>
      <c r="BQ130" s="1301"/>
      <c r="BR130" s="1301"/>
      <c r="BS130" s="1301"/>
      <c r="BT130" s="1301"/>
      <c r="BU130" s="1301"/>
      <c r="BV130" s="1301"/>
      <c r="BW130" s="1301"/>
      <c r="BX130" s="1301"/>
      <c r="BY130" s="1301"/>
      <c r="BZ130" s="1301"/>
      <c r="CA130" s="1302"/>
    </row>
    <row r="131" spans="2:79" ht="11.25" hidden="1" customHeight="1" outlineLevel="1" thickBot="1">
      <c r="B131" s="1316"/>
      <c r="C131" s="1317"/>
      <c r="D131" s="1318"/>
      <c r="E131" s="203"/>
      <c r="F131" s="356"/>
      <c r="G131" s="344"/>
      <c r="H131" s="345"/>
      <c r="I131" s="1294"/>
      <c r="J131" s="1295"/>
      <c r="K131" s="1295"/>
      <c r="L131" s="1295"/>
      <c r="M131" s="1295"/>
      <c r="N131" s="1295"/>
      <c r="O131" s="1295"/>
      <c r="P131" s="1295"/>
      <c r="Q131" s="1295"/>
      <c r="R131" s="1295"/>
      <c r="S131" s="1295"/>
      <c r="T131" s="1295"/>
      <c r="U131" s="1295"/>
      <c r="V131" s="1295"/>
      <c r="W131" s="1295"/>
      <c r="X131" s="1295"/>
      <c r="Y131" s="1295"/>
      <c r="Z131" s="1295"/>
      <c r="AA131" s="1295"/>
      <c r="AB131" s="1295"/>
      <c r="AC131" s="1295"/>
      <c r="AD131" s="341"/>
      <c r="AE131" s="356"/>
      <c r="AF131" s="344"/>
      <c r="AG131" s="345"/>
      <c r="AH131" s="1294"/>
      <c r="AI131" s="1295"/>
      <c r="AJ131" s="1295"/>
      <c r="AK131" s="1295"/>
      <c r="AL131" s="1295"/>
      <c r="AM131" s="1295"/>
      <c r="AN131" s="1295"/>
      <c r="AO131" s="1295"/>
      <c r="AP131" s="1295"/>
      <c r="AQ131" s="1295"/>
      <c r="AR131" s="1295"/>
      <c r="AS131" s="1295"/>
      <c r="AT131" s="1295"/>
      <c r="AU131" s="1295"/>
      <c r="AV131" s="1295"/>
      <c r="AW131" s="1295"/>
      <c r="AX131" s="1295"/>
      <c r="AY131" s="1295"/>
      <c r="AZ131" s="1295"/>
      <c r="BA131" s="1295"/>
      <c r="BB131" s="1303"/>
      <c r="BC131" s="341"/>
      <c r="BD131" s="356"/>
      <c r="BE131" s="344"/>
      <c r="BF131" s="345"/>
      <c r="BG131" s="1294"/>
      <c r="BH131" s="1295"/>
      <c r="BI131" s="1295"/>
      <c r="BJ131" s="1295"/>
      <c r="BK131" s="1295"/>
      <c r="BL131" s="1295"/>
      <c r="BM131" s="1295"/>
      <c r="BN131" s="1295"/>
      <c r="BO131" s="1295"/>
      <c r="BP131" s="1295"/>
      <c r="BQ131" s="1295"/>
      <c r="BR131" s="1295"/>
      <c r="BS131" s="1295"/>
      <c r="BT131" s="1295"/>
      <c r="BU131" s="1295"/>
      <c r="BV131" s="1295"/>
      <c r="BW131" s="1295"/>
      <c r="BX131" s="1295"/>
      <c r="BY131" s="1295"/>
      <c r="BZ131" s="1295"/>
      <c r="CA131" s="1296"/>
    </row>
    <row r="132" spans="2:79" ht="11.25" hidden="1" customHeight="1" outlineLevel="1" thickTop="1">
      <c r="B132" s="1316"/>
      <c r="C132" s="1317"/>
      <c r="D132" s="1318"/>
      <c r="E132" s="203"/>
      <c r="F132" s="356"/>
      <c r="G132" s="203"/>
      <c r="H132" s="346"/>
      <c r="I132" s="1297"/>
      <c r="J132" s="1298"/>
      <c r="K132" s="1298"/>
      <c r="L132" s="1298"/>
      <c r="M132" s="1298"/>
      <c r="N132" s="1298"/>
      <c r="O132" s="1298"/>
      <c r="P132" s="1298"/>
      <c r="Q132" s="1298"/>
      <c r="R132" s="1298"/>
      <c r="S132" s="1298"/>
      <c r="T132" s="1298"/>
      <c r="U132" s="1298"/>
      <c r="V132" s="1298"/>
      <c r="W132" s="1298"/>
      <c r="X132" s="1298"/>
      <c r="Y132" s="1298"/>
      <c r="Z132" s="1298"/>
      <c r="AA132" s="1298"/>
      <c r="AB132" s="1298"/>
      <c r="AC132" s="1298"/>
      <c r="AD132" s="341"/>
      <c r="AE132" s="356"/>
      <c r="AF132" s="203"/>
      <c r="AG132" s="346"/>
      <c r="AH132" s="1297"/>
      <c r="AI132" s="1298"/>
      <c r="AJ132" s="1298"/>
      <c r="AK132" s="1298"/>
      <c r="AL132" s="1298"/>
      <c r="AM132" s="1298"/>
      <c r="AN132" s="1298"/>
      <c r="AO132" s="1298"/>
      <c r="AP132" s="1298"/>
      <c r="AQ132" s="1298"/>
      <c r="AR132" s="1298"/>
      <c r="AS132" s="1298"/>
      <c r="AT132" s="1298"/>
      <c r="AU132" s="1298"/>
      <c r="AV132" s="1298"/>
      <c r="AW132" s="1298"/>
      <c r="AX132" s="1298"/>
      <c r="AY132" s="1298"/>
      <c r="AZ132" s="1298"/>
      <c r="BA132" s="1298"/>
      <c r="BB132" s="1304"/>
      <c r="BC132" s="341"/>
      <c r="BD132" s="356"/>
      <c r="BE132" s="203"/>
      <c r="BF132" s="346"/>
      <c r="BG132" s="1297"/>
      <c r="BH132" s="1298"/>
      <c r="BI132" s="1298"/>
      <c r="BJ132" s="1298"/>
      <c r="BK132" s="1298"/>
      <c r="BL132" s="1298"/>
      <c r="BM132" s="1298"/>
      <c r="BN132" s="1298"/>
      <c r="BO132" s="1298"/>
      <c r="BP132" s="1298"/>
      <c r="BQ132" s="1298"/>
      <c r="BR132" s="1298"/>
      <c r="BS132" s="1298"/>
      <c r="BT132" s="1298"/>
      <c r="BU132" s="1298"/>
      <c r="BV132" s="1298"/>
      <c r="BW132" s="1298"/>
      <c r="BX132" s="1298"/>
      <c r="BY132" s="1298"/>
      <c r="BZ132" s="1298"/>
      <c r="CA132" s="1299"/>
    </row>
    <row r="133" spans="2:79" ht="11.25" hidden="1" customHeight="1" outlineLevel="1">
      <c r="B133" s="1316"/>
      <c r="C133" s="1317"/>
      <c r="D133" s="1318"/>
      <c r="E133" s="203"/>
      <c r="F133" s="356"/>
      <c r="G133" s="203"/>
      <c r="H133" s="348"/>
      <c r="I133" s="1297"/>
      <c r="J133" s="1298"/>
      <c r="K133" s="1298"/>
      <c r="L133" s="1298"/>
      <c r="M133" s="1298"/>
      <c r="N133" s="1298"/>
      <c r="O133" s="1298"/>
      <c r="P133" s="1298"/>
      <c r="Q133" s="1298"/>
      <c r="R133" s="1298"/>
      <c r="S133" s="1298"/>
      <c r="T133" s="1298"/>
      <c r="U133" s="1298"/>
      <c r="V133" s="1298"/>
      <c r="W133" s="1298"/>
      <c r="X133" s="1298"/>
      <c r="Y133" s="1298"/>
      <c r="Z133" s="1298"/>
      <c r="AA133" s="1298"/>
      <c r="AB133" s="1298"/>
      <c r="AC133" s="1298"/>
      <c r="AD133" s="341"/>
      <c r="AE133" s="356"/>
      <c r="AF133" s="203"/>
      <c r="AG133" s="348"/>
      <c r="AH133" s="1297"/>
      <c r="AI133" s="1298"/>
      <c r="AJ133" s="1298"/>
      <c r="AK133" s="1298"/>
      <c r="AL133" s="1298"/>
      <c r="AM133" s="1298"/>
      <c r="AN133" s="1298"/>
      <c r="AO133" s="1298"/>
      <c r="AP133" s="1298"/>
      <c r="AQ133" s="1298"/>
      <c r="AR133" s="1298"/>
      <c r="AS133" s="1298"/>
      <c r="AT133" s="1298"/>
      <c r="AU133" s="1298"/>
      <c r="AV133" s="1298"/>
      <c r="AW133" s="1298"/>
      <c r="AX133" s="1298"/>
      <c r="AY133" s="1298"/>
      <c r="AZ133" s="1298"/>
      <c r="BA133" s="1298"/>
      <c r="BB133" s="1304"/>
      <c r="BC133" s="341"/>
      <c r="BD133" s="356"/>
      <c r="BE133" s="203"/>
      <c r="BF133" s="348"/>
      <c r="BG133" s="1297"/>
      <c r="BH133" s="1298"/>
      <c r="BI133" s="1298"/>
      <c r="BJ133" s="1298"/>
      <c r="BK133" s="1298"/>
      <c r="BL133" s="1298"/>
      <c r="BM133" s="1298"/>
      <c r="BN133" s="1298"/>
      <c r="BO133" s="1298"/>
      <c r="BP133" s="1298"/>
      <c r="BQ133" s="1298"/>
      <c r="BR133" s="1298"/>
      <c r="BS133" s="1298"/>
      <c r="BT133" s="1298"/>
      <c r="BU133" s="1298"/>
      <c r="BV133" s="1298"/>
      <c r="BW133" s="1298"/>
      <c r="BX133" s="1298"/>
      <c r="BY133" s="1298"/>
      <c r="BZ133" s="1298"/>
      <c r="CA133" s="1299"/>
    </row>
    <row r="134" spans="2:79" ht="11.25" hidden="1" customHeight="1" outlineLevel="1" thickBot="1">
      <c r="B134" s="1316"/>
      <c r="C134" s="1317"/>
      <c r="D134" s="1318"/>
      <c r="E134" s="1293" t="str">
        <f>Buttons!$B$83</f>
        <v>Why?</v>
      </c>
      <c r="F134" s="1293"/>
      <c r="G134" s="1293"/>
      <c r="H134" s="1307"/>
      <c r="I134" s="1297"/>
      <c r="J134" s="1298"/>
      <c r="K134" s="1298"/>
      <c r="L134" s="1298"/>
      <c r="M134" s="1298"/>
      <c r="N134" s="1298"/>
      <c r="O134" s="1298"/>
      <c r="P134" s="1298"/>
      <c r="Q134" s="1298"/>
      <c r="R134" s="1298"/>
      <c r="S134" s="1298"/>
      <c r="T134" s="1298"/>
      <c r="U134" s="1298"/>
      <c r="V134" s="1298"/>
      <c r="W134" s="1298"/>
      <c r="X134" s="1298"/>
      <c r="Y134" s="1298"/>
      <c r="Z134" s="1298"/>
      <c r="AA134" s="1298"/>
      <c r="AB134" s="1298"/>
      <c r="AC134" s="1298"/>
      <c r="AD134" s="1306" t="str">
        <f>Buttons!$B$83</f>
        <v>Why?</v>
      </c>
      <c r="AE134" s="1293"/>
      <c r="AF134" s="1293"/>
      <c r="AG134" s="1307"/>
      <c r="AH134" s="1297"/>
      <c r="AI134" s="1298"/>
      <c r="AJ134" s="1298"/>
      <c r="AK134" s="1298"/>
      <c r="AL134" s="1298"/>
      <c r="AM134" s="1298"/>
      <c r="AN134" s="1298"/>
      <c r="AO134" s="1298"/>
      <c r="AP134" s="1298"/>
      <c r="AQ134" s="1298"/>
      <c r="AR134" s="1298"/>
      <c r="AS134" s="1298"/>
      <c r="AT134" s="1298"/>
      <c r="AU134" s="1298"/>
      <c r="AV134" s="1298"/>
      <c r="AW134" s="1298"/>
      <c r="AX134" s="1298"/>
      <c r="AY134" s="1298"/>
      <c r="AZ134" s="1298"/>
      <c r="BA134" s="1298"/>
      <c r="BB134" s="1304"/>
      <c r="BC134" s="1306" t="str">
        <f>Buttons!$B$83</f>
        <v>Why?</v>
      </c>
      <c r="BD134" s="1293"/>
      <c r="BE134" s="1293"/>
      <c r="BF134" s="1307"/>
      <c r="BG134" s="1297"/>
      <c r="BH134" s="1298"/>
      <c r="BI134" s="1298"/>
      <c r="BJ134" s="1298"/>
      <c r="BK134" s="1298"/>
      <c r="BL134" s="1298"/>
      <c r="BM134" s="1298"/>
      <c r="BN134" s="1298"/>
      <c r="BO134" s="1298"/>
      <c r="BP134" s="1298"/>
      <c r="BQ134" s="1298"/>
      <c r="BR134" s="1298"/>
      <c r="BS134" s="1298"/>
      <c r="BT134" s="1298"/>
      <c r="BU134" s="1298"/>
      <c r="BV134" s="1298"/>
      <c r="BW134" s="1298"/>
      <c r="BX134" s="1298"/>
      <c r="BY134" s="1298"/>
      <c r="BZ134" s="1298"/>
      <c r="CA134" s="1299"/>
    </row>
    <row r="135" spans="2:79" ht="11.25" hidden="1" customHeight="1" outlineLevel="1" thickTop="1">
      <c r="B135" s="1316"/>
      <c r="C135" s="1317"/>
      <c r="D135" s="1318"/>
      <c r="E135" s="203"/>
      <c r="F135" s="356"/>
      <c r="G135" s="342"/>
      <c r="H135" s="343"/>
      <c r="I135" s="1300"/>
      <c r="J135" s="1301"/>
      <c r="K135" s="1301"/>
      <c r="L135" s="1301"/>
      <c r="M135" s="1301"/>
      <c r="N135" s="1301"/>
      <c r="O135" s="1301"/>
      <c r="P135" s="1301"/>
      <c r="Q135" s="1301"/>
      <c r="R135" s="1301"/>
      <c r="S135" s="1301"/>
      <c r="T135" s="1301"/>
      <c r="U135" s="1301"/>
      <c r="V135" s="1301"/>
      <c r="W135" s="1301"/>
      <c r="X135" s="1301"/>
      <c r="Y135" s="1301"/>
      <c r="Z135" s="1301"/>
      <c r="AA135" s="1301"/>
      <c r="AB135" s="1301"/>
      <c r="AC135" s="1301"/>
      <c r="AD135" s="341"/>
      <c r="AE135" s="356"/>
      <c r="AF135" s="342"/>
      <c r="AG135" s="343"/>
      <c r="AH135" s="1300"/>
      <c r="AI135" s="1301"/>
      <c r="AJ135" s="1301"/>
      <c r="AK135" s="1301"/>
      <c r="AL135" s="1301"/>
      <c r="AM135" s="1301"/>
      <c r="AN135" s="1301"/>
      <c r="AO135" s="1301"/>
      <c r="AP135" s="1301"/>
      <c r="AQ135" s="1301"/>
      <c r="AR135" s="1301"/>
      <c r="AS135" s="1301"/>
      <c r="AT135" s="1301"/>
      <c r="AU135" s="1301"/>
      <c r="AV135" s="1301"/>
      <c r="AW135" s="1301"/>
      <c r="AX135" s="1301"/>
      <c r="AY135" s="1301"/>
      <c r="AZ135" s="1301"/>
      <c r="BA135" s="1301"/>
      <c r="BB135" s="1305"/>
      <c r="BC135" s="341"/>
      <c r="BD135" s="356"/>
      <c r="BE135" s="342"/>
      <c r="BF135" s="343"/>
      <c r="BG135" s="1300"/>
      <c r="BH135" s="1301"/>
      <c r="BI135" s="1301"/>
      <c r="BJ135" s="1301"/>
      <c r="BK135" s="1301"/>
      <c r="BL135" s="1301"/>
      <c r="BM135" s="1301"/>
      <c r="BN135" s="1301"/>
      <c r="BO135" s="1301"/>
      <c r="BP135" s="1301"/>
      <c r="BQ135" s="1301"/>
      <c r="BR135" s="1301"/>
      <c r="BS135" s="1301"/>
      <c r="BT135" s="1301"/>
      <c r="BU135" s="1301"/>
      <c r="BV135" s="1301"/>
      <c r="BW135" s="1301"/>
      <c r="BX135" s="1301"/>
      <c r="BY135" s="1301"/>
      <c r="BZ135" s="1301"/>
      <c r="CA135" s="1302"/>
    </row>
    <row r="136" spans="2:79" ht="11.25" customHeight="1" collapsed="1" thickBot="1">
      <c r="B136" s="1316"/>
      <c r="C136" s="1317"/>
      <c r="D136" s="1318"/>
      <c r="E136" s="203"/>
      <c r="F136" s="356"/>
      <c r="G136" s="344"/>
      <c r="H136" s="345"/>
      <c r="I136" s="1294"/>
      <c r="J136" s="1295"/>
      <c r="K136" s="1295"/>
      <c r="L136" s="1295"/>
      <c r="M136" s="1295"/>
      <c r="N136" s="1295"/>
      <c r="O136" s="1295"/>
      <c r="P136" s="1295"/>
      <c r="Q136" s="1295"/>
      <c r="R136" s="1295"/>
      <c r="S136" s="1295"/>
      <c r="T136" s="1295"/>
      <c r="U136" s="1295"/>
      <c r="V136" s="1295"/>
      <c r="W136" s="1295"/>
      <c r="X136" s="1295"/>
      <c r="Y136" s="1295"/>
      <c r="Z136" s="1295"/>
      <c r="AA136" s="1295"/>
      <c r="AB136" s="1295"/>
      <c r="AC136" s="1295"/>
      <c r="AD136" s="341"/>
      <c r="AE136" s="356"/>
      <c r="AF136" s="344"/>
      <c r="AG136" s="345"/>
      <c r="AH136" s="1294"/>
      <c r="AI136" s="1295"/>
      <c r="AJ136" s="1295"/>
      <c r="AK136" s="1295"/>
      <c r="AL136" s="1295"/>
      <c r="AM136" s="1295"/>
      <c r="AN136" s="1295"/>
      <c r="AO136" s="1295"/>
      <c r="AP136" s="1295"/>
      <c r="AQ136" s="1295"/>
      <c r="AR136" s="1295"/>
      <c r="AS136" s="1295"/>
      <c r="AT136" s="1295"/>
      <c r="AU136" s="1295"/>
      <c r="AV136" s="1295"/>
      <c r="AW136" s="1295"/>
      <c r="AX136" s="1295"/>
      <c r="AY136" s="1295"/>
      <c r="AZ136" s="1295"/>
      <c r="BA136" s="1295"/>
      <c r="BB136" s="1303"/>
      <c r="BC136" s="341"/>
      <c r="BD136" s="356"/>
      <c r="BE136" s="344"/>
      <c r="BF136" s="345"/>
      <c r="BG136" s="1294"/>
      <c r="BH136" s="1295"/>
      <c r="BI136" s="1295"/>
      <c r="BJ136" s="1295"/>
      <c r="BK136" s="1295"/>
      <c r="BL136" s="1295"/>
      <c r="BM136" s="1295"/>
      <c r="BN136" s="1295"/>
      <c r="BO136" s="1295"/>
      <c r="BP136" s="1295"/>
      <c r="BQ136" s="1295"/>
      <c r="BR136" s="1295"/>
      <c r="BS136" s="1295"/>
      <c r="BT136" s="1295"/>
      <c r="BU136" s="1295"/>
      <c r="BV136" s="1295"/>
      <c r="BW136" s="1295"/>
      <c r="BX136" s="1295"/>
      <c r="BY136" s="1295"/>
      <c r="BZ136" s="1295"/>
      <c r="CA136" s="1296"/>
    </row>
    <row r="137" spans="2:79" ht="11.25" customHeight="1" thickTop="1">
      <c r="B137" s="1316"/>
      <c r="C137" s="1317"/>
      <c r="D137" s="1318"/>
      <c r="E137" s="203"/>
      <c r="F137" s="356"/>
      <c r="G137" s="203"/>
      <c r="H137" s="346"/>
      <c r="I137" s="1297"/>
      <c r="J137" s="1298"/>
      <c r="K137" s="1298"/>
      <c r="L137" s="1298"/>
      <c r="M137" s="1298"/>
      <c r="N137" s="1298"/>
      <c r="O137" s="1298"/>
      <c r="P137" s="1298"/>
      <c r="Q137" s="1298"/>
      <c r="R137" s="1298"/>
      <c r="S137" s="1298"/>
      <c r="T137" s="1298"/>
      <c r="U137" s="1298"/>
      <c r="V137" s="1298"/>
      <c r="W137" s="1298"/>
      <c r="X137" s="1298"/>
      <c r="Y137" s="1298"/>
      <c r="Z137" s="1298"/>
      <c r="AA137" s="1298"/>
      <c r="AB137" s="1298"/>
      <c r="AC137" s="1298"/>
      <c r="AD137" s="341"/>
      <c r="AE137" s="356"/>
      <c r="AF137" s="203"/>
      <c r="AG137" s="346"/>
      <c r="AH137" s="1297"/>
      <c r="AI137" s="1298"/>
      <c r="AJ137" s="1298"/>
      <c r="AK137" s="1298"/>
      <c r="AL137" s="1298"/>
      <c r="AM137" s="1298"/>
      <c r="AN137" s="1298"/>
      <c r="AO137" s="1298"/>
      <c r="AP137" s="1298"/>
      <c r="AQ137" s="1298"/>
      <c r="AR137" s="1298"/>
      <c r="AS137" s="1298"/>
      <c r="AT137" s="1298"/>
      <c r="AU137" s="1298"/>
      <c r="AV137" s="1298"/>
      <c r="AW137" s="1298"/>
      <c r="AX137" s="1298"/>
      <c r="AY137" s="1298"/>
      <c r="AZ137" s="1298"/>
      <c r="BA137" s="1298"/>
      <c r="BB137" s="1304"/>
      <c r="BC137" s="341"/>
      <c r="BD137" s="356"/>
      <c r="BE137" s="203"/>
      <c r="BF137" s="346"/>
      <c r="BG137" s="1297"/>
      <c r="BH137" s="1298"/>
      <c r="BI137" s="1298"/>
      <c r="BJ137" s="1298"/>
      <c r="BK137" s="1298"/>
      <c r="BL137" s="1298"/>
      <c r="BM137" s="1298"/>
      <c r="BN137" s="1298"/>
      <c r="BO137" s="1298"/>
      <c r="BP137" s="1298"/>
      <c r="BQ137" s="1298"/>
      <c r="BR137" s="1298"/>
      <c r="BS137" s="1298"/>
      <c r="BT137" s="1298"/>
      <c r="BU137" s="1298"/>
      <c r="BV137" s="1298"/>
      <c r="BW137" s="1298"/>
      <c r="BX137" s="1298"/>
      <c r="BY137" s="1298"/>
      <c r="BZ137" s="1298"/>
      <c r="CA137" s="1299"/>
    </row>
    <row r="138" spans="2:79" ht="11.25" customHeight="1">
      <c r="B138" s="1316"/>
      <c r="C138" s="1317"/>
      <c r="D138" s="1318"/>
      <c r="E138" s="203"/>
      <c r="F138" s="356"/>
      <c r="G138" s="203"/>
      <c r="H138" s="203"/>
      <c r="I138" s="1297"/>
      <c r="J138" s="1298"/>
      <c r="K138" s="1298"/>
      <c r="L138" s="1298"/>
      <c r="M138" s="1298"/>
      <c r="N138" s="1298"/>
      <c r="O138" s="1298"/>
      <c r="P138" s="1298"/>
      <c r="Q138" s="1298"/>
      <c r="R138" s="1298"/>
      <c r="S138" s="1298"/>
      <c r="T138" s="1298"/>
      <c r="U138" s="1298"/>
      <c r="V138" s="1298"/>
      <c r="W138" s="1298"/>
      <c r="X138" s="1298"/>
      <c r="Y138" s="1298"/>
      <c r="Z138" s="1298"/>
      <c r="AA138" s="1298"/>
      <c r="AB138" s="1298"/>
      <c r="AC138" s="1298"/>
      <c r="AD138" s="341"/>
      <c r="AE138" s="356"/>
      <c r="AF138" s="203"/>
      <c r="AG138" s="348"/>
      <c r="AH138" s="1297"/>
      <c r="AI138" s="1298"/>
      <c r="AJ138" s="1298"/>
      <c r="AK138" s="1298"/>
      <c r="AL138" s="1298"/>
      <c r="AM138" s="1298"/>
      <c r="AN138" s="1298"/>
      <c r="AO138" s="1298"/>
      <c r="AP138" s="1298"/>
      <c r="AQ138" s="1298"/>
      <c r="AR138" s="1298"/>
      <c r="AS138" s="1298"/>
      <c r="AT138" s="1298"/>
      <c r="AU138" s="1298"/>
      <c r="AV138" s="1298"/>
      <c r="AW138" s="1298"/>
      <c r="AX138" s="1298"/>
      <c r="AY138" s="1298"/>
      <c r="AZ138" s="1298"/>
      <c r="BA138" s="1298"/>
      <c r="BB138" s="1304"/>
      <c r="BC138" s="341"/>
      <c r="BD138" s="356"/>
      <c r="BE138" s="203"/>
      <c r="BF138" s="348"/>
      <c r="BG138" s="1297"/>
      <c r="BH138" s="1298"/>
      <c r="BI138" s="1298"/>
      <c r="BJ138" s="1298"/>
      <c r="BK138" s="1298"/>
      <c r="BL138" s="1298"/>
      <c r="BM138" s="1298"/>
      <c r="BN138" s="1298"/>
      <c r="BO138" s="1298"/>
      <c r="BP138" s="1298"/>
      <c r="BQ138" s="1298"/>
      <c r="BR138" s="1298"/>
      <c r="BS138" s="1298"/>
      <c r="BT138" s="1298"/>
      <c r="BU138" s="1298"/>
      <c r="BV138" s="1298"/>
      <c r="BW138" s="1298"/>
      <c r="BX138" s="1298"/>
      <c r="BY138" s="1298"/>
      <c r="BZ138" s="1298"/>
      <c r="CA138" s="1299"/>
    </row>
    <row r="139" spans="2:79" ht="11.25" customHeight="1">
      <c r="B139" s="1316"/>
      <c r="C139" s="1317"/>
      <c r="D139" s="1318"/>
      <c r="E139" s="357"/>
      <c r="F139" s="203"/>
      <c r="G139" s="203"/>
      <c r="H139" s="203"/>
      <c r="I139" s="1297"/>
      <c r="J139" s="1298"/>
      <c r="K139" s="1298"/>
      <c r="L139" s="1298"/>
      <c r="M139" s="1298"/>
      <c r="N139" s="1298"/>
      <c r="O139" s="1298"/>
      <c r="P139" s="1298"/>
      <c r="Q139" s="1298"/>
      <c r="R139" s="1298"/>
      <c r="S139" s="1298"/>
      <c r="T139" s="1298"/>
      <c r="U139" s="1298"/>
      <c r="V139" s="1298"/>
      <c r="W139" s="1298"/>
      <c r="X139" s="1298"/>
      <c r="Y139" s="1298"/>
      <c r="Z139" s="1298"/>
      <c r="AA139" s="1298"/>
      <c r="AB139" s="1298"/>
      <c r="AC139" s="1298"/>
      <c r="AD139" s="359"/>
      <c r="AE139" s="203"/>
      <c r="AF139" s="203"/>
      <c r="AG139" s="348"/>
      <c r="AH139" s="1297"/>
      <c r="AI139" s="1298"/>
      <c r="AJ139" s="1298"/>
      <c r="AK139" s="1298"/>
      <c r="AL139" s="1298"/>
      <c r="AM139" s="1298"/>
      <c r="AN139" s="1298"/>
      <c r="AO139" s="1298"/>
      <c r="AP139" s="1298"/>
      <c r="AQ139" s="1298"/>
      <c r="AR139" s="1298"/>
      <c r="AS139" s="1298"/>
      <c r="AT139" s="1298"/>
      <c r="AU139" s="1298"/>
      <c r="AV139" s="1298"/>
      <c r="AW139" s="1298"/>
      <c r="AX139" s="1298"/>
      <c r="AY139" s="1298"/>
      <c r="AZ139" s="1298"/>
      <c r="BA139" s="1298"/>
      <c r="BB139" s="1304"/>
      <c r="BC139" s="359"/>
      <c r="BD139" s="203"/>
      <c r="BE139" s="203"/>
      <c r="BF139" s="348"/>
      <c r="BG139" s="1297"/>
      <c r="BH139" s="1298"/>
      <c r="BI139" s="1298"/>
      <c r="BJ139" s="1298"/>
      <c r="BK139" s="1298"/>
      <c r="BL139" s="1298"/>
      <c r="BM139" s="1298"/>
      <c r="BN139" s="1298"/>
      <c r="BO139" s="1298"/>
      <c r="BP139" s="1298"/>
      <c r="BQ139" s="1298"/>
      <c r="BR139" s="1298"/>
      <c r="BS139" s="1298"/>
      <c r="BT139" s="1298"/>
      <c r="BU139" s="1298"/>
      <c r="BV139" s="1298"/>
      <c r="BW139" s="1298"/>
      <c r="BX139" s="1298"/>
      <c r="BY139" s="1298"/>
      <c r="BZ139" s="1298"/>
      <c r="CA139" s="1299"/>
    </row>
    <row r="140" spans="2:79" ht="11.25" customHeight="1" thickBot="1">
      <c r="B140" s="1319"/>
      <c r="C140" s="1320"/>
      <c r="D140" s="1321"/>
      <c r="E140" s="350"/>
      <c r="F140" s="350"/>
      <c r="G140" s="350"/>
      <c r="H140" s="350"/>
      <c r="I140" s="1308"/>
      <c r="J140" s="1309"/>
      <c r="K140" s="1309"/>
      <c r="L140" s="1309"/>
      <c r="M140" s="1309"/>
      <c r="N140" s="1309"/>
      <c r="O140" s="1309"/>
      <c r="P140" s="1309"/>
      <c r="Q140" s="1309"/>
      <c r="R140" s="1309"/>
      <c r="S140" s="1309"/>
      <c r="T140" s="1309"/>
      <c r="U140" s="1309"/>
      <c r="V140" s="1309"/>
      <c r="W140" s="1309"/>
      <c r="X140" s="1309"/>
      <c r="Y140" s="1309"/>
      <c r="Z140" s="1309"/>
      <c r="AA140" s="1309"/>
      <c r="AB140" s="1309"/>
      <c r="AC140" s="1310"/>
      <c r="AD140" s="350"/>
      <c r="AE140" s="350"/>
      <c r="AF140" s="350"/>
      <c r="AG140" s="350"/>
      <c r="AH140" s="1308"/>
      <c r="AI140" s="1309"/>
      <c r="AJ140" s="1309"/>
      <c r="AK140" s="1309"/>
      <c r="AL140" s="1309"/>
      <c r="AM140" s="1309"/>
      <c r="AN140" s="1309"/>
      <c r="AO140" s="1309"/>
      <c r="AP140" s="1309"/>
      <c r="AQ140" s="1309"/>
      <c r="AR140" s="1309"/>
      <c r="AS140" s="1309"/>
      <c r="AT140" s="1309"/>
      <c r="AU140" s="1309"/>
      <c r="AV140" s="1309"/>
      <c r="AW140" s="1309"/>
      <c r="AX140" s="1309"/>
      <c r="AY140" s="1309"/>
      <c r="AZ140" s="1309"/>
      <c r="BA140" s="1309"/>
      <c r="BB140" s="1310"/>
      <c r="BC140" s="350"/>
      <c r="BD140" s="350"/>
      <c r="BE140" s="350"/>
      <c r="BF140" s="350"/>
      <c r="BG140" s="1308"/>
      <c r="BH140" s="1309"/>
      <c r="BI140" s="1309"/>
      <c r="BJ140" s="1309"/>
      <c r="BK140" s="1309"/>
      <c r="BL140" s="1309"/>
      <c r="BM140" s="1309"/>
      <c r="BN140" s="1309"/>
      <c r="BO140" s="1309"/>
      <c r="BP140" s="1309"/>
      <c r="BQ140" s="1309"/>
      <c r="BR140" s="1309"/>
      <c r="BS140" s="1309"/>
      <c r="BT140" s="1309"/>
      <c r="BU140" s="1309"/>
      <c r="BV140" s="1309"/>
      <c r="BW140" s="1309"/>
      <c r="BX140" s="1309"/>
      <c r="BY140" s="1309"/>
      <c r="BZ140" s="1309"/>
      <c r="CA140" s="1311"/>
    </row>
    <row r="147" ht="11.25" customHeight="1"/>
    <row r="148" ht="11.25" customHeight="1"/>
    <row r="149" ht="11.25" customHeight="1"/>
    <row r="150" ht="11.25" customHeight="1"/>
    <row r="151" ht="11.25" customHeight="1"/>
    <row r="152" ht="11.25" customHeight="1"/>
    <row r="153" ht="11.25" customHeight="1"/>
    <row r="154" ht="11.25" customHeight="1"/>
    <row r="155" ht="11.25" customHeight="1"/>
    <row r="156" ht="11.25" customHeight="1"/>
    <row r="157" ht="11.25" customHeight="1"/>
    <row r="158" ht="11.25" customHeight="1"/>
    <row r="159" ht="11.25" customHeight="1"/>
    <row r="160" ht="11.25" customHeight="1"/>
  </sheetData>
  <sheetProtection formatCells="0" formatColumns="0" formatRows="0" insertColumns="0" insertRows="0"/>
  <mergeCells count="144">
    <mergeCell ref="B1:CA1"/>
    <mergeCell ref="B99:D140"/>
    <mergeCell ref="I121:AC125"/>
    <mergeCell ref="AH121:BB125"/>
    <mergeCell ref="E124:H124"/>
    <mergeCell ref="AD124:AG124"/>
    <mergeCell ref="BC124:BF124"/>
    <mergeCell ref="E91:H91"/>
    <mergeCell ref="AD91:AG91"/>
    <mergeCell ref="BC91:BF91"/>
    <mergeCell ref="B56:D97"/>
    <mergeCell ref="AH83:BB87"/>
    <mergeCell ref="E114:H114"/>
    <mergeCell ref="AD114:AG114"/>
    <mergeCell ref="BC114:BF114"/>
    <mergeCell ref="I101:AC105"/>
    <mergeCell ref="AD104:AG104"/>
    <mergeCell ref="AH101:BB105"/>
    <mergeCell ref="E61:H61"/>
    <mergeCell ref="E66:H66"/>
    <mergeCell ref="BC28:BF28"/>
    <mergeCell ref="BC81:BF81"/>
    <mergeCell ref="BG116:CA120"/>
    <mergeCell ref="E104:H104"/>
    <mergeCell ref="I106:AC110"/>
    <mergeCell ref="AH106:BB110"/>
    <mergeCell ref="I111:AC115"/>
    <mergeCell ref="AH111:BB115"/>
    <mergeCell ref="BG111:CA115"/>
    <mergeCell ref="BC33:BF33"/>
    <mergeCell ref="BC38:BF38"/>
    <mergeCell ref="BC43:BF43"/>
    <mergeCell ref="BC48:BF48"/>
    <mergeCell ref="BG78:CA82"/>
    <mergeCell ref="BC66:BF66"/>
    <mergeCell ref="I68:AC72"/>
    <mergeCell ref="AH68:BB72"/>
    <mergeCell ref="BG68:CA72"/>
    <mergeCell ref="AD66:AG66"/>
    <mergeCell ref="I58:AC62"/>
    <mergeCell ref="AH58:BB62"/>
    <mergeCell ref="E71:H71"/>
    <mergeCell ref="E86:H86"/>
    <mergeCell ref="AD86:AG86"/>
    <mergeCell ref="BC86:BF86"/>
    <mergeCell ref="BG73:CA77"/>
    <mergeCell ref="E76:H76"/>
    <mergeCell ref="AD76:AG76"/>
    <mergeCell ref="BC76:BF76"/>
    <mergeCell ref="I78:AC82"/>
    <mergeCell ref="AH78:BB82"/>
    <mergeCell ref="E81:H81"/>
    <mergeCell ref="AD81:AG81"/>
    <mergeCell ref="I73:AC77"/>
    <mergeCell ref="BG131:CA135"/>
    <mergeCell ref="I88:AC92"/>
    <mergeCell ref="AH88:BB92"/>
    <mergeCell ref="I136:AC140"/>
    <mergeCell ref="AH136:BB140"/>
    <mergeCell ref="BG136:CA140"/>
    <mergeCell ref="E129:H129"/>
    <mergeCell ref="AD129:AG129"/>
    <mergeCell ref="BC129:BF129"/>
    <mergeCell ref="I131:AC135"/>
    <mergeCell ref="AH131:BB135"/>
    <mergeCell ref="E134:H134"/>
    <mergeCell ref="AD134:AG134"/>
    <mergeCell ref="BC134:BF134"/>
    <mergeCell ref="E119:H119"/>
    <mergeCell ref="AD119:AG119"/>
    <mergeCell ref="BC119:BF119"/>
    <mergeCell ref="E109:H109"/>
    <mergeCell ref="AD109:AG109"/>
    <mergeCell ref="BC109:BF109"/>
    <mergeCell ref="BG88:CA92"/>
    <mergeCell ref="I116:AC120"/>
    <mergeCell ref="AH116:BB120"/>
    <mergeCell ref="BC104:BF104"/>
    <mergeCell ref="BC18:BF18"/>
    <mergeCell ref="BC23:BF23"/>
    <mergeCell ref="BG121:CA125"/>
    <mergeCell ref="I126:AC130"/>
    <mergeCell ref="AH126:BB130"/>
    <mergeCell ref="BG126:CA130"/>
    <mergeCell ref="BG58:CA62"/>
    <mergeCell ref="AD61:AG61"/>
    <mergeCell ref="BC61:BF61"/>
    <mergeCell ref="I93:AC97"/>
    <mergeCell ref="AH93:BB97"/>
    <mergeCell ref="BG93:CA97"/>
    <mergeCell ref="I63:AC67"/>
    <mergeCell ref="AH63:BB67"/>
    <mergeCell ref="BG63:CA67"/>
    <mergeCell ref="BG83:CA87"/>
    <mergeCell ref="AD71:AG71"/>
    <mergeCell ref="I83:AC87"/>
    <mergeCell ref="BG101:CA105"/>
    <mergeCell ref="E99:CA100"/>
    <mergeCell ref="BG106:CA110"/>
    <mergeCell ref="BC71:BF71"/>
    <mergeCell ref="AH73:BB77"/>
    <mergeCell ref="E56:CA57"/>
    <mergeCell ref="AH25:BB29"/>
    <mergeCell ref="AH30:BB34"/>
    <mergeCell ref="AH35:BB39"/>
    <mergeCell ref="AH50:BB54"/>
    <mergeCell ref="E18:H18"/>
    <mergeCell ref="E23:H23"/>
    <mergeCell ref="E28:H28"/>
    <mergeCell ref="E33:H33"/>
    <mergeCell ref="E38:H38"/>
    <mergeCell ref="E48:H48"/>
    <mergeCell ref="AD18:AG18"/>
    <mergeCell ref="AD23:AG23"/>
    <mergeCell ref="AD28:AG28"/>
    <mergeCell ref="AD33:AG33"/>
    <mergeCell ref="AD38:AG38"/>
    <mergeCell ref="AD43:AG43"/>
    <mergeCell ref="AD48:AG48"/>
    <mergeCell ref="E43:H43"/>
    <mergeCell ref="B3:BZ3"/>
    <mergeCell ref="B5:CA10"/>
    <mergeCell ref="I15:AC19"/>
    <mergeCell ref="I20:AC24"/>
    <mergeCell ref="I25:AC29"/>
    <mergeCell ref="BG15:CA19"/>
    <mergeCell ref="BG20:CA24"/>
    <mergeCell ref="BG25:CA29"/>
    <mergeCell ref="B13:D54"/>
    <mergeCell ref="BG30:CA34"/>
    <mergeCell ref="BG35:CA39"/>
    <mergeCell ref="BG50:CA54"/>
    <mergeCell ref="E13:CA14"/>
    <mergeCell ref="I45:AC49"/>
    <mergeCell ref="AH45:BB49"/>
    <mergeCell ref="BG45:CA49"/>
    <mergeCell ref="I40:AC44"/>
    <mergeCell ref="AH40:BB44"/>
    <mergeCell ref="BG40:CA44"/>
    <mergeCell ref="I30:AC34"/>
    <mergeCell ref="I35:AC39"/>
    <mergeCell ref="I50:AC54"/>
    <mergeCell ref="AH15:BB19"/>
    <mergeCell ref="AH20:BB24"/>
  </mergeCells>
  <phoneticPr fontId="18" type="noConversion"/>
  <pageMargins left="0.70866141732283472" right="0.70866141732283472" top="0.86614173228346458" bottom="0.86614173228346458" header="0.23622047244094491" footer="0.23622047244094491"/>
  <pageSetup paperSize="9" scale="52" orientation="portrait" r:id="rId1"/>
  <headerFooter scaleWithDoc="0" alignWithMargins="0">
    <oddHeader>&amp;R&amp;G</oddHeader>
    <oddFooter>&amp;L&amp;8Index: 102
&amp;6Copyright by Brose. Alle Rechte vorbehalten&amp;C&amp;8Page: &amp;P/ &amp;N (&amp;A)&amp;R&amp;8Date saved: &amp;D
&amp;6Template version 2021</oddFooter>
  </headerFooter>
  <customProperties>
    <customPr name="bConfi" r:id="rId2"/>
    <customPr name="bCopy" r:id="rId3"/>
    <customPr name="bCreate" r:id="rId4"/>
    <customPr name="bDate" r:id="rId5"/>
    <customPr name="bFooter" r:id="rId6"/>
    <customPr name="bFunction" r:id="rId7"/>
    <customPr name="bIndex" r:id="rId8"/>
    <customPr name="bLogo" r:id="rId9"/>
    <customPr name="bOptConfi" r:id="rId10"/>
    <customPr name="bPage" r:id="rId11"/>
    <customPr name="bPages" r:id="rId12"/>
    <customPr name="bPath" r:id="rId13"/>
    <customPr name="bRed" r:id="rId14"/>
    <customPr name="bSheet" r:id="rId15"/>
    <customPr name="bSource" r:id="rId16"/>
    <customPr name="bUser" r:id="rId17"/>
    <customPr name="sFunction" r:id="rId18"/>
    <customPr name="sLanguage" r:id="rId19"/>
    <customPr name="sUser" r:id="rId20"/>
  </customProperties>
  <legacyDrawingHF r:id="rId2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15">
    <pageSetUpPr fitToPage="1"/>
  </sheetPr>
  <dimension ref="A1:CC206"/>
  <sheetViews>
    <sheetView tabSelected="1" zoomScaleNormal="100" zoomScaleSheetLayoutView="85" workbookViewId="0">
      <pane ySplit="1" topLeftCell="A2" activePane="bottomLeft" state="frozen"/>
      <selection activeCell="D3" sqref="D3"/>
      <selection pane="bottomLeft" activeCell="D3" sqref="D3"/>
    </sheetView>
  </sheetViews>
  <sheetFormatPr baseColWidth="10" defaultColWidth="1.875" defaultRowHeight="11.25" customHeight="1"/>
  <cols>
    <col min="1" max="1" width="1.875" style="410"/>
    <col min="2" max="16384" width="1.875" style="153"/>
  </cols>
  <sheetData>
    <row r="1" spans="1:81" s="35" customFormat="1" ht="33.75" customHeight="1">
      <c r="B1" s="1073" t="str">
        <f>VLOOKUP(10000,Languages!$A$5:$C$1032,Languages!$A$2,FALSE)</f>
        <v>Read-Across</v>
      </c>
      <c r="C1" s="1073"/>
      <c r="D1" s="1073"/>
      <c r="E1" s="1073"/>
      <c r="F1" s="1073"/>
      <c r="G1" s="1073"/>
      <c r="H1" s="1073"/>
      <c r="I1" s="1073"/>
      <c r="J1" s="1073"/>
      <c r="K1" s="1073"/>
      <c r="L1" s="1073"/>
      <c r="M1" s="1073"/>
      <c r="N1" s="1073"/>
      <c r="O1" s="1073"/>
      <c r="P1" s="1073"/>
      <c r="Q1" s="1073"/>
      <c r="R1" s="1073"/>
      <c r="S1" s="1073"/>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c r="AP1" s="1073"/>
      <c r="AQ1" s="1073"/>
      <c r="AR1" s="1073"/>
      <c r="AS1" s="1073"/>
      <c r="AT1" s="1073"/>
      <c r="AU1" s="1073"/>
      <c r="AV1" s="1073"/>
      <c r="AW1" s="1073"/>
      <c r="AX1" s="1073"/>
      <c r="AY1" s="1073"/>
      <c r="AZ1" s="1073"/>
      <c r="BA1" s="1073"/>
      <c r="BB1" s="1073"/>
      <c r="BC1" s="1073"/>
      <c r="BD1" s="1073"/>
      <c r="BE1" s="1073"/>
      <c r="BF1" s="1073"/>
      <c r="BG1" s="1073"/>
      <c r="BH1" s="1073"/>
      <c r="BI1" s="1073"/>
      <c r="BJ1" s="1073"/>
      <c r="BK1" s="1073"/>
      <c r="BL1" s="1073"/>
      <c r="BM1" s="1073"/>
      <c r="BN1" s="1073"/>
      <c r="BO1" s="1073"/>
      <c r="BP1" s="1073"/>
      <c r="BQ1" s="1073"/>
      <c r="BR1" s="1073"/>
      <c r="BS1" s="1073"/>
      <c r="BT1" s="1073"/>
      <c r="BU1" s="1073"/>
      <c r="BV1" s="1073"/>
      <c r="BW1" s="1073"/>
      <c r="BX1" s="1073"/>
      <c r="BY1" s="1073"/>
      <c r="BZ1" s="1073"/>
      <c r="CA1" s="1073"/>
    </row>
    <row r="2" spans="1:81" s="218" customFormat="1" ht="11.25" customHeight="1">
      <c r="A2" s="465"/>
      <c r="B2" s="255"/>
      <c r="C2" s="217"/>
      <c r="D2" s="217"/>
      <c r="E2" s="217"/>
      <c r="F2" s="217"/>
      <c r="G2" s="217"/>
      <c r="H2" s="217"/>
      <c r="I2" s="217"/>
      <c r="J2" s="217"/>
      <c r="K2" s="217"/>
      <c r="L2" s="217"/>
      <c r="M2" s="217"/>
      <c r="N2" s="217"/>
      <c r="O2" s="39"/>
      <c r="P2" s="39"/>
      <c r="Q2" s="39"/>
      <c r="R2" s="39"/>
      <c r="Z2" s="255"/>
      <c r="AA2" s="255"/>
    </row>
    <row r="3" spans="1:81" ht="22.5" customHeight="1">
      <c r="C3" s="267"/>
      <c r="D3" s="218"/>
      <c r="E3" s="218"/>
      <c r="F3" s="218"/>
      <c r="G3" s="218"/>
      <c r="H3" s="218"/>
      <c r="I3" s="218"/>
      <c r="J3" s="218"/>
      <c r="K3" s="218"/>
      <c r="L3" s="218"/>
      <c r="M3" s="218"/>
      <c r="N3" s="218"/>
      <c r="O3" s="218"/>
      <c r="P3" s="218"/>
      <c r="Q3" s="218"/>
      <c r="R3" s="218"/>
      <c r="S3" s="218"/>
      <c r="T3" s="218"/>
      <c r="U3" s="218"/>
      <c r="V3" s="218"/>
      <c r="W3" s="218"/>
      <c r="X3" s="218"/>
      <c r="Y3" s="218"/>
      <c r="Z3" s="255"/>
      <c r="AA3" s="255"/>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row>
    <row r="4" spans="1:81" ht="11.25" customHeight="1" thickBot="1">
      <c r="C4" s="223"/>
      <c r="D4" s="223"/>
      <c r="E4" s="223"/>
      <c r="F4" s="223"/>
      <c r="G4" s="223"/>
      <c r="H4" s="223"/>
      <c r="I4" s="223"/>
      <c r="J4" s="223"/>
      <c r="K4" s="223"/>
      <c r="L4" s="223"/>
      <c r="M4" s="223"/>
      <c r="N4" s="228"/>
      <c r="O4" s="228"/>
      <c r="P4" s="228"/>
      <c r="Q4" s="228"/>
      <c r="R4" s="228"/>
      <c r="S4" s="228"/>
      <c r="T4" s="228"/>
      <c r="U4" s="228"/>
      <c r="V4" s="228"/>
      <c r="W4" s="228"/>
      <c r="X4" s="228"/>
      <c r="Y4" s="228"/>
      <c r="Z4" s="228"/>
      <c r="AA4" s="228"/>
      <c r="AB4" s="228"/>
      <c r="AC4" s="228"/>
      <c r="AD4" s="228"/>
      <c r="AE4" s="228"/>
      <c r="AF4" s="228"/>
      <c r="AG4" s="228"/>
      <c r="AH4" s="228"/>
      <c r="AI4" s="228"/>
      <c r="AJ4" s="228"/>
      <c r="AK4" s="228"/>
      <c r="AL4" s="228"/>
      <c r="AM4" s="228"/>
      <c r="AN4" s="228"/>
      <c r="AO4" s="228"/>
      <c r="AP4" s="228"/>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row>
    <row r="5" spans="1:81" ht="11.25" customHeight="1">
      <c r="C5" s="1429" t="str">
        <f>VLOOKUP(10001,Languages!$A$5:$C$1032,Languages!$A$2,FALSE)</f>
        <v>Legend</v>
      </c>
      <c r="D5" s="1429"/>
      <c r="E5" s="1429"/>
      <c r="F5" s="1429"/>
      <c r="G5" s="1429"/>
      <c r="H5" s="1429"/>
      <c r="I5" s="1429"/>
      <c r="J5" s="1429"/>
      <c r="K5" s="1429"/>
      <c r="L5" s="1429"/>
      <c r="M5" s="1429"/>
      <c r="N5" s="1429"/>
      <c r="O5" s="1429"/>
      <c r="P5" s="1429"/>
      <c r="Q5" s="1429"/>
      <c r="R5" s="1429"/>
      <c r="S5" s="1429"/>
      <c r="T5" s="1429"/>
      <c r="U5" s="1429"/>
      <c r="V5" s="1429"/>
      <c r="W5" s="1429"/>
      <c r="X5" s="1429"/>
      <c r="Y5" s="228"/>
      <c r="Z5" s="228"/>
      <c r="AA5" s="228"/>
      <c r="AB5" s="228"/>
      <c r="AC5" s="228"/>
      <c r="AD5" s="228"/>
      <c r="AE5" s="1372" t="str">
        <f>VLOOKUP(10011,Languages!$A$5:$C$1032,Languages!$A$2,FALSE)</f>
        <v>New Projects</v>
      </c>
      <c r="AF5" s="1373"/>
      <c r="AG5" s="1373"/>
      <c r="AH5" s="1373"/>
      <c r="AI5" s="1373"/>
      <c r="AJ5" s="1374"/>
      <c r="AK5" s="1372" t="str">
        <f>VLOOKUP(10012,Languages!$A$5:$C$1032,Languages!$A$2,FALSE)</f>
        <v>Production lines / projects</v>
      </c>
      <c r="AL5" s="1373"/>
      <c r="AM5" s="1373"/>
      <c r="AN5" s="1373"/>
      <c r="AO5" s="1373"/>
      <c r="AP5" s="1373"/>
      <c r="AQ5" s="1373"/>
      <c r="AR5" s="1373"/>
      <c r="AS5" s="1373"/>
      <c r="AT5" s="1373"/>
      <c r="AU5" s="1373"/>
      <c r="AV5" s="1373"/>
      <c r="AW5" s="1373"/>
      <c r="AX5" s="1373"/>
      <c r="AY5" s="1373"/>
      <c r="AZ5" s="1373"/>
      <c r="BA5" s="1373"/>
      <c r="BB5" s="1373"/>
      <c r="BC5" s="1373"/>
      <c r="BD5" s="1373"/>
      <c r="BE5" s="1373"/>
      <c r="BF5" s="1373"/>
      <c r="BG5" s="1373"/>
      <c r="BH5" s="1373"/>
      <c r="BI5" s="1373"/>
      <c r="BJ5" s="1374"/>
      <c r="BK5" s="1372" t="str">
        <f>VLOOKUP(10013,Languages!$A$5:$C$1032,Languages!$A$2,FALSE)</f>
        <v>Other plants</v>
      </c>
      <c r="BL5" s="1373"/>
      <c r="BM5" s="1373"/>
      <c r="BN5" s="1373"/>
      <c r="BO5" s="1373"/>
      <c r="BP5" s="1374"/>
      <c r="BQ5" s="1372" t="str">
        <f>VLOOKUP(10014,Languages!$A$5:$C$1032,Languages!$A$2,FALSE)</f>
        <v>Sub-supplier(s)</v>
      </c>
      <c r="BR5" s="1373"/>
      <c r="BS5" s="1373"/>
      <c r="BT5" s="1373"/>
      <c r="BU5" s="1373"/>
      <c r="BV5" s="1374"/>
      <c r="BW5" s="1372" t="str">
        <f>VLOOKUP(10015,Languages!$A$5:$C$1032,Languages!$A$2,FALSE)</f>
        <v>Others</v>
      </c>
      <c r="BX5" s="1373"/>
      <c r="BY5" s="1373"/>
      <c r="BZ5" s="1373"/>
      <c r="CA5" s="1373"/>
      <c r="CB5" s="1374"/>
      <c r="CC5" s="223"/>
    </row>
    <row r="6" spans="1:81" ht="11.25" customHeight="1">
      <c r="C6" s="1430"/>
      <c r="D6" s="1430"/>
      <c r="E6" s="1430"/>
      <c r="F6" s="1429"/>
      <c r="G6" s="1429"/>
      <c r="H6" s="1429"/>
      <c r="I6" s="1429"/>
      <c r="J6" s="1429"/>
      <c r="K6" s="1429"/>
      <c r="L6" s="1429"/>
      <c r="M6" s="1429"/>
      <c r="N6" s="1429"/>
      <c r="O6" s="1429"/>
      <c r="P6" s="1429"/>
      <c r="Q6" s="1429"/>
      <c r="R6" s="1429"/>
      <c r="S6" s="1429"/>
      <c r="T6" s="1429"/>
      <c r="U6" s="1429"/>
      <c r="V6" s="1429"/>
      <c r="W6" s="1429"/>
      <c r="X6" s="1429"/>
      <c r="Y6" s="228"/>
      <c r="Z6" s="228"/>
      <c r="AA6" s="228"/>
      <c r="AB6" s="228"/>
      <c r="AC6" s="228"/>
      <c r="AD6" s="228"/>
      <c r="AE6" s="1375"/>
      <c r="AF6" s="1376"/>
      <c r="AG6" s="1376"/>
      <c r="AH6" s="1376"/>
      <c r="AI6" s="1376"/>
      <c r="AJ6" s="1377"/>
      <c r="AK6" s="1375"/>
      <c r="AL6" s="1376"/>
      <c r="AM6" s="1376"/>
      <c r="AN6" s="1376"/>
      <c r="AO6" s="1376"/>
      <c r="AP6" s="1376"/>
      <c r="AQ6" s="1376"/>
      <c r="AR6" s="1376"/>
      <c r="AS6" s="1376"/>
      <c r="AT6" s="1376"/>
      <c r="AU6" s="1376"/>
      <c r="AV6" s="1376"/>
      <c r="AW6" s="1376"/>
      <c r="AX6" s="1376"/>
      <c r="AY6" s="1376"/>
      <c r="AZ6" s="1376"/>
      <c r="BA6" s="1376"/>
      <c r="BB6" s="1376"/>
      <c r="BC6" s="1376"/>
      <c r="BD6" s="1376"/>
      <c r="BE6" s="1376"/>
      <c r="BF6" s="1376"/>
      <c r="BG6" s="1376"/>
      <c r="BH6" s="1376"/>
      <c r="BI6" s="1376"/>
      <c r="BJ6" s="1377"/>
      <c r="BK6" s="1375"/>
      <c r="BL6" s="1376"/>
      <c r="BM6" s="1376"/>
      <c r="BN6" s="1376"/>
      <c r="BO6" s="1376"/>
      <c r="BP6" s="1377"/>
      <c r="BQ6" s="1375"/>
      <c r="BR6" s="1376"/>
      <c r="BS6" s="1376"/>
      <c r="BT6" s="1376"/>
      <c r="BU6" s="1376"/>
      <c r="BV6" s="1377"/>
      <c r="BW6" s="1375"/>
      <c r="BX6" s="1376"/>
      <c r="BY6" s="1376"/>
      <c r="BZ6" s="1376"/>
      <c r="CA6" s="1376"/>
      <c r="CB6" s="1377"/>
      <c r="CC6" s="223"/>
    </row>
    <row r="7" spans="1:81" ht="11.25" customHeight="1">
      <c r="C7" s="1431" t="s">
        <v>336</v>
      </c>
      <c r="D7" s="1431"/>
      <c r="E7" s="1431"/>
      <c r="F7" s="1423" t="str">
        <f>VLOOKUP(10002,Languages!$A$5:$C$1032,Languages!$A$2,FALSE)</f>
        <v>Original location</v>
      </c>
      <c r="G7" s="1424"/>
      <c r="H7" s="1424"/>
      <c r="I7" s="1424"/>
      <c r="J7" s="1424"/>
      <c r="K7" s="1424"/>
      <c r="L7" s="1424"/>
      <c r="M7" s="1424"/>
      <c r="N7" s="1424"/>
      <c r="O7" s="1424"/>
      <c r="P7" s="1424"/>
      <c r="Q7" s="1424"/>
      <c r="R7" s="1424"/>
      <c r="S7" s="1424"/>
      <c r="T7" s="1424"/>
      <c r="U7" s="1424"/>
      <c r="V7" s="1424"/>
      <c r="W7" s="1424"/>
      <c r="X7" s="1424"/>
      <c r="Y7" s="1424"/>
      <c r="Z7" s="1424"/>
      <c r="AA7" s="1424"/>
      <c r="AB7" s="1425"/>
      <c r="AC7" s="223"/>
      <c r="AD7" s="223"/>
      <c r="AE7" s="1382"/>
      <c r="AF7" s="1383"/>
      <c r="AG7" s="1378"/>
      <c r="AH7" s="1383"/>
      <c r="AI7" s="1378"/>
      <c r="AJ7" s="1379"/>
      <c r="AK7" s="1400"/>
      <c r="AL7" s="1383"/>
      <c r="AM7" s="1378"/>
      <c r="AN7" s="1383"/>
      <c r="AO7" s="1378"/>
      <c r="AP7" s="1383"/>
      <c r="AQ7" s="1378"/>
      <c r="AR7" s="1383"/>
      <c r="AS7" s="1378"/>
      <c r="AT7" s="1383"/>
      <c r="AU7" s="1378"/>
      <c r="AV7" s="1383"/>
      <c r="AW7" s="1378"/>
      <c r="AX7" s="1383"/>
      <c r="AY7" s="1378"/>
      <c r="AZ7" s="1383"/>
      <c r="BA7" s="1378"/>
      <c r="BB7" s="1383"/>
      <c r="BC7" s="1378"/>
      <c r="BD7" s="1383"/>
      <c r="BE7" s="1378"/>
      <c r="BF7" s="1383"/>
      <c r="BG7" s="1378"/>
      <c r="BH7" s="1383"/>
      <c r="BI7" s="1378"/>
      <c r="BJ7" s="1379"/>
      <c r="BK7" s="1382"/>
      <c r="BL7" s="1383"/>
      <c r="BM7" s="1378"/>
      <c r="BN7" s="1383"/>
      <c r="BO7" s="1378"/>
      <c r="BP7" s="1379"/>
      <c r="BQ7" s="1382"/>
      <c r="BR7" s="1383"/>
      <c r="BS7" s="1378"/>
      <c r="BT7" s="1383"/>
      <c r="BU7" s="1378"/>
      <c r="BV7" s="1379"/>
      <c r="BW7" s="1382"/>
      <c r="BX7" s="1383"/>
      <c r="BY7" s="1378"/>
      <c r="BZ7" s="1383"/>
      <c r="CA7" s="1378"/>
      <c r="CB7" s="1379"/>
      <c r="CC7" s="223"/>
    </row>
    <row r="8" spans="1:81" ht="11.25" customHeight="1">
      <c r="C8" s="1431" t="s">
        <v>318</v>
      </c>
      <c r="D8" s="1431"/>
      <c r="E8" s="1431"/>
      <c r="F8" s="1426" t="str">
        <f>VLOOKUP(10003,Languages!$A$5:$C$1032,Languages!$A$2,FALSE)</f>
        <v>Location with similar process / risk</v>
      </c>
      <c r="G8" s="1427"/>
      <c r="H8" s="1427"/>
      <c r="I8" s="1427"/>
      <c r="J8" s="1427"/>
      <c r="K8" s="1427"/>
      <c r="L8" s="1427"/>
      <c r="M8" s="1427"/>
      <c r="N8" s="1427"/>
      <c r="O8" s="1427"/>
      <c r="P8" s="1427"/>
      <c r="Q8" s="1427"/>
      <c r="R8" s="1427"/>
      <c r="S8" s="1427"/>
      <c r="T8" s="1427"/>
      <c r="U8" s="1427"/>
      <c r="V8" s="1427"/>
      <c r="W8" s="1427"/>
      <c r="X8" s="1427"/>
      <c r="Y8" s="1427"/>
      <c r="Z8" s="1427"/>
      <c r="AA8" s="1427"/>
      <c r="AB8" s="1428"/>
      <c r="AC8" s="223"/>
      <c r="AD8" s="223"/>
      <c r="AE8" s="1384"/>
      <c r="AF8" s="1385"/>
      <c r="AG8" s="1380"/>
      <c r="AH8" s="1385"/>
      <c r="AI8" s="1380"/>
      <c r="AJ8" s="1381"/>
      <c r="AK8" s="1384"/>
      <c r="AL8" s="1385"/>
      <c r="AM8" s="1380"/>
      <c r="AN8" s="1385"/>
      <c r="AO8" s="1380"/>
      <c r="AP8" s="1385"/>
      <c r="AQ8" s="1380"/>
      <c r="AR8" s="1385"/>
      <c r="AS8" s="1380"/>
      <c r="AT8" s="1385"/>
      <c r="AU8" s="1380"/>
      <c r="AV8" s="1385"/>
      <c r="AW8" s="1380"/>
      <c r="AX8" s="1385"/>
      <c r="AY8" s="1380"/>
      <c r="AZ8" s="1385"/>
      <c r="BA8" s="1380"/>
      <c r="BB8" s="1385"/>
      <c r="BC8" s="1380"/>
      <c r="BD8" s="1385"/>
      <c r="BE8" s="1380"/>
      <c r="BF8" s="1385"/>
      <c r="BG8" s="1380"/>
      <c r="BH8" s="1385"/>
      <c r="BI8" s="1380"/>
      <c r="BJ8" s="1381"/>
      <c r="BK8" s="1384"/>
      <c r="BL8" s="1385"/>
      <c r="BM8" s="1380"/>
      <c r="BN8" s="1385"/>
      <c r="BO8" s="1380"/>
      <c r="BP8" s="1381"/>
      <c r="BQ8" s="1384"/>
      <c r="BR8" s="1385"/>
      <c r="BS8" s="1380"/>
      <c r="BT8" s="1385"/>
      <c r="BU8" s="1380"/>
      <c r="BV8" s="1381"/>
      <c r="BW8" s="1384"/>
      <c r="BX8" s="1385"/>
      <c r="BY8" s="1380"/>
      <c r="BZ8" s="1385"/>
      <c r="CA8" s="1380"/>
      <c r="CB8" s="1381"/>
      <c r="CC8" s="223"/>
    </row>
    <row r="9" spans="1:81" ht="11.25" customHeight="1">
      <c r="C9" s="1431" t="s">
        <v>344</v>
      </c>
      <c r="D9" s="1431"/>
      <c r="E9" s="1431"/>
      <c r="F9" s="1426" t="str">
        <f>VLOOKUP(10004,Languages!$A$5:$C$1032,Languages!$A$2,FALSE)</f>
        <v>Not Applicable</v>
      </c>
      <c r="G9" s="1427"/>
      <c r="H9" s="1427"/>
      <c r="I9" s="1427"/>
      <c r="J9" s="1427"/>
      <c r="K9" s="1427"/>
      <c r="L9" s="1427"/>
      <c r="M9" s="1427"/>
      <c r="N9" s="1427"/>
      <c r="O9" s="1427"/>
      <c r="P9" s="1427"/>
      <c r="Q9" s="1427"/>
      <c r="R9" s="1427"/>
      <c r="S9" s="1427"/>
      <c r="T9" s="1427"/>
      <c r="U9" s="1427"/>
      <c r="V9" s="1427"/>
      <c r="W9" s="1427"/>
      <c r="X9" s="1427"/>
      <c r="Y9" s="1427"/>
      <c r="Z9" s="1427"/>
      <c r="AA9" s="1427"/>
      <c r="AB9" s="1428"/>
      <c r="AC9" s="223"/>
      <c r="AD9" s="223"/>
      <c r="AE9" s="1384"/>
      <c r="AF9" s="1385"/>
      <c r="AG9" s="1380"/>
      <c r="AH9" s="1385"/>
      <c r="AI9" s="1380"/>
      <c r="AJ9" s="1381"/>
      <c r="AK9" s="1384"/>
      <c r="AL9" s="1385"/>
      <c r="AM9" s="1380"/>
      <c r="AN9" s="1385"/>
      <c r="AO9" s="1380"/>
      <c r="AP9" s="1385"/>
      <c r="AQ9" s="1380"/>
      <c r="AR9" s="1385"/>
      <c r="AS9" s="1380"/>
      <c r="AT9" s="1385"/>
      <c r="AU9" s="1380"/>
      <c r="AV9" s="1385"/>
      <c r="AW9" s="1380"/>
      <c r="AX9" s="1385"/>
      <c r="AY9" s="1380"/>
      <c r="AZ9" s="1385"/>
      <c r="BA9" s="1380"/>
      <c r="BB9" s="1385"/>
      <c r="BC9" s="1380"/>
      <c r="BD9" s="1385"/>
      <c r="BE9" s="1380"/>
      <c r="BF9" s="1385"/>
      <c r="BG9" s="1380"/>
      <c r="BH9" s="1385"/>
      <c r="BI9" s="1380"/>
      <c r="BJ9" s="1381"/>
      <c r="BK9" s="1384"/>
      <c r="BL9" s="1385"/>
      <c r="BM9" s="1380"/>
      <c r="BN9" s="1385"/>
      <c r="BO9" s="1380"/>
      <c r="BP9" s="1381"/>
      <c r="BQ9" s="1384"/>
      <c r="BR9" s="1385"/>
      <c r="BS9" s="1380"/>
      <c r="BT9" s="1385"/>
      <c r="BU9" s="1380"/>
      <c r="BV9" s="1381"/>
      <c r="BW9" s="1384"/>
      <c r="BX9" s="1385"/>
      <c r="BY9" s="1380"/>
      <c r="BZ9" s="1385"/>
      <c r="CA9" s="1380"/>
      <c r="CB9" s="1381"/>
      <c r="CC9" s="223"/>
    </row>
    <row r="10" spans="1:81" ht="11.25" customHeight="1">
      <c r="C10" s="1431" t="s">
        <v>349</v>
      </c>
      <c r="D10" s="1431"/>
      <c r="E10" s="1431"/>
      <c r="F10" s="1426" t="str">
        <f>VLOOKUP(10005,Languages!$A$5:$C$1032,Languages!$A$2,FALSE)</f>
        <v>Pass Through</v>
      </c>
      <c r="G10" s="1427"/>
      <c r="H10" s="1427"/>
      <c r="I10" s="1427"/>
      <c r="J10" s="1427"/>
      <c r="K10" s="1427"/>
      <c r="L10" s="1427"/>
      <c r="M10" s="1427"/>
      <c r="N10" s="1427"/>
      <c r="O10" s="1427"/>
      <c r="P10" s="1427"/>
      <c r="Q10" s="1427"/>
      <c r="R10" s="1427"/>
      <c r="S10" s="1427"/>
      <c r="T10" s="1427"/>
      <c r="U10" s="1427"/>
      <c r="V10" s="1427"/>
      <c r="W10" s="1427"/>
      <c r="X10" s="1427"/>
      <c r="Y10" s="1427"/>
      <c r="Z10" s="1427"/>
      <c r="AA10" s="1427"/>
      <c r="AB10" s="1428"/>
      <c r="AC10" s="223"/>
      <c r="AD10" s="223"/>
      <c r="AE10" s="1384"/>
      <c r="AF10" s="1385"/>
      <c r="AG10" s="1380"/>
      <c r="AH10" s="1385"/>
      <c r="AI10" s="1380"/>
      <c r="AJ10" s="1381"/>
      <c r="AK10" s="1384"/>
      <c r="AL10" s="1385"/>
      <c r="AM10" s="1380"/>
      <c r="AN10" s="1385"/>
      <c r="AO10" s="1380"/>
      <c r="AP10" s="1385"/>
      <c r="AQ10" s="1380"/>
      <c r="AR10" s="1385"/>
      <c r="AS10" s="1380"/>
      <c r="AT10" s="1385"/>
      <c r="AU10" s="1380"/>
      <c r="AV10" s="1385"/>
      <c r="AW10" s="1380"/>
      <c r="AX10" s="1385"/>
      <c r="AY10" s="1380"/>
      <c r="AZ10" s="1385"/>
      <c r="BA10" s="1380"/>
      <c r="BB10" s="1385"/>
      <c r="BC10" s="1380"/>
      <c r="BD10" s="1385"/>
      <c r="BE10" s="1380"/>
      <c r="BF10" s="1385"/>
      <c r="BG10" s="1380"/>
      <c r="BH10" s="1385"/>
      <c r="BI10" s="1380"/>
      <c r="BJ10" s="1381"/>
      <c r="BK10" s="1384"/>
      <c r="BL10" s="1385"/>
      <c r="BM10" s="1380"/>
      <c r="BN10" s="1385"/>
      <c r="BO10" s="1380"/>
      <c r="BP10" s="1381"/>
      <c r="BQ10" s="1384"/>
      <c r="BR10" s="1385"/>
      <c r="BS10" s="1380"/>
      <c r="BT10" s="1385"/>
      <c r="BU10" s="1380"/>
      <c r="BV10" s="1381"/>
      <c r="BW10" s="1384"/>
      <c r="BX10" s="1385"/>
      <c r="BY10" s="1380"/>
      <c r="BZ10" s="1385"/>
      <c r="CA10" s="1380"/>
      <c r="CB10" s="1381"/>
      <c r="CC10" s="223"/>
    </row>
    <row r="11" spans="1:81" ht="11.25" customHeight="1">
      <c r="C11" s="218"/>
      <c r="D11" s="218"/>
      <c r="E11" s="218"/>
      <c r="F11" s="218"/>
      <c r="G11" s="218"/>
      <c r="H11" s="218"/>
      <c r="I11" s="218"/>
      <c r="J11" s="218"/>
      <c r="K11" s="218"/>
      <c r="L11" s="218"/>
      <c r="M11" s="218"/>
      <c r="N11" s="218"/>
      <c r="O11" s="218"/>
      <c r="P11" s="218"/>
      <c r="Q11" s="218"/>
      <c r="R11" s="218"/>
      <c r="S11" s="218"/>
      <c r="T11" s="218"/>
      <c r="U11" s="218"/>
      <c r="V11" s="218"/>
      <c r="W11" s="218"/>
      <c r="X11" s="218"/>
      <c r="Y11" s="223"/>
      <c r="Z11" s="223"/>
      <c r="AA11" s="223"/>
      <c r="AB11" s="223"/>
      <c r="AC11" s="223"/>
      <c r="AD11" s="223"/>
      <c r="AE11" s="1384"/>
      <c r="AF11" s="1385"/>
      <c r="AG11" s="1380"/>
      <c r="AH11" s="1385"/>
      <c r="AI11" s="1380"/>
      <c r="AJ11" s="1381"/>
      <c r="AK11" s="1384"/>
      <c r="AL11" s="1385"/>
      <c r="AM11" s="1380"/>
      <c r="AN11" s="1385"/>
      <c r="AO11" s="1380"/>
      <c r="AP11" s="1385"/>
      <c r="AQ11" s="1380"/>
      <c r="AR11" s="1385"/>
      <c r="AS11" s="1380"/>
      <c r="AT11" s="1385"/>
      <c r="AU11" s="1380"/>
      <c r="AV11" s="1385"/>
      <c r="AW11" s="1380"/>
      <c r="AX11" s="1385"/>
      <c r="AY11" s="1380"/>
      <c r="AZ11" s="1385"/>
      <c r="BA11" s="1380"/>
      <c r="BB11" s="1385"/>
      <c r="BC11" s="1380"/>
      <c r="BD11" s="1385"/>
      <c r="BE11" s="1380"/>
      <c r="BF11" s="1385"/>
      <c r="BG11" s="1380"/>
      <c r="BH11" s="1385"/>
      <c r="BI11" s="1380"/>
      <c r="BJ11" s="1381"/>
      <c r="BK11" s="1384"/>
      <c r="BL11" s="1385"/>
      <c r="BM11" s="1380"/>
      <c r="BN11" s="1385"/>
      <c r="BO11" s="1380"/>
      <c r="BP11" s="1381"/>
      <c r="BQ11" s="1384"/>
      <c r="BR11" s="1385"/>
      <c r="BS11" s="1380"/>
      <c r="BT11" s="1385"/>
      <c r="BU11" s="1380"/>
      <c r="BV11" s="1381"/>
      <c r="BW11" s="1384"/>
      <c r="BX11" s="1385"/>
      <c r="BY11" s="1380"/>
      <c r="BZ11" s="1385"/>
      <c r="CA11" s="1380"/>
      <c r="CB11" s="1381"/>
      <c r="CC11" s="223"/>
    </row>
    <row r="12" spans="1:81" ht="11.25" customHeight="1">
      <c r="C12" s="1433" t="s">
        <v>351</v>
      </c>
      <c r="D12" s="1433"/>
      <c r="E12" s="1433"/>
      <c r="F12" s="1426" t="str">
        <f>VLOOKUP(10006,Languages!$A$5:$C$1032,Languages!$A$2,FALSE)</f>
        <v>Completion verified</v>
      </c>
      <c r="G12" s="1427"/>
      <c r="H12" s="1427"/>
      <c r="I12" s="1427"/>
      <c r="J12" s="1427"/>
      <c r="K12" s="1427"/>
      <c r="L12" s="1427"/>
      <c r="M12" s="1427"/>
      <c r="N12" s="1427"/>
      <c r="O12" s="1427"/>
      <c r="P12" s="1427"/>
      <c r="Q12" s="1427"/>
      <c r="R12" s="1427"/>
      <c r="S12" s="1427"/>
      <c r="T12" s="1427"/>
      <c r="U12" s="1427"/>
      <c r="V12" s="1427"/>
      <c r="W12" s="1427"/>
      <c r="X12" s="1427"/>
      <c r="Y12" s="1427"/>
      <c r="Z12" s="1427"/>
      <c r="AA12" s="1427"/>
      <c r="AB12" s="1428"/>
      <c r="AC12" s="223"/>
      <c r="AD12" s="223"/>
      <c r="AE12" s="1384"/>
      <c r="AF12" s="1385"/>
      <c r="AG12" s="1380"/>
      <c r="AH12" s="1385"/>
      <c r="AI12" s="1380"/>
      <c r="AJ12" s="1381"/>
      <c r="AK12" s="1384"/>
      <c r="AL12" s="1385"/>
      <c r="AM12" s="1380"/>
      <c r="AN12" s="1385"/>
      <c r="AO12" s="1380"/>
      <c r="AP12" s="1385"/>
      <c r="AQ12" s="1380"/>
      <c r="AR12" s="1385"/>
      <c r="AS12" s="1380"/>
      <c r="AT12" s="1385"/>
      <c r="AU12" s="1380"/>
      <c r="AV12" s="1385"/>
      <c r="AW12" s="1380"/>
      <c r="AX12" s="1385"/>
      <c r="AY12" s="1380"/>
      <c r="AZ12" s="1385"/>
      <c r="BA12" s="1380"/>
      <c r="BB12" s="1385"/>
      <c r="BC12" s="1380"/>
      <c r="BD12" s="1385"/>
      <c r="BE12" s="1380"/>
      <c r="BF12" s="1385"/>
      <c r="BG12" s="1380"/>
      <c r="BH12" s="1385"/>
      <c r="BI12" s="1380"/>
      <c r="BJ12" s="1381"/>
      <c r="BK12" s="1384"/>
      <c r="BL12" s="1385"/>
      <c r="BM12" s="1380"/>
      <c r="BN12" s="1385"/>
      <c r="BO12" s="1380"/>
      <c r="BP12" s="1381"/>
      <c r="BQ12" s="1384"/>
      <c r="BR12" s="1385"/>
      <c r="BS12" s="1380"/>
      <c r="BT12" s="1385"/>
      <c r="BU12" s="1380"/>
      <c r="BV12" s="1381"/>
      <c r="BW12" s="1384"/>
      <c r="BX12" s="1385"/>
      <c r="BY12" s="1380"/>
      <c r="BZ12" s="1385"/>
      <c r="CA12" s="1380"/>
      <c r="CB12" s="1381"/>
      <c r="CC12" s="223"/>
    </row>
    <row r="13" spans="1:81" ht="11.25" customHeight="1">
      <c r="C13" s="1432" t="s">
        <v>345</v>
      </c>
      <c r="D13" s="1432"/>
      <c r="E13" s="1432"/>
      <c r="F13" s="1426" t="str">
        <f>VLOOKUP(10007,Languages!$A$5:$C$1032,Languages!$A$2,FALSE)</f>
        <v>Completed &amp; involved parties informed</v>
      </c>
      <c r="G13" s="1427"/>
      <c r="H13" s="1427"/>
      <c r="I13" s="1427"/>
      <c r="J13" s="1427"/>
      <c r="K13" s="1427"/>
      <c r="L13" s="1427"/>
      <c r="M13" s="1427"/>
      <c r="N13" s="1427"/>
      <c r="O13" s="1427"/>
      <c r="P13" s="1427"/>
      <c r="Q13" s="1427"/>
      <c r="R13" s="1427"/>
      <c r="S13" s="1427"/>
      <c r="T13" s="1427"/>
      <c r="U13" s="1427"/>
      <c r="V13" s="1427"/>
      <c r="W13" s="1427"/>
      <c r="X13" s="1427"/>
      <c r="Y13" s="1427"/>
      <c r="Z13" s="1427"/>
      <c r="AA13" s="1427"/>
      <c r="AB13" s="1428"/>
      <c r="AC13" s="229"/>
      <c r="AD13" s="229"/>
      <c r="AE13" s="1384"/>
      <c r="AF13" s="1385"/>
      <c r="AG13" s="1380"/>
      <c r="AH13" s="1385"/>
      <c r="AI13" s="1380"/>
      <c r="AJ13" s="1381"/>
      <c r="AK13" s="1384"/>
      <c r="AL13" s="1385"/>
      <c r="AM13" s="1380"/>
      <c r="AN13" s="1385"/>
      <c r="AO13" s="1380"/>
      <c r="AP13" s="1385"/>
      <c r="AQ13" s="1380"/>
      <c r="AR13" s="1385"/>
      <c r="AS13" s="1380"/>
      <c r="AT13" s="1385"/>
      <c r="AU13" s="1380"/>
      <c r="AV13" s="1385"/>
      <c r="AW13" s="1380"/>
      <c r="AX13" s="1385"/>
      <c r="AY13" s="1380"/>
      <c r="AZ13" s="1385"/>
      <c r="BA13" s="1380"/>
      <c r="BB13" s="1385"/>
      <c r="BC13" s="1380"/>
      <c r="BD13" s="1385"/>
      <c r="BE13" s="1380"/>
      <c r="BF13" s="1385"/>
      <c r="BG13" s="1380"/>
      <c r="BH13" s="1385"/>
      <c r="BI13" s="1380"/>
      <c r="BJ13" s="1381"/>
      <c r="BK13" s="1384"/>
      <c r="BL13" s="1385"/>
      <c r="BM13" s="1380"/>
      <c r="BN13" s="1385"/>
      <c r="BO13" s="1380"/>
      <c r="BP13" s="1381"/>
      <c r="BQ13" s="1384"/>
      <c r="BR13" s="1385"/>
      <c r="BS13" s="1380"/>
      <c r="BT13" s="1385"/>
      <c r="BU13" s="1380"/>
      <c r="BV13" s="1381"/>
      <c r="BW13" s="1384"/>
      <c r="BX13" s="1385"/>
      <c r="BY13" s="1380"/>
      <c r="BZ13" s="1385"/>
      <c r="CA13" s="1380"/>
      <c r="CB13" s="1381"/>
      <c r="CC13" s="229"/>
    </row>
    <row r="14" spans="1:81" ht="11.25" customHeight="1">
      <c r="C14" s="1434" t="s">
        <v>352</v>
      </c>
      <c r="D14" s="1434"/>
      <c r="E14" s="1434"/>
      <c r="F14" s="1426" t="str">
        <f>VLOOKUP(10008,Languages!$A$5:$C$1032,Languages!$A$2,FALSE)</f>
        <v>Not Completed</v>
      </c>
      <c r="G14" s="1427"/>
      <c r="H14" s="1427"/>
      <c r="I14" s="1427"/>
      <c r="J14" s="1427"/>
      <c r="K14" s="1427"/>
      <c r="L14" s="1427"/>
      <c r="M14" s="1427"/>
      <c r="N14" s="1427"/>
      <c r="O14" s="1427"/>
      <c r="P14" s="1427"/>
      <c r="Q14" s="1427"/>
      <c r="R14" s="1427"/>
      <c r="S14" s="1427"/>
      <c r="T14" s="1427"/>
      <c r="U14" s="1427"/>
      <c r="V14" s="1427"/>
      <c r="W14" s="1427"/>
      <c r="X14" s="1427"/>
      <c r="Y14" s="1427"/>
      <c r="Z14" s="1427"/>
      <c r="AA14" s="1427"/>
      <c r="AB14" s="1428"/>
      <c r="AC14" s="223"/>
      <c r="AD14" s="223"/>
      <c r="AE14" s="1384"/>
      <c r="AF14" s="1385"/>
      <c r="AG14" s="1380"/>
      <c r="AH14" s="1385"/>
      <c r="AI14" s="1380"/>
      <c r="AJ14" s="1381"/>
      <c r="AK14" s="1384"/>
      <c r="AL14" s="1385"/>
      <c r="AM14" s="1380"/>
      <c r="AN14" s="1385"/>
      <c r="AO14" s="1380"/>
      <c r="AP14" s="1385"/>
      <c r="AQ14" s="1380"/>
      <c r="AR14" s="1385"/>
      <c r="AS14" s="1380"/>
      <c r="AT14" s="1385"/>
      <c r="AU14" s="1380"/>
      <c r="AV14" s="1385"/>
      <c r="AW14" s="1380"/>
      <c r="AX14" s="1385"/>
      <c r="AY14" s="1380"/>
      <c r="AZ14" s="1385"/>
      <c r="BA14" s="1380"/>
      <c r="BB14" s="1385"/>
      <c r="BC14" s="1380"/>
      <c r="BD14" s="1385"/>
      <c r="BE14" s="1380"/>
      <c r="BF14" s="1385"/>
      <c r="BG14" s="1380"/>
      <c r="BH14" s="1385"/>
      <c r="BI14" s="1380"/>
      <c r="BJ14" s="1381"/>
      <c r="BK14" s="1384"/>
      <c r="BL14" s="1385"/>
      <c r="BM14" s="1380"/>
      <c r="BN14" s="1385"/>
      <c r="BO14" s="1380"/>
      <c r="BP14" s="1381"/>
      <c r="BQ14" s="1384"/>
      <c r="BR14" s="1385"/>
      <c r="BS14" s="1380"/>
      <c r="BT14" s="1385"/>
      <c r="BU14" s="1380"/>
      <c r="BV14" s="1381"/>
      <c r="BW14" s="1384"/>
      <c r="BX14" s="1385"/>
      <c r="BY14" s="1380"/>
      <c r="BZ14" s="1385"/>
      <c r="CA14" s="1380"/>
      <c r="CB14" s="1381"/>
      <c r="CC14" s="229"/>
    </row>
    <row r="15" spans="1:81" ht="11.25" customHeight="1">
      <c r="C15" s="1431" t="s">
        <v>344</v>
      </c>
      <c r="D15" s="1431"/>
      <c r="E15" s="1431"/>
      <c r="F15" s="1426" t="str">
        <f>VLOOKUP(10009,Languages!$A$5:$C$1032,Languages!$A$2,FALSE)</f>
        <v>Not Applicable</v>
      </c>
      <c r="G15" s="1427"/>
      <c r="H15" s="1427"/>
      <c r="I15" s="1427"/>
      <c r="J15" s="1427"/>
      <c r="K15" s="1427"/>
      <c r="L15" s="1427"/>
      <c r="M15" s="1427"/>
      <c r="N15" s="1427"/>
      <c r="O15" s="1427"/>
      <c r="P15" s="1427"/>
      <c r="Q15" s="1427"/>
      <c r="R15" s="1427"/>
      <c r="S15" s="1427"/>
      <c r="T15" s="1427"/>
      <c r="U15" s="1427"/>
      <c r="V15" s="1427"/>
      <c r="W15" s="1427"/>
      <c r="X15" s="1427"/>
      <c r="Y15" s="1427"/>
      <c r="Z15" s="1427"/>
      <c r="AA15" s="1427"/>
      <c r="AB15" s="1428"/>
      <c r="AC15" s="223"/>
      <c r="AD15" s="223"/>
      <c r="AE15" s="1384"/>
      <c r="AF15" s="1385"/>
      <c r="AG15" s="1380"/>
      <c r="AH15" s="1385"/>
      <c r="AI15" s="1380"/>
      <c r="AJ15" s="1381"/>
      <c r="AK15" s="1384"/>
      <c r="AL15" s="1385"/>
      <c r="AM15" s="1380"/>
      <c r="AN15" s="1385"/>
      <c r="AO15" s="1380"/>
      <c r="AP15" s="1385"/>
      <c r="AQ15" s="1380"/>
      <c r="AR15" s="1385"/>
      <c r="AS15" s="1380"/>
      <c r="AT15" s="1385"/>
      <c r="AU15" s="1380"/>
      <c r="AV15" s="1385"/>
      <c r="AW15" s="1380"/>
      <c r="AX15" s="1385"/>
      <c r="AY15" s="1380"/>
      <c r="AZ15" s="1385"/>
      <c r="BA15" s="1380"/>
      <c r="BB15" s="1385"/>
      <c r="BC15" s="1380"/>
      <c r="BD15" s="1385"/>
      <c r="BE15" s="1380"/>
      <c r="BF15" s="1385"/>
      <c r="BG15" s="1380"/>
      <c r="BH15" s="1385"/>
      <c r="BI15" s="1380"/>
      <c r="BJ15" s="1381"/>
      <c r="BK15" s="1384"/>
      <c r="BL15" s="1385"/>
      <c r="BM15" s="1380"/>
      <c r="BN15" s="1385"/>
      <c r="BO15" s="1380"/>
      <c r="BP15" s="1381"/>
      <c r="BQ15" s="1384"/>
      <c r="BR15" s="1385"/>
      <c r="BS15" s="1380"/>
      <c r="BT15" s="1385"/>
      <c r="BU15" s="1380"/>
      <c r="BV15" s="1381"/>
      <c r="BW15" s="1384"/>
      <c r="BX15" s="1385"/>
      <c r="BY15" s="1380"/>
      <c r="BZ15" s="1385"/>
      <c r="CA15" s="1380"/>
      <c r="CB15" s="1381"/>
      <c r="CC15" s="229"/>
    </row>
    <row r="16" spans="1:81" ht="11.25" customHeight="1">
      <c r="C16" s="229"/>
      <c r="D16" s="223"/>
      <c r="E16" s="223"/>
      <c r="F16" s="223"/>
      <c r="G16" s="223"/>
      <c r="H16" s="223"/>
      <c r="I16" s="223"/>
      <c r="J16" s="223"/>
      <c r="K16" s="223"/>
      <c r="L16" s="223"/>
      <c r="M16" s="223"/>
      <c r="N16" s="223"/>
      <c r="O16" s="223"/>
      <c r="P16" s="223"/>
      <c r="Q16" s="223"/>
      <c r="R16" s="223"/>
      <c r="S16" s="223"/>
      <c r="T16" s="223"/>
      <c r="U16" s="223"/>
      <c r="V16" s="223"/>
      <c r="W16" s="223"/>
      <c r="X16" s="223"/>
      <c r="Y16" s="223"/>
      <c r="Z16" s="223"/>
      <c r="AA16" s="223"/>
      <c r="AB16" s="223"/>
      <c r="AC16" s="223"/>
      <c r="AD16" s="223"/>
      <c r="AE16" s="1384"/>
      <c r="AF16" s="1385"/>
      <c r="AG16" s="1380"/>
      <c r="AH16" s="1385"/>
      <c r="AI16" s="1380"/>
      <c r="AJ16" s="1381"/>
      <c r="AK16" s="1384"/>
      <c r="AL16" s="1385"/>
      <c r="AM16" s="1380"/>
      <c r="AN16" s="1385"/>
      <c r="AO16" s="1380"/>
      <c r="AP16" s="1385"/>
      <c r="AQ16" s="1380"/>
      <c r="AR16" s="1385"/>
      <c r="AS16" s="1380"/>
      <c r="AT16" s="1385"/>
      <c r="AU16" s="1380"/>
      <c r="AV16" s="1385"/>
      <c r="AW16" s="1380"/>
      <c r="AX16" s="1385"/>
      <c r="AY16" s="1380"/>
      <c r="AZ16" s="1385"/>
      <c r="BA16" s="1380"/>
      <c r="BB16" s="1385"/>
      <c r="BC16" s="1380"/>
      <c r="BD16" s="1385"/>
      <c r="BE16" s="1380"/>
      <c r="BF16" s="1385"/>
      <c r="BG16" s="1380"/>
      <c r="BH16" s="1385"/>
      <c r="BI16" s="1380"/>
      <c r="BJ16" s="1381"/>
      <c r="BK16" s="1384"/>
      <c r="BL16" s="1385"/>
      <c r="BM16" s="1380"/>
      <c r="BN16" s="1385"/>
      <c r="BO16" s="1380"/>
      <c r="BP16" s="1381"/>
      <c r="BQ16" s="1384"/>
      <c r="BR16" s="1385"/>
      <c r="BS16" s="1380"/>
      <c r="BT16" s="1385"/>
      <c r="BU16" s="1380"/>
      <c r="BV16" s="1381"/>
      <c r="BW16" s="1384"/>
      <c r="BX16" s="1385"/>
      <c r="BY16" s="1380"/>
      <c r="BZ16" s="1385"/>
      <c r="CA16" s="1380"/>
      <c r="CB16" s="1381"/>
      <c r="CC16" s="229"/>
    </row>
    <row r="17" spans="3:81" ht="11.25" customHeight="1" thickBot="1">
      <c r="C17" s="223"/>
      <c r="D17" s="223"/>
      <c r="E17" s="223"/>
      <c r="F17" s="223"/>
      <c r="G17" s="223"/>
      <c r="H17" s="223"/>
      <c r="I17" s="223"/>
      <c r="J17" s="223"/>
      <c r="K17" s="223"/>
      <c r="L17" s="223"/>
      <c r="M17" s="223"/>
      <c r="N17" s="223"/>
      <c r="O17" s="223"/>
      <c r="P17" s="223"/>
      <c r="Q17" s="223"/>
      <c r="R17" s="223"/>
      <c r="S17" s="223"/>
      <c r="T17" s="223"/>
      <c r="U17" s="223"/>
      <c r="V17" s="223"/>
      <c r="W17" s="223"/>
      <c r="X17" s="223"/>
      <c r="Y17" s="223"/>
      <c r="Z17" s="223"/>
      <c r="AA17" s="223"/>
      <c r="AB17" s="223"/>
      <c r="AC17" s="223"/>
      <c r="AD17" s="223"/>
      <c r="AE17" s="1384"/>
      <c r="AF17" s="1385"/>
      <c r="AG17" s="1380"/>
      <c r="AH17" s="1385"/>
      <c r="AI17" s="1380"/>
      <c r="AJ17" s="1381"/>
      <c r="AK17" s="1384"/>
      <c r="AL17" s="1385"/>
      <c r="AM17" s="1380"/>
      <c r="AN17" s="1385"/>
      <c r="AO17" s="1380"/>
      <c r="AP17" s="1385"/>
      <c r="AQ17" s="1380"/>
      <c r="AR17" s="1385"/>
      <c r="AS17" s="1380"/>
      <c r="AT17" s="1385"/>
      <c r="AU17" s="1380"/>
      <c r="AV17" s="1385"/>
      <c r="AW17" s="1380"/>
      <c r="AX17" s="1385"/>
      <c r="AY17" s="1380"/>
      <c r="AZ17" s="1385"/>
      <c r="BA17" s="1380"/>
      <c r="BB17" s="1385"/>
      <c r="BC17" s="1380"/>
      <c r="BD17" s="1385"/>
      <c r="BE17" s="1380"/>
      <c r="BF17" s="1385"/>
      <c r="BG17" s="1380"/>
      <c r="BH17" s="1385"/>
      <c r="BI17" s="1380"/>
      <c r="BJ17" s="1381"/>
      <c r="BK17" s="1384"/>
      <c r="BL17" s="1385"/>
      <c r="BM17" s="1380"/>
      <c r="BN17" s="1385"/>
      <c r="BO17" s="1380"/>
      <c r="BP17" s="1381"/>
      <c r="BQ17" s="1384"/>
      <c r="BR17" s="1385"/>
      <c r="BS17" s="1380"/>
      <c r="BT17" s="1385"/>
      <c r="BU17" s="1380"/>
      <c r="BV17" s="1381"/>
      <c r="BW17" s="1384"/>
      <c r="BX17" s="1385"/>
      <c r="BY17" s="1380"/>
      <c r="BZ17" s="1385"/>
      <c r="CA17" s="1380"/>
      <c r="CB17" s="1381"/>
      <c r="CC17" s="223"/>
    </row>
    <row r="18" spans="3:81" ht="11.25" customHeight="1">
      <c r="C18" s="1403" t="str">
        <f>VLOOKUP(10002,Languages!$A$5:$C$1032,Languages!$A$2,FALSE)</f>
        <v>Original location</v>
      </c>
      <c r="D18" s="1404"/>
      <c r="E18" s="1404"/>
      <c r="F18" s="1404"/>
      <c r="G18" s="1404"/>
      <c r="H18" s="1404"/>
      <c r="I18" s="1404"/>
      <c r="J18" s="1404"/>
      <c r="K18" s="1404"/>
      <c r="L18" s="1404"/>
      <c r="M18" s="1404"/>
      <c r="N18" s="1404"/>
      <c r="O18" s="1404"/>
      <c r="P18" s="1404"/>
      <c r="Q18" s="1404"/>
      <c r="R18" s="1404"/>
      <c r="S18" s="1404"/>
      <c r="T18" s="1404"/>
      <c r="U18" s="1404"/>
      <c r="V18" s="1404"/>
      <c r="W18" s="1404"/>
      <c r="X18" s="1404"/>
      <c r="Y18" s="1404"/>
      <c r="Z18" s="1404"/>
      <c r="AA18" s="1404"/>
      <c r="AB18" s="1404"/>
      <c r="AC18" s="1404"/>
      <c r="AD18" s="1405"/>
      <c r="AE18" s="1397"/>
      <c r="AF18" s="1389"/>
      <c r="AG18" s="1388"/>
      <c r="AH18" s="1389"/>
      <c r="AI18" s="1388"/>
      <c r="AJ18" s="1394"/>
      <c r="AK18" s="1397"/>
      <c r="AL18" s="1389"/>
      <c r="AM18" s="1388"/>
      <c r="AN18" s="1389"/>
      <c r="AO18" s="1388"/>
      <c r="AP18" s="1389"/>
      <c r="AQ18" s="1388"/>
      <c r="AR18" s="1389"/>
      <c r="AS18" s="1388"/>
      <c r="AT18" s="1389"/>
      <c r="AU18" s="1388"/>
      <c r="AV18" s="1389"/>
      <c r="AW18" s="1388"/>
      <c r="AX18" s="1389"/>
      <c r="AY18" s="1388"/>
      <c r="AZ18" s="1389"/>
      <c r="BA18" s="1388"/>
      <c r="BB18" s="1389"/>
      <c r="BC18" s="1388"/>
      <c r="BD18" s="1389"/>
      <c r="BE18" s="1388"/>
      <c r="BF18" s="1389"/>
      <c r="BG18" s="1388"/>
      <c r="BH18" s="1389"/>
      <c r="BI18" s="1388"/>
      <c r="BJ18" s="1394"/>
      <c r="BK18" s="1397"/>
      <c r="BL18" s="1389"/>
      <c r="BM18" s="1388"/>
      <c r="BN18" s="1389"/>
      <c r="BO18" s="1388"/>
      <c r="BP18" s="1394"/>
      <c r="BQ18" s="1397"/>
      <c r="BR18" s="1389"/>
      <c r="BS18" s="1388"/>
      <c r="BT18" s="1389"/>
      <c r="BU18" s="1388"/>
      <c r="BV18" s="1394"/>
      <c r="BW18" s="1397"/>
      <c r="BX18" s="1389"/>
      <c r="BY18" s="1388"/>
      <c r="BZ18" s="1389"/>
      <c r="CA18" s="1388"/>
      <c r="CB18" s="1394"/>
      <c r="CC18" s="223"/>
    </row>
    <row r="19" spans="3:81" ht="11.25" customHeight="1">
      <c r="C19" s="1406"/>
      <c r="D19" s="1407"/>
      <c r="E19" s="1407"/>
      <c r="F19" s="1407"/>
      <c r="G19" s="1407"/>
      <c r="H19" s="1407"/>
      <c r="I19" s="1407"/>
      <c r="J19" s="1407"/>
      <c r="K19" s="1407"/>
      <c r="L19" s="1407"/>
      <c r="M19" s="1407"/>
      <c r="N19" s="1407"/>
      <c r="O19" s="1407"/>
      <c r="P19" s="1407"/>
      <c r="Q19" s="1407"/>
      <c r="R19" s="1407"/>
      <c r="S19" s="1407"/>
      <c r="T19" s="1407"/>
      <c r="U19" s="1407"/>
      <c r="V19" s="1407"/>
      <c r="W19" s="1407"/>
      <c r="X19" s="1407"/>
      <c r="Y19" s="1407"/>
      <c r="Z19" s="1407"/>
      <c r="AA19" s="1407"/>
      <c r="AB19" s="1407"/>
      <c r="AC19" s="1407"/>
      <c r="AD19" s="1408"/>
      <c r="AE19" s="1398"/>
      <c r="AF19" s="1391"/>
      <c r="AG19" s="1390"/>
      <c r="AH19" s="1391"/>
      <c r="AI19" s="1390"/>
      <c r="AJ19" s="1395"/>
      <c r="AK19" s="1398"/>
      <c r="AL19" s="1391"/>
      <c r="AM19" s="1390"/>
      <c r="AN19" s="1391"/>
      <c r="AO19" s="1390"/>
      <c r="AP19" s="1391"/>
      <c r="AQ19" s="1390"/>
      <c r="AR19" s="1391"/>
      <c r="AS19" s="1390"/>
      <c r="AT19" s="1391"/>
      <c r="AU19" s="1390"/>
      <c r="AV19" s="1391"/>
      <c r="AW19" s="1390"/>
      <c r="AX19" s="1391"/>
      <c r="AY19" s="1390"/>
      <c r="AZ19" s="1391"/>
      <c r="BA19" s="1390"/>
      <c r="BB19" s="1391"/>
      <c r="BC19" s="1390"/>
      <c r="BD19" s="1391"/>
      <c r="BE19" s="1390"/>
      <c r="BF19" s="1391"/>
      <c r="BG19" s="1390"/>
      <c r="BH19" s="1391"/>
      <c r="BI19" s="1390"/>
      <c r="BJ19" s="1395"/>
      <c r="BK19" s="1398"/>
      <c r="BL19" s="1391"/>
      <c r="BM19" s="1390"/>
      <c r="BN19" s="1391"/>
      <c r="BO19" s="1390"/>
      <c r="BP19" s="1395"/>
      <c r="BQ19" s="1398"/>
      <c r="BR19" s="1391"/>
      <c r="BS19" s="1390"/>
      <c r="BT19" s="1391"/>
      <c r="BU19" s="1390"/>
      <c r="BV19" s="1395"/>
      <c r="BW19" s="1398"/>
      <c r="BX19" s="1391"/>
      <c r="BY19" s="1390"/>
      <c r="BZ19" s="1391"/>
      <c r="CA19" s="1390"/>
      <c r="CB19" s="1395"/>
      <c r="CC19" s="223"/>
    </row>
    <row r="20" spans="3:81" ht="11.25" customHeight="1" thickBot="1">
      <c r="C20" s="1409"/>
      <c r="D20" s="1410"/>
      <c r="E20" s="1410"/>
      <c r="F20" s="1410"/>
      <c r="G20" s="1410"/>
      <c r="H20" s="1410"/>
      <c r="I20" s="1410"/>
      <c r="J20" s="1410"/>
      <c r="K20" s="1410"/>
      <c r="L20" s="1410"/>
      <c r="M20" s="1410"/>
      <c r="N20" s="1410"/>
      <c r="O20" s="1410"/>
      <c r="P20" s="1410"/>
      <c r="Q20" s="1410"/>
      <c r="R20" s="1410"/>
      <c r="S20" s="1410"/>
      <c r="T20" s="1410"/>
      <c r="U20" s="1410"/>
      <c r="V20" s="1410"/>
      <c r="W20" s="1410"/>
      <c r="X20" s="1410"/>
      <c r="Y20" s="1410"/>
      <c r="Z20" s="1410"/>
      <c r="AA20" s="1410"/>
      <c r="AB20" s="1410"/>
      <c r="AC20" s="1410"/>
      <c r="AD20" s="1408"/>
      <c r="AE20" s="1399"/>
      <c r="AF20" s="1393"/>
      <c r="AG20" s="1392"/>
      <c r="AH20" s="1393"/>
      <c r="AI20" s="1392"/>
      <c r="AJ20" s="1396"/>
      <c r="AK20" s="1399"/>
      <c r="AL20" s="1393"/>
      <c r="AM20" s="1392"/>
      <c r="AN20" s="1393"/>
      <c r="AO20" s="1392"/>
      <c r="AP20" s="1393"/>
      <c r="AQ20" s="1392"/>
      <c r="AR20" s="1393"/>
      <c r="AS20" s="1392"/>
      <c r="AT20" s="1393"/>
      <c r="AU20" s="1392"/>
      <c r="AV20" s="1393"/>
      <c r="AW20" s="1392"/>
      <c r="AX20" s="1393"/>
      <c r="AY20" s="1392"/>
      <c r="AZ20" s="1393"/>
      <c r="BA20" s="1392"/>
      <c r="BB20" s="1393"/>
      <c r="BC20" s="1392"/>
      <c r="BD20" s="1393"/>
      <c r="BE20" s="1392"/>
      <c r="BF20" s="1393"/>
      <c r="BG20" s="1392"/>
      <c r="BH20" s="1393"/>
      <c r="BI20" s="1392"/>
      <c r="BJ20" s="1396"/>
      <c r="BK20" s="1399"/>
      <c r="BL20" s="1393"/>
      <c r="BM20" s="1392"/>
      <c r="BN20" s="1393"/>
      <c r="BO20" s="1392"/>
      <c r="BP20" s="1396"/>
      <c r="BQ20" s="1399"/>
      <c r="BR20" s="1393"/>
      <c r="BS20" s="1392"/>
      <c r="BT20" s="1393"/>
      <c r="BU20" s="1392"/>
      <c r="BV20" s="1396"/>
      <c r="BW20" s="1399"/>
      <c r="BX20" s="1393"/>
      <c r="BY20" s="1392"/>
      <c r="BZ20" s="1393"/>
      <c r="CA20" s="1392"/>
      <c r="CB20" s="1396"/>
      <c r="CC20" s="223"/>
    </row>
    <row r="21" spans="3:81" ht="11.25" customHeight="1">
      <c r="C21" s="1417" t="str">
        <f>VLOOKUP(10016,Languages!$A$5:$C$1032,Languages!$A$2,FALSE)</f>
        <v>Containment actions</v>
      </c>
      <c r="D21" s="1418"/>
      <c r="E21" s="1419"/>
      <c r="F21" s="840" t="str">
        <f>VLOOKUP(10017,Languages!$A$5:$C$1032,Languages!$A$2,FALSE)</f>
        <v>Containment action(s) supplier (production, stock, spare parts warehouse, transport, ...)</v>
      </c>
      <c r="G21" s="841"/>
      <c r="H21" s="841"/>
      <c r="I21" s="841"/>
      <c r="J21" s="841"/>
      <c r="K21" s="841"/>
      <c r="L21" s="841"/>
      <c r="M21" s="841"/>
      <c r="N21" s="841"/>
      <c r="O21" s="841"/>
      <c r="P21" s="841"/>
      <c r="Q21" s="841"/>
      <c r="R21" s="841"/>
      <c r="S21" s="841"/>
      <c r="T21" s="841"/>
      <c r="U21" s="841"/>
      <c r="V21" s="841"/>
      <c r="W21" s="841"/>
      <c r="X21" s="841"/>
      <c r="Y21" s="841"/>
      <c r="Z21" s="841"/>
      <c r="AA21" s="841"/>
      <c r="AB21" s="841"/>
      <c r="AC21" s="842"/>
      <c r="AD21" s="231"/>
      <c r="AE21" s="1340"/>
      <c r="AF21" s="1334"/>
      <c r="AG21" s="1334"/>
      <c r="AH21" s="1334"/>
      <c r="AI21" s="1334"/>
      <c r="AJ21" s="1334"/>
      <c r="AK21" s="1338"/>
      <c r="AL21" s="1338"/>
      <c r="AM21" s="1338"/>
      <c r="AN21" s="1338"/>
      <c r="AO21" s="1338"/>
      <c r="AP21" s="1338"/>
      <c r="AQ21" s="1338"/>
      <c r="AR21" s="1338"/>
      <c r="AS21" s="1338"/>
      <c r="AT21" s="1338"/>
      <c r="AU21" s="1338"/>
      <c r="AV21" s="1338"/>
      <c r="AW21" s="1338"/>
      <c r="AX21" s="1338"/>
      <c r="AY21" s="1338"/>
      <c r="AZ21" s="1338"/>
      <c r="BA21" s="1338"/>
      <c r="BB21" s="1338"/>
      <c r="BC21" s="1338"/>
      <c r="BD21" s="1338"/>
      <c r="BE21" s="1338"/>
      <c r="BF21" s="1338"/>
      <c r="BG21" s="1338"/>
      <c r="BH21" s="1338"/>
      <c r="BI21" s="1338"/>
      <c r="BJ21" s="1338"/>
      <c r="BK21" s="1338"/>
      <c r="BL21" s="1338"/>
      <c r="BM21" s="1338"/>
      <c r="BN21" s="1338"/>
      <c r="BO21" s="1338"/>
      <c r="BP21" s="1338"/>
      <c r="BQ21" s="1338"/>
      <c r="BR21" s="1338"/>
      <c r="BS21" s="1338"/>
      <c r="BT21" s="1338"/>
      <c r="BU21" s="1338"/>
      <c r="BV21" s="1338"/>
      <c r="BW21" s="1334"/>
      <c r="BX21" s="1334"/>
      <c r="BY21" s="1334"/>
      <c r="BZ21" s="1334"/>
      <c r="CA21" s="1334"/>
      <c r="CB21" s="1335"/>
      <c r="CC21" s="223"/>
    </row>
    <row r="22" spans="3:81" ht="11.25" customHeight="1">
      <c r="C22" s="1411"/>
      <c r="D22" s="1412"/>
      <c r="E22" s="1413"/>
      <c r="F22" s="1331"/>
      <c r="G22" s="1332"/>
      <c r="H22" s="1332"/>
      <c r="I22" s="1332"/>
      <c r="J22" s="1332"/>
      <c r="K22" s="1332"/>
      <c r="L22" s="1332"/>
      <c r="M22" s="1332"/>
      <c r="N22" s="1332"/>
      <c r="O22" s="1332"/>
      <c r="P22" s="1332"/>
      <c r="Q22" s="1332"/>
      <c r="R22" s="1332"/>
      <c r="S22" s="1332"/>
      <c r="T22" s="1332"/>
      <c r="U22" s="1332"/>
      <c r="V22" s="1332"/>
      <c r="W22" s="1332"/>
      <c r="X22" s="1332"/>
      <c r="Y22" s="1332"/>
      <c r="Z22" s="1332"/>
      <c r="AA22" s="1332"/>
      <c r="AB22" s="1332"/>
      <c r="AC22" s="1333"/>
      <c r="AD22" s="231"/>
      <c r="AE22" s="1341"/>
      <c r="AF22" s="1336"/>
      <c r="AG22" s="1336"/>
      <c r="AH22" s="1336"/>
      <c r="AI22" s="1336"/>
      <c r="AJ22" s="1336"/>
      <c r="AK22" s="1339"/>
      <c r="AL22" s="1339"/>
      <c r="AM22" s="1339"/>
      <c r="AN22" s="1339"/>
      <c r="AO22" s="1339"/>
      <c r="AP22" s="1339"/>
      <c r="AQ22" s="1339"/>
      <c r="AR22" s="1339"/>
      <c r="AS22" s="1339"/>
      <c r="AT22" s="1339"/>
      <c r="AU22" s="1339"/>
      <c r="AV22" s="1339"/>
      <c r="AW22" s="1339"/>
      <c r="AX22" s="1339"/>
      <c r="AY22" s="1339"/>
      <c r="AZ22" s="1339"/>
      <c r="BA22" s="1339"/>
      <c r="BB22" s="1339"/>
      <c r="BC22" s="1339"/>
      <c r="BD22" s="1339"/>
      <c r="BE22" s="1339"/>
      <c r="BF22" s="1339"/>
      <c r="BG22" s="1339"/>
      <c r="BH22" s="1339"/>
      <c r="BI22" s="1339"/>
      <c r="BJ22" s="1339"/>
      <c r="BK22" s="1339"/>
      <c r="BL22" s="1339"/>
      <c r="BM22" s="1339"/>
      <c r="BN22" s="1339"/>
      <c r="BO22" s="1339"/>
      <c r="BP22" s="1339"/>
      <c r="BQ22" s="1339"/>
      <c r="BR22" s="1339"/>
      <c r="BS22" s="1339"/>
      <c r="BT22" s="1339"/>
      <c r="BU22" s="1339"/>
      <c r="BV22" s="1339"/>
      <c r="BW22" s="1336"/>
      <c r="BX22" s="1336"/>
      <c r="BY22" s="1336"/>
      <c r="BZ22" s="1336"/>
      <c r="CA22" s="1336"/>
      <c r="CB22" s="1337"/>
      <c r="CC22" s="223"/>
    </row>
    <row r="23" spans="3:81" ht="11.25" customHeight="1">
      <c r="C23" s="1411"/>
      <c r="D23" s="1412"/>
      <c r="E23" s="1413"/>
      <c r="F23" s="1386"/>
      <c r="G23" s="1386"/>
      <c r="H23" s="1386"/>
      <c r="I23" s="1386"/>
      <c r="J23" s="1386"/>
      <c r="K23" s="1386"/>
      <c r="L23" s="1386"/>
      <c r="M23" s="1386"/>
      <c r="N23" s="1386"/>
      <c r="O23" s="1386"/>
      <c r="P23" s="1386"/>
      <c r="Q23" s="1386"/>
      <c r="R23" s="1386"/>
      <c r="S23" s="1386"/>
      <c r="T23" s="1386"/>
      <c r="U23" s="1386"/>
      <c r="V23" s="1386"/>
      <c r="W23" s="1386"/>
      <c r="X23" s="1386"/>
      <c r="Y23" s="1386"/>
      <c r="Z23" s="1386"/>
      <c r="AA23" s="1386"/>
      <c r="AB23" s="1386"/>
      <c r="AC23" s="1387"/>
      <c r="AD23" s="231"/>
      <c r="AE23" s="1360"/>
      <c r="AF23" s="1356"/>
      <c r="AG23" s="1356"/>
      <c r="AH23" s="1356"/>
      <c r="AI23" s="1356"/>
      <c r="AJ23" s="1357"/>
      <c r="AK23" s="1360"/>
      <c r="AL23" s="1356"/>
      <c r="AM23" s="1356"/>
      <c r="AN23" s="1356"/>
      <c r="AO23" s="1356"/>
      <c r="AP23" s="1356"/>
      <c r="AQ23" s="1356"/>
      <c r="AR23" s="1356"/>
      <c r="AS23" s="1356"/>
      <c r="AT23" s="1356"/>
      <c r="AU23" s="1356"/>
      <c r="AV23" s="1356"/>
      <c r="AW23" s="1356"/>
      <c r="AX23" s="1356"/>
      <c r="AY23" s="1356"/>
      <c r="AZ23" s="1356"/>
      <c r="BA23" s="1356"/>
      <c r="BB23" s="1356"/>
      <c r="BC23" s="1356"/>
      <c r="BD23" s="1356"/>
      <c r="BE23" s="1356"/>
      <c r="BF23" s="1356"/>
      <c r="BG23" s="1356"/>
      <c r="BH23" s="1356"/>
      <c r="BI23" s="1356"/>
      <c r="BJ23" s="1357"/>
      <c r="BK23" s="1360"/>
      <c r="BL23" s="1356"/>
      <c r="BM23" s="1356"/>
      <c r="BN23" s="1356"/>
      <c r="BO23" s="1356"/>
      <c r="BP23" s="1357"/>
      <c r="BQ23" s="1360"/>
      <c r="BR23" s="1356"/>
      <c r="BS23" s="1356"/>
      <c r="BT23" s="1356"/>
      <c r="BU23" s="1356"/>
      <c r="BV23" s="1357"/>
      <c r="BW23" s="1360"/>
      <c r="BX23" s="1356"/>
      <c r="BY23" s="1356"/>
      <c r="BZ23" s="1356"/>
      <c r="CA23" s="1356"/>
      <c r="CB23" s="1357"/>
      <c r="CC23" s="223"/>
    </row>
    <row r="24" spans="3:81" ht="11.25" customHeight="1">
      <c r="C24" s="1411"/>
      <c r="D24" s="1412"/>
      <c r="E24" s="1413"/>
      <c r="F24" s="1386"/>
      <c r="G24" s="1386"/>
      <c r="H24" s="1386"/>
      <c r="I24" s="1386"/>
      <c r="J24" s="1386"/>
      <c r="K24" s="1386"/>
      <c r="L24" s="1386"/>
      <c r="M24" s="1386"/>
      <c r="N24" s="1386"/>
      <c r="O24" s="1386"/>
      <c r="P24" s="1386"/>
      <c r="Q24" s="1386"/>
      <c r="R24" s="1386"/>
      <c r="S24" s="1386"/>
      <c r="T24" s="1386"/>
      <c r="U24" s="1386"/>
      <c r="V24" s="1386"/>
      <c r="W24" s="1386"/>
      <c r="X24" s="1386"/>
      <c r="Y24" s="1386"/>
      <c r="Z24" s="1386"/>
      <c r="AA24" s="1386"/>
      <c r="AB24" s="1386"/>
      <c r="AC24" s="1387"/>
      <c r="AD24" s="231"/>
      <c r="AE24" s="1361"/>
      <c r="AF24" s="1358"/>
      <c r="AG24" s="1358"/>
      <c r="AH24" s="1358"/>
      <c r="AI24" s="1358"/>
      <c r="AJ24" s="1359"/>
      <c r="AK24" s="1361"/>
      <c r="AL24" s="1358"/>
      <c r="AM24" s="1358"/>
      <c r="AN24" s="1358"/>
      <c r="AO24" s="1358"/>
      <c r="AP24" s="1358"/>
      <c r="AQ24" s="1358"/>
      <c r="AR24" s="1358"/>
      <c r="AS24" s="1358"/>
      <c r="AT24" s="1358"/>
      <c r="AU24" s="1358"/>
      <c r="AV24" s="1358"/>
      <c r="AW24" s="1358"/>
      <c r="AX24" s="1358"/>
      <c r="AY24" s="1358"/>
      <c r="AZ24" s="1358"/>
      <c r="BA24" s="1358"/>
      <c r="BB24" s="1358"/>
      <c r="BC24" s="1358"/>
      <c r="BD24" s="1358"/>
      <c r="BE24" s="1358"/>
      <c r="BF24" s="1358"/>
      <c r="BG24" s="1358"/>
      <c r="BH24" s="1358"/>
      <c r="BI24" s="1358"/>
      <c r="BJ24" s="1359"/>
      <c r="BK24" s="1361"/>
      <c r="BL24" s="1358"/>
      <c r="BM24" s="1358"/>
      <c r="BN24" s="1358"/>
      <c r="BO24" s="1358"/>
      <c r="BP24" s="1359"/>
      <c r="BQ24" s="1361"/>
      <c r="BR24" s="1358"/>
      <c r="BS24" s="1358"/>
      <c r="BT24" s="1358"/>
      <c r="BU24" s="1358"/>
      <c r="BV24" s="1359"/>
      <c r="BW24" s="1361"/>
      <c r="BX24" s="1358"/>
      <c r="BY24" s="1358"/>
      <c r="BZ24" s="1358"/>
      <c r="CA24" s="1358"/>
      <c r="CB24" s="1359"/>
      <c r="CC24" s="223"/>
    </row>
    <row r="25" spans="3:81" ht="11.25" customHeight="1">
      <c r="C25" s="1411"/>
      <c r="D25" s="1412"/>
      <c r="E25" s="1413"/>
      <c r="F25" s="1386"/>
      <c r="G25" s="1386"/>
      <c r="H25" s="1386"/>
      <c r="I25" s="1386"/>
      <c r="J25" s="1386"/>
      <c r="K25" s="1386"/>
      <c r="L25" s="1386"/>
      <c r="M25" s="1386"/>
      <c r="N25" s="1386"/>
      <c r="O25" s="1386"/>
      <c r="P25" s="1386"/>
      <c r="Q25" s="1386"/>
      <c r="R25" s="1386"/>
      <c r="S25" s="1386"/>
      <c r="T25" s="1386"/>
      <c r="U25" s="1386"/>
      <c r="V25" s="1386"/>
      <c r="W25" s="1386"/>
      <c r="X25" s="1386"/>
      <c r="Y25" s="1386"/>
      <c r="Z25" s="1386"/>
      <c r="AA25" s="1386"/>
      <c r="AB25" s="1386"/>
      <c r="AC25" s="1387"/>
      <c r="AD25" s="231"/>
      <c r="AE25" s="1361"/>
      <c r="AF25" s="1358"/>
      <c r="AG25" s="1358"/>
      <c r="AH25" s="1358"/>
      <c r="AI25" s="1358"/>
      <c r="AJ25" s="1359"/>
      <c r="AK25" s="1361"/>
      <c r="AL25" s="1358"/>
      <c r="AM25" s="1358"/>
      <c r="AN25" s="1358"/>
      <c r="AO25" s="1358"/>
      <c r="AP25" s="1358"/>
      <c r="AQ25" s="1358"/>
      <c r="AR25" s="1358"/>
      <c r="AS25" s="1358"/>
      <c r="AT25" s="1358"/>
      <c r="AU25" s="1358"/>
      <c r="AV25" s="1358"/>
      <c r="AW25" s="1358"/>
      <c r="AX25" s="1358"/>
      <c r="AY25" s="1358"/>
      <c r="AZ25" s="1358"/>
      <c r="BA25" s="1358"/>
      <c r="BB25" s="1358"/>
      <c r="BC25" s="1358"/>
      <c r="BD25" s="1358"/>
      <c r="BE25" s="1358"/>
      <c r="BF25" s="1358"/>
      <c r="BG25" s="1358"/>
      <c r="BH25" s="1358"/>
      <c r="BI25" s="1358"/>
      <c r="BJ25" s="1359"/>
      <c r="BK25" s="1361"/>
      <c r="BL25" s="1358"/>
      <c r="BM25" s="1358"/>
      <c r="BN25" s="1358"/>
      <c r="BO25" s="1358"/>
      <c r="BP25" s="1359"/>
      <c r="BQ25" s="1361"/>
      <c r="BR25" s="1358"/>
      <c r="BS25" s="1358"/>
      <c r="BT25" s="1358"/>
      <c r="BU25" s="1358"/>
      <c r="BV25" s="1359"/>
      <c r="BW25" s="1361"/>
      <c r="BX25" s="1358"/>
      <c r="BY25" s="1358"/>
      <c r="BZ25" s="1358"/>
      <c r="CA25" s="1358"/>
      <c r="CB25" s="1359"/>
      <c r="CC25" s="229"/>
    </row>
    <row r="26" spans="3:81" ht="11.25" customHeight="1">
      <c r="C26" s="1411"/>
      <c r="D26" s="1412"/>
      <c r="E26" s="1413"/>
      <c r="F26" s="1386"/>
      <c r="G26" s="1386"/>
      <c r="H26" s="1386"/>
      <c r="I26" s="1386"/>
      <c r="J26" s="1386"/>
      <c r="K26" s="1386"/>
      <c r="L26" s="1386"/>
      <c r="M26" s="1386"/>
      <c r="N26" s="1386"/>
      <c r="O26" s="1386"/>
      <c r="P26" s="1386"/>
      <c r="Q26" s="1386"/>
      <c r="R26" s="1386"/>
      <c r="S26" s="1386"/>
      <c r="T26" s="1386"/>
      <c r="U26" s="1386"/>
      <c r="V26" s="1386"/>
      <c r="W26" s="1386"/>
      <c r="X26" s="1386"/>
      <c r="Y26" s="1386"/>
      <c r="Z26" s="1386"/>
      <c r="AA26" s="1386"/>
      <c r="AB26" s="1386"/>
      <c r="AC26" s="1387"/>
      <c r="AD26" s="231"/>
      <c r="AE26" s="1360"/>
      <c r="AF26" s="1356"/>
      <c r="AG26" s="1356"/>
      <c r="AH26" s="1356"/>
      <c r="AI26" s="1356"/>
      <c r="AJ26" s="1357"/>
      <c r="AK26" s="1360"/>
      <c r="AL26" s="1356"/>
      <c r="AM26" s="1356"/>
      <c r="AN26" s="1356"/>
      <c r="AO26" s="1356"/>
      <c r="AP26" s="1356"/>
      <c r="AQ26" s="1356"/>
      <c r="AR26" s="1356"/>
      <c r="AS26" s="1356"/>
      <c r="AT26" s="1356"/>
      <c r="AU26" s="1356"/>
      <c r="AV26" s="1356"/>
      <c r="AW26" s="1356"/>
      <c r="AX26" s="1356"/>
      <c r="AY26" s="1356"/>
      <c r="AZ26" s="1356"/>
      <c r="BA26" s="1356"/>
      <c r="BB26" s="1356"/>
      <c r="BC26" s="1356"/>
      <c r="BD26" s="1356"/>
      <c r="BE26" s="1356"/>
      <c r="BF26" s="1356"/>
      <c r="BG26" s="1356"/>
      <c r="BH26" s="1356"/>
      <c r="BI26" s="1356"/>
      <c r="BJ26" s="1357"/>
      <c r="BK26" s="1360"/>
      <c r="BL26" s="1356"/>
      <c r="BM26" s="1356"/>
      <c r="BN26" s="1356"/>
      <c r="BO26" s="1356"/>
      <c r="BP26" s="1357"/>
      <c r="BQ26" s="1360"/>
      <c r="BR26" s="1356"/>
      <c r="BS26" s="1356"/>
      <c r="BT26" s="1356"/>
      <c r="BU26" s="1356"/>
      <c r="BV26" s="1357"/>
      <c r="BW26" s="1360"/>
      <c r="BX26" s="1356"/>
      <c r="BY26" s="1356"/>
      <c r="BZ26" s="1356"/>
      <c r="CA26" s="1356"/>
      <c r="CB26" s="1357"/>
      <c r="CC26" s="229"/>
    </row>
    <row r="27" spans="3:81" ht="11.25" customHeight="1">
      <c r="C27" s="1411"/>
      <c r="D27" s="1412"/>
      <c r="E27" s="1413"/>
      <c r="F27" s="1386"/>
      <c r="G27" s="1386"/>
      <c r="H27" s="1386"/>
      <c r="I27" s="1386"/>
      <c r="J27" s="1386"/>
      <c r="K27" s="1386"/>
      <c r="L27" s="1386"/>
      <c r="M27" s="1386"/>
      <c r="N27" s="1386"/>
      <c r="O27" s="1386"/>
      <c r="P27" s="1386"/>
      <c r="Q27" s="1386"/>
      <c r="R27" s="1386"/>
      <c r="S27" s="1386"/>
      <c r="T27" s="1386"/>
      <c r="U27" s="1386"/>
      <c r="V27" s="1386"/>
      <c r="W27" s="1386"/>
      <c r="X27" s="1386"/>
      <c r="Y27" s="1386"/>
      <c r="Z27" s="1386"/>
      <c r="AA27" s="1386"/>
      <c r="AB27" s="1386"/>
      <c r="AC27" s="1387"/>
      <c r="AD27" s="231"/>
      <c r="AE27" s="1361"/>
      <c r="AF27" s="1358"/>
      <c r="AG27" s="1358"/>
      <c r="AH27" s="1358"/>
      <c r="AI27" s="1358"/>
      <c r="AJ27" s="1359"/>
      <c r="AK27" s="1361"/>
      <c r="AL27" s="1358"/>
      <c r="AM27" s="1358"/>
      <c r="AN27" s="1358"/>
      <c r="AO27" s="1358"/>
      <c r="AP27" s="1358"/>
      <c r="AQ27" s="1358"/>
      <c r="AR27" s="1358"/>
      <c r="AS27" s="1358"/>
      <c r="AT27" s="1358"/>
      <c r="AU27" s="1358"/>
      <c r="AV27" s="1358"/>
      <c r="AW27" s="1358"/>
      <c r="AX27" s="1358"/>
      <c r="AY27" s="1358"/>
      <c r="AZ27" s="1358"/>
      <c r="BA27" s="1358"/>
      <c r="BB27" s="1358"/>
      <c r="BC27" s="1358"/>
      <c r="BD27" s="1358"/>
      <c r="BE27" s="1358"/>
      <c r="BF27" s="1358"/>
      <c r="BG27" s="1358"/>
      <c r="BH27" s="1358"/>
      <c r="BI27" s="1358"/>
      <c r="BJ27" s="1359"/>
      <c r="BK27" s="1361"/>
      <c r="BL27" s="1358"/>
      <c r="BM27" s="1358"/>
      <c r="BN27" s="1358"/>
      <c r="BO27" s="1358"/>
      <c r="BP27" s="1359"/>
      <c r="BQ27" s="1361"/>
      <c r="BR27" s="1358"/>
      <c r="BS27" s="1358"/>
      <c r="BT27" s="1358"/>
      <c r="BU27" s="1358"/>
      <c r="BV27" s="1359"/>
      <c r="BW27" s="1361"/>
      <c r="BX27" s="1358"/>
      <c r="BY27" s="1358"/>
      <c r="BZ27" s="1358"/>
      <c r="CA27" s="1358"/>
      <c r="CB27" s="1359"/>
      <c r="CC27" s="229"/>
    </row>
    <row r="28" spans="3:81" ht="11.25" customHeight="1">
      <c r="C28" s="1411"/>
      <c r="D28" s="1412"/>
      <c r="E28" s="1413"/>
      <c r="F28" s="1386"/>
      <c r="G28" s="1386"/>
      <c r="H28" s="1386"/>
      <c r="I28" s="1386"/>
      <c r="J28" s="1386"/>
      <c r="K28" s="1386"/>
      <c r="L28" s="1386"/>
      <c r="M28" s="1386"/>
      <c r="N28" s="1386"/>
      <c r="O28" s="1386"/>
      <c r="P28" s="1386"/>
      <c r="Q28" s="1386"/>
      <c r="R28" s="1386"/>
      <c r="S28" s="1386"/>
      <c r="T28" s="1386"/>
      <c r="U28" s="1386"/>
      <c r="V28" s="1386"/>
      <c r="W28" s="1386"/>
      <c r="X28" s="1386"/>
      <c r="Y28" s="1386"/>
      <c r="Z28" s="1386"/>
      <c r="AA28" s="1386"/>
      <c r="AB28" s="1386"/>
      <c r="AC28" s="1387"/>
      <c r="AD28" s="231"/>
      <c r="AE28" s="1361"/>
      <c r="AF28" s="1358"/>
      <c r="AG28" s="1358"/>
      <c r="AH28" s="1358"/>
      <c r="AI28" s="1358"/>
      <c r="AJ28" s="1359"/>
      <c r="AK28" s="1361"/>
      <c r="AL28" s="1358"/>
      <c r="AM28" s="1358"/>
      <c r="AN28" s="1358"/>
      <c r="AO28" s="1358"/>
      <c r="AP28" s="1358"/>
      <c r="AQ28" s="1358"/>
      <c r="AR28" s="1358"/>
      <c r="AS28" s="1358"/>
      <c r="AT28" s="1358"/>
      <c r="AU28" s="1358"/>
      <c r="AV28" s="1358"/>
      <c r="AW28" s="1358"/>
      <c r="AX28" s="1358"/>
      <c r="AY28" s="1358"/>
      <c r="AZ28" s="1358"/>
      <c r="BA28" s="1358"/>
      <c r="BB28" s="1358"/>
      <c r="BC28" s="1358"/>
      <c r="BD28" s="1358"/>
      <c r="BE28" s="1358"/>
      <c r="BF28" s="1358"/>
      <c r="BG28" s="1358"/>
      <c r="BH28" s="1358"/>
      <c r="BI28" s="1358"/>
      <c r="BJ28" s="1359"/>
      <c r="BK28" s="1361"/>
      <c r="BL28" s="1358"/>
      <c r="BM28" s="1358"/>
      <c r="BN28" s="1358"/>
      <c r="BO28" s="1358"/>
      <c r="BP28" s="1359"/>
      <c r="BQ28" s="1361"/>
      <c r="BR28" s="1358"/>
      <c r="BS28" s="1358"/>
      <c r="BT28" s="1358"/>
      <c r="BU28" s="1358"/>
      <c r="BV28" s="1359"/>
      <c r="BW28" s="1361"/>
      <c r="BX28" s="1358"/>
      <c r="BY28" s="1358"/>
      <c r="BZ28" s="1358"/>
      <c r="CA28" s="1358"/>
      <c r="CB28" s="1359"/>
      <c r="CC28" s="229"/>
    </row>
    <row r="29" spans="3:81" ht="11.25" customHeight="1">
      <c r="C29" s="1411"/>
      <c r="D29" s="1412"/>
      <c r="E29" s="1413"/>
      <c r="F29" s="1386"/>
      <c r="G29" s="1386"/>
      <c r="H29" s="1386"/>
      <c r="I29" s="1386"/>
      <c r="J29" s="1386"/>
      <c r="K29" s="1386"/>
      <c r="L29" s="1386"/>
      <c r="M29" s="1386"/>
      <c r="N29" s="1386"/>
      <c r="O29" s="1386"/>
      <c r="P29" s="1386"/>
      <c r="Q29" s="1386"/>
      <c r="R29" s="1386"/>
      <c r="S29" s="1386"/>
      <c r="T29" s="1386"/>
      <c r="U29" s="1386"/>
      <c r="V29" s="1386"/>
      <c r="W29" s="1386"/>
      <c r="X29" s="1386"/>
      <c r="Y29" s="1386"/>
      <c r="Z29" s="1386"/>
      <c r="AA29" s="1386"/>
      <c r="AB29" s="1386"/>
      <c r="AC29" s="1387"/>
      <c r="AD29" s="231"/>
      <c r="AE29" s="1360"/>
      <c r="AF29" s="1356"/>
      <c r="AG29" s="1356"/>
      <c r="AH29" s="1356"/>
      <c r="AI29" s="1356"/>
      <c r="AJ29" s="1357"/>
      <c r="AK29" s="1360"/>
      <c r="AL29" s="1356"/>
      <c r="AM29" s="1356"/>
      <c r="AN29" s="1356"/>
      <c r="AO29" s="1356"/>
      <c r="AP29" s="1356"/>
      <c r="AQ29" s="1356"/>
      <c r="AR29" s="1356"/>
      <c r="AS29" s="1356"/>
      <c r="AT29" s="1356"/>
      <c r="AU29" s="1356"/>
      <c r="AV29" s="1356"/>
      <c r="AW29" s="1356"/>
      <c r="AX29" s="1356"/>
      <c r="AY29" s="1356"/>
      <c r="AZ29" s="1356"/>
      <c r="BA29" s="1356"/>
      <c r="BB29" s="1356"/>
      <c r="BC29" s="1356"/>
      <c r="BD29" s="1356"/>
      <c r="BE29" s="1356"/>
      <c r="BF29" s="1356"/>
      <c r="BG29" s="1356"/>
      <c r="BH29" s="1356"/>
      <c r="BI29" s="1356"/>
      <c r="BJ29" s="1357"/>
      <c r="BK29" s="1360"/>
      <c r="BL29" s="1356"/>
      <c r="BM29" s="1356"/>
      <c r="BN29" s="1356"/>
      <c r="BO29" s="1356"/>
      <c r="BP29" s="1357"/>
      <c r="BQ29" s="1360"/>
      <c r="BR29" s="1356"/>
      <c r="BS29" s="1356"/>
      <c r="BT29" s="1356"/>
      <c r="BU29" s="1356"/>
      <c r="BV29" s="1357"/>
      <c r="BW29" s="1360"/>
      <c r="BX29" s="1356"/>
      <c r="BY29" s="1356"/>
      <c r="BZ29" s="1356"/>
      <c r="CA29" s="1356"/>
      <c r="CB29" s="1357"/>
      <c r="CC29" s="229"/>
    </row>
    <row r="30" spans="3:81" ht="11.25" customHeight="1">
      <c r="C30" s="1411"/>
      <c r="D30" s="1412"/>
      <c r="E30" s="1413"/>
      <c r="F30" s="1386"/>
      <c r="G30" s="1386"/>
      <c r="H30" s="1386"/>
      <c r="I30" s="1386"/>
      <c r="J30" s="1386"/>
      <c r="K30" s="1386"/>
      <c r="L30" s="1386"/>
      <c r="M30" s="1386"/>
      <c r="N30" s="1386"/>
      <c r="O30" s="1386"/>
      <c r="P30" s="1386"/>
      <c r="Q30" s="1386"/>
      <c r="R30" s="1386"/>
      <c r="S30" s="1386"/>
      <c r="T30" s="1386"/>
      <c r="U30" s="1386"/>
      <c r="V30" s="1386"/>
      <c r="W30" s="1386"/>
      <c r="X30" s="1386"/>
      <c r="Y30" s="1386"/>
      <c r="Z30" s="1386"/>
      <c r="AA30" s="1386"/>
      <c r="AB30" s="1386"/>
      <c r="AC30" s="1387"/>
      <c r="AD30" s="231"/>
      <c r="AE30" s="1361"/>
      <c r="AF30" s="1358"/>
      <c r="AG30" s="1358"/>
      <c r="AH30" s="1358"/>
      <c r="AI30" s="1358"/>
      <c r="AJ30" s="1359"/>
      <c r="AK30" s="1361"/>
      <c r="AL30" s="1358"/>
      <c r="AM30" s="1358"/>
      <c r="AN30" s="1358"/>
      <c r="AO30" s="1358"/>
      <c r="AP30" s="1358"/>
      <c r="AQ30" s="1358"/>
      <c r="AR30" s="1358"/>
      <c r="AS30" s="1358"/>
      <c r="AT30" s="1358"/>
      <c r="AU30" s="1358"/>
      <c r="AV30" s="1358"/>
      <c r="AW30" s="1358"/>
      <c r="AX30" s="1358"/>
      <c r="AY30" s="1358"/>
      <c r="AZ30" s="1358"/>
      <c r="BA30" s="1358"/>
      <c r="BB30" s="1358"/>
      <c r="BC30" s="1358"/>
      <c r="BD30" s="1358"/>
      <c r="BE30" s="1358"/>
      <c r="BF30" s="1358"/>
      <c r="BG30" s="1358"/>
      <c r="BH30" s="1358"/>
      <c r="BI30" s="1358"/>
      <c r="BJ30" s="1359"/>
      <c r="BK30" s="1361"/>
      <c r="BL30" s="1358"/>
      <c r="BM30" s="1358"/>
      <c r="BN30" s="1358"/>
      <c r="BO30" s="1358"/>
      <c r="BP30" s="1359"/>
      <c r="BQ30" s="1361"/>
      <c r="BR30" s="1358"/>
      <c r="BS30" s="1358"/>
      <c r="BT30" s="1358"/>
      <c r="BU30" s="1358"/>
      <c r="BV30" s="1359"/>
      <c r="BW30" s="1361"/>
      <c r="BX30" s="1358"/>
      <c r="BY30" s="1358"/>
      <c r="BZ30" s="1358"/>
      <c r="CA30" s="1358"/>
      <c r="CB30" s="1359"/>
      <c r="CC30" s="229"/>
    </row>
    <row r="31" spans="3:81" ht="11.25" customHeight="1">
      <c r="C31" s="1411"/>
      <c r="D31" s="1412"/>
      <c r="E31" s="1413"/>
      <c r="F31" s="1386"/>
      <c r="G31" s="1386"/>
      <c r="H31" s="1386"/>
      <c r="I31" s="1386"/>
      <c r="J31" s="1386"/>
      <c r="K31" s="1386"/>
      <c r="L31" s="1386"/>
      <c r="M31" s="1386"/>
      <c r="N31" s="1386"/>
      <c r="O31" s="1386"/>
      <c r="P31" s="1386"/>
      <c r="Q31" s="1386"/>
      <c r="R31" s="1386"/>
      <c r="S31" s="1386"/>
      <c r="T31" s="1386"/>
      <c r="U31" s="1386"/>
      <c r="V31" s="1386"/>
      <c r="W31" s="1386"/>
      <c r="X31" s="1386"/>
      <c r="Y31" s="1386"/>
      <c r="Z31" s="1386"/>
      <c r="AA31" s="1386"/>
      <c r="AB31" s="1386"/>
      <c r="AC31" s="1387"/>
      <c r="AD31" s="231"/>
      <c r="AE31" s="1366"/>
      <c r="AF31" s="1365"/>
      <c r="AG31" s="1365"/>
      <c r="AH31" s="1365"/>
      <c r="AI31" s="1365"/>
      <c r="AJ31" s="1371"/>
      <c r="AK31" s="1366"/>
      <c r="AL31" s="1365"/>
      <c r="AM31" s="1365"/>
      <c r="AN31" s="1365"/>
      <c r="AO31" s="1365"/>
      <c r="AP31" s="1365"/>
      <c r="AQ31" s="1365"/>
      <c r="AR31" s="1365"/>
      <c r="AS31" s="1365"/>
      <c r="AT31" s="1365"/>
      <c r="AU31" s="1365"/>
      <c r="AV31" s="1365"/>
      <c r="AW31" s="1365"/>
      <c r="AX31" s="1365"/>
      <c r="AY31" s="1365"/>
      <c r="AZ31" s="1365"/>
      <c r="BA31" s="1365"/>
      <c r="BB31" s="1365"/>
      <c r="BC31" s="1365"/>
      <c r="BD31" s="1365"/>
      <c r="BE31" s="1365"/>
      <c r="BF31" s="1365"/>
      <c r="BG31" s="1365"/>
      <c r="BH31" s="1365"/>
      <c r="BI31" s="1365"/>
      <c r="BJ31" s="1371"/>
      <c r="BK31" s="1366"/>
      <c r="BL31" s="1365"/>
      <c r="BM31" s="1365"/>
      <c r="BN31" s="1365"/>
      <c r="BO31" s="1365"/>
      <c r="BP31" s="1371"/>
      <c r="BQ31" s="1366"/>
      <c r="BR31" s="1365"/>
      <c r="BS31" s="1365"/>
      <c r="BT31" s="1365"/>
      <c r="BU31" s="1365"/>
      <c r="BV31" s="1371"/>
      <c r="BW31" s="1366"/>
      <c r="BX31" s="1365"/>
      <c r="BY31" s="1365"/>
      <c r="BZ31" s="1365"/>
      <c r="CA31" s="1365"/>
      <c r="CB31" s="1371"/>
      <c r="CC31" s="223"/>
    </row>
    <row r="32" spans="3:81" ht="11.25" customHeight="1">
      <c r="C32" s="1411"/>
      <c r="D32" s="1412"/>
      <c r="E32" s="1413"/>
      <c r="F32" s="840" t="str">
        <f>VLOOKUP(10018,Languages!$A$5:$C$1032,Languages!$A$2,FALSE)</f>
        <v>Containment action(s) Brose/OEM/Tier (production, stock, spare parts warehouse, transport, ...)</v>
      </c>
      <c r="G32" s="841"/>
      <c r="H32" s="841"/>
      <c r="I32" s="841"/>
      <c r="J32" s="841"/>
      <c r="K32" s="841"/>
      <c r="L32" s="841"/>
      <c r="M32" s="841"/>
      <c r="N32" s="841"/>
      <c r="O32" s="841"/>
      <c r="P32" s="841"/>
      <c r="Q32" s="841"/>
      <c r="R32" s="841"/>
      <c r="S32" s="841"/>
      <c r="T32" s="841"/>
      <c r="U32" s="841"/>
      <c r="V32" s="841"/>
      <c r="W32" s="841"/>
      <c r="X32" s="841"/>
      <c r="Y32" s="841"/>
      <c r="Z32" s="841"/>
      <c r="AA32" s="841"/>
      <c r="AB32" s="841"/>
      <c r="AC32" s="842"/>
      <c r="AD32" s="231"/>
      <c r="AE32" s="1345"/>
      <c r="AF32" s="1342"/>
      <c r="AG32" s="1342"/>
      <c r="AH32" s="1342"/>
      <c r="AI32" s="1342"/>
      <c r="AJ32" s="1342"/>
      <c r="AK32" s="1344"/>
      <c r="AL32" s="1344"/>
      <c r="AM32" s="1344"/>
      <c r="AN32" s="1344"/>
      <c r="AO32" s="1344"/>
      <c r="AP32" s="1344"/>
      <c r="AQ32" s="1344"/>
      <c r="AR32" s="1344"/>
      <c r="AS32" s="1344"/>
      <c r="AT32" s="1344"/>
      <c r="AU32" s="1344"/>
      <c r="AV32" s="1344"/>
      <c r="AW32" s="1344"/>
      <c r="AX32" s="1344"/>
      <c r="AY32" s="1344"/>
      <c r="AZ32" s="1344"/>
      <c r="BA32" s="1344"/>
      <c r="BB32" s="1344"/>
      <c r="BC32" s="1344"/>
      <c r="BD32" s="1344"/>
      <c r="BE32" s="1344"/>
      <c r="BF32" s="1344"/>
      <c r="BG32" s="1344"/>
      <c r="BH32" s="1344"/>
      <c r="BI32" s="1344"/>
      <c r="BJ32" s="1344"/>
      <c r="BK32" s="1344"/>
      <c r="BL32" s="1344"/>
      <c r="BM32" s="1344"/>
      <c r="BN32" s="1344"/>
      <c r="BO32" s="1344"/>
      <c r="BP32" s="1344"/>
      <c r="BQ32" s="1344"/>
      <c r="BR32" s="1344"/>
      <c r="BS32" s="1344"/>
      <c r="BT32" s="1344"/>
      <c r="BU32" s="1344"/>
      <c r="BV32" s="1344"/>
      <c r="BW32" s="1342"/>
      <c r="BX32" s="1342"/>
      <c r="BY32" s="1342"/>
      <c r="BZ32" s="1342"/>
      <c r="CA32" s="1342"/>
      <c r="CB32" s="1343"/>
      <c r="CC32" s="223"/>
    </row>
    <row r="33" spans="3:81" ht="11.25" customHeight="1">
      <c r="C33" s="1411"/>
      <c r="D33" s="1412"/>
      <c r="E33" s="1413"/>
      <c r="F33" s="1331"/>
      <c r="G33" s="1332"/>
      <c r="H33" s="1332"/>
      <c r="I33" s="1332"/>
      <c r="J33" s="1332"/>
      <c r="K33" s="1332"/>
      <c r="L33" s="1332"/>
      <c r="M33" s="1332"/>
      <c r="N33" s="1332"/>
      <c r="O33" s="1332"/>
      <c r="P33" s="1332"/>
      <c r="Q33" s="1332"/>
      <c r="R33" s="1332"/>
      <c r="S33" s="1332"/>
      <c r="T33" s="1332"/>
      <c r="U33" s="1332"/>
      <c r="V33" s="1332"/>
      <c r="W33" s="1332"/>
      <c r="X33" s="1332"/>
      <c r="Y33" s="1332"/>
      <c r="Z33" s="1332"/>
      <c r="AA33" s="1332"/>
      <c r="AB33" s="1332"/>
      <c r="AC33" s="1333"/>
      <c r="AD33" s="231"/>
      <c r="AE33" s="1341"/>
      <c r="AF33" s="1336"/>
      <c r="AG33" s="1336"/>
      <c r="AH33" s="1336"/>
      <c r="AI33" s="1336"/>
      <c r="AJ33" s="1336"/>
      <c r="AK33" s="1339"/>
      <c r="AL33" s="1339"/>
      <c r="AM33" s="1339"/>
      <c r="AN33" s="1339"/>
      <c r="AO33" s="1339"/>
      <c r="AP33" s="1339"/>
      <c r="AQ33" s="1339"/>
      <c r="AR33" s="1339"/>
      <c r="AS33" s="1339"/>
      <c r="AT33" s="1339"/>
      <c r="AU33" s="1339"/>
      <c r="AV33" s="1339"/>
      <c r="AW33" s="1339"/>
      <c r="AX33" s="1339"/>
      <c r="AY33" s="1339"/>
      <c r="AZ33" s="1339"/>
      <c r="BA33" s="1339"/>
      <c r="BB33" s="1339"/>
      <c r="BC33" s="1339"/>
      <c r="BD33" s="1339"/>
      <c r="BE33" s="1339"/>
      <c r="BF33" s="1339"/>
      <c r="BG33" s="1339"/>
      <c r="BH33" s="1339"/>
      <c r="BI33" s="1339"/>
      <c r="BJ33" s="1339"/>
      <c r="BK33" s="1339"/>
      <c r="BL33" s="1339"/>
      <c r="BM33" s="1339"/>
      <c r="BN33" s="1339"/>
      <c r="BO33" s="1339"/>
      <c r="BP33" s="1339"/>
      <c r="BQ33" s="1339"/>
      <c r="BR33" s="1339"/>
      <c r="BS33" s="1339"/>
      <c r="BT33" s="1339"/>
      <c r="BU33" s="1339"/>
      <c r="BV33" s="1339"/>
      <c r="BW33" s="1336"/>
      <c r="BX33" s="1336"/>
      <c r="BY33" s="1336"/>
      <c r="BZ33" s="1336"/>
      <c r="CA33" s="1336"/>
      <c r="CB33" s="1337"/>
      <c r="CC33" s="223"/>
    </row>
    <row r="34" spans="3:81" ht="11.25" customHeight="1">
      <c r="C34" s="1411"/>
      <c r="D34" s="1412"/>
      <c r="E34" s="1413"/>
      <c r="F34" s="1386"/>
      <c r="G34" s="1386"/>
      <c r="H34" s="1386"/>
      <c r="I34" s="1386"/>
      <c r="J34" s="1386"/>
      <c r="K34" s="1386"/>
      <c r="L34" s="1386"/>
      <c r="M34" s="1386"/>
      <c r="N34" s="1386"/>
      <c r="O34" s="1386"/>
      <c r="P34" s="1386"/>
      <c r="Q34" s="1386"/>
      <c r="R34" s="1386"/>
      <c r="S34" s="1386"/>
      <c r="T34" s="1386"/>
      <c r="U34" s="1386"/>
      <c r="V34" s="1386"/>
      <c r="W34" s="1386"/>
      <c r="X34" s="1386"/>
      <c r="Y34" s="1386"/>
      <c r="Z34" s="1386"/>
      <c r="AA34" s="1386"/>
      <c r="AB34" s="1386"/>
      <c r="AC34" s="1387"/>
      <c r="AD34" s="231"/>
      <c r="AE34" s="1360"/>
      <c r="AF34" s="1356"/>
      <c r="AG34" s="1356"/>
      <c r="AH34" s="1356"/>
      <c r="AI34" s="1356"/>
      <c r="AJ34" s="1357"/>
      <c r="AK34" s="1360"/>
      <c r="AL34" s="1356"/>
      <c r="AM34" s="1356"/>
      <c r="AN34" s="1356"/>
      <c r="AO34" s="1356"/>
      <c r="AP34" s="1356"/>
      <c r="AQ34" s="1356"/>
      <c r="AR34" s="1356"/>
      <c r="AS34" s="1356"/>
      <c r="AT34" s="1356"/>
      <c r="AU34" s="1356"/>
      <c r="AV34" s="1356"/>
      <c r="AW34" s="1356"/>
      <c r="AX34" s="1356"/>
      <c r="AY34" s="1356"/>
      <c r="AZ34" s="1356"/>
      <c r="BA34" s="1356"/>
      <c r="BB34" s="1356"/>
      <c r="BC34" s="1356"/>
      <c r="BD34" s="1356"/>
      <c r="BE34" s="1356"/>
      <c r="BF34" s="1356"/>
      <c r="BG34" s="1356"/>
      <c r="BH34" s="1356"/>
      <c r="BI34" s="1356"/>
      <c r="BJ34" s="1357"/>
      <c r="BK34" s="1360"/>
      <c r="BL34" s="1356"/>
      <c r="BM34" s="1356"/>
      <c r="BN34" s="1356"/>
      <c r="BO34" s="1356"/>
      <c r="BP34" s="1357"/>
      <c r="BQ34" s="1360"/>
      <c r="BR34" s="1356"/>
      <c r="BS34" s="1356"/>
      <c r="BT34" s="1356"/>
      <c r="BU34" s="1356"/>
      <c r="BV34" s="1357"/>
      <c r="BW34" s="1360"/>
      <c r="BX34" s="1356"/>
      <c r="BY34" s="1356"/>
      <c r="BZ34" s="1356"/>
      <c r="CA34" s="1356"/>
      <c r="CB34" s="1357"/>
      <c r="CC34" s="223"/>
    </row>
    <row r="35" spans="3:81" ht="11.25" customHeight="1">
      <c r="C35" s="1411"/>
      <c r="D35" s="1412"/>
      <c r="E35" s="1413"/>
      <c r="F35" s="1386"/>
      <c r="G35" s="1386"/>
      <c r="H35" s="1386"/>
      <c r="I35" s="1386"/>
      <c r="J35" s="1386"/>
      <c r="K35" s="1386"/>
      <c r="L35" s="1386"/>
      <c r="M35" s="1386"/>
      <c r="N35" s="1386"/>
      <c r="O35" s="1386"/>
      <c r="P35" s="1386"/>
      <c r="Q35" s="1386"/>
      <c r="R35" s="1386"/>
      <c r="S35" s="1386"/>
      <c r="T35" s="1386"/>
      <c r="U35" s="1386"/>
      <c r="V35" s="1386"/>
      <c r="W35" s="1386"/>
      <c r="X35" s="1386"/>
      <c r="Y35" s="1386"/>
      <c r="Z35" s="1386"/>
      <c r="AA35" s="1386"/>
      <c r="AB35" s="1386"/>
      <c r="AC35" s="1387"/>
      <c r="AD35" s="231"/>
      <c r="AE35" s="1361"/>
      <c r="AF35" s="1358"/>
      <c r="AG35" s="1358"/>
      <c r="AH35" s="1358"/>
      <c r="AI35" s="1358"/>
      <c r="AJ35" s="1359"/>
      <c r="AK35" s="1361"/>
      <c r="AL35" s="1358"/>
      <c r="AM35" s="1358"/>
      <c r="AN35" s="1358"/>
      <c r="AO35" s="1358"/>
      <c r="AP35" s="1358"/>
      <c r="AQ35" s="1358"/>
      <c r="AR35" s="1358"/>
      <c r="AS35" s="1358"/>
      <c r="AT35" s="1358"/>
      <c r="AU35" s="1358"/>
      <c r="AV35" s="1358"/>
      <c r="AW35" s="1358"/>
      <c r="AX35" s="1358"/>
      <c r="AY35" s="1358"/>
      <c r="AZ35" s="1358"/>
      <c r="BA35" s="1358"/>
      <c r="BB35" s="1358"/>
      <c r="BC35" s="1358"/>
      <c r="BD35" s="1358"/>
      <c r="BE35" s="1358"/>
      <c r="BF35" s="1358"/>
      <c r="BG35" s="1358"/>
      <c r="BH35" s="1358"/>
      <c r="BI35" s="1358"/>
      <c r="BJ35" s="1359"/>
      <c r="BK35" s="1361"/>
      <c r="BL35" s="1358"/>
      <c r="BM35" s="1358"/>
      <c r="BN35" s="1358"/>
      <c r="BO35" s="1358"/>
      <c r="BP35" s="1359"/>
      <c r="BQ35" s="1361"/>
      <c r="BR35" s="1358"/>
      <c r="BS35" s="1358"/>
      <c r="BT35" s="1358"/>
      <c r="BU35" s="1358"/>
      <c r="BV35" s="1359"/>
      <c r="BW35" s="1361"/>
      <c r="BX35" s="1358"/>
      <c r="BY35" s="1358"/>
      <c r="BZ35" s="1358"/>
      <c r="CA35" s="1358"/>
      <c r="CB35" s="1359"/>
      <c r="CC35" s="223"/>
    </row>
    <row r="36" spans="3:81" ht="11.25" customHeight="1">
      <c r="C36" s="1411"/>
      <c r="D36" s="1412"/>
      <c r="E36" s="1413"/>
      <c r="F36" s="1386"/>
      <c r="G36" s="1386"/>
      <c r="H36" s="1386"/>
      <c r="I36" s="1386"/>
      <c r="J36" s="1386"/>
      <c r="K36" s="1386"/>
      <c r="L36" s="1386"/>
      <c r="M36" s="1386"/>
      <c r="N36" s="1386"/>
      <c r="O36" s="1386"/>
      <c r="P36" s="1386"/>
      <c r="Q36" s="1386"/>
      <c r="R36" s="1386"/>
      <c r="S36" s="1386"/>
      <c r="T36" s="1386"/>
      <c r="U36" s="1386"/>
      <c r="V36" s="1386"/>
      <c r="W36" s="1386"/>
      <c r="X36" s="1386"/>
      <c r="Y36" s="1386"/>
      <c r="Z36" s="1386"/>
      <c r="AA36" s="1386"/>
      <c r="AB36" s="1386"/>
      <c r="AC36" s="1387"/>
      <c r="AD36" s="231"/>
      <c r="AE36" s="1361"/>
      <c r="AF36" s="1358"/>
      <c r="AG36" s="1358"/>
      <c r="AH36" s="1358"/>
      <c r="AI36" s="1358"/>
      <c r="AJ36" s="1359"/>
      <c r="AK36" s="1361"/>
      <c r="AL36" s="1358"/>
      <c r="AM36" s="1358"/>
      <c r="AN36" s="1358"/>
      <c r="AO36" s="1358"/>
      <c r="AP36" s="1358"/>
      <c r="AQ36" s="1358"/>
      <c r="AR36" s="1358"/>
      <c r="AS36" s="1358"/>
      <c r="AT36" s="1358"/>
      <c r="AU36" s="1358"/>
      <c r="AV36" s="1358"/>
      <c r="AW36" s="1358"/>
      <c r="AX36" s="1358"/>
      <c r="AY36" s="1358"/>
      <c r="AZ36" s="1358"/>
      <c r="BA36" s="1358"/>
      <c r="BB36" s="1358"/>
      <c r="BC36" s="1358"/>
      <c r="BD36" s="1358"/>
      <c r="BE36" s="1358"/>
      <c r="BF36" s="1358"/>
      <c r="BG36" s="1358"/>
      <c r="BH36" s="1358"/>
      <c r="BI36" s="1358"/>
      <c r="BJ36" s="1359"/>
      <c r="BK36" s="1361"/>
      <c r="BL36" s="1358"/>
      <c r="BM36" s="1358"/>
      <c r="BN36" s="1358"/>
      <c r="BO36" s="1358"/>
      <c r="BP36" s="1359"/>
      <c r="BQ36" s="1361"/>
      <c r="BR36" s="1358"/>
      <c r="BS36" s="1358"/>
      <c r="BT36" s="1358"/>
      <c r="BU36" s="1358"/>
      <c r="BV36" s="1359"/>
      <c r="BW36" s="1361"/>
      <c r="BX36" s="1358"/>
      <c r="BY36" s="1358"/>
      <c r="BZ36" s="1358"/>
      <c r="CA36" s="1358"/>
      <c r="CB36" s="1359"/>
      <c r="CC36" s="223"/>
    </row>
    <row r="37" spans="3:81" ht="11.25" customHeight="1">
      <c r="C37" s="1411"/>
      <c r="D37" s="1412"/>
      <c r="E37" s="1413"/>
      <c r="F37" s="1386"/>
      <c r="G37" s="1386"/>
      <c r="H37" s="1386"/>
      <c r="I37" s="1386"/>
      <c r="J37" s="1386"/>
      <c r="K37" s="1386"/>
      <c r="L37" s="1386"/>
      <c r="M37" s="1386"/>
      <c r="N37" s="1386"/>
      <c r="O37" s="1386"/>
      <c r="P37" s="1386"/>
      <c r="Q37" s="1386"/>
      <c r="R37" s="1386"/>
      <c r="S37" s="1386"/>
      <c r="T37" s="1386"/>
      <c r="U37" s="1386"/>
      <c r="V37" s="1386"/>
      <c r="W37" s="1386"/>
      <c r="X37" s="1386"/>
      <c r="Y37" s="1386"/>
      <c r="Z37" s="1386"/>
      <c r="AA37" s="1386"/>
      <c r="AB37" s="1386"/>
      <c r="AC37" s="1387"/>
      <c r="AD37" s="231"/>
      <c r="AE37" s="1360"/>
      <c r="AF37" s="1356"/>
      <c r="AG37" s="1356"/>
      <c r="AH37" s="1356"/>
      <c r="AI37" s="1356"/>
      <c r="AJ37" s="1357"/>
      <c r="AK37" s="1360"/>
      <c r="AL37" s="1356"/>
      <c r="AM37" s="1356"/>
      <c r="AN37" s="1356"/>
      <c r="AO37" s="1356"/>
      <c r="AP37" s="1356"/>
      <c r="AQ37" s="1356"/>
      <c r="AR37" s="1356"/>
      <c r="AS37" s="1356"/>
      <c r="AT37" s="1356"/>
      <c r="AU37" s="1356"/>
      <c r="AV37" s="1356"/>
      <c r="AW37" s="1356"/>
      <c r="AX37" s="1356"/>
      <c r="AY37" s="1356"/>
      <c r="AZ37" s="1356"/>
      <c r="BA37" s="1356"/>
      <c r="BB37" s="1356"/>
      <c r="BC37" s="1356"/>
      <c r="BD37" s="1356"/>
      <c r="BE37" s="1356"/>
      <c r="BF37" s="1356"/>
      <c r="BG37" s="1356"/>
      <c r="BH37" s="1356"/>
      <c r="BI37" s="1356"/>
      <c r="BJ37" s="1357"/>
      <c r="BK37" s="1360"/>
      <c r="BL37" s="1356"/>
      <c r="BM37" s="1356"/>
      <c r="BN37" s="1356"/>
      <c r="BO37" s="1356"/>
      <c r="BP37" s="1357"/>
      <c r="BQ37" s="1360"/>
      <c r="BR37" s="1356"/>
      <c r="BS37" s="1356"/>
      <c r="BT37" s="1356"/>
      <c r="BU37" s="1356"/>
      <c r="BV37" s="1357"/>
      <c r="BW37" s="1360"/>
      <c r="BX37" s="1356"/>
      <c r="BY37" s="1356"/>
      <c r="BZ37" s="1356"/>
      <c r="CA37" s="1356"/>
      <c r="CB37" s="1357"/>
      <c r="CC37" s="223"/>
    </row>
    <row r="38" spans="3:81" ht="11.25" customHeight="1">
      <c r="C38" s="1411"/>
      <c r="D38" s="1412"/>
      <c r="E38" s="1413"/>
      <c r="F38" s="1386"/>
      <c r="G38" s="1386"/>
      <c r="H38" s="1386"/>
      <c r="I38" s="1386"/>
      <c r="J38" s="1386"/>
      <c r="K38" s="1386"/>
      <c r="L38" s="1386"/>
      <c r="M38" s="1386"/>
      <c r="N38" s="1386"/>
      <c r="O38" s="1386"/>
      <c r="P38" s="1386"/>
      <c r="Q38" s="1386"/>
      <c r="R38" s="1386"/>
      <c r="S38" s="1386"/>
      <c r="T38" s="1386"/>
      <c r="U38" s="1386"/>
      <c r="V38" s="1386"/>
      <c r="W38" s="1386"/>
      <c r="X38" s="1386"/>
      <c r="Y38" s="1386"/>
      <c r="Z38" s="1386"/>
      <c r="AA38" s="1386"/>
      <c r="AB38" s="1386"/>
      <c r="AC38" s="1387"/>
      <c r="AD38" s="231"/>
      <c r="AE38" s="1361"/>
      <c r="AF38" s="1358"/>
      <c r="AG38" s="1358"/>
      <c r="AH38" s="1358"/>
      <c r="AI38" s="1358"/>
      <c r="AJ38" s="1359"/>
      <c r="AK38" s="1361"/>
      <c r="AL38" s="1358"/>
      <c r="AM38" s="1358"/>
      <c r="AN38" s="1358"/>
      <c r="AO38" s="1358"/>
      <c r="AP38" s="1358"/>
      <c r="AQ38" s="1358"/>
      <c r="AR38" s="1358"/>
      <c r="AS38" s="1358"/>
      <c r="AT38" s="1358"/>
      <c r="AU38" s="1358"/>
      <c r="AV38" s="1358"/>
      <c r="AW38" s="1358"/>
      <c r="AX38" s="1358"/>
      <c r="AY38" s="1358"/>
      <c r="AZ38" s="1358"/>
      <c r="BA38" s="1358"/>
      <c r="BB38" s="1358"/>
      <c r="BC38" s="1358"/>
      <c r="BD38" s="1358"/>
      <c r="BE38" s="1358"/>
      <c r="BF38" s="1358"/>
      <c r="BG38" s="1358"/>
      <c r="BH38" s="1358"/>
      <c r="BI38" s="1358"/>
      <c r="BJ38" s="1359"/>
      <c r="BK38" s="1361"/>
      <c r="BL38" s="1358"/>
      <c r="BM38" s="1358"/>
      <c r="BN38" s="1358"/>
      <c r="BO38" s="1358"/>
      <c r="BP38" s="1359"/>
      <c r="BQ38" s="1361"/>
      <c r="BR38" s="1358"/>
      <c r="BS38" s="1358"/>
      <c r="BT38" s="1358"/>
      <c r="BU38" s="1358"/>
      <c r="BV38" s="1359"/>
      <c r="BW38" s="1361"/>
      <c r="BX38" s="1358"/>
      <c r="BY38" s="1358"/>
      <c r="BZ38" s="1358"/>
      <c r="CA38" s="1358"/>
      <c r="CB38" s="1359"/>
      <c r="CC38" s="223"/>
    </row>
    <row r="39" spans="3:81" ht="11.25" customHeight="1">
      <c r="C39" s="1411"/>
      <c r="D39" s="1412"/>
      <c r="E39" s="1413"/>
      <c r="F39" s="1386"/>
      <c r="G39" s="1386"/>
      <c r="H39" s="1386"/>
      <c r="I39" s="1386"/>
      <c r="J39" s="1386"/>
      <c r="K39" s="1386"/>
      <c r="L39" s="1386"/>
      <c r="M39" s="1386"/>
      <c r="N39" s="1386"/>
      <c r="O39" s="1386"/>
      <c r="P39" s="1386"/>
      <c r="Q39" s="1386"/>
      <c r="R39" s="1386"/>
      <c r="S39" s="1386"/>
      <c r="T39" s="1386"/>
      <c r="U39" s="1386"/>
      <c r="V39" s="1386"/>
      <c r="W39" s="1386"/>
      <c r="X39" s="1386"/>
      <c r="Y39" s="1386"/>
      <c r="Z39" s="1386"/>
      <c r="AA39" s="1386"/>
      <c r="AB39" s="1386"/>
      <c r="AC39" s="1387"/>
      <c r="AD39" s="231"/>
      <c r="AE39" s="1361"/>
      <c r="AF39" s="1358"/>
      <c r="AG39" s="1358"/>
      <c r="AH39" s="1358"/>
      <c r="AI39" s="1358"/>
      <c r="AJ39" s="1359"/>
      <c r="AK39" s="1361"/>
      <c r="AL39" s="1358"/>
      <c r="AM39" s="1358"/>
      <c r="AN39" s="1358"/>
      <c r="AO39" s="1358"/>
      <c r="AP39" s="1358"/>
      <c r="AQ39" s="1358"/>
      <c r="AR39" s="1358"/>
      <c r="AS39" s="1358"/>
      <c r="AT39" s="1358"/>
      <c r="AU39" s="1358"/>
      <c r="AV39" s="1358"/>
      <c r="AW39" s="1358"/>
      <c r="AX39" s="1358"/>
      <c r="AY39" s="1358"/>
      <c r="AZ39" s="1358"/>
      <c r="BA39" s="1358"/>
      <c r="BB39" s="1358"/>
      <c r="BC39" s="1358"/>
      <c r="BD39" s="1358"/>
      <c r="BE39" s="1358"/>
      <c r="BF39" s="1358"/>
      <c r="BG39" s="1358"/>
      <c r="BH39" s="1358"/>
      <c r="BI39" s="1358"/>
      <c r="BJ39" s="1359"/>
      <c r="BK39" s="1361"/>
      <c r="BL39" s="1358"/>
      <c r="BM39" s="1358"/>
      <c r="BN39" s="1358"/>
      <c r="BO39" s="1358"/>
      <c r="BP39" s="1359"/>
      <c r="BQ39" s="1361"/>
      <c r="BR39" s="1358"/>
      <c r="BS39" s="1358"/>
      <c r="BT39" s="1358"/>
      <c r="BU39" s="1358"/>
      <c r="BV39" s="1359"/>
      <c r="BW39" s="1361"/>
      <c r="BX39" s="1358"/>
      <c r="BY39" s="1358"/>
      <c r="BZ39" s="1358"/>
      <c r="CA39" s="1358"/>
      <c r="CB39" s="1359"/>
      <c r="CC39" s="223"/>
    </row>
    <row r="40" spans="3:81" ht="11.25" customHeight="1">
      <c r="C40" s="1411"/>
      <c r="D40" s="1412"/>
      <c r="E40" s="1413"/>
      <c r="F40" s="1386"/>
      <c r="G40" s="1386"/>
      <c r="H40" s="1386"/>
      <c r="I40" s="1386"/>
      <c r="J40" s="1386"/>
      <c r="K40" s="1386"/>
      <c r="L40" s="1386"/>
      <c r="M40" s="1386"/>
      <c r="N40" s="1386"/>
      <c r="O40" s="1386"/>
      <c r="P40" s="1386"/>
      <c r="Q40" s="1386"/>
      <c r="R40" s="1386"/>
      <c r="S40" s="1386"/>
      <c r="T40" s="1386"/>
      <c r="U40" s="1386"/>
      <c r="V40" s="1386"/>
      <c r="W40" s="1386"/>
      <c r="X40" s="1386"/>
      <c r="Y40" s="1386"/>
      <c r="Z40" s="1386"/>
      <c r="AA40" s="1386"/>
      <c r="AB40" s="1386"/>
      <c r="AC40" s="1387"/>
      <c r="AD40" s="231"/>
      <c r="AE40" s="1360"/>
      <c r="AF40" s="1356"/>
      <c r="AG40" s="1356"/>
      <c r="AH40" s="1356"/>
      <c r="AI40" s="1356"/>
      <c r="AJ40" s="1357"/>
      <c r="AK40" s="1360"/>
      <c r="AL40" s="1356"/>
      <c r="AM40" s="1356"/>
      <c r="AN40" s="1356"/>
      <c r="AO40" s="1356"/>
      <c r="AP40" s="1356"/>
      <c r="AQ40" s="1356"/>
      <c r="AR40" s="1356"/>
      <c r="AS40" s="1356"/>
      <c r="AT40" s="1356"/>
      <c r="AU40" s="1356"/>
      <c r="AV40" s="1356"/>
      <c r="AW40" s="1356"/>
      <c r="AX40" s="1356"/>
      <c r="AY40" s="1356"/>
      <c r="AZ40" s="1356"/>
      <c r="BA40" s="1356"/>
      <c r="BB40" s="1356"/>
      <c r="BC40" s="1356"/>
      <c r="BD40" s="1356"/>
      <c r="BE40" s="1356"/>
      <c r="BF40" s="1356"/>
      <c r="BG40" s="1356"/>
      <c r="BH40" s="1356"/>
      <c r="BI40" s="1356"/>
      <c r="BJ40" s="1357"/>
      <c r="BK40" s="1360"/>
      <c r="BL40" s="1356"/>
      <c r="BM40" s="1356"/>
      <c r="BN40" s="1356"/>
      <c r="BO40" s="1356"/>
      <c r="BP40" s="1357"/>
      <c r="BQ40" s="1360"/>
      <c r="BR40" s="1356"/>
      <c r="BS40" s="1356"/>
      <c r="BT40" s="1356"/>
      <c r="BU40" s="1356"/>
      <c r="BV40" s="1357"/>
      <c r="BW40" s="1360"/>
      <c r="BX40" s="1356"/>
      <c r="BY40" s="1356"/>
      <c r="BZ40" s="1356"/>
      <c r="CA40" s="1356"/>
      <c r="CB40" s="1357"/>
      <c r="CC40" s="223"/>
    </row>
    <row r="41" spans="3:81" ht="11.25" customHeight="1">
      <c r="C41" s="1411"/>
      <c r="D41" s="1412"/>
      <c r="E41" s="1413"/>
      <c r="F41" s="1386"/>
      <c r="G41" s="1386"/>
      <c r="H41" s="1386"/>
      <c r="I41" s="1386"/>
      <c r="J41" s="1386"/>
      <c r="K41" s="1386"/>
      <c r="L41" s="1386"/>
      <c r="M41" s="1386"/>
      <c r="N41" s="1386"/>
      <c r="O41" s="1386"/>
      <c r="P41" s="1386"/>
      <c r="Q41" s="1386"/>
      <c r="R41" s="1386"/>
      <c r="S41" s="1386"/>
      <c r="T41" s="1386"/>
      <c r="U41" s="1386"/>
      <c r="V41" s="1386"/>
      <c r="W41" s="1386"/>
      <c r="X41" s="1386"/>
      <c r="Y41" s="1386"/>
      <c r="Z41" s="1386"/>
      <c r="AA41" s="1386"/>
      <c r="AB41" s="1386"/>
      <c r="AC41" s="1387"/>
      <c r="AD41" s="231"/>
      <c r="AE41" s="1361"/>
      <c r="AF41" s="1358"/>
      <c r="AG41" s="1358"/>
      <c r="AH41" s="1358"/>
      <c r="AI41" s="1358"/>
      <c r="AJ41" s="1359"/>
      <c r="AK41" s="1361"/>
      <c r="AL41" s="1358"/>
      <c r="AM41" s="1358"/>
      <c r="AN41" s="1358"/>
      <c r="AO41" s="1358"/>
      <c r="AP41" s="1358"/>
      <c r="AQ41" s="1358"/>
      <c r="AR41" s="1358"/>
      <c r="AS41" s="1358"/>
      <c r="AT41" s="1358"/>
      <c r="AU41" s="1358"/>
      <c r="AV41" s="1358"/>
      <c r="AW41" s="1358"/>
      <c r="AX41" s="1358"/>
      <c r="AY41" s="1358"/>
      <c r="AZ41" s="1358"/>
      <c r="BA41" s="1358"/>
      <c r="BB41" s="1358"/>
      <c r="BC41" s="1358"/>
      <c r="BD41" s="1358"/>
      <c r="BE41" s="1358"/>
      <c r="BF41" s="1358"/>
      <c r="BG41" s="1358"/>
      <c r="BH41" s="1358"/>
      <c r="BI41" s="1358"/>
      <c r="BJ41" s="1359"/>
      <c r="BK41" s="1361"/>
      <c r="BL41" s="1358"/>
      <c r="BM41" s="1358"/>
      <c r="BN41" s="1358"/>
      <c r="BO41" s="1358"/>
      <c r="BP41" s="1359"/>
      <c r="BQ41" s="1361"/>
      <c r="BR41" s="1358"/>
      <c r="BS41" s="1358"/>
      <c r="BT41" s="1358"/>
      <c r="BU41" s="1358"/>
      <c r="BV41" s="1359"/>
      <c r="BW41" s="1361"/>
      <c r="BX41" s="1358"/>
      <c r="BY41" s="1358"/>
      <c r="BZ41" s="1358"/>
      <c r="CA41" s="1358"/>
      <c r="CB41" s="1359"/>
      <c r="CC41" s="223"/>
    </row>
    <row r="42" spans="3:81" ht="11.25" customHeight="1">
      <c r="C42" s="1411"/>
      <c r="D42" s="1412"/>
      <c r="E42" s="1413"/>
      <c r="F42" s="1386"/>
      <c r="G42" s="1386"/>
      <c r="H42" s="1386"/>
      <c r="I42" s="1386"/>
      <c r="J42" s="1386"/>
      <c r="K42" s="1386"/>
      <c r="L42" s="1386"/>
      <c r="M42" s="1386"/>
      <c r="N42" s="1386"/>
      <c r="O42" s="1386"/>
      <c r="P42" s="1386"/>
      <c r="Q42" s="1386"/>
      <c r="R42" s="1386"/>
      <c r="S42" s="1386"/>
      <c r="T42" s="1386"/>
      <c r="U42" s="1386"/>
      <c r="V42" s="1386"/>
      <c r="W42" s="1386"/>
      <c r="X42" s="1386"/>
      <c r="Y42" s="1386"/>
      <c r="Z42" s="1386"/>
      <c r="AA42" s="1386"/>
      <c r="AB42" s="1386"/>
      <c r="AC42" s="1387"/>
      <c r="AD42" s="231"/>
      <c r="AE42" s="1366"/>
      <c r="AF42" s="1365"/>
      <c r="AG42" s="1365"/>
      <c r="AH42" s="1365"/>
      <c r="AI42" s="1365"/>
      <c r="AJ42" s="1371"/>
      <c r="AK42" s="1366"/>
      <c r="AL42" s="1365"/>
      <c r="AM42" s="1365"/>
      <c r="AN42" s="1365"/>
      <c r="AO42" s="1365"/>
      <c r="AP42" s="1365"/>
      <c r="AQ42" s="1365"/>
      <c r="AR42" s="1365"/>
      <c r="AS42" s="1365"/>
      <c r="AT42" s="1365"/>
      <c r="AU42" s="1365"/>
      <c r="AV42" s="1365"/>
      <c r="AW42" s="1365"/>
      <c r="AX42" s="1365"/>
      <c r="AY42" s="1365"/>
      <c r="AZ42" s="1365"/>
      <c r="BA42" s="1365"/>
      <c r="BB42" s="1365"/>
      <c r="BC42" s="1365"/>
      <c r="BD42" s="1365"/>
      <c r="BE42" s="1365"/>
      <c r="BF42" s="1365"/>
      <c r="BG42" s="1365"/>
      <c r="BH42" s="1365"/>
      <c r="BI42" s="1365"/>
      <c r="BJ42" s="1371"/>
      <c r="BK42" s="1366"/>
      <c r="BL42" s="1365"/>
      <c r="BM42" s="1365"/>
      <c r="BN42" s="1365"/>
      <c r="BO42" s="1365"/>
      <c r="BP42" s="1371"/>
      <c r="BQ42" s="1366"/>
      <c r="BR42" s="1365"/>
      <c r="BS42" s="1365"/>
      <c r="BT42" s="1365"/>
      <c r="BU42" s="1365"/>
      <c r="BV42" s="1371"/>
      <c r="BW42" s="1366"/>
      <c r="BX42" s="1365"/>
      <c r="BY42" s="1365"/>
      <c r="BZ42" s="1365"/>
      <c r="CA42" s="1365"/>
      <c r="CB42" s="1371"/>
      <c r="CC42" s="223"/>
    </row>
    <row r="43" spans="3:81" ht="11.25" customHeight="1">
      <c r="C43" s="1411"/>
      <c r="D43" s="1412"/>
      <c r="E43" s="1413"/>
      <c r="F43" s="840" t="str">
        <f>VLOOKUP(10019,Languages!$A$5:$C$1032,Languages!$A$2,FALSE)</f>
        <v>Identification o.k. delivery (single part, assembly, handling unit, ...)</v>
      </c>
      <c r="G43" s="841"/>
      <c r="H43" s="841"/>
      <c r="I43" s="841"/>
      <c r="J43" s="841"/>
      <c r="K43" s="841"/>
      <c r="L43" s="841"/>
      <c r="M43" s="841"/>
      <c r="N43" s="841"/>
      <c r="O43" s="841"/>
      <c r="P43" s="841"/>
      <c r="Q43" s="841"/>
      <c r="R43" s="841"/>
      <c r="S43" s="841"/>
      <c r="T43" s="841"/>
      <c r="U43" s="841"/>
      <c r="V43" s="841"/>
      <c r="W43" s="841"/>
      <c r="X43" s="841"/>
      <c r="Y43" s="841"/>
      <c r="Z43" s="841"/>
      <c r="AA43" s="841"/>
      <c r="AB43" s="841"/>
      <c r="AC43" s="842"/>
      <c r="AD43" s="231"/>
      <c r="AE43" s="1345"/>
      <c r="AF43" s="1342"/>
      <c r="AG43" s="1342"/>
      <c r="AH43" s="1342"/>
      <c r="AI43" s="1342"/>
      <c r="AJ43" s="1342"/>
      <c r="AK43" s="1344"/>
      <c r="AL43" s="1344"/>
      <c r="AM43" s="1344"/>
      <c r="AN43" s="1344"/>
      <c r="AO43" s="1344"/>
      <c r="AP43" s="1344"/>
      <c r="AQ43" s="1344"/>
      <c r="AR43" s="1344"/>
      <c r="AS43" s="1344"/>
      <c r="AT43" s="1344"/>
      <c r="AU43" s="1344"/>
      <c r="AV43" s="1344"/>
      <c r="AW43" s="1344"/>
      <c r="AX43" s="1344"/>
      <c r="AY43" s="1344"/>
      <c r="AZ43" s="1344"/>
      <c r="BA43" s="1344"/>
      <c r="BB43" s="1344"/>
      <c r="BC43" s="1344"/>
      <c r="BD43" s="1344"/>
      <c r="BE43" s="1344"/>
      <c r="BF43" s="1344"/>
      <c r="BG43" s="1344"/>
      <c r="BH43" s="1344"/>
      <c r="BI43" s="1344"/>
      <c r="BJ43" s="1344"/>
      <c r="BK43" s="1344"/>
      <c r="BL43" s="1344"/>
      <c r="BM43" s="1344"/>
      <c r="BN43" s="1344"/>
      <c r="BO43" s="1344"/>
      <c r="BP43" s="1344"/>
      <c r="BQ43" s="1344"/>
      <c r="BR43" s="1344"/>
      <c r="BS43" s="1344"/>
      <c r="BT43" s="1344"/>
      <c r="BU43" s="1344"/>
      <c r="BV43" s="1344"/>
      <c r="BW43" s="1342"/>
      <c r="BX43" s="1342"/>
      <c r="BY43" s="1342"/>
      <c r="BZ43" s="1342"/>
      <c r="CA43" s="1342"/>
      <c r="CB43" s="1343"/>
      <c r="CC43" s="223"/>
    </row>
    <row r="44" spans="3:81" ht="11.25" customHeight="1">
      <c r="C44" s="1411"/>
      <c r="D44" s="1412"/>
      <c r="E44" s="1413"/>
      <c r="F44" s="1331"/>
      <c r="G44" s="1332"/>
      <c r="H44" s="1332"/>
      <c r="I44" s="1332"/>
      <c r="J44" s="1332"/>
      <c r="K44" s="1332"/>
      <c r="L44" s="1332"/>
      <c r="M44" s="1332"/>
      <c r="N44" s="1332"/>
      <c r="O44" s="1332"/>
      <c r="P44" s="1332"/>
      <c r="Q44" s="1332"/>
      <c r="R44" s="1332"/>
      <c r="S44" s="1332"/>
      <c r="T44" s="1332"/>
      <c r="U44" s="1332"/>
      <c r="V44" s="1332"/>
      <c r="W44" s="1332"/>
      <c r="X44" s="1332"/>
      <c r="Y44" s="1332"/>
      <c r="Z44" s="1332"/>
      <c r="AA44" s="1332"/>
      <c r="AB44" s="1332"/>
      <c r="AC44" s="1333"/>
      <c r="AD44" s="231"/>
      <c r="AE44" s="1341"/>
      <c r="AF44" s="1336"/>
      <c r="AG44" s="1336"/>
      <c r="AH44" s="1336"/>
      <c r="AI44" s="1336"/>
      <c r="AJ44" s="1336"/>
      <c r="AK44" s="1339"/>
      <c r="AL44" s="1339"/>
      <c r="AM44" s="1339"/>
      <c r="AN44" s="1339"/>
      <c r="AO44" s="1339"/>
      <c r="AP44" s="1339"/>
      <c r="AQ44" s="1339"/>
      <c r="AR44" s="1339"/>
      <c r="AS44" s="1339"/>
      <c r="AT44" s="1339"/>
      <c r="AU44" s="1339"/>
      <c r="AV44" s="1339"/>
      <c r="AW44" s="1339"/>
      <c r="AX44" s="1339"/>
      <c r="AY44" s="1339"/>
      <c r="AZ44" s="1339"/>
      <c r="BA44" s="1339"/>
      <c r="BB44" s="1339"/>
      <c r="BC44" s="1339"/>
      <c r="BD44" s="1339"/>
      <c r="BE44" s="1339"/>
      <c r="BF44" s="1339"/>
      <c r="BG44" s="1339"/>
      <c r="BH44" s="1339"/>
      <c r="BI44" s="1339"/>
      <c r="BJ44" s="1339"/>
      <c r="BK44" s="1339"/>
      <c r="BL44" s="1339"/>
      <c r="BM44" s="1339"/>
      <c r="BN44" s="1339"/>
      <c r="BO44" s="1339"/>
      <c r="BP44" s="1339"/>
      <c r="BQ44" s="1339"/>
      <c r="BR44" s="1339"/>
      <c r="BS44" s="1339"/>
      <c r="BT44" s="1339"/>
      <c r="BU44" s="1339"/>
      <c r="BV44" s="1339"/>
      <c r="BW44" s="1336"/>
      <c r="BX44" s="1336"/>
      <c r="BY44" s="1336"/>
      <c r="BZ44" s="1336"/>
      <c r="CA44" s="1336"/>
      <c r="CB44" s="1337"/>
      <c r="CC44" s="223"/>
    </row>
    <row r="45" spans="3:81" ht="11.25" customHeight="1">
      <c r="C45" s="1411"/>
      <c r="D45" s="1412"/>
      <c r="E45" s="1413"/>
      <c r="F45" s="1386"/>
      <c r="G45" s="1386"/>
      <c r="H45" s="1386"/>
      <c r="I45" s="1386"/>
      <c r="J45" s="1386"/>
      <c r="K45" s="1386"/>
      <c r="L45" s="1386"/>
      <c r="M45" s="1386"/>
      <c r="N45" s="1386"/>
      <c r="O45" s="1386"/>
      <c r="P45" s="1386"/>
      <c r="Q45" s="1386"/>
      <c r="R45" s="1386"/>
      <c r="S45" s="1386"/>
      <c r="T45" s="1386"/>
      <c r="U45" s="1386"/>
      <c r="V45" s="1386"/>
      <c r="W45" s="1386"/>
      <c r="X45" s="1386"/>
      <c r="Y45" s="1386"/>
      <c r="Z45" s="1386"/>
      <c r="AA45" s="1386"/>
      <c r="AB45" s="1386"/>
      <c r="AC45" s="1387"/>
      <c r="AD45" s="231"/>
      <c r="AE45" s="1360"/>
      <c r="AF45" s="1356"/>
      <c r="AG45" s="1356"/>
      <c r="AH45" s="1356"/>
      <c r="AI45" s="1356"/>
      <c r="AJ45" s="1357"/>
      <c r="AK45" s="1360"/>
      <c r="AL45" s="1356"/>
      <c r="AM45" s="1356"/>
      <c r="AN45" s="1356"/>
      <c r="AO45" s="1356"/>
      <c r="AP45" s="1356"/>
      <c r="AQ45" s="1356"/>
      <c r="AR45" s="1356"/>
      <c r="AS45" s="1356"/>
      <c r="AT45" s="1356"/>
      <c r="AU45" s="1356"/>
      <c r="AV45" s="1356"/>
      <c r="AW45" s="1356"/>
      <c r="AX45" s="1356"/>
      <c r="AY45" s="1356"/>
      <c r="AZ45" s="1356"/>
      <c r="BA45" s="1356"/>
      <c r="BB45" s="1356"/>
      <c r="BC45" s="1356"/>
      <c r="BD45" s="1356"/>
      <c r="BE45" s="1356"/>
      <c r="BF45" s="1356"/>
      <c r="BG45" s="1356"/>
      <c r="BH45" s="1356"/>
      <c r="BI45" s="1356"/>
      <c r="BJ45" s="1357"/>
      <c r="BK45" s="1360"/>
      <c r="BL45" s="1356"/>
      <c r="BM45" s="1356"/>
      <c r="BN45" s="1356"/>
      <c r="BO45" s="1356"/>
      <c r="BP45" s="1357"/>
      <c r="BQ45" s="1360"/>
      <c r="BR45" s="1356"/>
      <c r="BS45" s="1356"/>
      <c r="BT45" s="1356"/>
      <c r="BU45" s="1356"/>
      <c r="BV45" s="1357"/>
      <c r="BW45" s="1360"/>
      <c r="BX45" s="1356"/>
      <c r="BY45" s="1356"/>
      <c r="BZ45" s="1356"/>
      <c r="CA45" s="1356"/>
      <c r="CB45" s="1357"/>
      <c r="CC45" s="223"/>
    </row>
    <row r="46" spans="3:81" ht="11.25" customHeight="1">
      <c r="C46" s="1411"/>
      <c r="D46" s="1412"/>
      <c r="E46" s="1413"/>
      <c r="F46" s="1386"/>
      <c r="G46" s="1386"/>
      <c r="H46" s="1386"/>
      <c r="I46" s="1386"/>
      <c r="J46" s="1386"/>
      <c r="K46" s="1386"/>
      <c r="L46" s="1386"/>
      <c r="M46" s="1386"/>
      <c r="N46" s="1386"/>
      <c r="O46" s="1386"/>
      <c r="P46" s="1386"/>
      <c r="Q46" s="1386"/>
      <c r="R46" s="1386"/>
      <c r="S46" s="1386"/>
      <c r="T46" s="1386"/>
      <c r="U46" s="1386"/>
      <c r="V46" s="1386"/>
      <c r="W46" s="1386"/>
      <c r="X46" s="1386"/>
      <c r="Y46" s="1386"/>
      <c r="Z46" s="1386"/>
      <c r="AA46" s="1386"/>
      <c r="AB46" s="1386"/>
      <c r="AC46" s="1387"/>
      <c r="AD46" s="231"/>
      <c r="AE46" s="1361"/>
      <c r="AF46" s="1358"/>
      <c r="AG46" s="1358"/>
      <c r="AH46" s="1358"/>
      <c r="AI46" s="1358"/>
      <c r="AJ46" s="1359"/>
      <c r="AK46" s="1361"/>
      <c r="AL46" s="1358"/>
      <c r="AM46" s="1358"/>
      <c r="AN46" s="1358"/>
      <c r="AO46" s="1358"/>
      <c r="AP46" s="1358"/>
      <c r="AQ46" s="1358"/>
      <c r="AR46" s="1358"/>
      <c r="AS46" s="1358"/>
      <c r="AT46" s="1358"/>
      <c r="AU46" s="1358"/>
      <c r="AV46" s="1358"/>
      <c r="AW46" s="1358"/>
      <c r="AX46" s="1358"/>
      <c r="AY46" s="1358"/>
      <c r="AZ46" s="1358"/>
      <c r="BA46" s="1358"/>
      <c r="BB46" s="1358"/>
      <c r="BC46" s="1358"/>
      <c r="BD46" s="1358"/>
      <c r="BE46" s="1358"/>
      <c r="BF46" s="1358"/>
      <c r="BG46" s="1358"/>
      <c r="BH46" s="1358"/>
      <c r="BI46" s="1358"/>
      <c r="BJ46" s="1359"/>
      <c r="BK46" s="1361"/>
      <c r="BL46" s="1358"/>
      <c r="BM46" s="1358"/>
      <c r="BN46" s="1358"/>
      <c r="BO46" s="1358"/>
      <c r="BP46" s="1359"/>
      <c r="BQ46" s="1361"/>
      <c r="BR46" s="1358"/>
      <c r="BS46" s="1358"/>
      <c r="BT46" s="1358"/>
      <c r="BU46" s="1358"/>
      <c r="BV46" s="1359"/>
      <c r="BW46" s="1361"/>
      <c r="BX46" s="1358"/>
      <c r="BY46" s="1358"/>
      <c r="BZ46" s="1358"/>
      <c r="CA46" s="1358"/>
      <c r="CB46" s="1359"/>
      <c r="CC46" s="223"/>
    </row>
    <row r="47" spans="3:81" ht="11.25" customHeight="1">
      <c r="C47" s="1411"/>
      <c r="D47" s="1412"/>
      <c r="E47" s="1413"/>
      <c r="F47" s="1386"/>
      <c r="G47" s="1386"/>
      <c r="H47" s="1386"/>
      <c r="I47" s="1386"/>
      <c r="J47" s="1386"/>
      <c r="K47" s="1386"/>
      <c r="L47" s="1386"/>
      <c r="M47" s="1386"/>
      <c r="N47" s="1386"/>
      <c r="O47" s="1386"/>
      <c r="P47" s="1386"/>
      <c r="Q47" s="1386"/>
      <c r="R47" s="1386"/>
      <c r="S47" s="1386"/>
      <c r="T47" s="1386"/>
      <c r="U47" s="1386"/>
      <c r="V47" s="1386"/>
      <c r="W47" s="1386"/>
      <c r="X47" s="1386"/>
      <c r="Y47" s="1386"/>
      <c r="Z47" s="1386"/>
      <c r="AA47" s="1386"/>
      <c r="AB47" s="1386"/>
      <c r="AC47" s="1387"/>
      <c r="AD47" s="231"/>
      <c r="AE47" s="1361"/>
      <c r="AF47" s="1358"/>
      <c r="AG47" s="1358"/>
      <c r="AH47" s="1358"/>
      <c r="AI47" s="1358"/>
      <c r="AJ47" s="1359"/>
      <c r="AK47" s="1361"/>
      <c r="AL47" s="1358"/>
      <c r="AM47" s="1358"/>
      <c r="AN47" s="1358"/>
      <c r="AO47" s="1358"/>
      <c r="AP47" s="1358"/>
      <c r="AQ47" s="1358"/>
      <c r="AR47" s="1358"/>
      <c r="AS47" s="1358"/>
      <c r="AT47" s="1358"/>
      <c r="AU47" s="1358"/>
      <c r="AV47" s="1358"/>
      <c r="AW47" s="1358"/>
      <c r="AX47" s="1358"/>
      <c r="AY47" s="1358"/>
      <c r="AZ47" s="1358"/>
      <c r="BA47" s="1358"/>
      <c r="BB47" s="1358"/>
      <c r="BC47" s="1358"/>
      <c r="BD47" s="1358"/>
      <c r="BE47" s="1358"/>
      <c r="BF47" s="1358"/>
      <c r="BG47" s="1358"/>
      <c r="BH47" s="1358"/>
      <c r="BI47" s="1358"/>
      <c r="BJ47" s="1359"/>
      <c r="BK47" s="1361"/>
      <c r="BL47" s="1358"/>
      <c r="BM47" s="1358"/>
      <c r="BN47" s="1358"/>
      <c r="BO47" s="1358"/>
      <c r="BP47" s="1359"/>
      <c r="BQ47" s="1361"/>
      <c r="BR47" s="1358"/>
      <c r="BS47" s="1358"/>
      <c r="BT47" s="1358"/>
      <c r="BU47" s="1358"/>
      <c r="BV47" s="1359"/>
      <c r="BW47" s="1361"/>
      <c r="BX47" s="1358"/>
      <c r="BY47" s="1358"/>
      <c r="BZ47" s="1358"/>
      <c r="CA47" s="1358"/>
      <c r="CB47" s="1359"/>
      <c r="CC47" s="223"/>
    </row>
    <row r="48" spans="3:81" ht="11.25" customHeight="1">
      <c r="C48" s="238"/>
      <c r="D48" s="230"/>
      <c r="E48" s="230"/>
      <c r="F48" s="230"/>
      <c r="G48" s="230"/>
      <c r="H48" s="230"/>
      <c r="I48" s="230"/>
      <c r="J48" s="230"/>
      <c r="K48" s="230"/>
      <c r="L48" s="230"/>
      <c r="M48" s="230"/>
      <c r="N48" s="230"/>
      <c r="O48" s="230"/>
      <c r="P48" s="230"/>
      <c r="Q48" s="230"/>
      <c r="R48" s="230"/>
      <c r="S48" s="230"/>
      <c r="T48" s="230"/>
      <c r="U48" s="230"/>
      <c r="V48" s="230"/>
      <c r="W48" s="230"/>
      <c r="X48" s="230"/>
      <c r="Y48" s="230"/>
      <c r="Z48" s="230"/>
      <c r="AA48" s="230"/>
      <c r="AB48" s="230"/>
      <c r="AC48" s="230"/>
      <c r="AD48" s="232"/>
      <c r="AE48" s="233"/>
      <c r="AF48" s="234"/>
      <c r="AG48" s="234"/>
      <c r="AH48" s="234"/>
      <c r="AI48" s="234"/>
      <c r="AJ48" s="236"/>
      <c r="AK48" s="237"/>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6"/>
      <c r="BK48" s="237"/>
      <c r="BL48" s="234"/>
      <c r="BM48" s="234"/>
      <c r="BN48" s="234"/>
      <c r="BO48" s="234"/>
      <c r="BP48" s="236"/>
      <c r="BQ48" s="237"/>
      <c r="BR48" s="234"/>
      <c r="BS48" s="234"/>
      <c r="BT48" s="234"/>
      <c r="BU48" s="234"/>
      <c r="BV48" s="236"/>
      <c r="BW48" s="237"/>
      <c r="BX48" s="234"/>
      <c r="BY48" s="234"/>
      <c r="BZ48" s="234"/>
      <c r="CA48" s="234"/>
      <c r="CB48" s="235"/>
      <c r="CC48" s="218"/>
    </row>
    <row r="49" spans="3:81" ht="11.25" customHeight="1">
      <c r="C49" s="1411" t="str">
        <f>VLOOKUP(10020,Languages!$A$5:$C$1032,Languages!$A$2,FALSE)</f>
        <v>Corrective Actions</v>
      </c>
      <c r="D49" s="1412"/>
      <c r="E49" s="1413"/>
      <c r="F49" s="840" t="str">
        <f>VLOOKUP(10021,Languages!$A$5:$C$1032,Languages!$A$2,FALSE)</f>
        <v>Actions against failure occurrence or failure cause respectively (product / process, technical solutions,…)</v>
      </c>
      <c r="G49" s="841"/>
      <c r="H49" s="841"/>
      <c r="I49" s="841"/>
      <c r="J49" s="841"/>
      <c r="K49" s="841"/>
      <c r="L49" s="841"/>
      <c r="M49" s="841"/>
      <c r="N49" s="841"/>
      <c r="O49" s="841"/>
      <c r="P49" s="841"/>
      <c r="Q49" s="841"/>
      <c r="R49" s="841"/>
      <c r="S49" s="841"/>
      <c r="T49" s="841"/>
      <c r="U49" s="841"/>
      <c r="V49" s="841"/>
      <c r="W49" s="841"/>
      <c r="X49" s="841"/>
      <c r="Y49" s="841"/>
      <c r="Z49" s="841"/>
      <c r="AA49" s="841"/>
      <c r="AB49" s="841"/>
      <c r="AC49" s="842"/>
      <c r="AD49" s="231"/>
      <c r="AE49" s="1352"/>
      <c r="AF49" s="1347"/>
      <c r="AG49" s="1347"/>
      <c r="AH49" s="1347"/>
      <c r="AI49" s="1347"/>
      <c r="AJ49" s="1348"/>
      <c r="AK49" s="1346"/>
      <c r="AL49" s="1347"/>
      <c r="AM49" s="1347"/>
      <c r="AN49" s="1347"/>
      <c r="AO49" s="1347"/>
      <c r="AP49" s="1347"/>
      <c r="AQ49" s="1347"/>
      <c r="AR49" s="1347"/>
      <c r="AS49" s="1347"/>
      <c r="AT49" s="1347"/>
      <c r="AU49" s="1347"/>
      <c r="AV49" s="1347"/>
      <c r="AW49" s="1347"/>
      <c r="AX49" s="1347"/>
      <c r="AY49" s="1347"/>
      <c r="AZ49" s="1347"/>
      <c r="BA49" s="1347"/>
      <c r="BB49" s="1347"/>
      <c r="BC49" s="1347"/>
      <c r="BD49" s="1347"/>
      <c r="BE49" s="1347"/>
      <c r="BF49" s="1347"/>
      <c r="BG49" s="1347"/>
      <c r="BH49" s="1347"/>
      <c r="BI49" s="1347"/>
      <c r="BJ49" s="1348"/>
      <c r="BK49" s="1346"/>
      <c r="BL49" s="1347"/>
      <c r="BM49" s="1347"/>
      <c r="BN49" s="1347"/>
      <c r="BO49" s="1347"/>
      <c r="BP49" s="1348"/>
      <c r="BQ49" s="1346"/>
      <c r="BR49" s="1347"/>
      <c r="BS49" s="1347"/>
      <c r="BT49" s="1347"/>
      <c r="BU49" s="1347"/>
      <c r="BV49" s="1348"/>
      <c r="BW49" s="1346"/>
      <c r="BX49" s="1347"/>
      <c r="BY49" s="1347"/>
      <c r="BZ49" s="1347"/>
      <c r="CA49" s="1347"/>
      <c r="CB49" s="1354"/>
      <c r="CC49" s="223"/>
    </row>
    <row r="50" spans="3:81" ht="11.25" customHeight="1">
      <c r="C50" s="1411"/>
      <c r="D50" s="1412"/>
      <c r="E50" s="1413"/>
      <c r="F50" s="1331"/>
      <c r="G50" s="1332"/>
      <c r="H50" s="1332"/>
      <c r="I50" s="1332"/>
      <c r="J50" s="1332"/>
      <c r="K50" s="1332"/>
      <c r="L50" s="1332"/>
      <c r="M50" s="1332"/>
      <c r="N50" s="1332"/>
      <c r="O50" s="1332"/>
      <c r="P50" s="1332"/>
      <c r="Q50" s="1332"/>
      <c r="R50" s="1332"/>
      <c r="S50" s="1332"/>
      <c r="T50" s="1332"/>
      <c r="U50" s="1332"/>
      <c r="V50" s="1332"/>
      <c r="W50" s="1332"/>
      <c r="X50" s="1332"/>
      <c r="Y50" s="1332"/>
      <c r="Z50" s="1332"/>
      <c r="AA50" s="1332"/>
      <c r="AB50" s="1332"/>
      <c r="AC50" s="1333"/>
      <c r="AD50" s="231"/>
      <c r="AE50" s="1353"/>
      <c r="AF50" s="1350"/>
      <c r="AG50" s="1350"/>
      <c r="AH50" s="1350"/>
      <c r="AI50" s="1350"/>
      <c r="AJ50" s="1351"/>
      <c r="AK50" s="1349"/>
      <c r="AL50" s="1350"/>
      <c r="AM50" s="1350"/>
      <c r="AN50" s="1350"/>
      <c r="AO50" s="1350"/>
      <c r="AP50" s="1350"/>
      <c r="AQ50" s="1350"/>
      <c r="AR50" s="1350"/>
      <c r="AS50" s="1350"/>
      <c r="AT50" s="1350"/>
      <c r="AU50" s="1350"/>
      <c r="AV50" s="1350"/>
      <c r="AW50" s="1350"/>
      <c r="AX50" s="1350"/>
      <c r="AY50" s="1350"/>
      <c r="AZ50" s="1350"/>
      <c r="BA50" s="1350"/>
      <c r="BB50" s="1350"/>
      <c r="BC50" s="1350"/>
      <c r="BD50" s="1350"/>
      <c r="BE50" s="1350"/>
      <c r="BF50" s="1350"/>
      <c r="BG50" s="1350"/>
      <c r="BH50" s="1350"/>
      <c r="BI50" s="1350"/>
      <c r="BJ50" s="1351"/>
      <c r="BK50" s="1349"/>
      <c r="BL50" s="1350"/>
      <c r="BM50" s="1350"/>
      <c r="BN50" s="1350"/>
      <c r="BO50" s="1350"/>
      <c r="BP50" s="1351"/>
      <c r="BQ50" s="1349"/>
      <c r="BR50" s="1350"/>
      <c r="BS50" s="1350"/>
      <c r="BT50" s="1350"/>
      <c r="BU50" s="1350"/>
      <c r="BV50" s="1351"/>
      <c r="BW50" s="1349"/>
      <c r="BX50" s="1350"/>
      <c r="BY50" s="1350"/>
      <c r="BZ50" s="1350"/>
      <c r="CA50" s="1350"/>
      <c r="CB50" s="1355"/>
      <c r="CC50" s="223"/>
    </row>
    <row r="51" spans="3:81" ht="11.25" customHeight="1">
      <c r="C51" s="1411"/>
      <c r="D51" s="1412"/>
      <c r="E51" s="1413"/>
      <c r="F51" s="1386"/>
      <c r="G51" s="1386"/>
      <c r="H51" s="1386"/>
      <c r="I51" s="1386"/>
      <c r="J51" s="1386"/>
      <c r="K51" s="1386"/>
      <c r="L51" s="1386"/>
      <c r="M51" s="1386"/>
      <c r="N51" s="1386"/>
      <c r="O51" s="1386"/>
      <c r="P51" s="1386"/>
      <c r="Q51" s="1386"/>
      <c r="R51" s="1386"/>
      <c r="S51" s="1386"/>
      <c r="T51" s="1386"/>
      <c r="U51" s="1386"/>
      <c r="V51" s="1386"/>
      <c r="W51" s="1386"/>
      <c r="X51" s="1386"/>
      <c r="Y51" s="1386"/>
      <c r="Z51" s="1386"/>
      <c r="AA51" s="1386"/>
      <c r="AB51" s="1386"/>
      <c r="AC51" s="1387"/>
      <c r="AD51" s="231"/>
      <c r="AE51" s="1360"/>
      <c r="AF51" s="1356"/>
      <c r="AG51" s="1356"/>
      <c r="AH51" s="1356"/>
      <c r="AI51" s="1356"/>
      <c r="AJ51" s="1357"/>
      <c r="AK51" s="1360"/>
      <c r="AL51" s="1356"/>
      <c r="AM51" s="1356"/>
      <c r="AN51" s="1356"/>
      <c r="AO51" s="1356"/>
      <c r="AP51" s="1356"/>
      <c r="AQ51" s="1356"/>
      <c r="AR51" s="1356"/>
      <c r="AS51" s="1356"/>
      <c r="AT51" s="1356"/>
      <c r="AU51" s="1356"/>
      <c r="AV51" s="1356"/>
      <c r="AW51" s="1356"/>
      <c r="AX51" s="1356"/>
      <c r="AY51" s="1356"/>
      <c r="AZ51" s="1356"/>
      <c r="BA51" s="1356"/>
      <c r="BB51" s="1356"/>
      <c r="BC51" s="1356"/>
      <c r="BD51" s="1356"/>
      <c r="BE51" s="1356"/>
      <c r="BF51" s="1356"/>
      <c r="BG51" s="1356"/>
      <c r="BH51" s="1356"/>
      <c r="BI51" s="1356"/>
      <c r="BJ51" s="1357"/>
      <c r="BK51" s="1360"/>
      <c r="BL51" s="1356"/>
      <c r="BM51" s="1356"/>
      <c r="BN51" s="1356"/>
      <c r="BO51" s="1356"/>
      <c r="BP51" s="1357"/>
      <c r="BQ51" s="1360"/>
      <c r="BR51" s="1356"/>
      <c r="BS51" s="1356"/>
      <c r="BT51" s="1356"/>
      <c r="BU51" s="1356"/>
      <c r="BV51" s="1357"/>
      <c r="BW51" s="1360"/>
      <c r="BX51" s="1356"/>
      <c r="BY51" s="1356"/>
      <c r="BZ51" s="1356"/>
      <c r="CA51" s="1356"/>
      <c r="CB51" s="1357"/>
      <c r="CC51" s="223"/>
    </row>
    <row r="52" spans="3:81" ht="11.25" customHeight="1">
      <c r="C52" s="1411"/>
      <c r="D52" s="1412"/>
      <c r="E52" s="1413"/>
      <c r="F52" s="1386"/>
      <c r="G52" s="1386"/>
      <c r="H52" s="1386"/>
      <c r="I52" s="1386"/>
      <c r="J52" s="1386"/>
      <c r="K52" s="1386"/>
      <c r="L52" s="1386"/>
      <c r="M52" s="1386"/>
      <c r="N52" s="1386"/>
      <c r="O52" s="1386"/>
      <c r="P52" s="1386"/>
      <c r="Q52" s="1386"/>
      <c r="R52" s="1386"/>
      <c r="S52" s="1386"/>
      <c r="T52" s="1386"/>
      <c r="U52" s="1386"/>
      <c r="V52" s="1386"/>
      <c r="W52" s="1386"/>
      <c r="X52" s="1386"/>
      <c r="Y52" s="1386"/>
      <c r="Z52" s="1386"/>
      <c r="AA52" s="1386"/>
      <c r="AB52" s="1386"/>
      <c r="AC52" s="1387"/>
      <c r="AD52" s="231"/>
      <c r="AE52" s="1361"/>
      <c r="AF52" s="1358"/>
      <c r="AG52" s="1358"/>
      <c r="AH52" s="1358"/>
      <c r="AI52" s="1358"/>
      <c r="AJ52" s="1359"/>
      <c r="AK52" s="1361"/>
      <c r="AL52" s="1358"/>
      <c r="AM52" s="1358"/>
      <c r="AN52" s="1358"/>
      <c r="AO52" s="1358"/>
      <c r="AP52" s="1358"/>
      <c r="AQ52" s="1358"/>
      <c r="AR52" s="1358"/>
      <c r="AS52" s="1358"/>
      <c r="AT52" s="1358"/>
      <c r="AU52" s="1358"/>
      <c r="AV52" s="1358"/>
      <c r="AW52" s="1358"/>
      <c r="AX52" s="1358"/>
      <c r="AY52" s="1358"/>
      <c r="AZ52" s="1358"/>
      <c r="BA52" s="1358"/>
      <c r="BB52" s="1358"/>
      <c r="BC52" s="1358"/>
      <c r="BD52" s="1358"/>
      <c r="BE52" s="1358"/>
      <c r="BF52" s="1358"/>
      <c r="BG52" s="1358"/>
      <c r="BH52" s="1358"/>
      <c r="BI52" s="1358"/>
      <c r="BJ52" s="1359"/>
      <c r="BK52" s="1361"/>
      <c r="BL52" s="1358"/>
      <c r="BM52" s="1358"/>
      <c r="BN52" s="1358"/>
      <c r="BO52" s="1358"/>
      <c r="BP52" s="1359"/>
      <c r="BQ52" s="1361"/>
      <c r="BR52" s="1358"/>
      <c r="BS52" s="1358"/>
      <c r="BT52" s="1358"/>
      <c r="BU52" s="1358"/>
      <c r="BV52" s="1359"/>
      <c r="BW52" s="1361"/>
      <c r="BX52" s="1358"/>
      <c r="BY52" s="1358"/>
      <c r="BZ52" s="1358"/>
      <c r="CA52" s="1358"/>
      <c r="CB52" s="1359"/>
      <c r="CC52" s="223"/>
    </row>
    <row r="53" spans="3:81" ht="11.25" customHeight="1">
      <c r="C53" s="1411"/>
      <c r="D53" s="1412"/>
      <c r="E53" s="1413"/>
      <c r="F53" s="1386"/>
      <c r="G53" s="1386"/>
      <c r="H53" s="1386"/>
      <c r="I53" s="1386"/>
      <c r="J53" s="1386"/>
      <c r="K53" s="1386"/>
      <c r="L53" s="1386"/>
      <c r="M53" s="1386"/>
      <c r="N53" s="1386"/>
      <c r="O53" s="1386"/>
      <c r="P53" s="1386"/>
      <c r="Q53" s="1386"/>
      <c r="R53" s="1386"/>
      <c r="S53" s="1386"/>
      <c r="T53" s="1386"/>
      <c r="U53" s="1386"/>
      <c r="V53" s="1386"/>
      <c r="W53" s="1386"/>
      <c r="X53" s="1386"/>
      <c r="Y53" s="1386"/>
      <c r="Z53" s="1386"/>
      <c r="AA53" s="1386"/>
      <c r="AB53" s="1386"/>
      <c r="AC53" s="1387"/>
      <c r="AD53" s="231"/>
      <c r="AE53" s="1361"/>
      <c r="AF53" s="1358"/>
      <c r="AG53" s="1358"/>
      <c r="AH53" s="1358"/>
      <c r="AI53" s="1358"/>
      <c r="AJ53" s="1359"/>
      <c r="AK53" s="1361"/>
      <c r="AL53" s="1358"/>
      <c r="AM53" s="1358"/>
      <c r="AN53" s="1358"/>
      <c r="AO53" s="1358"/>
      <c r="AP53" s="1358"/>
      <c r="AQ53" s="1358"/>
      <c r="AR53" s="1358"/>
      <c r="AS53" s="1358"/>
      <c r="AT53" s="1358"/>
      <c r="AU53" s="1358"/>
      <c r="AV53" s="1358"/>
      <c r="AW53" s="1358"/>
      <c r="AX53" s="1358"/>
      <c r="AY53" s="1358"/>
      <c r="AZ53" s="1358"/>
      <c r="BA53" s="1358"/>
      <c r="BB53" s="1358"/>
      <c r="BC53" s="1358"/>
      <c r="BD53" s="1358"/>
      <c r="BE53" s="1358"/>
      <c r="BF53" s="1358"/>
      <c r="BG53" s="1358"/>
      <c r="BH53" s="1358"/>
      <c r="BI53" s="1358"/>
      <c r="BJ53" s="1359"/>
      <c r="BK53" s="1361"/>
      <c r="BL53" s="1358"/>
      <c r="BM53" s="1358"/>
      <c r="BN53" s="1358"/>
      <c r="BO53" s="1358"/>
      <c r="BP53" s="1359"/>
      <c r="BQ53" s="1361"/>
      <c r="BR53" s="1358"/>
      <c r="BS53" s="1358"/>
      <c r="BT53" s="1358"/>
      <c r="BU53" s="1358"/>
      <c r="BV53" s="1359"/>
      <c r="BW53" s="1361"/>
      <c r="BX53" s="1358"/>
      <c r="BY53" s="1358"/>
      <c r="BZ53" s="1358"/>
      <c r="CA53" s="1358"/>
      <c r="CB53" s="1359"/>
      <c r="CC53" s="223"/>
    </row>
    <row r="54" spans="3:81" ht="11.25" customHeight="1">
      <c r="C54" s="1411"/>
      <c r="D54" s="1412"/>
      <c r="E54" s="1413"/>
      <c r="F54" s="1386"/>
      <c r="G54" s="1386"/>
      <c r="H54" s="1386"/>
      <c r="I54" s="1386"/>
      <c r="J54" s="1386"/>
      <c r="K54" s="1386"/>
      <c r="L54" s="1386"/>
      <c r="M54" s="1386"/>
      <c r="N54" s="1386"/>
      <c r="O54" s="1386"/>
      <c r="P54" s="1386"/>
      <c r="Q54" s="1386"/>
      <c r="R54" s="1386"/>
      <c r="S54" s="1386"/>
      <c r="T54" s="1386"/>
      <c r="U54" s="1386"/>
      <c r="V54" s="1386"/>
      <c r="W54" s="1386"/>
      <c r="X54" s="1386"/>
      <c r="Y54" s="1386"/>
      <c r="Z54" s="1386"/>
      <c r="AA54" s="1386"/>
      <c r="AB54" s="1386"/>
      <c r="AC54" s="1387"/>
      <c r="AD54" s="231"/>
      <c r="AE54" s="1360"/>
      <c r="AF54" s="1356"/>
      <c r="AG54" s="1356"/>
      <c r="AH54" s="1356"/>
      <c r="AI54" s="1356"/>
      <c r="AJ54" s="1357"/>
      <c r="AK54" s="1360"/>
      <c r="AL54" s="1356"/>
      <c r="AM54" s="1356"/>
      <c r="AN54" s="1356"/>
      <c r="AO54" s="1356"/>
      <c r="AP54" s="1356"/>
      <c r="AQ54" s="1356"/>
      <c r="AR54" s="1356"/>
      <c r="AS54" s="1356"/>
      <c r="AT54" s="1356"/>
      <c r="AU54" s="1356"/>
      <c r="AV54" s="1356"/>
      <c r="AW54" s="1356"/>
      <c r="AX54" s="1356"/>
      <c r="AY54" s="1356"/>
      <c r="AZ54" s="1356"/>
      <c r="BA54" s="1356"/>
      <c r="BB54" s="1356"/>
      <c r="BC54" s="1356"/>
      <c r="BD54" s="1356"/>
      <c r="BE54" s="1356"/>
      <c r="BF54" s="1356"/>
      <c r="BG54" s="1356"/>
      <c r="BH54" s="1356"/>
      <c r="BI54" s="1356"/>
      <c r="BJ54" s="1357"/>
      <c r="BK54" s="1360"/>
      <c r="BL54" s="1356"/>
      <c r="BM54" s="1356"/>
      <c r="BN54" s="1356"/>
      <c r="BO54" s="1356"/>
      <c r="BP54" s="1357"/>
      <c r="BQ54" s="1360"/>
      <c r="BR54" s="1356"/>
      <c r="BS54" s="1356"/>
      <c r="BT54" s="1356"/>
      <c r="BU54" s="1356"/>
      <c r="BV54" s="1357"/>
      <c r="BW54" s="1360"/>
      <c r="BX54" s="1356"/>
      <c r="BY54" s="1356"/>
      <c r="BZ54" s="1356"/>
      <c r="CA54" s="1356"/>
      <c r="CB54" s="1357"/>
      <c r="CC54" s="223"/>
    </row>
    <row r="55" spans="3:81" ht="11.25" customHeight="1">
      <c r="C55" s="1411"/>
      <c r="D55" s="1412"/>
      <c r="E55" s="1413"/>
      <c r="F55" s="1386"/>
      <c r="G55" s="1386"/>
      <c r="H55" s="1386"/>
      <c r="I55" s="1386"/>
      <c r="J55" s="1386"/>
      <c r="K55" s="1386"/>
      <c r="L55" s="1386"/>
      <c r="M55" s="1386"/>
      <c r="N55" s="1386"/>
      <c r="O55" s="1386"/>
      <c r="P55" s="1386"/>
      <c r="Q55" s="1386"/>
      <c r="R55" s="1386"/>
      <c r="S55" s="1386"/>
      <c r="T55" s="1386"/>
      <c r="U55" s="1386"/>
      <c r="V55" s="1386"/>
      <c r="W55" s="1386"/>
      <c r="X55" s="1386"/>
      <c r="Y55" s="1386"/>
      <c r="Z55" s="1386"/>
      <c r="AA55" s="1386"/>
      <c r="AB55" s="1386"/>
      <c r="AC55" s="1387"/>
      <c r="AD55" s="231"/>
      <c r="AE55" s="1361"/>
      <c r="AF55" s="1358"/>
      <c r="AG55" s="1358"/>
      <c r="AH55" s="1358"/>
      <c r="AI55" s="1358"/>
      <c r="AJ55" s="1359"/>
      <c r="AK55" s="1361"/>
      <c r="AL55" s="1358"/>
      <c r="AM55" s="1358"/>
      <c r="AN55" s="1358"/>
      <c r="AO55" s="1358"/>
      <c r="AP55" s="1358"/>
      <c r="AQ55" s="1358"/>
      <c r="AR55" s="1358"/>
      <c r="AS55" s="1358"/>
      <c r="AT55" s="1358"/>
      <c r="AU55" s="1358"/>
      <c r="AV55" s="1358"/>
      <c r="AW55" s="1358"/>
      <c r="AX55" s="1358"/>
      <c r="AY55" s="1358"/>
      <c r="AZ55" s="1358"/>
      <c r="BA55" s="1358"/>
      <c r="BB55" s="1358"/>
      <c r="BC55" s="1358"/>
      <c r="BD55" s="1358"/>
      <c r="BE55" s="1358"/>
      <c r="BF55" s="1358"/>
      <c r="BG55" s="1358"/>
      <c r="BH55" s="1358"/>
      <c r="BI55" s="1358"/>
      <c r="BJ55" s="1359"/>
      <c r="BK55" s="1361"/>
      <c r="BL55" s="1358"/>
      <c r="BM55" s="1358"/>
      <c r="BN55" s="1358"/>
      <c r="BO55" s="1358"/>
      <c r="BP55" s="1359"/>
      <c r="BQ55" s="1361"/>
      <c r="BR55" s="1358"/>
      <c r="BS55" s="1358"/>
      <c r="BT55" s="1358"/>
      <c r="BU55" s="1358"/>
      <c r="BV55" s="1359"/>
      <c r="BW55" s="1361"/>
      <c r="BX55" s="1358"/>
      <c r="BY55" s="1358"/>
      <c r="BZ55" s="1358"/>
      <c r="CA55" s="1358"/>
      <c r="CB55" s="1359"/>
      <c r="CC55" s="223"/>
    </row>
    <row r="56" spans="3:81" ht="11.25" customHeight="1">
      <c r="C56" s="1411"/>
      <c r="D56" s="1412"/>
      <c r="E56" s="1413"/>
      <c r="F56" s="1386"/>
      <c r="G56" s="1386"/>
      <c r="H56" s="1386"/>
      <c r="I56" s="1386"/>
      <c r="J56" s="1386"/>
      <c r="K56" s="1386"/>
      <c r="L56" s="1386"/>
      <c r="M56" s="1386"/>
      <c r="N56" s="1386"/>
      <c r="O56" s="1386"/>
      <c r="P56" s="1386"/>
      <c r="Q56" s="1386"/>
      <c r="R56" s="1386"/>
      <c r="S56" s="1386"/>
      <c r="T56" s="1386"/>
      <c r="U56" s="1386"/>
      <c r="V56" s="1386"/>
      <c r="W56" s="1386"/>
      <c r="X56" s="1386"/>
      <c r="Y56" s="1386"/>
      <c r="Z56" s="1386"/>
      <c r="AA56" s="1386"/>
      <c r="AB56" s="1386"/>
      <c r="AC56" s="1387"/>
      <c r="AD56" s="231"/>
      <c r="AE56" s="1361"/>
      <c r="AF56" s="1358"/>
      <c r="AG56" s="1358"/>
      <c r="AH56" s="1358"/>
      <c r="AI56" s="1358"/>
      <c r="AJ56" s="1359"/>
      <c r="AK56" s="1361"/>
      <c r="AL56" s="1358"/>
      <c r="AM56" s="1358"/>
      <c r="AN56" s="1358"/>
      <c r="AO56" s="1358"/>
      <c r="AP56" s="1358"/>
      <c r="AQ56" s="1358"/>
      <c r="AR56" s="1358"/>
      <c r="AS56" s="1358"/>
      <c r="AT56" s="1358"/>
      <c r="AU56" s="1358"/>
      <c r="AV56" s="1358"/>
      <c r="AW56" s="1358"/>
      <c r="AX56" s="1358"/>
      <c r="AY56" s="1358"/>
      <c r="AZ56" s="1358"/>
      <c r="BA56" s="1358"/>
      <c r="BB56" s="1358"/>
      <c r="BC56" s="1358"/>
      <c r="BD56" s="1358"/>
      <c r="BE56" s="1358"/>
      <c r="BF56" s="1358"/>
      <c r="BG56" s="1358"/>
      <c r="BH56" s="1358"/>
      <c r="BI56" s="1358"/>
      <c r="BJ56" s="1359"/>
      <c r="BK56" s="1361"/>
      <c r="BL56" s="1358"/>
      <c r="BM56" s="1358"/>
      <c r="BN56" s="1358"/>
      <c r="BO56" s="1358"/>
      <c r="BP56" s="1359"/>
      <c r="BQ56" s="1361"/>
      <c r="BR56" s="1358"/>
      <c r="BS56" s="1358"/>
      <c r="BT56" s="1358"/>
      <c r="BU56" s="1358"/>
      <c r="BV56" s="1359"/>
      <c r="BW56" s="1361"/>
      <c r="BX56" s="1358"/>
      <c r="BY56" s="1358"/>
      <c r="BZ56" s="1358"/>
      <c r="CA56" s="1358"/>
      <c r="CB56" s="1359"/>
      <c r="CC56" s="223"/>
    </row>
    <row r="57" spans="3:81" ht="11.25" customHeight="1">
      <c r="C57" s="1411"/>
      <c r="D57" s="1412"/>
      <c r="E57" s="1413"/>
      <c r="F57" s="1386"/>
      <c r="G57" s="1386"/>
      <c r="H57" s="1386"/>
      <c r="I57" s="1386"/>
      <c r="J57" s="1386"/>
      <c r="K57" s="1386"/>
      <c r="L57" s="1386"/>
      <c r="M57" s="1386"/>
      <c r="N57" s="1386"/>
      <c r="O57" s="1386"/>
      <c r="P57" s="1386"/>
      <c r="Q57" s="1386"/>
      <c r="R57" s="1386"/>
      <c r="S57" s="1386"/>
      <c r="T57" s="1386"/>
      <c r="U57" s="1386"/>
      <c r="V57" s="1386"/>
      <c r="W57" s="1386"/>
      <c r="X57" s="1386"/>
      <c r="Y57" s="1386"/>
      <c r="Z57" s="1386"/>
      <c r="AA57" s="1386"/>
      <c r="AB57" s="1386"/>
      <c r="AC57" s="1387"/>
      <c r="AD57" s="231"/>
      <c r="AE57" s="1360"/>
      <c r="AF57" s="1356"/>
      <c r="AG57" s="1356"/>
      <c r="AH57" s="1356"/>
      <c r="AI57" s="1356"/>
      <c r="AJ57" s="1357"/>
      <c r="AK57" s="1360"/>
      <c r="AL57" s="1356"/>
      <c r="AM57" s="1356"/>
      <c r="AN57" s="1356"/>
      <c r="AO57" s="1356"/>
      <c r="AP57" s="1356"/>
      <c r="AQ57" s="1356"/>
      <c r="AR57" s="1356"/>
      <c r="AS57" s="1356"/>
      <c r="AT57" s="1356"/>
      <c r="AU57" s="1356"/>
      <c r="AV57" s="1356"/>
      <c r="AW57" s="1356"/>
      <c r="AX57" s="1356"/>
      <c r="AY57" s="1356"/>
      <c r="AZ57" s="1356"/>
      <c r="BA57" s="1356"/>
      <c r="BB57" s="1356"/>
      <c r="BC57" s="1356"/>
      <c r="BD57" s="1356"/>
      <c r="BE57" s="1356"/>
      <c r="BF57" s="1356"/>
      <c r="BG57" s="1356"/>
      <c r="BH57" s="1356"/>
      <c r="BI57" s="1356"/>
      <c r="BJ57" s="1357"/>
      <c r="BK57" s="1360"/>
      <c r="BL57" s="1356"/>
      <c r="BM57" s="1356"/>
      <c r="BN57" s="1356"/>
      <c r="BO57" s="1356"/>
      <c r="BP57" s="1357"/>
      <c r="BQ57" s="1360"/>
      <c r="BR57" s="1356"/>
      <c r="BS57" s="1356"/>
      <c r="BT57" s="1356"/>
      <c r="BU57" s="1356"/>
      <c r="BV57" s="1357"/>
      <c r="BW57" s="1360"/>
      <c r="BX57" s="1356"/>
      <c r="BY57" s="1356"/>
      <c r="BZ57" s="1356"/>
      <c r="CA57" s="1356"/>
      <c r="CB57" s="1357"/>
      <c r="CC57" s="223"/>
    </row>
    <row r="58" spans="3:81" ht="11.25" customHeight="1">
      <c r="C58" s="1411"/>
      <c r="D58" s="1412"/>
      <c r="E58" s="1413"/>
      <c r="F58" s="1386"/>
      <c r="G58" s="1386"/>
      <c r="H58" s="1386"/>
      <c r="I58" s="1386"/>
      <c r="J58" s="1386"/>
      <c r="K58" s="1386"/>
      <c r="L58" s="1386"/>
      <c r="M58" s="1386"/>
      <c r="N58" s="1386"/>
      <c r="O58" s="1386"/>
      <c r="P58" s="1386"/>
      <c r="Q58" s="1386"/>
      <c r="R58" s="1386"/>
      <c r="S58" s="1386"/>
      <c r="T58" s="1386"/>
      <c r="U58" s="1386"/>
      <c r="V58" s="1386"/>
      <c r="W58" s="1386"/>
      <c r="X58" s="1386"/>
      <c r="Y58" s="1386"/>
      <c r="Z58" s="1386"/>
      <c r="AA58" s="1386"/>
      <c r="AB58" s="1386"/>
      <c r="AC58" s="1387"/>
      <c r="AD58" s="231"/>
      <c r="AE58" s="1361"/>
      <c r="AF58" s="1358"/>
      <c r="AG58" s="1358"/>
      <c r="AH58" s="1358"/>
      <c r="AI58" s="1358"/>
      <c r="AJ58" s="1359"/>
      <c r="AK58" s="1361"/>
      <c r="AL58" s="1358"/>
      <c r="AM58" s="1358"/>
      <c r="AN58" s="1358"/>
      <c r="AO58" s="1358"/>
      <c r="AP58" s="1358"/>
      <c r="AQ58" s="1358"/>
      <c r="AR58" s="1358"/>
      <c r="AS58" s="1358"/>
      <c r="AT58" s="1358"/>
      <c r="AU58" s="1358"/>
      <c r="AV58" s="1358"/>
      <c r="AW58" s="1358"/>
      <c r="AX58" s="1358"/>
      <c r="AY58" s="1358"/>
      <c r="AZ58" s="1358"/>
      <c r="BA58" s="1358"/>
      <c r="BB58" s="1358"/>
      <c r="BC58" s="1358"/>
      <c r="BD58" s="1358"/>
      <c r="BE58" s="1358"/>
      <c r="BF58" s="1358"/>
      <c r="BG58" s="1358"/>
      <c r="BH58" s="1358"/>
      <c r="BI58" s="1358"/>
      <c r="BJ58" s="1359"/>
      <c r="BK58" s="1361"/>
      <c r="BL58" s="1358"/>
      <c r="BM58" s="1358"/>
      <c r="BN58" s="1358"/>
      <c r="BO58" s="1358"/>
      <c r="BP58" s="1359"/>
      <c r="BQ58" s="1361"/>
      <c r="BR58" s="1358"/>
      <c r="BS58" s="1358"/>
      <c r="BT58" s="1358"/>
      <c r="BU58" s="1358"/>
      <c r="BV58" s="1359"/>
      <c r="BW58" s="1361"/>
      <c r="BX58" s="1358"/>
      <c r="BY58" s="1358"/>
      <c r="BZ58" s="1358"/>
      <c r="CA58" s="1358"/>
      <c r="CB58" s="1359"/>
      <c r="CC58" s="223"/>
    </row>
    <row r="59" spans="3:81" ht="11.25" customHeight="1">
      <c r="C59" s="1411"/>
      <c r="D59" s="1412"/>
      <c r="E59" s="1413"/>
      <c r="F59" s="1386"/>
      <c r="G59" s="1386"/>
      <c r="H59" s="1386"/>
      <c r="I59" s="1386"/>
      <c r="J59" s="1386"/>
      <c r="K59" s="1386"/>
      <c r="L59" s="1386"/>
      <c r="M59" s="1386"/>
      <c r="N59" s="1386"/>
      <c r="O59" s="1386"/>
      <c r="P59" s="1386"/>
      <c r="Q59" s="1386"/>
      <c r="R59" s="1386"/>
      <c r="S59" s="1386"/>
      <c r="T59" s="1386"/>
      <c r="U59" s="1386"/>
      <c r="V59" s="1386"/>
      <c r="W59" s="1386"/>
      <c r="X59" s="1386"/>
      <c r="Y59" s="1386"/>
      <c r="Z59" s="1386"/>
      <c r="AA59" s="1386"/>
      <c r="AB59" s="1386"/>
      <c r="AC59" s="1387"/>
      <c r="AD59" s="231"/>
      <c r="AE59" s="1366"/>
      <c r="AF59" s="1365"/>
      <c r="AG59" s="1365"/>
      <c r="AH59" s="1365"/>
      <c r="AI59" s="1365"/>
      <c r="AJ59" s="1371"/>
      <c r="AK59" s="1366"/>
      <c r="AL59" s="1365"/>
      <c r="AM59" s="1365"/>
      <c r="AN59" s="1365"/>
      <c r="AO59" s="1365"/>
      <c r="AP59" s="1365"/>
      <c r="AQ59" s="1365"/>
      <c r="AR59" s="1365"/>
      <c r="AS59" s="1365"/>
      <c r="AT59" s="1365"/>
      <c r="AU59" s="1365"/>
      <c r="AV59" s="1365"/>
      <c r="AW59" s="1365"/>
      <c r="AX59" s="1365"/>
      <c r="AY59" s="1365"/>
      <c r="AZ59" s="1365"/>
      <c r="BA59" s="1365"/>
      <c r="BB59" s="1365"/>
      <c r="BC59" s="1365"/>
      <c r="BD59" s="1365"/>
      <c r="BE59" s="1365"/>
      <c r="BF59" s="1365"/>
      <c r="BG59" s="1365"/>
      <c r="BH59" s="1365"/>
      <c r="BI59" s="1365"/>
      <c r="BJ59" s="1371"/>
      <c r="BK59" s="1366"/>
      <c r="BL59" s="1365"/>
      <c r="BM59" s="1365"/>
      <c r="BN59" s="1365"/>
      <c r="BO59" s="1365"/>
      <c r="BP59" s="1371"/>
      <c r="BQ59" s="1366"/>
      <c r="BR59" s="1365"/>
      <c r="BS59" s="1365"/>
      <c r="BT59" s="1365"/>
      <c r="BU59" s="1365"/>
      <c r="BV59" s="1371"/>
      <c r="BW59" s="1366"/>
      <c r="BX59" s="1365"/>
      <c r="BY59" s="1365"/>
      <c r="BZ59" s="1365"/>
      <c r="CA59" s="1365"/>
      <c r="CB59" s="1371"/>
      <c r="CC59" s="223"/>
    </row>
    <row r="60" spans="3:81" ht="11.25" customHeight="1">
      <c r="C60" s="1411"/>
      <c r="D60" s="1412"/>
      <c r="E60" s="1413"/>
      <c r="F60" s="840" t="str">
        <f>VLOOKUP(10022,Languages!$A$5:$C$1032,Languages!$A$2,FALSE)</f>
        <v>Actions against non detection (manual / automatic controls,…)</v>
      </c>
      <c r="G60" s="841"/>
      <c r="H60" s="841"/>
      <c r="I60" s="841"/>
      <c r="J60" s="841"/>
      <c r="K60" s="841"/>
      <c r="L60" s="841"/>
      <c r="M60" s="841"/>
      <c r="N60" s="841"/>
      <c r="O60" s="841"/>
      <c r="P60" s="841"/>
      <c r="Q60" s="841"/>
      <c r="R60" s="841"/>
      <c r="S60" s="841"/>
      <c r="T60" s="841"/>
      <c r="U60" s="841"/>
      <c r="V60" s="841"/>
      <c r="W60" s="841"/>
      <c r="X60" s="841"/>
      <c r="Y60" s="841"/>
      <c r="Z60" s="841"/>
      <c r="AA60" s="841"/>
      <c r="AB60" s="841"/>
      <c r="AC60" s="842"/>
      <c r="AD60" s="231"/>
      <c r="AE60" s="1345"/>
      <c r="AF60" s="1342"/>
      <c r="AG60" s="1342"/>
      <c r="AH60" s="1342"/>
      <c r="AI60" s="1342"/>
      <c r="AJ60" s="1342"/>
      <c r="AK60" s="1367"/>
      <c r="AL60" s="1342"/>
      <c r="AM60" s="1342"/>
      <c r="AN60" s="1342"/>
      <c r="AO60" s="1342"/>
      <c r="AP60" s="1342"/>
      <c r="AQ60" s="1342"/>
      <c r="AR60" s="1342"/>
      <c r="AS60" s="1342"/>
      <c r="AT60" s="1342"/>
      <c r="AU60" s="1342"/>
      <c r="AV60" s="1342"/>
      <c r="AW60" s="1342"/>
      <c r="AX60" s="1342"/>
      <c r="AY60" s="1342"/>
      <c r="AZ60" s="1342"/>
      <c r="BA60" s="1342"/>
      <c r="BB60" s="1342"/>
      <c r="BC60" s="1342"/>
      <c r="BD60" s="1342"/>
      <c r="BE60" s="1342"/>
      <c r="BF60" s="1342"/>
      <c r="BG60" s="1342"/>
      <c r="BH60" s="1342"/>
      <c r="BI60" s="1342"/>
      <c r="BJ60" s="1368"/>
      <c r="BK60" s="1367"/>
      <c r="BL60" s="1342"/>
      <c r="BM60" s="1342"/>
      <c r="BN60" s="1342"/>
      <c r="BO60" s="1342"/>
      <c r="BP60" s="1368"/>
      <c r="BQ60" s="1367"/>
      <c r="BR60" s="1342"/>
      <c r="BS60" s="1342"/>
      <c r="BT60" s="1342"/>
      <c r="BU60" s="1342"/>
      <c r="BV60" s="1368"/>
      <c r="BW60" s="1342"/>
      <c r="BX60" s="1342"/>
      <c r="BY60" s="1342"/>
      <c r="BZ60" s="1342"/>
      <c r="CA60" s="1342"/>
      <c r="CB60" s="1343"/>
      <c r="CC60" s="223"/>
    </row>
    <row r="61" spans="3:81" ht="11.25" customHeight="1">
      <c r="C61" s="1411"/>
      <c r="D61" s="1412"/>
      <c r="E61" s="1413"/>
      <c r="F61" s="1331"/>
      <c r="G61" s="1332"/>
      <c r="H61" s="1332"/>
      <c r="I61" s="1332"/>
      <c r="J61" s="1332"/>
      <c r="K61" s="1332"/>
      <c r="L61" s="1332"/>
      <c r="M61" s="1332"/>
      <c r="N61" s="1332"/>
      <c r="O61" s="1332"/>
      <c r="P61" s="1332"/>
      <c r="Q61" s="1332"/>
      <c r="R61" s="1332"/>
      <c r="S61" s="1332"/>
      <c r="T61" s="1332"/>
      <c r="U61" s="1332"/>
      <c r="V61" s="1332"/>
      <c r="W61" s="1332"/>
      <c r="X61" s="1332"/>
      <c r="Y61" s="1332"/>
      <c r="Z61" s="1332"/>
      <c r="AA61" s="1332"/>
      <c r="AB61" s="1332"/>
      <c r="AC61" s="1333"/>
      <c r="AD61" s="231"/>
      <c r="AE61" s="1341"/>
      <c r="AF61" s="1336"/>
      <c r="AG61" s="1336"/>
      <c r="AH61" s="1336"/>
      <c r="AI61" s="1336"/>
      <c r="AJ61" s="1336"/>
      <c r="AK61" s="1369"/>
      <c r="AL61" s="1336"/>
      <c r="AM61" s="1336"/>
      <c r="AN61" s="1336"/>
      <c r="AO61" s="1336"/>
      <c r="AP61" s="1336"/>
      <c r="AQ61" s="1336"/>
      <c r="AR61" s="1336"/>
      <c r="AS61" s="1336"/>
      <c r="AT61" s="1336"/>
      <c r="AU61" s="1336"/>
      <c r="AV61" s="1336"/>
      <c r="AW61" s="1336"/>
      <c r="AX61" s="1336"/>
      <c r="AY61" s="1336"/>
      <c r="AZ61" s="1336"/>
      <c r="BA61" s="1336"/>
      <c r="BB61" s="1336"/>
      <c r="BC61" s="1336"/>
      <c r="BD61" s="1336"/>
      <c r="BE61" s="1336"/>
      <c r="BF61" s="1336"/>
      <c r="BG61" s="1336"/>
      <c r="BH61" s="1336"/>
      <c r="BI61" s="1336"/>
      <c r="BJ61" s="1370"/>
      <c r="BK61" s="1369"/>
      <c r="BL61" s="1336"/>
      <c r="BM61" s="1336"/>
      <c r="BN61" s="1336"/>
      <c r="BO61" s="1336"/>
      <c r="BP61" s="1370"/>
      <c r="BQ61" s="1369"/>
      <c r="BR61" s="1336"/>
      <c r="BS61" s="1336"/>
      <c r="BT61" s="1336"/>
      <c r="BU61" s="1336"/>
      <c r="BV61" s="1370"/>
      <c r="BW61" s="1336"/>
      <c r="BX61" s="1336"/>
      <c r="BY61" s="1336"/>
      <c r="BZ61" s="1336"/>
      <c r="CA61" s="1336"/>
      <c r="CB61" s="1337"/>
      <c r="CC61" s="223"/>
    </row>
    <row r="62" spans="3:81" ht="11.25" customHeight="1">
      <c r="C62" s="1411"/>
      <c r="D62" s="1412"/>
      <c r="E62" s="1413"/>
      <c r="F62" s="1386"/>
      <c r="G62" s="1386"/>
      <c r="H62" s="1386"/>
      <c r="I62" s="1386"/>
      <c r="J62" s="1386"/>
      <c r="K62" s="1386"/>
      <c r="L62" s="1386"/>
      <c r="M62" s="1386"/>
      <c r="N62" s="1386"/>
      <c r="O62" s="1386"/>
      <c r="P62" s="1386"/>
      <c r="Q62" s="1386"/>
      <c r="R62" s="1386"/>
      <c r="S62" s="1386"/>
      <c r="T62" s="1386"/>
      <c r="U62" s="1386"/>
      <c r="V62" s="1386"/>
      <c r="W62" s="1386"/>
      <c r="X62" s="1386"/>
      <c r="Y62" s="1386"/>
      <c r="Z62" s="1386"/>
      <c r="AA62" s="1386"/>
      <c r="AB62" s="1386"/>
      <c r="AC62" s="1387"/>
      <c r="AD62" s="231"/>
      <c r="AE62" s="1360"/>
      <c r="AF62" s="1356"/>
      <c r="AG62" s="1356"/>
      <c r="AH62" s="1356"/>
      <c r="AI62" s="1356"/>
      <c r="AJ62" s="1357"/>
      <c r="AK62" s="1360"/>
      <c r="AL62" s="1356"/>
      <c r="AM62" s="1356"/>
      <c r="AN62" s="1356"/>
      <c r="AO62" s="1356"/>
      <c r="AP62" s="1356"/>
      <c r="AQ62" s="1356"/>
      <c r="AR62" s="1356"/>
      <c r="AS62" s="1356"/>
      <c r="AT62" s="1356"/>
      <c r="AU62" s="1356"/>
      <c r="AV62" s="1356"/>
      <c r="AW62" s="1356"/>
      <c r="AX62" s="1356"/>
      <c r="AY62" s="1356"/>
      <c r="AZ62" s="1356"/>
      <c r="BA62" s="1356"/>
      <c r="BB62" s="1356"/>
      <c r="BC62" s="1356"/>
      <c r="BD62" s="1356"/>
      <c r="BE62" s="1356"/>
      <c r="BF62" s="1356"/>
      <c r="BG62" s="1356"/>
      <c r="BH62" s="1356"/>
      <c r="BI62" s="1356"/>
      <c r="BJ62" s="1357"/>
      <c r="BK62" s="1360"/>
      <c r="BL62" s="1356"/>
      <c r="BM62" s="1356"/>
      <c r="BN62" s="1356"/>
      <c r="BO62" s="1356"/>
      <c r="BP62" s="1357"/>
      <c r="BQ62" s="1360"/>
      <c r="BR62" s="1356"/>
      <c r="BS62" s="1356"/>
      <c r="BT62" s="1356"/>
      <c r="BU62" s="1356"/>
      <c r="BV62" s="1357"/>
      <c r="BW62" s="1360"/>
      <c r="BX62" s="1356"/>
      <c r="BY62" s="1356"/>
      <c r="BZ62" s="1356"/>
      <c r="CA62" s="1356"/>
      <c r="CB62" s="1357"/>
      <c r="CC62" s="223"/>
    </row>
    <row r="63" spans="3:81" ht="11.25" customHeight="1">
      <c r="C63" s="1411"/>
      <c r="D63" s="1412"/>
      <c r="E63" s="1413"/>
      <c r="F63" s="1386"/>
      <c r="G63" s="1386"/>
      <c r="H63" s="1386"/>
      <c r="I63" s="1386"/>
      <c r="J63" s="1386"/>
      <c r="K63" s="1386"/>
      <c r="L63" s="1386"/>
      <c r="M63" s="1386"/>
      <c r="N63" s="1386"/>
      <c r="O63" s="1386"/>
      <c r="P63" s="1386"/>
      <c r="Q63" s="1386"/>
      <c r="R63" s="1386"/>
      <c r="S63" s="1386"/>
      <c r="T63" s="1386"/>
      <c r="U63" s="1386"/>
      <c r="V63" s="1386"/>
      <c r="W63" s="1386"/>
      <c r="X63" s="1386"/>
      <c r="Y63" s="1386"/>
      <c r="Z63" s="1386"/>
      <c r="AA63" s="1386"/>
      <c r="AB63" s="1386"/>
      <c r="AC63" s="1387"/>
      <c r="AD63" s="231"/>
      <c r="AE63" s="1361"/>
      <c r="AF63" s="1358"/>
      <c r="AG63" s="1358"/>
      <c r="AH63" s="1358"/>
      <c r="AI63" s="1358"/>
      <c r="AJ63" s="1359"/>
      <c r="AK63" s="1361"/>
      <c r="AL63" s="1358"/>
      <c r="AM63" s="1358"/>
      <c r="AN63" s="1358"/>
      <c r="AO63" s="1358"/>
      <c r="AP63" s="1358"/>
      <c r="AQ63" s="1358"/>
      <c r="AR63" s="1358"/>
      <c r="AS63" s="1358"/>
      <c r="AT63" s="1358"/>
      <c r="AU63" s="1358"/>
      <c r="AV63" s="1358"/>
      <c r="AW63" s="1358"/>
      <c r="AX63" s="1358"/>
      <c r="AY63" s="1358"/>
      <c r="AZ63" s="1358"/>
      <c r="BA63" s="1358"/>
      <c r="BB63" s="1358"/>
      <c r="BC63" s="1358"/>
      <c r="BD63" s="1358"/>
      <c r="BE63" s="1358"/>
      <c r="BF63" s="1358"/>
      <c r="BG63" s="1358"/>
      <c r="BH63" s="1358"/>
      <c r="BI63" s="1358"/>
      <c r="BJ63" s="1359"/>
      <c r="BK63" s="1361"/>
      <c r="BL63" s="1358"/>
      <c r="BM63" s="1358"/>
      <c r="BN63" s="1358"/>
      <c r="BO63" s="1358"/>
      <c r="BP63" s="1359"/>
      <c r="BQ63" s="1361"/>
      <c r="BR63" s="1358"/>
      <c r="BS63" s="1358"/>
      <c r="BT63" s="1358"/>
      <c r="BU63" s="1358"/>
      <c r="BV63" s="1359"/>
      <c r="BW63" s="1361"/>
      <c r="BX63" s="1358"/>
      <c r="BY63" s="1358"/>
      <c r="BZ63" s="1358"/>
      <c r="CA63" s="1358"/>
      <c r="CB63" s="1359"/>
      <c r="CC63" s="223"/>
    </row>
    <row r="64" spans="3:81" ht="11.25" customHeight="1">
      <c r="C64" s="1411"/>
      <c r="D64" s="1412"/>
      <c r="E64" s="1413"/>
      <c r="F64" s="1386"/>
      <c r="G64" s="1386"/>
      <c r="H64" s="1386"/>
      <c r="I64" s="1386"/>
      <c r="J64" s="1386"/>
      <c r="K64" s="1386"/>
      <c r="L64" s="1386"/>
      <c r="M64" s="1386"/>
      <c r="N64" s="1386"/>
      <c r="O64" s="1386"/>
      <c r="P64" s="1386"/>
      <c r="Q64" s="1386"/>
      <c r="R64" s="1386"/>
      <c r="S64" s="1386"/>
      <c r="T64" s="1386"/>
      <c r="U64" s="1386"/>
      <c r="V64" s="1386"/>
      <c r="W64" s="1386"/>
      <c r="X64" s="1386"/>
      <c r="Y64" s="1386"/>
      <c r="Z64" s="1386"/>
      <c r="AA64" s="1386"/>
      <c r="AB64" s="1386"/>
      <c r="AC64" s="1387"/>
      <c r="AD64" s="231"/>
      <c r="AE64" s="1361"/>
      <c r="AF64" s="1358"/>
      <c r="AG64" s="1358"/>
      <c r="AH64" s="1358"/>
      <c r="AI64" s="1358"/>
      <c r="AJ64" s="1359"/>
      <c r="AK64" s="1361"/>
      <c r="AL64" s="1358"/>
      <c r="AM64" s="1358"/>
      <c r="AN64" s="1358"/>
      <c r="AO64" s="1358"/>
      <c r="AP64" s="1358"/>
      <c r="AQ64" s="1358"/>
      <c r="AR64" s="1358"/>
      <c r="AS64" s="1358"/>
      <c r="AT64" s="1358"/>
      <c r="AU64" s="1358"/>
      <c r="AV64" s="1358"/>
      <c r="AW64" s="1358"/>
      <c r="AX64" s="1358"/>
      <c r="AY64" s="1358"/>
      <c r="AZ64" s="1358"/>
      <c r="BA64" s="1358"/>
      <c r="BB64" s="1358"/>
      <c r="BC64" s="1358"/>
      <c r="BD64" s="1358"/>
      <c r="BE64" s="1358"/>
      <c r="BF64" s="1358"/>
      <c r="BG64" s="1358"/>
      <c r="BH64" s="1358"/>
      <c r="BI64" s="1358"/>
      <c r="BJ64" s="1359"/>
      <c r="BK64" s="1361"/>
      <c r="BL64" s="1358"/>
      <c r="BM64" s="1358"/>
      <c r="BN64" s="1358"/>
      <c r="BO64" s="1358"/>
      <c r="BP64" s="1359"/>
      <c r="BQ64" s="1361"/>
      <c r="BR64" s="1358"/>
      <c r="BS64" s="1358"/>
      <c r="BT64" s="1358"/>
      <c r="BU64" s="1358"/>
      <c r="BV64" s="1359"/>
      <c r="BW64" s="1361"/>
      <c r="BX64" s="1358"/>
      <c r="BY64" s="1358"/>
      <c r="BZ64" s="1358"/>
      <c r="CA64" s="1358"/>
      <c r="CB64" s="1359"/>
      <c r="CC64" s="223"/>
    </row>
    <row r="65" spans="3:81" ht="11.25" customHeight="1">
      <c r="C65" s="1411"/>
      <c r="D65" s="1412"/>
      <c r="E65" s="1413"/>
      <c r="F65" s="1386"/>
      <c r="G65" s="1386"/>
      <c r="H65" s="1386"/>
      <c r="I65" s="1386"/>
      <c r="J65" s="1386"/>
      <c r="K65" s="1386"/>
      <c r="L65" s="1386"/>
      <c r="M65" s="1386"/>
      <c r="N65" s="1386"/>
      <c r="O65" s="1386"/>
      <c r="P65" s="1386"/>
      <c r="Q65" s="1386"/>
      <c r="R65" s="1386"/>
      <c r="S65" s="1386"/>
      <c r="T65" s="1386"/>
      <c r="U65" s="1386"/>
      <c r="V65" s="1386"/>
      <c r="W65" s="1386"/>
      <c r="X65" s="1386"/>
      <c r="Y65" s="1386"/>
      <c r="Z65" s="1386"/>
      <c r="AA65" s="1386"/>
      <c r="AB65" s="1386"/>
      <c r="AC65" s="1387"/>
      <c r="AD65" s="231"/>
      <c r="AE65" s="1360"/>
      <c r="AF65" s="1356"/>
      <c r="AG65" s="1356"/>
      <c r="AH65" s="1356"/>
      <c r="AI65" s="1356"/>
      <c r="AJ65" s="1357"/>
      <c r="AK65" s="1360"/>
      <c r="AL65" s="1356"/>
      <c r="AM65" s="1356"/>
      <c r="AN65" s="1356"/>
      <c r="AO65" s="1356"/>
      <c r="AP65" s="1356"/>
      <c r="AQ65" s="1356"/>
      <c r="AR65" s="1356"/>
      <c r="AS65" s="1356"/>
      <c r="AT65" s="1356"/>
      <c r="AU65" s="1356"/>
      <c r="AV65" s="1356"/>
      <c r="AW65" s="1356"/>
      <c r="AX65" s="1356"/>
      <c r="AY65" s="1356"/>
      <c r="AZ65" s="1356"/>
      <c r="BA65" s="1356"/>
      <c r="BB65" s="1356"/>
      <c r="BC65" s="1356"/>
      <c r="BD65" s="1356"/>
      <c r="BE65" s="1356"/>
      <c r="BF65" s="1356"/>
      <c r="BG65" s="1356"/>
      <c r="BH65" s="1356"/>
      <c r="BI65" s="1356"/>
      <c r="BJ65" s="1357"/>
      <c r="BK65" s="1360"/>
      <c r="BL65" s="1356"/>
      <c r="BM65" s="1356"/>
      <c r="BN65" s="1356"/>
      <c r="BO65" s="1356"/>
      <c r="BP65" s="1357"/>
      <c r="BQ65" s="1360"/>
      <c r="BR65" s="1356"/>
      <c r="BS65" s="1356"/>
      <c r="BT65" s="1356"/>
      <c r="BU65" s="1356"/>
      <c r="BV65" s="1357"/>
      <c r="BW65" s="1360"/>
      <c r="BX65" s="1356"/>
      <c r="BY65" s="1356"/>
      <c r="BZ65" s="1356"/>
      <c r="CA65" s="1356"/>
      <c r="CB65" s="1357"/>
      <c r="CC65" s="223"/>
    </row>
    <row r="66" spans="3:81" ht="11.25" customHeight="1">
      <c r="C66" s="1411"/>
      <c r="D66" s="1412"/>
      <c r="E66" s="1413"/>
      <c r="F66" s="1386"/>
      <c r="G66" s="1386"/>
      <c r="H66" s="1386"/>
      <c r="I66" s="1386"/>
      <c r="J66" s="1386"/>
      <c r="K66" s="1386"/>
      <c r="L66" s="1386"/>
      <c r="M66" s="1386"/>
      <c r="N66" s="1386"/>
      <c r="O66" s="1386"/>
      <c r="P66" s="1386"/>
      <c r="Q66" s="1386"/>
      <c r="R66" s="1386"/>
      <c r="S66" s="1386"/>
      <c r="T66" s="1386"/>
      <c r="U66" s="1386"/>
      <c r="V66" s="1386"/>
      <c r="W66" s="1386"/>
      <c r="X66" s="1386"/>
      <c r="Y66" s="1386"/>
      <c r="Z66" s="1386"/>
      <c r="AA66" s="1386"/>
      <c r="AB66" s="1386"/>
      <c r="AC66" s="1387"/>
      <c r="AD66" s="231"/>
      <c r="AE66" s="1361"/>
      <c r="AF66" s="1358"/>
      <c r="AG66" s="1358"/>
      <c r="AH66" s="1358"/>
      <c r="AI66" s="1358"/>
      <c r="AJ66" s="1359"/>
      <c r="AK66" s="1361"/>
      <c r="AL66" s="1358"/>
      <c r="AM66" s="1358"/>
      <c r="AN66" s="1358"/>
      <c r="AO66" s="1358"/>
      <c r="AP66" s="1358"/>
      <c r="AQ66" s="1358"/>
      <c r="AR66" s="1358"/>
      <c r="AS66" s="1358"/>
      <c r="AT66" s="1358"/>
      <c r="AU66" s="1358"/>
      <c r="AV66" s="1358"/>
      <c r="AW66" s="1358"/>
      <c r="AX66" s="1358"/>
      <c r="AY66" s="1358"/>
      <c r="AZ66" s="1358"/>
      <c r="BA66" s="1358"/>
      <c r="BB66" s="1358"/>
      <c r="BC66" s="1358"/>
      <c r="BD66" s="1358"/>
      <c r="BE66" s="1358"/>
      <c r="BF66" s="1358"/>
      <c r="BG66" s="1358"/>
      <c r="BH66" s="1358"/>
      <c r="BI66" s="1358"/>
      <c r="BJ66" s="1359"/>
      <c r="BK66" s="1361"/>
      <c r="BL66" s="1358"/>
      <c r="BM66" s="1358"/>
      <c r="BN66" s="1358"/>
      <c r="BO66" s="1358"/>
      <c r="BP66" s="1359"/>
      <c r="BQ66" s="1361"/>
      <c r="BR66" s="1358"/>
      <c r="BS66" s="1358"/>
      <c r="BT66" s="1358"/>
      <c r="BU66" s="1358"/>
      <c r="BV66" s="1359"/>
      <c r="BW66" s="1361"/>
      <c r="BX66" s="1358"/>
      <c r="BY66" s="1358"/>
      <c r="BZ66" s="1358"/>
      <c r="CA66" s="1358"/>
      <c r="CB66" s="1359"/>
      <c r="CC66" s="223"/>
    </row>
    <row r="67" spans="3:81" ht="11.25" customHeight="1">
      <c r="C67" s="1411"/>
      <c r="D67" s="1412"/>
      <c r="E67" s="1413"/>
      <c r="F67" s="1386"/>
      <c r="G67" s="1386"/>
      <c r="H67" s="1386"/>
      <c r="I67" s="1386"/>
      <c r="J67" s="1386"/>
      <c r="K67" s="1386"/>
      <c r="L67" s="1386"/>
      <c r="M67" s="1386"/>
      <c r="N67" s="1386"/>
      <c r="O67" s="1386"/>
      <c r="P67" s="1386"/>
      <c r="Q67" s="1386"/>
      <c r="R67" s="1386"/>
      <c r="S67" s="1386"/>
      <c r="T67" s="1386"/>
      <c r="U67" s="1386"/>
      <c r="V67" s="1386"/>
      <c r="W67" s="1386"/>
      <c r="X67" s="1386"/>
      <c r="Y67" s="1386"/>
      <c r="Z67" s="1386"/>
      <c r="AA67" s="1386"/>
      <c r="AB67" s="1386"/>
      <c r="AC67" s="1387"/>
      <c r="AD67" s="231"/>
      <c r="AE67" s="1361"/>
      <c r="AF67" s="1358"/>
      <c r="AG67" s="1358"/>
      <c r="AH67" s="1358"/>
      <c r="AI67" s="1358"/>
      <c r="AJ67" s="1359"/>
      <c r="AK67" s="1361"/>
      <c r="AL67" s="1358"/>
      <c r="AM67" s="1358"/>
      <c r="AN67" s="1358"/>
      <c r="AO67" s="1358"/>
      <c r="AP67" s="1358"/>
      <c r="AQ67" s="1358"/>
      <c r="AR67" s="1358"/>
      <c r="AS67" s="1358"/>
      <c r="AT67" s="1358"/>
      <c r="AU67" s="1358"/>
      <c r="AV67" s="1358"/>
      <c r="AW67" s="1358"/>
      <c r="AX67" s="1358"/>
      <c r="AY67" s="1358"/>
      <c r="AZ67" s="1358"/>
      <c r="BA67" s="1358"/>
      <c r="BB67" s="1358"/>
      <c r="BC67" s="1358"/>
      <c r="BD67" s="1358"/>
      <c r="BE67" s="1358"/>
      <c r="BF67" s="1358"/>
      <c r="BG67" s="1358"/>
      <c r="BH67" s="1358"/>
      <c r="BI67" s="1358"/>
      <c r="BJ67" s="1359"/>
      <c r="BK67" s="1361"/>
      <c r="BL67" s="1358"/>
      <c r="BM67" s="1358"/>
      <c r="BN67" s="1358"/>
      <c r="BO67" s="1358"/>
      <c r="BP67" s="1359"/>
      <c r="BQ67" s="1361"/>
      <c r="BR67" s="1358"/>
      <c r="BS67" s="1358"/>
      <c r="BT67" s="1358"/>
      <c r="BU67" s="1358"/>
      <c r="BV67" s="1359"/>
      <c r="BW67" s="1361"/>
      <c r="BX67" s="1358"/>
      <c r="BY67" s="1358"/>
      <c r="BZ67" s="1358"/>
      <c r="CA67" s="1358"/>
      <c r="CB67" s="1359"/>
      <c r="CC67" s="223"/>
    </row>
    <row r="68" spans="3:81" ht="11.25" customHeight="1">
      <c r="C68" s="1411"/>
      <c r="D68" s="1412"/>
      <c r="E68" s="1413"/>
      <c r="F68" s="1386"/>
      <c r="G68" s="1386"/>
      <c r="H68" s="1386"/>
      <c r="I68" s="1386"/>
      <c r="J68" s="1386"/>
      <c r="K68" s="1386"/>
      <c r="L68" s="1386"/>
      <c r="M68" s="1386"/>
      <c r="N68" s="1386"/>
      <c r="O68" s="1386"/>
      <c r="P68" s="1386"/>
      <c r="Q68" s="1386"/>
      <c r="R68" s="1386"/>
      <c r="S68" s="1386"/>
      <c r="T68" s="1386"/>
      <c r="U68" s="1386"/>
      <c r="V68" s="1386"/>
      <c r="W68" s="1386"/>
      <c r="X68" s="1386"/>
      <c r="Y68" s="1386"/>
      <c r="Z68" s="1386"/>
      <c r="AA68" s="1386"/>
      <c r="AB68" s="1386"/>
      <c r="AC68" s="1387"/>
      <c r="AD68" s="231"/>
      <c r="AE68" s="1360"/>
      <c r="AF68" s="1356"/>
      <c r="AG68" s="1356"/>
      <c r="AH68" s="1356"/>
      <c r="AI68" s="1356"/>
      <c r="AJ68" s="1357"/>
      <c r="AK68" s="1360"/>
      <c r="AL68" s="1356"/>
      <c r="AM68" s="1356"/>
      <c r="AN68" s="1356"/>
      <c r="AO68" s="1356"/>
      <c r="AP68" s="1356"/>
      <c r="AQ68" s="1356"/>
      <c r="AR68" s="1356"/>
      <c r="AS68" s="1356"/>
      <c r="AT68" s="1356"/>
      <c r="AU68" s="1356"/>
      <c r="AV68" s="1356"/>
      <c r="AW68" s="1356"/>
      <c r="AX68" s="1356"/>
      <c r="AY68" s="1356"/>
      <c r="AZ68" s="1356"/>
      <c r="BA68" s="1356"/>
      <c r="BB68" s="1356"/>
      <c r="BC68" s="1356"/>
      <c r="BD68" s="1356"/>
      <c r="BE68" s="1356"/>
      <c r="BF68" s="1356"/>
      <c r="BG68" s="1356"/>
      <c r="BH68" s="1356"/>
      <c r="BI68" s="1356"/>
      <c r="BJ68" s="1357"/>
      <c r="BK68" s="1360"/>
      <c r="BL68" s="1356"/>
      <c r="BM68" s="1356"/>
      <c r="BN68" s="1356"/>
      <c r="BO68" s="1356"/>
      <c r="BP68" s="1357"/>
      <c r="BQ68" s="1360"/>
      <c r="BR68" s="1356"/>
      <c r="BS68" s="1356"/>
      <c r="BT68" s="1356"/>
      <c r="BU68" s="1356"/>
      <c r="BV68" s="1357"/>
      <c r="BW68" s="1360"/>
      <c r="BX68" s="1356"/>
      <c r="BY68" s="1356"/>
      <c r="BZ68" s="1356"/>
      <c r="CA68" s="1356"/>
      <c r="CB68" s="1357"/>
      <c r="CC68" s="223"/>
    </row>
    <row r="69" spans="3:81" ht="11.25" customHeight="1">
      <c r="C69" s="1411"/>
      <c r="D69" s="1412"/>
      <c r="E69" s="1413"/>
      <c r="F69" s="1386"/>
      <c r="G69" s="1386"/>
      <c r="H69" s="1386"/>
      <c r="I69" s="1386"/>
      <c r="J69" s="1386"/>
      <c r="K69" s="1386"/>
      <c r="L69" s="1386"/>
      <c r="M69" s="1386"/>
      <c r="N69" s="1386"/>
      <c r="O69" s="1386"/>
      <c r="P69" s="1386"/>
      <c r="Q69" s="1386"/>
      <c r="R69" s="1386"/>
      <c r="S69" s="1386"/>
      <c r="T69" s="1386"/>
      <c r="U69" s="1386"/>
      <c r="V69" s="1386"/>
      <c r="W69" s="1386"/>
      <c r="X69" s="1386"/>
      <c r="Y69" s="1386"/>
      <c r="Z69" s="1386"/>
      <c r="AA69" s="1386"/>
      <c r="AB69" s="1386"/>
      <c r="AC69" s="1387"/>
      <c r="AD69" s="231"/>
      <c r="AE69" s="1361"/>
      <c r="AF69" s="1358"/>
      <c r="AG69" s="1358"/>
      <c r="AH69" s="1358"/>
      <c r="AI69" s="1358"/>
      <c r="AJ69" s="1359"/>
      <c r="AK69" s="1361"/>
      <c r="AL69" s="1358"/>
      <c r="AM69" s="1358"/>
      <c r="AN69" s="1358"/>
      <c r="AO69" s="1358"/>
      <c r="AP69" s="1358"/>
      <c r="AQ69" s="1358"/>
      <c r="AR69" s="1358"/>
      <c r="AS69" s="1358"/>
      <c r="AT69" s="1358"/>
      <c r="AU69" s="1358"/>
      <c r="AV69" s="1358"/>
      <c r="AW69" s="1358"/>
      <c r="AX69" s="1358"/>
      <c r="AY69" s="1358"/>
      <c r="AZ69" s="1358"/>
      <c r="BA69" s="1358"/>
      <c r="BB69" s="1358"/>
      <c r="BC69" s="1358"/>
      <c r="BD69" s="1358"/>
      <c r="BE69" s="1358"/>
      <c r="BF69" s="1358"/>
      <c r="BG69" s="1358"/>
      <c r="BH69" s="1358"/>
      <c r="BI69" s="1358"/>
      <c r="BJ69" s="1359"/>
      <c r="BK69" s="1361"/>
      <c r="BL69" s="1358"/>
      <c r="BM69" s="1358"/>
      <c r="BN69" s="1358"/>
      <c r="BO69" s="1358"/>
      <c r="BP69" s="1359"/>
      <c r="BQ69" s="1361"/>
      <c r="BR69" s="1358"/>
      <c r="BS69" s="1358"/>
      <c r="BT69" s="1358"/>
      <c r="BU69" s="1358"/>
      <c r="BV69" s="1359"/>
      <c r="BW69" s="1361"/>
      <c r="BX69" s="1358"/>
      <c r="BY69" s="1358"/>
      <c r="BZ69" s="1358"/>
      <c r="CA69" s="1358"/>
      <c r="CB69" s="1359"/>
      <c r="CC69" s="223"/>
    </row>
    <row r="70" spans="3:81" ht="11.25" customHeight="1">
      <c r="C70" s="1414"/>
      <c r="D70" s="1415"/>
      <c r="E70" s="1416"/>
      <c r="F70" s="1386"/>
      <c r="G70" s="1386"/>
      <c r="H70" s="1386"/>
      <c r="I70" s="1386"/>
      <c r="J70" s="1386"/>
      <c r="K70" s="1386"/>
      <c r="L70" s="1386"/>
      <c r="M70" s="1386"/>
      <c r="N70" s="1386"/>
      <c r="O70" s="1386"/>
      <c r="P70" s="1386"/>
      <c r="Q70" s="1386"/>
      <c r="R70" s="1386"/>
      <c r="S70" s="1386"/>
      <c r="T70" s="1386"/>
      <c r="U70" s="1386"/>
      <c r="V70" s="1386"/>
      <c r="W70" s="1386"/>
      <c r="X70" s="1386"/>
      <c r="Y70" s="1386"/>
      <c r="Z70" s="1386"/>
      <c r="AA70" s="1386"/>
      <c r="AB70" s="1386"/>
      <c r="AC70" s="1387"/>
      <c r="AD70" s="231"/>
      <c r="AE70" s="1366"/>
      <c r="AF70" s="1365"/>
      <c r="AG70" s="1365"/>
      <c r="AH70" s="1365"/>
      <c r="AI70" s="1365"/>
      <c r="AJ70" s="1371"/>
      <c r="AK70" s="1366"/>
      <c r="AL70" s="1365"/>
      <c r="AM70" s="1365"/>
      <c r="AN70" s="1365"/>
      <c r="AO70" s="1365"/>
      <c r="AP70" s="1365"/>
      <c r="AQ70" s="1365"/>
      <c r="AR70" s="1365"/>
      <c r="AS70" s="1365"/>
      <c r="AT70" s="1365"/>
      <c r="AU70" s="1365"/>
      <c r="AV70" s="1365"/>
      <c r="AW70" s="1365"/>
      <c r="AX70" s="1365"/>
      <c r="AY70" s="1365"/>
      <c r="AZ70" s="1365"/>
      <c r="BA70" s="1365"/>
      <c r="BB70" s="1365"/>
      <c r="BC70" s="1365"/>
      <c r="BD70" s="1365"/>
      <c r="BE70" s="1365"/>
      <c r="BF70" s="1365"/>
      <c r="BG70" s="1365"/>
      <c r="BH70" s="1365"/>
      <c r="BI70" s="1365"/>
      <c r="BJ70" s="1371"/>
      <c r="BK70" s="1366"/>
      <c r="BL70" s="1365"/>
      <c r="BM70" s="1365"/>
      <c r="BN70" s="1365"/>
      <c r="BO70" s="1365"/>
      <c r="BP70" s="1371"/>
      <c r="BQ70" s="1366"/>
      <c r="BR70" s="1365"/>
      <c r="BS70" s="1365"/>
      <c r="BT70" s="1365"/>
      <c r="BU70" s="1365"/>
      <c r="BV70" s="1371"/>
      <c r="BW70" s="1366"/>
      <c r="BX70" s="1365"/>
      <c r="BY70" s="1365"/>
      <c r="BZ70" s="1365"/>
      <c r="CA70" s="1365"/>
      <c r="CB70" s="1371"/>
      <c r="CC70" s="223"/>
    </row>
    <row r="71" spans="3:81" ht="11.25" customHeight="1">
      <c r="C71" s="238"/>
      <c r="D71" s="230"/>
      <c r="E71" s="230"/>
      <c r="F71" s="230"/>
      <c r="G71" s="230"/>
      <c r="H71" s="230"/>
      <c r="I71" s="230"/>
      <c r="J71" s="230"/>
      <c r="K71" s="230"/>
      <c r="L71" s="230"/>
      <c r="M71" s="230"/>
      <c r="N71" s="230"/>
      <c r="O71" s="230"/>
      <c r="P71" s="230"/>
      <c r="Q71" s="230"/>
      <c r="R71" s="230"/>
      <c r="S71" s="230"/>
      <c r="T71" s="230"/>
      <c r="U71" s="230"/>
      <c r="V71" s="230"/>
      <c r="W71" s="230"/>
      <c r="X71" s="230"/>
      <c r="Y71" s="230"/>
      <c r="Z71" s="230"/>
      <c r="AA71" s="230"/>
      <c r="AB71" s="230"/>
      <c r="AC71" s="230"/>
      <c r="AD71" s="232"/>
      <c r="AE71" s="233"/>
      <c r="AF71" s="234"/>
      <c r="AG71" s="234"/>
      <c r="AH71" s="234"/>
      <c r="AI71" s="234"/>
      <c r="AJ71" s="236"/>
      <c r="AK71" s="237"/>
      <c r="AL71" s="234"/>
      <c r="AM71" s="234"/>
      <c r="AN71" s="234"/>
      <c r="AO71" s="234"/>
      <c r="AP71" s="234"/>
      <c r="AQ71" s="234"/>
      <c r="AR71" s="234"/>
      <c r="AS71" s="234"/>
      <c r="AT71" s="234"/>
      <c r="AU71" s="234"/>
      <c r="AV71" s="234"/>
      <c r="AW71" s="234"/>
      <c r="AX71" s="234"/>
      <c r="AY71" s="234"/>
      <c r="AZ71" s="234"/>
      <c r="BA71" s="234"/>
      <c r="BB71" s="234"/>
      <c r="BC71" s="234"/>
      <c r="BD71" s="234"/>
      <c r="BE71" s="234"/>
      <c r="BF71" s="234"/>
      <c r="BG71" s="234"/>
      <c r="BH71" s="234"/>
      <c r="BI71" s="234"/>
      <c r="BJ71" s="236"/>
      <c r="BK71" s="237"/>
      <c r="BL71" s="234"/>
      <c r="BM71" s="234"/>
      <c r="BN71" s="234"/>
      <c r="BO71" s="234"/>
      <c r="BP71" s="236"/>
      <c r="BQ71" s="237"/>
      <c r="BR71" s="234"/>
      <c r="BS71" s="234"/>
      <c r="BT71" s="234"/>
      <c r="BU71" s="234"/>
      <c r="BV71" s="236"/>
      <c r="BW71" s="237"/>
      <c r="BX71" s="234"/>
      <c r="BY71" s="234"/>
      <c r="BZ71" s="234"/>
      <c r="CA71" s="234"/>
      <c r="CB71" s="235"/>
      <c r="CC71" s="218"/>
    </row>
    <row r="72" spans="3:81" ht="11.25" customHeight="1">
      <c r="C72" s="1417" t="str">
        <f>VLOOKUP(10023,Languages!$A$5:$C$1032,Languages!$A$2,FALSE)</f>
        <v>Actions against reccurence</v>
      </c>
      <c r="D72" s="1418"/>
      <c r="E72" s="1419"/>
      <c r="F72" s="1386"/>
      <c r="G72" s="1386"/>
      <c r="H72" s="1386"/>
      <c r="I72" s="1386"/>
      <c r="J72" s="1386"/>
      <c r="K72" s="1386"/>
      <c r="L72" s="1386"/>
      <c r="M72" s="1386"/>
      <c r="N72" s="1386"/>
      <c r="O72" s="1386"/>
      <c r="P72" s="1386"/>
      <c r="Q72" s="1386"/>
      <c r="R72" s="1386"/>
      <c r="S72" s="1386"/>
      <c r="T72" s="1386"/>
      <c r="U72" s="1386"/>
      <c r="V72" s="1386"/>
      <c r="W72" s="1386"/>
      <c r="X72" s="1386"/>
      <c r="Y72" s="1386"/>
      <c r="Z72" s="1386"/>
      <c r="AA72" s="1386"/>
      <c r="AB72" s="1386"/>
      <c r="AC72" s="1387"/>
      <c r="AD72" s="231"/>
      <c r="AE72" s="1360"/>
      <c r="AF72" s="1356"/>
      <c r="AG72" s="1356"/>
      <c r="AH72" s="1356"/>
      <c r="AI72" s="1356"/>
      <c r="AJ72" s="1357"/>
      <c r="AK72" s="1360"/>
      <c r="AL72" s="1356"/>
      <c r="AM72" s="1356"/>
      <c r="AN72" s="1356"/>
      <c r="AO72" s="1356"/>
      <c r="AP72" s="1356"/>
      <c r="AQ72" s="1356"/>
      <c r="AR72" s="1356"/>
      <c r="AS72" s="1356"/>
      <c r="AT72" s="1356"/>
      <c r="AU72" s="1356"/>
      <c r="AV72" s="1356"/>
      <c r="AW72" s="1356"/>
      <c r="AX72" s="1356"/>
      <c r="AY72" s="1356"/>
      <c r="AZ72" s="1356"/>
      <c r="BA72" s="1356"/>
      <c r="BB72" s="1356"/>
      <c r="BC72" s="1356"/>
      <c r="BD72" s="1356"/>
      <c r="BE72" s="1356"/>
      <c r="BF72" s="1356"/>
      <c r="BG72" s="1356"/>
      <c r="BH72" s="1356"/>
      <c r="BI72" s="1356"/>
      <c r="BJ72" s="1357"/>
      <c r="BK72" s="1360"/>
      <c r="BL72" s="1356"/>
      <c r="BM72" s="1356"/>
      <c r="BN72" s="1356"/>
      <c r="BO72" s="1356"/>
      <c r="BP72" s="1357"/>
      <c r="BQ72" s="1360"/>
      <c r="BR72" s="1356"/>
      <c r="BS72" s="1356"/>
      <c r="BT72" s="1356"/>
      <c r="BU72" s="1356"/>
      <c r="BV72" s="1357"/>
      <c r="BW72" s="1360"/>
      <c r="BX72" s="1356"/>
      <c r="BY72" s="1356"/>
      <c r="BZ72" s="1356"/>
      <c r="CA72" s="1356"/>
      <c r="CB72" s="1357"/>
      <c r="CC72" s="223"/>
    </row>
    <row r="73" spans="3:81" ht="11.25" customHeight="1">
      <c r="C73" s="1411"/>
      <c r="D73" s="1412"/>
      <c r="E73" s="1413"/>
      <c r="F73" s="1386"/>
      <c r="G73" s="1386"/>
      <c r="H73" s="1386"/>
      <c r="I73" s="1386"/>
      <c r="J73" s="1386"/>
      <c r="K73" s="1386"/>
      <c r="L73" s="1386"/>
      <c r="M73" s="1386"/>
      <c r="N73" s="1386"/>
      <c r="O73" s="1386"/>
      <c r="P73" s="1386"/>
      <c r="Q73" s="1386"/>
      <c r="R73" s="1386"/>
      <c r="S73" s="1386"/>
      <c r="T73" s="1386"/>
      <c r="U73" s="1386"/>
      <c r="V73" s="1386"/>
      <c r="W73" s="1386"/>
      <c r="X73" s="1386"/>
      <c r="Y73" s="1386"/>
      <c r="Z73" s="1386"/>
      <c r="AA73" s="1386"/>
      <c r="AB73" s="1386"/>
      <c r="AC73" s="1387"/>
      <c r="AD73" s="231"/>
      <c r="AE73" s="1361"/>
      <c r="AF73" s="1358"/>
      <c r="AG73" s="1358"/>
      <c r="AH73" s="1358"/>
      <c r="AI73" s="1358"/>
      <c r="AJ73" s="1359"/>
      <c r="AK73" s="1361"/>
      <c r="AL73" s="1358"/>
      <c r="AM73" s="1358"/>
      <c r="AN73" s="1358"/>
      <c r="AO73" s="1358"/>
      <c r="AP73" s="1358"/>
      <c r="AQ73" s="1358"/>
      <c r="AR73" s="1358"/>
      <c r="AS73" s="1358"/>
      <c r="AT73" s="1358"/>
      <c r="AU73" s="1358"/>
      <c r="AV73" s="1358"/>
      <c r="AW73" s="1358"/>
      <c r="AX73" s="1358"/>
      <c r="AY73" s="1358"/>
      <c r="AZ73" s="1358"/>
      <c r="BA73" s="1358"/>
      <c r="BB73" s="1358"/>
      <c r="BC73" s="1358"/>
      <c r="BD73" s="1358"/>
      <c r="BE73" s="1358"/>
      <c r="BF73" s="1358"/>
      <c r="BG73" s="1358"/>
      <c r="BH73" s="1358"/>
      <c r="BI73" s="1358"/>
      <c r="BJ73" s="1359"/>
      <c r="BK73" s="1361"/>
      <c r="BL73" s="1358"/>
      <c r="BM73" s="1358"/>
      <c r="BN73" s="1358"/>
      <c r="BO73" s="1358"/>
      <c r="BP73" s="1359"/>
      <c r="BQ73" s="1361"/>
      <c r="BR73" s="1358"/>
      <c r="BS73" s="1358"/>
      <c r="BT73" s="1358"/>
      <c r="BU73" s="1358"/>
      <c r="BV73" s="1359"/>
      <c r="BW73" s="1361"/>
      <c r="BX73" s="1358"/>
      <c r="BY73" s="1358"/>
      <c r="BZ73" s="1358"/>
      <c r="CA73" s="1358"/>
      <c r="CB73" s="1359"/>
      <c r="CC73" s="223"/>
    </row>
    <row r="74" spans="3:81" ht="11.25" customHeight="1">
      <c r="C74" s="1411"/>
      <c r="D74" s="1412"/>
      <c r="E74" s="1413"/>
      <c r="F74" s="1386"/>
      <c r="G74" s="1386"/>
      <c r="H74" s="1386"/>
      <c r="I74" s="1386"/>
      <c r="J74" s="1386"/>
      <c r="K74" s="1386"/>
      <c r="L74" s="1386"/>
      <c r="M74" s="1386"/>
      <c r="N74" s="1386"/>
      <c r="O74" s="1386"/>
      <c r="P74" s="1386"/>
      <c r="Q74" s="1386"/>
      <c r="R74" s="1386"/>
      <c r="S74" s="1386"/>
      <c r="T74" s="1386"/>
      <c r="U74" s="1386"/>
      <c r="V74" s="1386"/>
      <c r="W74" s="1386"/>
      <c r="X74" s="1386"/>
      <c r="Y74" s="1386"/>
      <c r="Z74" s="1386"/>
      <c r="AA74" s="1386"/>
      <c r="AB74" s="1386"/>
      <c r="AC74" s="1387"/>
      <c r="AD74" s="231"/>
      <c r="AE74" s="1361"/>
      <c r="AF74" s="1358"/>
      <c r="AG74" s="1358"/>
      <c r="AH74" s="1358"/>
      <c r="AI74" s="1358"/>
      <c r="AJ74" s="1359"/>
      <c r="AK74" s="1361"/>
      <c r="AL74" s="1358"/>
      <c r="AM74" s="1358"/>
      <c r="AN74" s="1358"/>
      <c r="AO74" s="1358"/>
      <c r="AP74" s="1358"/>
      <c r="AQ74" s="1358"/>
      <c r="AR74" s="1358"/>
      <c r="AS74" s="1358"/>
      <c r="AT74" s="1358"/>
      <c r="AU74" s="1358"/>
      <c r="AV74" s="1358"/>
      <c r="AW74" s="1358"/>
      <c r="AX74" s="1358"/>
      <c r="AY74" s="1358"/>
      <c r="AZ74" s="1358"/>
      <c r="BA74" s="1358"/>
      <c r="BB74" s="1358"/>
      <c r="BC74" s="1358"/>
      <c r="BD74" s="1358"/>
      <c r="BE74" s="1358"/>
      <c r="BF74" s="1358"/>
      <c r="BG74" s="1358"/>
      <c r="BH74" s="1358"/>
      <c r="BI74" s="1358"/>
      <c r="BJ74" s="1359"/>
      <c r="BK74" s="1361"/>
      <c r="BL74" s="1358"/>
      <c r="BM74" s="1358"/>
      <c r="BN74" s="1358"/>
      <c r="BO74" s="1358"/>
      <c r="BP74" s="1359"/>
      <c r="BQ74" s="1361"/>
      <c r="BR74" s="1358"/>
      <c r="BS74" s="1358"/>
      <c r="BT74" s="1358"/>
      <c r="BU74" s="1358"/>
      <c r="BV74" s="1359"/>
      <c r="BW74" s="1361"/>
      <c r="BX74" s="1358"/>
      <c r="BY74" s="1358"/>
      <c r="BZ74" s="1358"/>
      <c r="CA74" s="1358"/>
      <c r="CB74" s="1359"/>
      <c r="CC74" s="223"/>
    </row>
    <row r="75" spans="3:81" ht="11.25" customHeight="1">
      <c r="C75" s="1411"/>
      <c r="D75" s="1412"/>
      <c r="E75" s="1413"/>
      <c r="F75" s="1386"/>
      <c r="G75" s="1386"/>
      <c r="H75" s="1386"/>
      <c r="I75" s="1386"/>
      <c r="J75" s="1386"/>
      <c r="K75" s="1386"/>
      <c r="L75" s="1386"/>
      <c r="M75" s="1386"/>
      <c r="N75" s="1386"/>
      <c r="O75" s="1386"/>
      <c r="P75" s="1386"/>
      <c r="Q75" s="1386"/>
      <c r="R75" s="1386"/>
      <c r="S75" s="1386"/>
      <c r="T75" s="1386"/>
      <c r="U75" s="1386"/>
      <c r="V75" s="1386"/>
      <c r="W75" s="1386"/>
      <c r="X75" s="1386"/>
      <c r="Y75" s="1386"/>
      <c r="Z75" s="1386"/>
      <c r="AA75" s="1386"/>
      <c r="AB75" s="1386"/>
      <c r="AC75" s="1387"/>
      <c r="AD75" s="231"/>
      <c r="AE75" s="1360"/>
      <c r="AF75" s="1356"/>
      <c r="AG75" s="1356"/>
      <c r="AH75" s="1356"/>
      <c r="AI75" s="1356"/>
      <c r="AJ75" s="1357"/>
      <c r="AK75" s="1360"/>
      <c r="AL75" s="1356"/>
      <c r="AM75" s="1356"/>
      <c r="AN75" s="1356"/>
      <c r="AO75" s="1356"/>
      <c r="AP75" s="1356"/>
      <c r="AQ75" s="1356"/>
      <c r="AR75" s="1356"/>
      <c r="AS75" s="1356"/>
      <c r="AT75" s="1356"/>
      <c r="AU75" s="1356"/>
      <c r="AV75" s="1356"/>
      <c r="AW75" s="1356"/>
      <c r="AX75" s="1356"/>
      <c r="AY75" s="1356"/>
      <c r="AZ75" s="1356"/>
      <c r="BA75" s="1356"/>
      <c r="BB75" s="1356"/>
      <c r="BC75" s="1356"/>
      <c r="BD75" s="1356"/>
      <c r="BE75" s="1356"/>
      <c r="BF75" s="1356"/>
      <c r="BG75" s="1356"/>
      <c r="BH75" s="1356"/>
      <c r="BI75" s="1356"/>
      <c r="BJ75" s="1357"/>
      <c r="BK75" s="1360"/>
      <c r="BL75" s="1356"/>
      <c r="BM75" s="1356"/>
      <c r="BN75" s="1356"/>
      <c r="BO75" s="1356"/>
      <c r="BP75" s="1357"/>
      <c r="BQ75" s="1360"/>
      <c r="BR75" s="1356"/>
      <c r="BS75" s="1356"/>
      <c r="BT75" s="1356"/>
      <c r="BU75" s="1356"/>
      <c r="BV75" s="1357"/>
      <c r="BW75" s="1360"/>
      <c r="BX75" s="1356"/>
      <c r="BY75" s="1356"/>
      <c r="BZ75" s="1356"/>
      <c r="CA75" s="1356"/>
      <c r="CB75" s="1357"/>
      <c r="CC75" s="223"/>
    </row>
    <row r="76" spans="3:81" ht="11.25" customHeight="1">
      <c r="C76" s="1411"/>
      <c r="D76" s="1412"/>
      <c r="E76" s="1413"/>
      <c r="F76" s="1386"/>
      <c r="G76" s="1386"/>
      <c r="H76" s="1386"/>
      <c r="I76" s="1386"/>
      <c r="J76" s="1386"/>
      <c r="K76" s="1386"/>
      <c r="L76" s="1386"/>
      <c r="M76" s="1386"/>
      <c r="N76" s="1386"/>
      <c r="O76" s="1386"/>
      <c r="P76" s="1386"/>
      <c r="Q76" s="1386"/>
      <c r="R76" s="1386"/>
      <c r="S76" s="1386"/>
      <c r="T76" s="1386"/>
      <c r="U76" s="1386"/>
      <c r="V76" s="1386"/>
      <c r="W76" s="1386"/>
      <c r="X76" s="1386"/>
      <c r="Y76" s="1386"/>
      <c r="Z76" s="1386"/>
      <c r="AA76" s="1386"/>
      <c r="AB76" s="1386"/>
      <c r="AC76" s="1387"/>
      <c r="AD76" s="231"/>
      <c r="AE76" s="1361"/>
      <c r="AF76" s="1358"/>
      <c r="AG76" s="1358"/>
      <c r="AH76" s="1358"/>
      <c r="AI76" s="1358"/>
      <c r="AJ76" s="1359"/>
      <c r="AK76" s="1361"/>
      <c r="AL76" s="1358"/>
      <c r="AM76" s="1358"/>
      <c r="AN76" s="1358"/>
      <c r="AO76" s="1358"/>
      <c r="AP76" s="1358"/>
      <c r="AQ76" s="1358"/>
      <c r="AR76" s="1358"/>
      <c r="AS76" s="1358"/>
      <c r="AT76" s="1358"/>
      <c r="AU76" s="1358"/>
      <c r="AV76" s="1358"/>
      <c r="AW76" s="1358"/>
      <c r="AX76" s="1358"/>
      <c r="AY76" s="1358"/>
      <c r="AZ76" s="1358"/>
      <c r="BA76" s="1358"/>
      <c r="BB76" s="1358"/>
      <c r="BC76" s="1358"/>
      <c r="BD76" s="1358"/>
      <c r="BE76" s="1358"/>
      <c r="BF76" s="1358"/>
      <c r="BG76" s="1358"/>
      <c r="BH76" s="1358"/>
      <c r="BI76" s="1358"/>
      <c r="BJ76" s="1359"/>
      <c r="BK76" s="1361"/>
      <c r="BL76" s="1358"/>
      <c r="BM76" s="1358"/>
      <c r="BN76" s="1358"/>
      <c r="BO76" s="1358"/>
      <c r="BP76" s="1359"/>
      <c r="BQ76" s="1361"/>
      <c r="BR76" s="1358"/>
      <c r="BS76" s="1358"/>
      <c r="BT76" s="1358"/>
      <c r="BU76" s="1358"/>
      <c r="BV76" s="1359"/>
      <c r="BW76" s="1361"/>
      <c r="BX76" s="1358"/>
      <c r="BY76" s="1358"/>
      <c r="BZ76" s="1358"/>
      <c r="CA76" s="1358"/>
      <c r="CB76" s="1359"/>
      <c r="CC76" s="223"/>
    </row>
    <row r="77" spans="3:81" ht="11.25" customHeight="1">
      <c r="C77" s="1411"/>
      <c r="D77" s="1412"/>
      <c r="E77" s="1413"/>
      <c r="F77" s="1386"/>
      <c r="G77" s="1386"/>
      <c r="H77" s="1386"/>
      <c r="I77" s="1386"/>
      <c r="J77" s="1386"/>
      <c r="K77" s="1386"/>
      <c r="L77" s="1386"/>
      <c r="M77" s="1386"/>
      <c r="N77" s="1386"/>
      <c r="O77" s="1386"/>
      <c r="P77" s="1386"/>
      <c r="Q77" s="1386"/>
      <c r="R77" s="1386"/>
      <c r="S77" s="1386"/>
      <c r="T77" s="1386"/>
      <c r="U77" s="1386"/>
      <c r="V77" s="1386"/>
      <c r="W77" s="1386"/>
      <c r="X77" s="1386"/>
      <c r="Y77" s="1386"/>
      <c r="Z77" s="1386"/>
      <c r="AA77" s="1386"/>
      <c r="AB77" s="1386"/>
      <c r="AC77" s="1387"/>
      <c r="AD77" s="231"/>
      <c r="AE77" s="1361"/>
      <c r="AF77" s="1358"/>
      <c r="AG77" s="1358"/>
      <c r="AH77" s="1358"/>
      <c r="AI77" s="1358"/>
      <c r="AJ77" s="1359"/>
      <c r="AK77" s="1361"/>
      <c r="AL77" s="1358"/>
      <c r="AM77" s="1358"/>
      <c r="AN77" s="1358"/>
      <c r="AO77" s="1358"/>
      <c r="AP77" s="1358"/>
      <c r="AQ77" s="1358"/>
      <c r="AR77" s="1358"/>
      <c r="AS77" s="1358"/>
      <c r="AT77" s="1358"/>
      <c r="AU77" s="1358"/>
      <c r="AV77" s="1358"/>
      <c r="AW77" s="1358"/>
      <c r="AX77" s="1358"/>
      <c r="AY77" s="1358"/>
      <c r="AZ77" s="1358"/>
      <c r="BA77" s="1358"/>
      <c r="BB77" s="1358"/>
      <c r="BC77" s="1358"/>
      <c r="BD77" s="1358"/>
      <c r="BE77" s="1358"/>
      <c r="BF77" s="1358"/>
      <c r="BG77" s="1358"/>
      <c r="BH77" s="1358"/>
      <c r="BI77" s="1358"/>
      <c r="BJ77" s="1359"/>
      <c r="BK77" s="1361"/>
      <c r="BL77" s="1358"/>
      <c r="BM77" s="1358"/>
      <c r="BN77" s="1358"/>
      <c r="BO77" s="1358"/>
      <c r="BP77" s="1359"/>
      <c r="BQ77" s="1361"/>
      <c r="BR77" s="1358"/>
      <c r="BS77" s="1358"/>
      <c r="BT77" s="1358"/>
      <c r="BU77" s="1358"/>
      <c r="BV77" s="1359"/>
      <c r="BW77" s="1361"/>
      <c r="BX77" s="1358"/>
      <c r="BY77" s="1358"/>
      <c r="BZ77" s="1358"/>
      <c r="CA77" s="1358"/>
      <c r="CB77" s="1359"/>
      <c r="CC77" s="223"/>
    </row>
    <row r="78" spans="3:81" ht="11.25" customHeight="1">
      <c r="C78" s="1411"/>
      <c r="D78" s="1412"/>
      <c r="E78" s="1413"/>
      <c r="F78" s="1386"/>
      <c r="G78" s="1386"/>
      <c r="H78" s="1386"/>
      <c r="I78" s="1386"/>
      <c r="J78" s="1386"/>
      <c r="K78" s="1386"/>
      <c r="L78" s="1386"/>
      <c r="M78" s="1386"/>
      <c r="N78" s="1386"/>
      <c r="O78" s="1386"/>
      <c r="P78" s="1386"/>
      <c r="Q78" s="1386"/>
      <c r="R78" s="1386"/>
      <c r="S78" s="1386"/>
      <c r="T78" s="1386"/>
      <c r="U78" s="1386"/>
      <c r="V78" s="1386"/>
      <c r="W78" s="1386"/>
      <c r="X78" s="1386"/>
      <c r="Y78" s="1386"/>
      <c r="Z78" s="1386"/>
      <c r="AA78" s="1386"/>
      <c r="AB78" s="1386"/>
      <c r="AC78" s="1387"/>
      <c r="AD78" s="231"/>
      <c r="AE78" s="1360"/>
      <c r="AF78" s="1356"/>
      <c r="AG78" s="1356"/>
      <c r="AH78" s="1356"/>
      <c r="AI78" s="1356"/>
      <c r="AJ78" s="1357"/>
      <c r="AK78" s="1360"/>
      <c r="AL78" s="1356"/>
      <c r="AM78" s="1356"/>
      <c r="AN78" s="1356"/>
      <c r="AO78" s="1356"/>
      <c r="AP78" s="1356"/>
      <c r="AQ78" s="1356"/>
      <c r="AR78" s="1356"/>
      <c r="AS78" s="1356"/>
      <c r="AT78" s="1356"/>
      <c r="AU78" s="1356"/>
      <c r="AV78" s="1356"/>
      <c r="AW78" s="1356"/>
      <c r="AX78" s="1356"/>
      <c r="AY78" s="1356"/>
      <c r="AZ78" s="1356"/>
      <c r="BA78" s="1356"/>
      <c r="BB78" s="1356"/>
      <c r="BC78" s="1356"/>
      <c r="BD78" s="1356"/>
      <c r="BE78" s="1356"/>
      <c r="BF78" s="1356"/>
      <c r="BG78" s="1356"/>
      <c r="BH78" s="1356"/>
      <c r="BI78" s="1356"/>
      <c r="BJ78" s="1357"/>
      <c r="BK78" s="1360"/>
      <c r="BL78" s="1356"/>
      <c r="BM78" s="1356"/>
      <c r="BN78" s="1356"/>
      <c r="BO78" s="1356"/>
      <c r="BP78" s="1357"/>
      <c r="BQ78" s="1360"/>
      <c r="BR78" s="1356"/>
      <c r="BS78" s="1356"/>
      <c r="BT78" s="1356"/>
      <c r="BU78" s="1356"/>
      <c r="BV78" s="1357"/>
      <c r="BW78" s="1360"/>
      <c r="BX78" s="1356"/>
      <c r="BY78" s="1356"/>
      <c r="BZ78" s="1356"/>
      <c r="CA78" s="1356"/>
      <c r="CB78" s="1357"/>
      <c r="CC78" s="223"/>
    </row>
    <row r="79" spans="3:81" ht="11.25" customHeight="1">
      <c r="C79" s="1411"/>
      <c r="D79" s="1412"/>
      <c r="E79" s="1413"/>
      <c r="F79" s="1386"/>
      <c r="G79" s="1386"/>
      <c r="H79" s="1386"/>
      <c r="I79" s="1386"/>
      <c r="J79" s="1386"/>
      <c r="K79" s="1386"/>
      <c r="L79" s="1386"/>
      <c r="M79" s="1386"/>
      <c r="N79" s="1386"/>
      <c r="O79" s="1386"/>
      <c r="P79" s="1386"/>
      <c r="Q79" s="1386"/>
      <c r="R79" s="1386"/>
      <c r="S79" s="1386"/>
      <c r="T79" s="1386"/>
      <c r="U79" s="1386"/>
      <c r="V79" s="1386"/>
      <c r="W79" s="1386"/>
      <c r="X79" s="1386"/>
      <c r="Y79" s="1386"/>
      <c r="Z79" s="1386"/>
      <c r="AA79" s="1386"/>
      <c r="AB79" s="1386"/>
      <c r="AC79" s="1387"/>
      <c r="AD79" s="231"/>
      <c r="AE79" s="1361"/>
      <c r="AF79" s="1358"/>
      <c r="AG79" s="1358"/>
      <c r="AH79" s="1358"/>
      <c r="AI79" s="1358"/>
      <c r="AJ79" s="1359"/>
      <c r="AK79" s="1361"/>
      <c r="AL79" s="1358"/>
      <c r="AM79" s="1358"/>
      <c r="AN79" s="1358"/>
      <c r="AO79" s="1358"/>
      <c r="AP79" s="1358"/>
      <c r="AQ79" s="1358"/>
      <c r="AR79" s="1358"/>
      <c r="AS79" s="1358"/>
      <c r="AT79" s="1358"/>
      <c r="AU79" s="1358"/>
      <c r="AV79" s="1358"/>
      <c r="AW79" s="1358"/>
      <c r="AX79" s="1358"/>
      <c r="AY79" s="1358"/>
      <c r="AZ79" s="1358"/>
      <c r="BA79" s="1358"/>
      <c r="BB79" s="1358"/>
      <c r="BC79" s="1358"/>
      <c r="BD79" s="1358"/>
      <c r="BE79" s="1358"/>
      <c r="BF79" s="1358"/>
      <c r="BG79" s="1358"/>
      <c r="BH79" s="1358"/>
      <c r="BI79" s="1358"/>
      <c r="BJ79" s="1359"/>
      <c r="BK79" s="1361"/>
      <c r="BL79" s="1358"/>
      <c r="BM79" s="1358"/>
      <c r="BN79" s="1358"/>
      <c r="BO79" s="1358"/>
      <c r="BP79" s="1359"/>
      <c r="BQ79" s="1361"/>
      <c r="BR79" s="1358"/>
      <c r="BS79" s="1358"/>
      <c r="BT79" s="1358"/>
      <c r="BU79" s="1358"/>
      <c r="BV79" s="1359"/>
      <c r="BW79" s="1361"/>
      <c r="BX79" s="1358"/>
      <c r="BY79" s="1358"/>
      <c r="BZ79" s="1358"/>
      <c r="CA79" s="1358"/>
      <c r="CB79" s="1359"/>
      <c r="CC79" s="223"/>
    </row>
    <row r="80" spans="3:81" ht="11.25" customHeight="1">
      <c r="C80" s="1411"/>
      <c r="D80" s="1412"/>
      <c r="E80" s="1413"/>
      <c r="F80" s="1386"/>
      <c r="G80" s="1386"/>
      <c r="H80" s="1386"/>
      <c r="I80" s="1386"/>
      <c r="J80" s="1386"/>
      <c r="K80" s="1386"/>
      <c r="L80" s="1386"/>
      <c r="M80" s="1386"/>
      <c r="N80" s="1386"/>
      <c r="O80" s="1386"/>
      <c r="P80" s="1386"/>
      <c r="Q80" s="1386"/>
      <c r="R80" s="1386"/>
      <c r="S80" s="1386"/>
      <c r="T80" s="1386"/>
      <c r="U80" s="1386"/>
      <c r="V80" s="1386"/>
      <c r="W80" s="1386"/>
      <c r="X80" s="1386"/>
      <c r="Y80" s="1386"/>
      <c r="Z80" s="1386"/>
      <c r="AA80" s="1386"/>
      <c r="AB80" s="1386"/>
      <c r="AC80" s="1387"/>
      <c r="AD80" s="231"/>
      <c r="AE80" s="1366"/>
      <c r="AF80" s="1365"/>
      <c r="AG80" s="1365"/>
      <c r="AH80" s="1365"/>
      <c r="AI80" s="1365"/>
      <c r="AJ80" s="1371"/>
      <c r="AK80" s="1366"/>
      <c r="AL80" s="1365"/>
      <c r="AM80" s="1365"/>
      <c r="AN80" s="1365"/>
      <c r="AO80" s="1365"/>
      <c r="AP80" s="1365"/>
      <c r="AQ80" s="1365"/>
      <c r="AR80" s="1365"/>
      <c r="AS80" s="1365"/>
      <c r="AT80" s="1365"/>
      <c r="AU80" s="1365"/>
      <c r="AV80" s="1365"/>
      <c r="AW80" s="1365"/>
      <c r="AX80" s="1365"/>
      <c r="AY80" s="1365"/>
      <c r="AZ80" s="1365"/>
      <c r="BA80" s="1365"/>
      <c r="BB80" s="1365"/>
      <c r="BC80" s="1365"/>
      <c r="BD80" s="1365"/>
      <c r="BE80" s="1365"/>
      <c r="BF80" s="1365"/>
      <c r="BG80" s="1365"/>
      <c r="BH80" s="1365"/>
      <c r="BI80" s="1365"/>
      <c r="BJ80" s="1371"/>
      <c r="BK80" s="1366"/>
      <c r="BL80" s="1365"/>
      <c r="BM80" s="1365"/>
      <c r="BN80" s="1365"/>
      <c r="BO80" s="1365"/>
      <c r="BP80" s="1371"/>
      <c r="BQ80" s="1366"/>
      <c r="BR80" s="1365"/>
      <c r="BS80" s="1365"/>
      <c r="BT80" s="1365"/>
      <c r="BU80" s="1365"/>
      <c r="BV80" s="1371"/>
      <c r="BW80" s="1366"/>
      <c r="BX80" s="1365"/>
      <c r="BY80" s="1365"/>
      <c r="BZ80" s="1365"/>
      <c r="CA80" s="1365"/>
      <c r="CB80" s="1371"/>
      <c r="CC80" s="223"/>
    </row>
    <row r="81" spans="3:81" ht="11.25" customHeight="1">
      <c r="C81" s="1411"/>
      <c r="D81" s="1412"/>
      <c r="E81" s="1413"/>
      <c r="F81" s="1386"/>
      <c r="G81" s="1386"/>
      <c r="H81" s="1386"/>
      <c r="I81" s="1386"/>
      <c r="J81" s="1386"/>
      <c r="K81" s="1386"/>
      <c r="L81" s="1386"/>
      <c r="M81" s="1386"/>
      <c r="N81" s="1386"/>
      <c r="O81" s="1386"/>
      <c r="P81" s="1386"/>
      <c r="Q81" s="1386"/>
      <c r="R81" s="1386"/>
      <c r="S81" s="1386"/>
      <c r="T81" s="1386"/>
      <c r="U81" s="1386"/>
      <c r="V81" s="1386"/>
      <c r="W81" s="1386"/>
      <c r="X81" s="1386"/>
      <c r="Y81" s="1386"/>
      <c r="Z81" s="1386"/>
      <c r="AA81" s="1386"/>
      <c r="AB81" s="1386"/>
      <c r="AC81" s="1387"/>
      <c r="AD81" s="231"/>
      <c r="AE81" s="1360"/>
      <c r="AF81" s="1356"/>
      <c r="AG81" s="1356"/>
      <c r="AH81" s="1356"/>
      <c r="AI81" s="1356"/>
      <c r="AJ81" s="1357"/>
      <c r="AK81" s="1360"/>
      <c r="AL81" s="1356"/>
      <c r="AM81" s="1356"/>
      <c r="AN81" s="1356"/>
      <c r="AO81" s="1356"/>
      <c r="AP81" s="1356"/>
      <c r="AQ81" s="1356"/>
      <c r="AR81" s="1356"/>
      <c r="AS81" s="1356"/>
      <c r="AT81" s="1356"/>
      <c r="AU81" s="1356"/>
      <c r="AV81" s="1356"/>
      <c r="AW81" s="1356"/>
      <c r="AX81" s="1356"/>
      <c r="AY81" s="1356"/>
      <c r="AZ81" s="1356"/>
      <c r="BA81" s="1356"/>
      <c r="BB81" s="1356"/>
      <c r="BC81" s="1356"/>
      <c r="BD81" s="1356"/>
      <c r="BE81" s="1356"/>
      <c r="BF81" s="1356"/>
      <c r="BG81" s="1356"/>
      <c r="BH81" s="1356"/>
      <c r="BI81" s="1356"/>
      <c r="BJ81" s="1357"/>
      <c r="BK81" s="1360"/>
      <c r="BL81" s="1356"/>
      <c r="BM81" s="1356"/>
      <c r="BN81" s="1356"/>
      <c r="BO81" s="1356"/>
      <c r="BP81" s="1357"/>
      <c r="BQ81" s="1360"/>
      <c r="BR81" s="1356"/>
      <c r="BS81" s="1356"/>
      <c r="BT81" s="1356"/>
      <c r="BU81" s="1356"/>
      <c r="BV81" s="1357"/>
      <c r="BW81" s="1360"/>
      <c r="BX81" s="1356"/>
      <c r="BY81" s="1356"/>
      <c r="BZ81" s="1356"/>
      <c r="CA81" s="1356"/>
      <c r="CB81" s="1357"/>
      <c r="CC81" s="223"/>
    </row>
    <row r="82" spans="3:81" ht="11.25" customHeight="1">
      <c r="C82" s="1411"/>
      <c r="D82" s="1412"/>
      <c r="E82" s="1413"/>
      <c r="F82" s="1386"/>
      <c r="G82" s="1386"/>
      <c r="H82" s="1386"/>
      <c r="I82" s="1386"/>
      <c r="J82" s="1386"/>
      <c r="K82" s="1386"/>
      <c r="L82" s="1386"/>
      <c r="M82" s="1386"/>
      <c r="N82" s="1386"/>
      <c r="O82" s="1386"/>
      <c r="P82" s="1386"/>
      <c r="Q82" s="1386"/>
      <c r="R82" s="1386"/>
      <c r="S82" s="1386"/>
      <c r="T82" s="1386"/>
      <c r="U82" s="1386"/>
      <c r="V82" s="1386"/>
      <c r="W82" s="1386"/>
      <c r="X82" s="1386"/>
      <c r="Y82" s="1386"/>
      <c r="Z82" s="1386"/>
      <c r="AA82" s="1386"/>
      <c r="AB82" s="1386"/>
      <c r="AC82" s="1387"/>
      <c r="AD82" s="231"/>
      <c r="AE82" s="1361"/>
      <c r="AF82" s="1358"/>
      <c r="AG82" s="1358"/>
      <c r="AH82" s="1358"/>
      <c r="AI82" s="1358"/>
      <c r="AJ82" s="1359"/>
      <c r="AK82" s="1361"/>
      <c r="AL82" s="1358"/>
      <c r="AM82" s="1358"/>
      <c r="AN82" s="1358"/>
      <c r="AO82" s="1358"/>
      <c r="AP82" s="1358"/>
      <c r="AQ82" s="1358"/>
      <c r="AR82" s="1358"/>
      <c r="AS82" s="1358"/>
      <c r="AT82" s="1358"/>
      <c r="AU82" s="1358"/>
      <c r="AV82" s="1358"/>
      <c r="AW82" s="1358"/>
      <c r="AX82" s="1358"/>
      <c r="AY82" s="1358"/>
      <c r="AZ82" s="1358"/>
      <c r="BA82" s="1358"/>
      <c r="BB82" s="1358"/>
      <c r="BC82" s="1358"/>
      <c r="BD82" s="1358"/>
      <c r="BE82" s="1358"/>
      <c r="BF82" s="1358"/>
      <c r="BG82" s="1358"/>
      <c r="BH82" s="1358"/>
      <c r="BI82" s="1358"/>
      <c r="BJ82" s="1359"/>
      <c r="BK82" s="1361"/>
      <c r="BL82" s="1358"/>
      <c r="BM82" s="1358"/>
      <c r="BN82" s="1358"/>
      <c r="BO82" s="1358"/>
      <c r="BP82" s="1359"/>
      <c r="BQ82" s="1361"/>
      <c r="BR82" s="1358"/>
      <c r="BS82" s="1358"/>
      <c r="BT82" s="1358"/>
      <c r="BU82" s="1358"/>
      <c r="BV82" s="1359"/>
      <c r="BW82" s="1361"/>
      <c r="BX82" s="1358"/>
      <c r="BY82" s="1358"/>
      <c r="BZ82" s="1358"/>
      <c r="CA82" s="1358"/>
      <c r="CB82" s="1359"/>
      <c r="CC82" s="223"/>
    </row>
    <row r="83" spans="3:81" ht="11.25" customHeight="1">
      <c r="C83" s="1411"/>
      <c r="D83" s="1412"/>
      <c r="E83" s="1413"/>
      <c r="F83" s="1386"/>
      <c r="G83" s="1386"/>
      <c r="H83" s="1386"/>
      <c r="I83" s="1386"/>
      <c r="J83" s="1386"/>
      <c r="K83" s="1386"/>
      <c r="L83" s="1386"/>
      <c r="M83" s="1386"/>
      <c r="N83" s="1386"/>
      <c r="O83" s="1386"/>
      <c r="P83" s="1386"/>
      <c r="Q83" s="1386"/>
      <c r="R83" s="1386"/>
      <c r="S83" s="1386"/>
      <c r="T83" s="1386"/>
      <c r="U83" s="1386"/>
      <c r="V83" s="1386"/>
      <c r="W83" s="1386"/>
      <c r="X83" s="1386"/>
      <c r="Y83" s="1386"/>
      <c r="Z83" s="1386"/>
      <c r="AA83" s="1386"/>
      <c r="AB83" s="1386"/>
      <c r="AC83" s="1387"/>
      <c r="AD83" s="231"/>
      <c r="AE83" s="1361"/>
      <c r="AF83" s="1358"/>
      <c r="AG83" s="1358"/>
      <c r="AH83" s="1358"/>
      <c r="AI83" s="1358"/>
      <c r="AJ83" s="1359"/>
      <c r="AK83" s="1361"/>
      <c r="AL83" s="1358"/>
      <c r="AM83" s="1358"/>
      <c r="AN83" s="1358"/>
      <c r="AO83" s="1358"/>
      <c r="AP83" s="1358"/>
      <c r="AQ83" s="1358"/>
      <c r="AR83" s="1358"/>
      <c r="AS83" s="1358"/>
      <c r="AT83" s="1358"/>
      <c r="AU83" s="1358"/>
      <c r="AV83" s="1358"/>
      <c r="AW83" s="1358"/>
      <c r="AX83" s="1358"/>
      <c r="AY83" s="1358"/>
      <c r="AZ83" s="1358"/>
      <c r="BA83" s="1358"/>
      <c r="BB83" s="1358"/>
      <c r="BC83" s="1358"/>
      <c r="BD83" s="1358"/>
      <c r="BE83" s="1358"/>
      <c r="BF83" s="1358"/>
      <c r="BG83" s="1358"/>
      <c r="BH83" s="1358"/>
      <c r="BI83" s="1358"/>
      <c r="BJ83" s="1359"/>
      <c r="BK83" s="1361"/>
      <c r="BL83" s="1358"/>
      <c r="BM83" s="1358"/>
      <c r="BN83" s="1358"/>
      <c r="BO83" s="1358"/>
      <c r="BP83" s="1359"/>
      <c r="BQ83" s="1361"/>
      <c r="BR83" s="1358"/>
      <c r="BS83" s="1358"/>
      <c r="BT83" s="1358"/>
      <c r="BU83" s="1358"/>
      <c r="BV83" s="1359"/>
      <c r="BW83" s="1361"/>
      <c r="BX83" s="1358"/>
      <c r="BY83" s="1358"/>
      <c r="BZ83" s="1358"/>
      <c r="CA83" s="1358"/>
      <c r="CB83" s="1359"/>
      <c r="CC83" s="223"/>
    </row>
    <row r="84" spans="3:81" ht="11.25" customHeight="1">
      <c r="C84" s="1411"/>
      <c r="D84" s="1412"/>
      <c r="E84" s="1413"/>
      <c r="F84" s="1386"/>
      <c r="G84" s="1386"/>
      <c r="H84" s="1386"/>
      <c r="I84" s="1386"/>
      <c r="J84" s="1386"/>
      <c r="K84" s="1386"/>
      <c r="L84" s="1386"/>
      <c r="M84" s="1386"/>
      <c r="N84" s="1386"/>
      <c r="O84" s="1386"/>
      <c r="P84" s="1386"/>
      <c r="Q84" s="1386"/>
      <c r="R84" s="1386"/>
      <c r="S84" s="1386"/>
      <c r="T84" s="1386"/>
      <c r="U84" s="1386"/>
      <c r="V84" s="1386"/>
      <c r="W84" s="1386"/>
      <c r="X84" s="1386"/>
      <c r="Y84" s="1386"/>
      <c r="Z84" s="1386"/>
      <c r="AA84" s="1386"/>
      <c r="AB84" s="1386"/>
      <c r="AC84" s="1387"/>
      <c r="AD84" s="231"/>
      <c r="AE84" s="1360"/>
      <c r="AF84" s="1356"/>
      <c r="AG84" s="1356"/>
      <c r="AH84" s="1356"/>
      <c r="AI84" s="1356"/>
      <c r="AJ84" s="1357"/>
      <c r="AK84" s="1360"/>
      <c r="AL84" s="1356"/>
      <c r="AM84" s="1356"/>
      <c r="AN84" s="1356"/>
      <c r="AO84" s="1356"/>
      <c r="AP84" s="1356"/>
      <c r="AQ84" s="1356"/>
      <c r="AR84" s="1356"/>
      <c r="AS84" s="1356"/>
      <c r="AT84" s="1356"/>
      <c r="AU84" s="1356"/>
      <c r="AV84" s="1356"/>
      <c r="AW84" s="1356"/>
      <c r="AX84" s="1356"/>
      <c r="AY84" s="1356"/>
      <c r="AZ84" s="1356"/>
      <c r="BA84" s="1356"/>
      <c r="BB84" s="1356"/>
      <c r="BC84" s="1356"/>
      <c r="BD84" s="1356"/>
      <c r="BE84" s="1356"/>
      <c r="BF84" s="1356"/>
      <c r="BG84" s="1356"/>
      <c r="BH84" s="1356"/>
      <c r="BI84" s="1356"/>
      <c r="BJ84" s="1357"/>
      <c r="BK84" s="1360"/>
      <c r="BL84" s="1356"/>
      <c r="BM84" s="1356"/>
      <c r="BN84" s="1356"/>
      <c r="BO84" s="1356"/>
      <c r="BP84" s="1357"/>
      <c r="BQ84" s="1360"/>
      <c r="BR84" s="1356"/>
      <c r="BS84" s="1356"/>
      <c r="BT84" s="1356"/>
      <c r="BU84" s="1356"/>
      <c r="BV84" s="1357"/>
      <c r="BW84" s="1360"/>
      <c r="BX84" s="1356"/>
      <c r="BY84" s="1356"/>
      <c r="BZ84" s="1356"/>
      <c r="CA84" s="1356"/>
      <c r="CB84" s="1357"/>
      <c r="CC84" s="223"/>
    </row>
    <row r="85" spans="3:81" ht="11.25" customHeight="1">
      <c r="C85" s="1411"/>
      <c r="D85" s="1412"/>
      <c r="E85" s="1413"/>
      <c r="F85" s="1386"/>
      <c r="G85" s="1386"/>
      <c r="H85" s="1386"/>
      <c r="I85" s="1386"/>
      <c r="J85" s="1386"/>
      <c r="K85" s="1386"/>
      <c r="L85" s="1386"/>
      <c r="M85" s="1386"/>
      <c r="N85" s="1386"/>
      <c r="O85" s="1386"/>
      <c r="P85" s="1386"/>
      <c r="Q85" s="1386"/>
      <c r="R85" s="1386"/>
      <c r="S85" s="1386"/>
      <c r="T85" s="1386"/>
      <c r="U85" s="1386"/>
      <c r="V85" s="1386"/>
      <c r="W85" s="1386"/>
      <c r="X85" s="1386"/>
      <c r="Y85" s="1386"/>
      <c r="Z85" s="1386"/>
      <c r="AA85" s="1386"/>
      <c r="AB85" s="1386"/>
      <c r="AC85" s="1387"/>
      <c r="AD85" s="231"/>
      <c r="AE85" s="1361"/>
      <c r="AF85" s="1358"/>
      <c r="AG85" s="1358"/>
      <c r="AH85" s="1358"/>
      <c r="AI85" s="1358"/>
      <c r="AJ85" s="1359"/>
      <c r="AK85" s="1361"/>
      <c r="AL85" s="1358"/>
      <c r="AM85" s="1358"/>
      <c r="AN85" s="1358"/>
      <c r="AO85" s="1358"/>
      <c r="AP85" s="1358"/>
      <c r="AQ85" s="1358"/>
      <c r="AR85" s="1358"/>
      <c r="AS85" s="1358"/>
      <c r="AT85" s="1358"/>
      <c r="AU85" s="1358"/>
      <c r="AV85" s="1358"/>
      <c r="AW85" s="1358"/>
      <c r="AX85" s="1358"/>
      <c r="AY85" s="1358"/>
      <c r="AZ85" s="1358"/>
      <c r="BA85" s="1358"/>
      <c r="BB85" s="1358"/>
      <c r="BC85" s="1358"/>
      <c r="BD85" s="1358"/>
      <c r="BE85" s="1358"/>
      <c r="BF85" s="1358"/>
      <c r="BG85" s="1358"/>
      <c r="BH85" s="1358"/>
      <c r="BI85" s="1358"/>
      <c r="BJ85" s="1359"/>
      <c r="BK85" s="1361"/>
      <c r="BL85" s="1358"/>
      <c r="BM85" s="1358"/>
      <c r="BN85" s="1358"/>
      <c r="BO85" s="1358"/>
      <c r="BP85" s="1359"/>
      <c r="BQ85" s="1361"/>
      <c r="BR85" s="1358"/>
      <c r="BS85" s="1358"/>
      <c r="BT85" s="1358"/>
      <c r="BU85" s="1358"/>
      <c r="BV85" s="1359"/>
      <c r="BW85" s="1361"/>
      <c r="BX85" s="1358"/>
      <c r="BY85" s="1358"/>
      <c r="BZ85" s="1358"/>
      <c r="CA85" s="1358"/>
      <c r="CB85" s="1359"/>
      <c r="CC85" s="223"/>
    </row>
    <row r="86" spans="3:81" ht="11.25" customHeight="1">
      <c r="C86" s="1411"/>
      <c r="D86" s="1412"/>
      <c r="E86" s="1413"/>
      <c r="F86" s="1386"/>
      <c r="G86" s="1386"/>
      <c r="H86" s="1386"/>
      <c r="I86" s="1386"/>
      <c r="J86" s="1386"/>
      <c r="K86" s="1386"/>
      <c r="L86" s="1386"/>
      <c r="M86" s="1386"/>
      <c r="N86" s="1386"/>
      <c r="O86" s="1386"/>
      <c r="P86" s="1386"/>
      <c r="Q86" s="1386"/>
      <c r="R86" s="1386"/>
      <c r="S86" s="1386"/>
      <c r="T86" s="1386"/>
      <c r="U86" s="1386"/>
      <c r="V86" s="1386"/>
      <c r="W86" s="1386"/>
      <c r="X86" s="1386"/>
      <c r="Y86" s="1386"/>
      <c r="Z86" s="1386"/>
      <c r="AA86" s="1386"/>
      <c r="AB86" s="1386"/>
      <c r="AC86" s="1387"/>
      <c r="AD86" s="231"/>
      <c r="AE86" s="1361"/>
      <c r="AF86" s="1358"/>
      <c r="AG86" s="1358"/>
      <c r="AH86" s="1358"/>
      <c r="AI86" s="1358"/>
      <c r="AJ86" s="1359"/>
      <c r="AK86" s="1361"/>
      <c r="AL86" s="1358"/>
      <c r="AM86" s="1358"/>
      <c r="AN86" s="1358"/>
      <c r="AO86" s="1358"/>
      <c r="AP86" s="1358"/>
      <c r="AQ86" s="1358"/>
      <c r="AR86" s="1358"/>
      <c r="AS86" s="1358"/>
      <c r="AT86" s="1358"/>
      <c r="AU86" s="1358"/>
      <c r="AV86" s="1358"/>
      <c r="AW86" s="1358"/>
      <c r="AX86" s="1358"/>
      <c r="AY86" s="1358"/>
      <c r="AZ86" s="1358"/>
      <c r="BA86" s="1358"/>
      <c r="BB86" s="1358"/>
      <c r="BC86" s="1358"/>
      <c r="BD86" s="1358"/>
      <c r="BE86" s="1358"/>
      <c r="BF86" s="1358"/>
      <c r="BG86" s="1358"/>
      <c r="BH86" s="1358"/>
      <c r="BI86" s="1358"/>
      <c r="BJ86" s="1359"/>
      <c r="BK86" s="1361"/>
      <c r="BL86" s="1358"/>
      <c r="BM86" s="1358"/>
      <c r="BN86" s="1358"/>
      <c r="BO86" s="1358"/>
      <c r="BP86" s="1359"/>
      <c r="BQ86" s="1361"/>
      <c r="BR86" s="1358"/>
      <c r="BS86" s="1358"/>
      <c r="BT86" s="1358"/>
      <c r="BU86" s="1358"/>
      <c r="BV86" s="1359"/>
      <c r="BW86" s="1361"/>
      <c r="BX86" s="1358"/>
      <c r="BY86" s="1358"/>
      <c r="BZ86" s="1358"/>
      <c r="CA86" s="1358"/>
      <c r="CB86" s="1359"/>
      <c r="CC86" s="223"/>
    </row>
    <row r="87" spans="3:81" ht="11.25" customHeight="1">
      <c r="C87" s="1411"/>
      <c r="D87" s="1412"/>
      <c r="E87" s="1413"/>
      <c r="F87" s="1386"/>
      <c r="G87" s="1386"/>
      <c r="H87" s="1386"/>
      <c r="I87" s="1386"/>
      <c r="J87" s="1386"/>
      <c r="K87" s="1386"/>
      <c r="L87" s="1386"/>
      <c r="M87" s="1386"/>
      <c r="N87" s="1386"/>
      <c r="O87" s="1386"/>
      <c r="P87" s="1386"/>
      <c r="Q87" s="1386"/>
      <c r="R87" s="1386"/>
      <c r="S87" s="1386"/>
      <c r="T87" s="1386"/>
      <c r="U87" s="1386"/>
      <c r="V87" s="1386"/>
      <c r="W87" s="1386"/>
      <c r="X87" s="1386"/>
      <c r="Y87" s="1386"/>
      <c r="Z87" s="1386"/>
      <c r="AA87" s="1386"/>
      <c r="AB87" s="1386"/>
      <c r="AC87" s="1387"/>
      <c r="AD87" s="231"/>
      <c r="AE87" s="1360"/>
      <c r="AF87" s="1356"/>
      <c r="AG87" s="1356"/>
      <c r="AH87" s="1356"/>
      <c r="AI87" s="1356"/>
      <c r="AJ87" s="1357"/>
      <c r="AK87" s="1360"/>
      <c r="AL87" s="1356"/>
      <c r="AM87" s="1356"/>
      <c r="AN87" s="1356"/>
      <c r="AO87" s="1356"/>
      <c r="AP87" s="1356"/>
      <c r="AQ87" s="1356"/>
      <c r="AR87" s="1356"/>
      <c r="AS87" s="1356"/>
      <c r="AT87" s="1356"/>
      <c r="AU87" s="1356"/>
      <c r="AV87" s="1356"/>
      <c r="AW87" s="1356"/>
      <c r="AX87" s="1356"/>
      <c r="AY87" s="1356"/>
      <c r="AZ87" s="1356"/>
      <c r="BA87" s="1356"/>
      <c r="BB87" s="1356"/>
      <c r="BC87" s="1356"/>
      <c r="BD87" s="1356"/>
      <c r="BE87" s="1356"/>
      <c r="BF87" s="1356"/>
      <c r="BG87" s="1356"/>
      <c r="BH87" s="1356"/>
      <c r="BI87" s="1356"/>
      <c r="BJ87" s="1357"/>
      <c r="BK87" s="1360"/>
      <c r="BL87" s="1356"/>
      <c r="BM87" s="1356"/>
      <c r="BN87" s="1356"/>
      <c r="BO87" s="1356"/>
      <c r="BP87" s="1357"/>
      <c r="BQ87" s="1360"/>
      <c r="BR87" s="1356"/>
      <c r="BS87" s="1356"/>
      <c r="BT87" s="1356"/>
      <c r="BU87" s="1356"/>
      <c r="BV87" s="1357"/>
      <c r="BW87" s="1360"/>
      <c r="BX87" s="1356"/>
      <c r="BY87" s="1356"/>
      <c r="BZ87" s="1356"/>
      <c r="CA87" s="1356"/>
      <c r="CB87" s="1357"/>
      <c r="CC87" s="223"/>
    </row>
    <row r="88" spans="3:81" ht="11.25" customHeight="1">
      <c r="C88" s="1411"/>
      <c r="D88" s="1412"/>
      <c r="E88" s="1413"/>
      <c r="F88" s="1386"/>
      <c r="G88" s="1386"/>
      <c r="H88" s="1386"/>
      <c r="I88" s="1386"/>
      <c r="J88" s="1386"/>
      <c r="K88" s="1386"/>
      <c r="L88" s="1386"/>
      <c r="M88" s="1386"/>
      <c r="N88" s="1386"/>
      <c r="O88" s="1386"/>
      <c r="P88" s="1386"/>
      <c r="Q88" s="1386"/>
      <c r="R88" s="1386"/>
      <c r="S88" s="1386"/>
      <c r="T88" s="1386"/>
      <c r="U88" s="1386"/>
      <c r="V88" s="1386"/>
      <c r="W88" s="1386"/>
      <c r="X88" s="1386"/>
      <c r="Y88" s="1386"/>
      <c r="Z88" s="1386"/>
      <c r="AA88" s="1386"/>
      <c r="AB88" s="1386"/>
      <c r="AC88" s="1387"/>
      <c r="AD88" s="231"/>
      <c r="AE88" s="1361"/>
      <c r="AF88" s="1358"/>
      <c r="AG88" s="1358"/>
      <c r="AH88" s="1358"/>
      <c r="AI88" s="1358"/>
      <c r="AJ88" s="1359"/>
      <c r="AK88" s="1361"/>
      <c r="AL88" s="1358"/>
      <c r="AM88" s="1358"/>
      <c r="AN88" s="1358"/>
      <c r="AO88" s="1358"/>
      <c r="AP88" s="1358"/>
      <c r="AQ88" s="1358"/>
      <c r="AR88" s="1358"/>
      <c r="AS88" s="1358"/>
      <c r="AT88" s="1358"/>
      <c r="AU88" s="1358"/>
      <c r="AV88" s="1358"/>
      <c r="AW88" s="1358"/>
      <c r="AX88" s="1358"/>
      <c r="AY88" s="1358"/>
      <c r="AZ88" s="1358"/>
      <c r="BA88" s="1358"/>
      <c r="BB88" s="1358"/>
      <c r="BC88" s="1358"/>
      <c r="BD88" s="1358"/>
      <c r="BE88" s="1358"/>
      <c r="BF88" s="1358"/>
      <c r="BG88" s="1358"/>
      <c r="BH88" s="1358"/>
      <c r="BI88" s="1358"/>
      <c r="BJ88" s="1359"/>
      <c r="BK88" s="1361"/>
      <c r="BL88" s="1358"/>
      <c r="BM88" s="1358"/>
      <c r="BN88" s="1358"/>
      <c r="BO88" s="1358"/>
      <c r="BP88" s="1359"/>
      <c r="BQ88" s="1361"/>
      <c r="BR88" s="1358"/>
      <c r="BS88" s="1358"/>
      <c r="BT88" s="1358"/>
      <c r="BU88" s="1358"/>
      <c r="BV88" s="1359"/>
      <c r="BW88" s="1361"/>
      <c r="BX88" s="1358"/>
      <c r="BY88" s="1358"/>
      <c r="BZ88" s="1358"/>
      <c r="CA88" s="1358"/>
      <c r="CB88" s="1359"/>
      <c r="CC88" s="223"/>
    </row>
    <row r="89" spans="3:81" ht="11.25" customHeight="1" thickBot="1">
      <c r="C89" s="1420"/>
      <c r="D89" s="1421"/>
      <c r="E89" s="1422"/>
      <c r="F89" s="1401"/>
      <c r="G89" s="1401"/>
      <c r="H89" s="1401"/>
      <c r="I89" s="1401"/>
      <c r="J89" s="1401"/>
      <c r="K89" s="1401"/>
      <c r="L89" s="1401"/>
      <c r="M89" s="1401"/>
      <c r="N89" s="1401"/>
      <c r="O89" s="1401"/>
      <c r="P89" s="1401"/>
      <c r="Q89" s="1401"/>
      <c r="R89" s="1401"/>
      <c r="S89" s="1401"/>
      <c r="T89" s="1401"/>
      <c r="U89" s="1401"/>
      <c r="V89" s="1401"/>
      <c r="W89" s="1401"/>
      <c r="X89" s="1401"/>
      <c r="Y89" s="1401"/>
      <c r="Z89" s="1401"/>
      <c r="AA89" s="1401"/>
      <c r="AB89" s="1401"/>
      <c r="AC89" s="1402"/>
      <c r="AD89" s="239"/>
      <c r="AE89" s="1364"/>
      <c r="AF89" s="1362"/>
      <c r="AG89" s="1362"/>
      <c r="AH89" s="1362"/>
      <c r="AI89" s="1362"/>
      <c r="AJ89" s="1363"/>
      <c r="AK89" s="1364"/>
      <c r="AL89" s="1362"/>
      <c r="AM89" s="1362"/>
      <c r="AN89" s="1362"/>
      <c r="AO89" s="1362"/>
      <c r="AP89" s="1362"/>
      <c r="AQ89" s="1362"/>
      <c r="AR89" s="1362"/>
      <c r="AS89" s="1362"/>
      <c r="AT89" s="1362"/>
      <c r="AU89" s="1362"/>
      <c r="AV89" s="1362"/>
      <c r="AW89" s="1362"/>
      <c r="AX89" s="1362"/>
      <c r="AY89" s="1362"/>
      <c r="AZ89" s="1362"/>
      <c r="BA89" s="1362"/>
      <c r="BB89" s="1362"/>
      <c r="BC89" s="1362"/>
      <c r="BD89" s="1362"/>
      <c r="BE89" s="1362"/>
      <c r="BF89" s="1362"/>
      <c r="BG89" s="1362"/>
      <c r="BH89" s="1362"/>
      <c r="BI89" s="1362"/>
      <c r="BJ89" s="1363"/>
      <c r="BK89" s="1364"/>
      <c r="BL89" s="1362"/>
      <c r="BM89" s="1362"/>
      <c r="BN89" s="1362"/>
      <c r="BO89" s="1362"/>
      <c r="BP89" s="1363"/>
      <c r="BQ89" s="1364"/>
      <c r="BR89" s="1362"/>
      <c r="BS89" s="1362"/>
      <c r="BT89" s="1362"/>
      <c r="BU89" s="1362"/>
      <c r="BV89" s="1363"/>
      <c r="BW89" s="1364"/>
      <c r="BX89" s="1362"/>
      <c r="BY89" s="1362"/>
      <c r="BZ89" s="1362"/>
      <c r="CA89" s="1362"/>
      <c r="CB89" s="1363"/>
      <c r="CC89" s="213"/>
    </row>
    <row r="90" spans="3:81" ht="11.25" customHeight="1">
      <c r="C90" s="223"/>
      <c r="D90" s="223"/>
      <c r="E90" s="223"/>
      <c r="F90" s="223"/>
      <c r="G90" s="223"/>
      <c r="H90" s="223"/>
      <c r="I90" s="223"/>
      <c r="J90" s="223"/>
      <c r="K90" s="223"/>
      <c r="L90" s="223"/>
      <c r="M90" s="223"/>
      <c r="N90" s="223"/>
      <c r="O90" s="223"/>
      <c r="P90" s="223"/>
      <c r="Q90" s="223"/>
      <c r="R90" s="223"/>
      <c r="S90" s="223"/>
      <c r="T90" s="223"/>
      <c r="U90" s="223"/>
      <c r="V90" s="223"/>
      <c r="W90" s="223"/>
      <c r="X90" s="223"/>
      <c r="Y90" s="223"/>
      <c r="Z90" s="223"/>
      <c r="AA90" s="223"/>
      <c r="AB90" s="223"/>
      <c r="AC90" s="223"/>
      <c r="AD90" s="223"/>
      <c r="AE90" s="223"/>
      <c r="AF90" s="223"/>
      <c r="AG90" s="223"/>
      <c r="AH90" s="223"/>
      <c r="AI90" s="223"/>
      <c r="AJ90" s="223"/>
      <c r="AK90" s="223"/>
      <c r="AL90" s="223"/>
      <c r="AM90" s="223"/>
      <c r="AN90" s="223"/>
      <c r="AO90" s="223"/>
      <c r="AP90" s="223"/>
      <c r="AQ90" s="223"/>
      <c r="AR90" s="223"/>
      <c r="AS90" s="223"/>
      <c r="AT90" s="223"/>
      <c r="AU90" s="223"/>
      <c r="AV90" s="223"/>
      <c r="AW90" s="223"/>
      <c r="AX90" s="223"/>
      <c r="AY90" s="223"/>
      <c r="AZ90" s="223"/>
      <c r="BA90" s="223"/>
      <c r="BB90" s="223"/>
      <c r="BC90" s="223"/>
      <c r="BD90" s="223"/>
      <c r="BE90" s="223"/>
      <c r="BF90" s="223"/>
      <c r="BG90" s="223"/>
      <c r="BH90" s="223"/>
      <c r="BI90" s="223"/>
      <c r="BJ90" s="223"/>
      <c r="BK90" s="223"/>
      <c r="BL90" s="223"/>
      <c r="BM90" s="223"/>
      <c r="BN90" s="223"/>
      <c r="BO90" s="223"/>
      <c r="BP90" s="223"/>
      <c r="BQ90" s="223"/>
      <c r="BR90" s="223"/>
      <c r="BS90" s="223"/>
      <c r="BT90" s="223"/>
      <c r="BU90" s="223"/>
      <c r="BV90" s="223"/>
      <c r="BW90" s="223"/>
      <c r="BX90" s="223"/>
      <c r="BY90" s="221"/>
      <c r="BZ90" s="221"/>
      <c r="CA90" s="221"/>
      <c r="CB90" s="221"/>
      <c r="CC90" s="213"/>
    </row>
    <row r="91" spans="3:81" ht="11.25" customHeight="1">
      <c r="C91" s="43"/>
      <c r="D91" s="213"/>
      <c r="E91" s="213"/>
      <c r="F91" s="213"/>
      <c r="G91" s="213"/>
      <c r="H91" s="213"/>
      <c r="I91" s="220"/>
      <c r="J91" s="220"/>
      <c r="K91" s="220"/>
      <c r="L91" s="220"/>
      <c r="M91" s="220"/>
      <c r="N91" s="220"/>
      <c r="O91" s="220"/>
      <c r="P91" s="220"/>
      <c r="Q91" s="220"/>
      <c r="R91" s="220"/>
      <c r="S91" s="220"/>
      <c r="T91" s="220"/>
      <c r="U91" s="220"/>
      <c r="V91" s="220"/>
      <c r="W91" s="220"/>
      <c r="X91" s="220"/>
      <c r="Y91" s="220"/>
      <c r="Z91" s="220"/>
      <c r="AA91" s="220"/>
      <c r="AB91" s="220"/>
      <c r="AC91" s="220"/>
      <c r="AD91" s="220"/>
      <c r="AE91" s="220"/>
      <c r="AF91" s="220"/>
      <c r="AG91" s="220"/>
      <c r="AH91" s="220"/>
      <c r="AI91" s="220"/>
      <c r="AJ91" s="220"/>
      <c r="AK91" s="220"/>
      <c r="AL91" s="220"/>
      <c r="AM91" s="220"/>
      <c r="AN91" s="220"/>
      <c r="AO91" s="220"/>
      <c r="AP91" s="220"/>
      <c r="AQ91" s="220"/>
      <c r="AR91" s="220"/>
      <c r="AS91" s="220"/>
      <c r="AT91" s="220"/>
      <c r="AU91" s="220"/>
      <c r="AV91" s="213"/>
      <c r="AW91" s="213"/>
      <c r="AX91" s="213"/>
      <c r="AY91" s="213"/>
      <c r="AZ91" s="213"/>
      <c r="BA91" s="213"/>
      <c r="BB91" s="213"/>
      <c r="BC91" s="222"/>
      <c r="BD91" s="222"/>
      <c r="BE91" s="222"/>
      <c r="BF91" s="222"/>
      <c r="BG91" s="213"/>
      <c r="BH91" s="213"/>
      <c r="BI91" s="213"/>
      <c r="BJ91" s="213"/>
      <c r="BK91" s="213"/>
      <c r="BL91" s="213"/>
      <c r="BM91" s="213"/>
      <c r="BN91" s="213"/>
      <c r="BO91" s="213"/>
      <c r="BP91" s="213"/>
      <c r="BQ91" s="213"/>
      <c r="BR91" s="213"/>
      <c r="BS91" s="213"/>
      <c r="BT91" s="213"/>
      <c r="BU91" s="213"/>
      <c r="BV91" s="213"/>
      <c r="BW91" s="213"/>
      <c r="BX91" s="213"/>
      <c r="BY91" s="221"/>
      <c r="BZ91" s="221"/>
      <c r="CA91" s="221"/>
      <c r="CB91" s="221"/>
      <c r="CC91" s="213"/>
    </row>
    <row r="92" spans="3:81" ht="11.25" customHeight="1">
      <c r="C92" s="43"/>
      <c r="D92" s="213"/>
      <c r="E92" s="213"/>
      <c r="F92" s="213"/>
      <c r="G92" s="213"/>
      <c r="H92" s="213"/>
      <c r="I92" s="220"/>
      <c r="J92" s="220"/>
      <c r="K92" s="220"/>
      <c r="L92" s="220"/>
      <c r="M92" s="220"/>
      <c r="N92" s="220"/>
      <c r="O92" s="220"/>
      <c r="P92" s="220"/>
      <c r="Q92" s="220"/>
      <c r="R92" s="220"/>
      <c r="S92" s="220"/>
      <c r="T92" s="220"/>
      <c r="U92" s="220"/>
      <c r="V92" s="220"/>
      <c r="W92" s="220"/>
      <c r="X92" s="220"/>
      <c r="Y92" s="220"/>
      <c r="Z92" s="220"/>
      <c r="AA92" s="220"/>
      <c r="AB92" s="220"/>
      <c r="AC92" s="220"/>
      <c r="AD92" s="220"/>
      <c r="AE92" s="220"/>
      <c r="AF92" s="220"/>
      <c r="AG92" s="220"/>
      <c r="AH92" s="220"/>
      <c r="AI92" s="220"/>
      <c r="AJ92" s="220"/>
      <c r="AK92" s="220"/>
      <c r="AL92" s="220"/>
      <c r="AM92" s="220"/>
      <c r="AN92" s="220"/>
      <c r="AO92" s="220"/>
      <c r="AP92" s="220"/>
      <c r="AQ92" s="220"/>
      <c r="AR92" s="220"/>
      <c r="AS92" s="220"/>
      <c r="AT92" s="220"/>
      <c r="AU92" s="220"/>
      <c r="AV92" s="213"/>
      <c r="AW92" s="213"/>
      <c r="AX92" s="213"/>
      <c r="AY92" s="213"/>
      <c r="AZ92" s="213"/>
      <c r="BA92" s="213"/>
      <c r="BB92" s="213"/>
      <c r="BC92" s="222"/>
      <c r="BD92" s="222"/>
      <c r="BE92" s="222"/>
      <c r="BF92" s="222"/>
      <c r="BG92" s="213"/>
      <c r="BH92" s="213"/>
      <c r="BI92" s="213"/>
      <c r="BJ92" s="213"/>
      <c r="BK92" s="213"/>
      <c r="BL92" s="213"/>
      <c r="BM92" s="213"/>
      <c r="BN92" s="213"/>
      <c r="BO92" s="213"/>
      <c r="BP92" s="213"/>
      <c r="BQ92" s="213"/>
      <c r="BR92" s="213"/>
      <c r="BS92" s="213"/>
      <c r="BT92" s="213"/>
      <c r="BU92" s="213"/>
      <c r="BV92" s="213"/>
      <c r="BW92" s="213"/>
      <c r="BX92" s="213"/>
      <c r="BY92" s="221"/>
      <c r="BZ92" s="221"/>
      <c r="CA92" s="221"/>
      <c r="CB92" s="221"/>
      <c r="CC92" s="213"/>
    </row>
    <row r="93" spans="3:81" ht="11.25" customHeight="1">
      <c r="C93" s="125"/>
      <c r="D93" s="125"/>
      <c r="E93" s="125"/>
      <c r="F93" s="125"/>
      <c r="G93" s="125"/>
      <c r="H93" s="125"/>
      <c r="I93" s="125"/>
      <c r="J93" s="125"/>
      <c r="K93" s="125"/>
      <c r="L93" s="125"/>
      <c r="M93" s="125"/>
      <c r="N93" s="125"/>
      <c r="O93" s="125"/>
      <c r="P93" s="125"/>
      <c r="Q93" s="125"/>
      <c r="R93" s="125"/>
      <c r="S93" s="125"/>
      <c r="T93" s="125"/>
      <c r="U93" s="125"/>
      <c r="V93" s="125"/>
      <c r="W93" s="125"/>
      <c r="X93" s="125"/>
      <c r="Y93" s="125"/>
      <c r="Z93" s="125"/>
      <c r="AA93" s="125"/>
      <c r="AB93" s="125"/>
      <c r="AC93" s="125"/>
      <c r="AD93" s="125"/>
      <c r="AE93" s="125"/>
      <c r="AF93" s="125"/>
      <c r="AG93" s="125"/>
      <c r="AH93" s="125"/>
      <c r="AI93" s="125"/>
      <c r="AJ93" s="125"/>
      <c r="AK93" s="125"/>
      <c r="AL93" s="125"/>
      <c r="AM93" s="125"/>
      <c r="AN93" s="125"/>
      <c r="AO93" s="125"/>
      <c r="AP93" s="125"/>
      <c r="AQ93" s="125"/>
      <c r="AR93" s="125"/>
      <c r="AS93" s="125"/>
      <c r="AT93" s="125"/>
      <c r="AU93" s="125"/>
      <c r="AV93" s="125"/>
      <c r="AW93" s="125"/>
      <c r="AX93" s="125"/>
      <c r="AY93" s="125"/>
      <c r="AZ93" s="125"/>
      <c r="BA93" s="125"/>
      <c r="BB93" s="125"/>
      <c r="BC93" s="125"/>
      <c r="BD93" s="125"/>
      <c r="BE93" s="125"/>
      <c r="BF93" s="125"/>
      <c r="BG93" s="125"/>
      <c r="BH93" s="125"/>
      <c r="BI93" s="125"/>
      <c r="BJ93" s="125"/>
      <c r="BK93" s="125"/>
      <c r="BL93" s="125"/>
      <c r="BM93" s="125"/>
      <c r="BN93" s="125"/>
      <c r="BO93" s="125"/>
      <c r="BP93" s="125"/>
      <c r="BQ93" s="125"/>
      <c r="BR93" s="125"/>
      <c r="BS93" s="125"/>
      <c r="BT93" s="125"/>
      <c r="BU93" s="125"/>
      <c r="BV93" s="125"/>
      <c r="BW93" s="125"/>
      <c r="BX93" s="125"/>
      <c r="BY93" s="221"/>
      <c r="BZ93" s="221"/>
      <c r="CA93" s="221"/>
      <c r="CB93" s="221"/>
      <c r="CC93" s="125"/>
    </row>
    <row r="94" spans="3:81" ht="11.25" customHeight="1">
      <c r="C94" s="125"/>
      <c r="D94" s="125"/>
      <c r="E94" s="125"/>
      <c r="F94" s="125"/>
      <c r="G94" s="125"/>
      <c r="H94" s="125"/>
      <c r="I94" s="125"/>
      <c r="J94" s="125"/>
      <c r="K94" s="125"/>
      <c r="L94" s="125"/>
      <c r="M94" s="125"/>
      <c r="N94" s="125"/>
      <c r="O94" s="125"/>
      <c r="P94" s="125"/>
      <c r="Q94" s="125"/>
      <c r="R94" s="125"/>
      <c r="S94" s="125"/>
      <c r="T94" s="125"/>
      <c r="U94" s="125"/>
      <c r="V94" s="125"/>
      <c r="W94" s="125"/>
      <c r="X94" s="125"/>
      <c r="Y94" s="125"/>
      <c r="Z94" s="125"/>
      <c r="AA94" s="125"/>
      <c r="AB94" s="125"/>
      <c r="AC94" s="125"/>
      <c r="AD94" s="125"/>
      <c r="AE94" s="125"/>
      <c r="AF94" s="125"/>
      <c r="AG94" s="125"/>
      <c r="AH94" s="125"/>
      <c r="AI94" s="125"/>
      <c r="AJ94" s="125"/>
      <c r="AK94" s="125"/>
      <c r="AL94" s="125"/>
      <c r="AM94" s="125"/>
      <c r="AN94" s="125"/>
      <c r="AO94" s="125"/>
      <c r="AP94" s="125"/>
      <c r="AQ94" s="125"/>
      <c r="AR94" s="125"/>
      <c r="AS94" s="125"/>
      <c r="AT94" s="125"/>
      <c r="AU94" s="125"/>
      <c r="AV94" s="125"/>
      <c r="AW94" s="125"/>
      <c r="AX94" s="125"/>
      <c r="AY94" s="125"/>
      <c r="AZ94" s="125"/>
      <c r="BA94" s="125"/>
      <c r="BB94" s="125"/>
      <c r="BC94" s="125"/>
      <c r="BD94" s="125"/>
      <c r="BE94" s="125"/>
      <c r="BF94" s="125"/>
      <c r="BG94" s="125"/>
      <c r="BH94" s="125"/>
      <c r="BI94" s="125"/>
      <c r="BJ94" s="125"/>
      <c r="BK94" s="125"/>
      <c r="BL94" s="125"/>
      <c r="BM94" s="125"/>
      <c r="BN94" s="125"/>
      <c r="BO94" s="125"/>
      <c r="BP94" s="125"/>
      <c r="BQ94" s="125"/>
      <c r="BR94" s="125"/>
      <c r="BS94" s="125"/>
      <c r="BT94" s="125"/>
      <c r="BU94" s="125"/>
      <c r="BV94" s="125"/>
      <c r="BW94" s="125"/>
      <c r="BX94" s="125"/>
      <c r="BY94" s="221"/>
      <c r="BZ94" s="221"/>
      <c r="CA94" s="221"/>
      <c r="CB94" s="221"/>
      <c r="CC94" s="125"/>
    </row>
    <row r="95" spans="3:81" ht="11.25" customHeight="1">
      <c r="C95" s="125"/>
      <c r="D95" s="125"/>
      <c r="E95" s="125"/>
      <c r="F95" s="125"/>
      <c r="G95" s="125"/>
      <c r="H95" s="125"/>
      <c r="I95" s="125"/>
      <c r="J95" s="125"/>
      <c r="K95" s="125"/>
      <c r="L95" s="125"/>
      <c r="M95" s="125"/>
      <c r="N95" s="125"/>
      <c r="O95" s="125"/>
      <c r="P95" s="125"/>
      <c r="Q95" s="125"/>
      <c r="R95" s="125"/>
      <c r="S95" s="125"/>
      <c r="T95" s="125"/>
      <c r="U95" s="125"/>
      <c r="V95" s="125"/>
      <c r="W95" s="125"/>
      <c r="X95" s="125"/>
      <c r="Y95" s="125"/>
      <c r="Z95" s="125"/>
      <c r="AA95" s="125"/>
      <c r="AB95" s="125"/>
      <c r="AC95" s="125"/>
      <c r="AD95" s="125"/>
      <c r="AE95" s="125"/>
      <c r="AF95" s="125"/>
      <c r="AG95" s="125"/>
      <c r="AH95" s="125"/>
      <c r="AI95" s="125"/>
      <c r="AJ95" s="125"/>
      <c r="AK95" s="125"/>
      <c r="AL95" s="125"/>
      <c r="AM95" s="125"/>
      <c r="AN95" s="125"/>
      <c r="AO95" s="125"/>
      <c r="AP95" s="125"/>
      <c r="AQ95" s="125"/>
      <c r="AR95" s="125"/>
      <c r="AS95" s="125"/>
      <c r="AT95" s="125"/>
      <c r="AU95" s="125"/>
      <c r="AV95" s="125"/>
      <c r="AW95" s="125"/>
      <c r="AX95" s="125"/>
      <c r="AY95" s="125"/>
      <c r="AZ95" s="125"/>
      <c r="BA95" s="125"/>
      <c r="BB95" s="125"/>
      <c r="BC95" s="125"/>
      <c r="BD95" s="125"/>
      <c r="BE95" s="125"/>
      <c r="BF95" s="125"/>
      <c r="BG95" s="125"/>
      <c r="BH95" s="125"/>
      <c r="BI95" s="125"/>
      <c r="BJ95" s="125"/>
      <c r="BK95" s="125"/>
      <c r="BL95" s="125"/>
      <c r="BM95" s="125"/>
      <c r="BN95" s="125"/>
      <c r="BO95" s="125"/>
      <c r="BP95" s="125"/>
      <c r="BQ95" s="125"/>
      <c r="BR95" s="125"/>
      <c r="BS95" s="125"/>
      <c r="BT95" s="125"/>
      <c r="BU95" s="125"/>
      <c r="BV95" s="125"/>
      <c r="BW95" s="125"/>
      <c r="BX95" s="125"/>
      <c r="BY95" s="221"/>
      <c r="BZ95" s="221"/>
      <c r="CA95" s="221"/>
      <c r="CB95" s="221"/>
      <c r="CC95" s="125"/>
    </row>
    <row r="96" spans="3:81" ht="11.25" customHeight="1">
      <c r="C96" s="43"/>
      <c r="D96" s="223"/>
      <c r="E96" s="223"/>
      <c r="F96" s="223"/>
      <c r="G96" s="223"/>
      <c r="H96" s="223"/>
      <c r="I96" s="223"/>
      <c r="J96" s="223"/>
      <c r="K96" s="223"/>
      <c r="L96" s="223"/>
      <c r="M96" s="223"/>
      <c r="N96" s="223"/>
      <c r="O96" s="223"/>
      <c r="P96" s="223"/>
      <c r="Q96" s="223"/>
      <c r="R96" s="223"/>
      <c r="S96" s="223"/>
      <c r="T96" s="223"/>
      <c r="U96" s="223"/>
      <c r="V96" s="223"/>
      <c r="W96" s="223"/>
      <c r="X96" s="223"/>
      <c r="Y96" s="223"/>
      <c r="Z96" s="223"/>
      <c r="AA96" s="223"/>
      <c r="AB96" s="223"/>
      <c r="AC96" s="223"/>
      <c r="AD96" s="223"/>
      <c r="AE96" s="223"/>
      <c r="AF96" s="223"/>
      <c r="AG96" s="223"/>
      <c r="AH96" s="223"/>
      <c r="AI96" s="223"/>
      <c r="AJ96" s="223"/>
      <c r="AK96" s="223"/>
      <c r="AL96" s="223"/>
      <c r="AM96" s="223"/>
      <c r="AN96" s="223"/>
      <c r="AO96" s="223"/>
      <c r="AP96" s="223"/>
      <c r="AQ96" s="223"/>
      <c r="AR96" s="223"/>
      <c r="AS96" s="223"/>
      <c r="AT96" s="223"/>
      <c r="AU96" s="223"/>
      <c r="AV96" s="223"/>
      <c r="AW96" s="223"/>
      <c r="AX96" s="223"/>
      <c r="AY96" s="223"/>
      <c r="AZ96" s="223"/>
      <c r="BA96" s="223"/>
      <c r="BB96" s="223"/>
      <c r="BC96" s="223"/>
      <c r="BD96" s="223"/>
      <c r="BE96" s="223"/>
      <c r="BF96" s="223"/>
      <c r="BG96" s="223"/>
      <c r="BH96" s="223"/>
      <c r="BI96" s="223"/>
      <c r="BJ96" s="223"/>
      <c r="BK96" s="223"/>
      <c r="BL96" s="223"/>
      <c r="BM96" s="223"/>
      <c r="BN96" s="223"/>
      <c r="BO96" s="223"/>
      <c r="BP96" s="223"/>
      <c r="BQ96" s="223"/>
      <c r="BR96" s="223"/>
      <c r="BS96" s="223"/>
      <c r="BT96" s="223"/>
      <c r="BU96" s="223"/>
      <c r="BV96" s="223"/>
      <c r="BW96" s="223"/>
      <c r="BX96" s="223"/>
      <c r="BY96" s="221"/>
      <c r="BZ96" s="221"/>
      <c r="CA96" s="221"/>
      <c r="CB96" s="221"/>
      <c r="CC96" s="43"/>
    </row>
    <row r="97" spans="3:81" ht="11.25" customHeight="1">
      <c r="C97" s="43"/>
      <c r="D97" s="223"/>
      <c r="E97" s="223"/>
      <c r="F97" s="223"/>
      <c r="G97" s="223"/>
      <c r="H97" s="223"/>
      <c r="I97" s="223"/>
      <c r="J97" s="223"/>
      <c r="K97" s="223"/>
      <c r="L97" s="223"/>
      <c r="M97" s="223"/>
      <c r="N97" s="223"/>
      <c r="O97" s="223"/>
      <c r="P97" s="223"/>
      <c r="Q97" s="223"/>
      <c r="R97" s="223"/>
      <c r="S97" s="223"/>
      <c r="T97" s="223"/>
      <c r="U97" s="223"/>
      <c r="V97" s="223"/>
      <c r="W97" s="223"/>
      <c r="X97" s="223"/>
      <c r="Y97" s="223"/>
      <c r="Z97" s="223"/>
      <c r="AA97" s="223"/>
      <c r="AB97" s="223"/>
      <c r="AC97" s="223"/>
      <c r="AD97" s="223"/>
      <c r="AE97" s="223"/>
      <c r="AF97" s="223"/>
      <c r="AG97" s="223"/>
      <c r="AH97" s="223"/>
      <c r="AI97" s="223"/>
      <c r="AJ97" s="223"/>
      <c r="AK97" s="223"/>
      <c r="AL97" s="223"/>
      <c r="AM97" s="223"/>
      <c r="AN97" s="223"/>
      <c r="AO97" s="223"/>
      <c r="AP97" s="223"/>
      <c r="AQ97" s="223"/>
      <c r="AR97" s="223"/>
      <c r="AS97" s="223"/>
      <c r="AT97" s="223"/>
      <c r="AU97" s="223"/>
      <c r="AV97" s="223"/>
      <c r="AW97" s="223"/>
      <c r="AX97" s="223"/>
      <c r="AY97" s="223"/>
      <c r="AZ97" s="223"/>
      <c r="BA97" s="223"/>
      <c r="BB97" s="223"/>
      <c r="BC97" s="223"/>
      <c r="BD97" s="223"/>
      <c r="BE97" s="223"/>
      <c r="BF97" s="223"/>
      <c r="BG97" s="223"/>
      <c r="BH97" s="223"/>
      <c r="BI97" s="223"/>
      <c r="BJ97" s="223"/>
      <c r="BK97" s="223"/>
      <c r="BL97" s="223"/>
      <c r="BM97" s="223"/>
      <c r="BN97" s="223"/>
      <c r="BO97" s="223"/>
      <c r="BP97" s="223"/>
      <c r="BQ97" s="223"/>
      <c r="BR97" s="223"/>
      <c r="BS97" s="223"/>
      <c r="BT97" s="223"/>
      <c r="BU97" s="223"/>
      <c r="BV97" s="223"/>
      <c r="BW97" s="223"/>
      <c r="BX97" s="223"/>
      <c r="BY97" s="221"/>
      <c r="BZ97" s="221"/>
      <c r="CA97" s="221"/>
      <c r="CB97" s="221"/>
      <c r="CC97" s="43"/>
    </row>
    <row r="98" spans="3:81" ht="11.25" customHeight="1">
      <c r="C98" s="43"/>
      <c r="D98" s="213"/>
      <c r="E98" s="213"/>
      <c r="F98" s="213"/>
      <c r="G98" s="213"/>
      <c r="H98" s="213"/>
      <c r="I98" s="220"/>
      <c r="J98" s="220"/>
      <c r="K98" s="220"/>
      <c r="L98" s="220"/>
      <c r="M98" s="220"/>
      <c r="N98" s="220"/>
      <c r="O98" s="220"/>
      <c r="P98" s="220"/>
      <c r="Q98" s="220"/>
      <c r="R98" s="220"/>
      <c r="S98" s="220"/>
      <c r="T98" s="220"/>
      <c r="U98" s="220"/>
      <c r="V98" s="220"/>
      <c r="W98" s="220"/>
      <c r="X98" s="220"/>
      <c r="Y98" s="220"/>
      <c r="Z98" s="220"/>
      <c r="AA98" s="220"/>
      <c r="AB98" s="220"/>
      <c r="AC98" s="220"/>
      <c r="AD98" s="220"/>
      <c r="AE98" s="220"/>
      <c r="AF98" s="220"/>
      <c r="AG98" s="220"/>
      <c r="AH98" s="220"/>
      <c r="AI98" s="220"/>
      <c r="AJ98" s="220"/>
      <c r="AK98" s="220"/>
      <c r="AL98" s="220"/>
      <c r="AM98" s="220"/>
      <c r="AN98" s="220"/>
      <c r="AO98" s="220"/>
      <c r="AP98" s="220"/>
      <c r="AQ98" s="220"/>
      <c r="AR98" s="220"/>
      <c r="AS98" s="220"/>
      <c r="AT98" s="220"/>
      <c r="AU98" s="220"/>
      <c r="AV98" s="213"/>
      <c r="AW98" s="213"/>
      <c r="AX98" s="213"/>
      <c r="AY98" s="213"/>
      <c r="AZ98" s="213"/>
      <c r="BA98" s="213"/>
      <c r="BB98" s="213"/>
      <c r="BC98" s="222"/>
      <c r="BD98" s="222"/>
      <c r="BE98" s="222"/>
      <c r="BF98" s="222"/>
      <c r="BG98" s="213"/>
      <c r="BH98" s="213"/>
      <c r="BI98" s="213"/>
      <c r="BJ98" s="213"/>
      <c r="BK98" s="213"/>
      <c r="BL98" s="213"/>
      <c r="BM98" s="213"/>
      <c r="BN98" s="213"/>
      <c r="BO98" s="213"/>
      <c r="BP98" s="213"/>
      <c r="BQ98" s="213"/>
      <c r="BR98" s="213"/>
      <c r="BS98" s="213"/>
      <c r="BT98" s="213"/>
      <c r="BU98" s="213"/>
      <c r="BV98" s="213"/>
      <c r="BW98" s="213"/>
      <c r="BX98" s="213"/>
      <c r="BY98" s="221"/>
      <c r="BZ98" s="221"/>
      <c r="CA98" s="221"/>
      <c r="CB98" s="221"/>
      <c r="CC98" s="43"/>
    </row>
    <row r="99" spans="3:81" ht="11.25" customHeight="1">
      <c r="C99" s="43"/>
      <c r="D99" s="213"/>
      <c r="E99" s="213"/>
      <c r="F99" s="213"/>
      <c r="G99" s="213"/>
      <c r="H99" s="213"/>
      <c r="I99" s="220"/>
      <c r="J99" s="220"/>
      <c r="K99" s="220"/>
      <c r="L99" s="220"/>
      <c r="M99" s="220"/>
      <c r="N99" s="220"/>
      <c r="O99" s="220"/>
      <c r="P99" s="220"/>
      <c r="Q99" s="220"/>
      <c r="R99" s="220"/>
      <c r="S99" s="220"/>
      <c r="T99" s="220"/>
      <c r="U99" s="220"/>
      <c r="V99" s="220"/>
      <c r="W99" s="220"/>
      <c r="X99" s="220"/>
      <c r="Y99" s="220"/>
      <c r="Z99" s="220"/>
      <c r="AA99" s="220"/>
      <c r="AB99" s="220"/>
      <c r="AC99" s="220"/>
      <c r="AD99" s="220"/>
      <c r="AE99" s="220"/>
      <c r="AF99" s="220"/>
      <c r="AG99" s="220"/>
      <c r="AH99" s="220"/>
      <c r="AI99" s="220"/>
      <c r="AJ99" s="220"/>
      <c r="AK99" s="220"/>
      <c r="AL99" s="220"/>
      <c r="AM99" s="220"/>
      <c r="AN99" s="220"/>
      <c r="AO99" s="220"/>
      <c r="AP99" s="220"/>
      <c r="AQ99" s="220"/>
      <c r="AR99" s="220"/>
      <c r="AS99" s="220"/>
      <c r="AT99" s="220"/>
      <c r="AU99" s="220"/>
      <c r="AV99" s="213"/>
      <c r="AW99" s="213"/>
      <c r="AX99" s="213"/>
      <c r="AY99" s="213"/>
      <c r="AZ99" s="213"/>
      <c r="BA99" s="213"/>
      <c r="BB99" s="213"/>
      <c r="BC99" s="222"/>
      <c r="BD99" s="222"/>
      <c r="BE99" s="222"/>
      <c r="BF99" s="222"/>
      <c r="BG99" s="213"/>
      <c r="BH99" s="213"/>
      <c r="BI99" s="213"/>
      <c r="BJ99" s="213"/>
      <c r="BK99" s="213"/>
      <c r="BL99" s="213"/>
      <c r="BM99" s="213"/>
      <c r="BN99" s="213"/>
      <c r="BO99" s="213"/>
      <c r="BP99" s="213"/>
      <c r="BQ99" s="213"/>
      <c r="BR99" s="213"/>
      <c r="BS99" s="213"/>
      <c r="BT99" s="213"/>
      <c r="BU99" s="213"/>
      <c r="BV99" s="213"/>
      <c r="BW99" s="213"/>
      <c r="BX99" s="213"/>
      <c r="BY99" s="221"/>
      <c r="BZ99" s="221"/>
      <c r="CA99" s="221"/>
      <c r="CB99" s="221"/>
      <c r="CC99" s="43"/>
    </row>
    <row r="100" spans="3:81" ht="11.25" customHeight="1">
      <c r="C100" s="43"/>
      <c r="D100" s="213"/>
      <c r="E100" s="213"/>
      <c r="F100" s="213"/>
      <c r="G100" s="213"/>
      <c r="H100" s="213"/>
      <c r="I100" s="220"/>
      <c r="J100" s="220"/>
      <c r="K100" s="220"/>
      <c r="L100" s="220"/>
      <c r="M100" s="220"/>
      <c r="N100" s="220"/>
      <c r="O100" s="220"/>
      <c r="P100" s="220"/>
      <c r="Q100" s="220"/>
      <c r="R100" s="220"/>
      <c r="S100" s="220"/>
      <c r="T100" s="220"/>
      <c r="U100" s="220"/>
      <c r="V100" s="220"/>
      <c r="W100" s="220"/>
      <c r="X100" s="220"/>
      <c r="Y100" s="220"/>
      <c r="Z100" s="220"/>
      <c r="AA100" s="220"/>
      <c r="AB100" s="220"/>
      <c r="AC100" s="220"/>
      <c r="AD100" s="220"/>
      <c r="AE100" s="220"/>
      <c r="AF100" s="220"/>
      <c r="AG100" s="220"/>
      <c r="AH100" s="220"/>
      <c r="AI100" s="220"/>
      <c r="AJ100" s="220"/>
      <c r="AK100" s="220"/>
      <c r="AL100" s="220"/>
      <c r="AM100" s="220"/>
      <c r="AN100" s="220"/>
      <c r="AO100" s="220"/>
      <c r="AP100" s="220"/>
      <c r="AQ100" s="220"/>
      <c r="AR100" s="220"/>
      <c r="AS100" s="220"/>
      <c r="AT100" s="220"/>
      <c r="AU100" s="220"/>
      <c r="AV100" s="213"/>
      <c r="AW100" s="213"/>
      <c r="AX100" s="213"/>
      <c r="AY100" s="213"/>
      <c r="AZ100" s="213"/>
      <c r="BA100" s="213"/>
      <c r="BB100" s="213"/>
      <c r="BC100" s="222"/>
      <c r="BD100" s="222"/>
      <c r="BE100" s="222"/>
      <c r="BF100" s="222"/>
      <c r="BG100" s="213"/>
      <c r="BH100" s="213"/>
      <c r="BI100" s="213"/>
      <c r="BJ100" s="213"/>
      <c r="BK100" s="213"/>
      <c r="BL100" s="213"/>
      <c r="BM100" s="213"/>
      <c r="BN100" s="213"/>
      <c r="BO100" s="213"/>
      <c r="BP100" s="213"/>
      <c r="BQ100" s="213"/>
      <c r="BR100" s="213"/>
      <c r="BS100" s="213"/>
      <c r="BT100" s="213"/>
      <c r="BU100" s="213"/>
      <c r="BV100" s="213"/>
      <c r="BW100" s="213"/>
      <c r="BX100" s="213"/>
      <c r="BY100" s="221"/>
      <c r="BZ100" s="221"/>
      <c r="CA100" s="221"/>
      <c r="CB100" s="221"/>
      <c r="CC100" s="43"/>
    </row>
    <row r="101" spans="3:81" ht="11.25" customHeight="1">
      <c r="C101" s="43"/>
      <c r="D101" s="213"/>
      <c r="E101" s="213"/>
      <c r="F101" s="213"/>
      <c r="G101" s="213"/>
      <c r="H101" s="213"/>
      <c r="I101" s="220"/>
      <c r="J101" s="220"/>
      <c r="K101" s="220"/>
      <c r="L101" s="220"/>
      <c r="M101" s="220"/>
      <c r="N101" s="220"/>
      <c r="O101" s="220"/>
      <c r="P101" s="220"/>
      <c r="Q101" s="220"/>
      <c r="R101" s="220"/>
      <c r="S101" s="220"/>
      <c r="T101" s="220"/>
      <c r="U101" s="220"/>
      <c r="V101" s="220"/>
      <c r="W101" s="220"/>
      <c r="X101" s="220"/>
      <c r="Y101" s="220"/>
      <c r="Z101" s="220"/>
      <c r="AA101" s="220"/>
      <c r="AB101" s="220"/>
      <c r="AC101" s="220"/>
      <c r="AD101" s="220"/>
      <c r="AE101" s="220"/>
      <c r="AF101" s="220"/>
      <c r="AG101" s="220"/>
      <c r="AH101" s="220"/>
      <c r="AI101" s="220"/>
      <c r="AJ101" s="220"/>
      <c r="AK101" s="220"/>
      <c r="AL101" s="220"/>
      <c r="AM101" s="220"/>
      <c r="AN101" s="220"/>
      <c r="AO101" s="220"/>
      <c r="AP101" s="220"/>
      <c r="AQ101" s="220"/>
      <c r="AR101" s="220"/>
      <c r="AS101" s="220"/>
      <c r="AT101" s="220"/>
      <c r="AU101" s="220"/>
      <c r="AV101" s="213"/>
      <c r="AW101" s="213"/>
      <c r="AX101" s="213"/>
      <c r="AY101" s="213"/>
      <c r="AZ101" s="213"/>
      <c r="BA101" s="213"/>
      <c r="BB101" s="213"/>
      <c r="BC101" s="222"/>
      <c r="BD101" s="222"/>
      <c r="BE101" s="222"/>
      <c r="BF101" s="222"/>
      <c r="BG101" s="213"/>
      <c r="BH101" s="213"/>
      <c r="BI101" s="213"/>
      <c r="BJ101" s="213"/>
      <c r="BK101" s="213"/>
      <c r="BL101" s="213"/>
      <c r="BM101" s="213"/>
      <c r="BN101" s="213"/>
      <c r="BO101" s="213"/>
      <c r="BP101" s="213"/>
      <c r="BQ101" s="213"/>
      <c r="BR101" s="213"/>
      <c r="BS101" s="213"/>
      <c r="BT101" s="213"/>
      <c r="BU101" s="213"/>
      <c r="BV101" s="213"/>
      <c r="BW101" s="213"/>
      <c r="BX101" s="213"/>
      <c r="BY101" s="221"/>
      <c r="BZ101" s="221"/>
      <c r="CA101" s="221"/>
      <c r="CB101" s="221"/>
      <c r="CC101" s="43"/>
    </row>
    <row r="102" spans="3:81" ht="11.25" customHeight="1">
      <c r="C102" s="43"/>
      <c r="D102" s="223"/>
      <c r="E102" s="223"/>
      <c r="F102" s="223"/>
      <c r="G102" s="223"/>
      <c r="H102" s="223"/>
      <c r="I102" s="223"/>
      <c r="J102" s="223"/>
      <c r="K102" s="223"/>
      <c r="L102" s="223"/>
      <c r="M102" s="223"/>
      <c r="N102" s="223"/>
      <c r="O102" s="223"/>
      <c r="P102" s="223"/>
      <c r="Q102" s="223"/>
      <c r="R102" s="223"/>
      <c r="S102" s="223"/>
      <c r="T102" s="223"/>
      <c r="U102" s="223"/>
      <c r="V102" s="223"/>
      <c r="W102" s="223"/>
      <c r="X102" s="223"/>
      <c r="Y102" s="223"/>
      <c r="Z102" s="223"/>
      <c r="AA102" s="223"/>
      <c r="AB102" s="223"/>
      <c r="AC102" s="223"/>
      <c r="AD102" s="223"/>
      <c r="AE102" s="223"/>
      <c r="AF102" s="223"/>
      <c r="AG102" s="223"/>
      <c r="AH102" s="223"/>
      <c r="AI102" s="223"/>
      <c r="AJ102" s="223"/>
      <c r="AK102" s="223"/>
      <c r="AL102" s="223"/>
      <c r="AM102" s="223"/>
      <c r="AN102" s="223"/>
      <c r="AO102" s="223"/>
      <c r="AP102" s="223"/>
      <c r="AQ102" s="223"/>
      <c r="AR102" s="223"/>
      <c r="AS102" s="223"/>
      <c r="AT102" s="223"/>
      <c r="AU102" s="223"/>
      <c r="AV102" s="223"/>
      <c r="AW102" s="223"/>
      <c r="AX102" s="223"/>
      <c r="AY102" s="223"/>
      <c r="AZ102" s="223"/>
      <c r="BA102" s="223"/>
      <c r="BB102" s="223"/>
      <c r="BC102" s="223"/>
      <c r="BD102" s="223"/>
      <c r="BE102" s="223"/>
      <c r="BF102" s="223"/>
      <c r="BG102" s="223"/>
      <c r="BH102" s="223"/>
      <c r="BI102" s="223"/>
      <c r="BJ102" s="223"/>
      <c r="BK102" s="223"/>
      <c r="BL102" s="223"/>
      <c r="BM102" s="223"/>
      <c r="BN102" s="223"/>
      <c r="BO102" s="223"/>
      <c r="BP102" s="223"/>
      <c r="BQ102" s="223"/>
      <c r="BR102" s="223"/>
      <c r="BS102" s="223"/>
      <c r="BT102" s="223"/>
      <c r="BU102" s="223"/>
      <c r="BV102" s="223"/>
      <c r="BW102" s="223"/>
      <c r="BX102" s="223"/>
      <c r="BY102" s="221"/>
      <c r="BZ102" s="221"/>
      <c r="CA102" s="221"/>
      <c r="CB102" s="221"/>
      <c r="CC102" s="43"/>
    </row>
    <row r="103" spans="3:81" ht="11.25" customHeight="1">
      <c r="C103" s="43"/>
      <c r="D103" s="223"/>
      <c r="E103" s="223"/>
      <c r="F103" s="223"/>
      <c r="G103" s="223"/>
      <c r="H103" s="223"/>
      <c r="I103" s="223"/>
      <c r="J103" s="223"/>
      <c r="K103" s="223"/>
      <c r="L103" s="223"/>
      <c r="M103" s="223"/>
      <c r="N103" s="223"/>
      <c r="O103" s="223"/>
      <c r="P103" s="223"/>
      <c r="Q103" s="223"/>
      <c r="R103" s="223"/>
      <c r="S103" s="223"/>
      <c r="T103" s="223"/>
      <c r="U103" s="223"/>
      <c r="V103" s="223"/>
      <c r="W103" s="223"/>
      <c r="X103" s="223"/>
      <c r="Y103" s="223"/>
      <c r="Z103" s="223"/>
      <c r="AA103" s="223"/>
      <c r="AB103" s="223"/>
      <c r="AC103" s="223"/>
      <c r="AD103" s="223"/>
      <c r="AE103" s="223"/>
      <c r="AF103" s="223"/>
      <c r="AG103" s="223"/>
      <c r="AH103" s="223"/>
      <c r="AI103" s="223"/>
      <c r="AJ103" s="223"/>
      <c r="AK103" s="223"/>
      <c r="AL103" s="223"/>
      <c r="AM103" s="223"/>
      <c r="AN103" s="223"/>
      <c r="AO103" s="223"/>
      <c r="AP103" s="223"/>
      <c r="AQ103" s="223"/>
      <c r="AR103" s="223"/>
      <c r="AS103" s="223"/>
      <c r="AT103" s="223"/>
      <c r="AU103" s="223"/>
      <c r="AV103" s="223"/>
      <c r="AW103" s="223"/>
      <c r="AX103" s="223"/>
      <c r="AY103" s="223"/>
      <c r="AZ103" s="223"/>
      <c r="BA103" s="223"/>
      <c r="BB103" s="223"/>
      <c r="BC103" s="223"/>
      <c r="BD103" s="223"/>
      <c r="BE103" s="223"/>
      <c r="BF103" s="223"/>
      <c r="BG103" s="223"/>
      <c r="BH103" s="223"/>
      <c r="BI103" s="223"/>
      <c r="BJ103" s="223"/>
      <c r="BK103" s="223"/>
      <c r="BL103" s="223"/>
      <c r="BM103" s="223"/>
      <c r="BN103" s="223"/>
      <c r="BO103" s="223"/>
      <c r="BP103" s="223"/>
      <c r="BQ103" s="223"/>
      <c r="BR103" s="223"/>
      <c r="BS103" s="223"/>
      <c r="BT103" s="223"/>
      <c r="BU103" s="223"/>
      <c r="BV103" s="223"/>
      <c r="BW103" s="223"/>
      <c r="BX103" s="223"/>
      <c r="BY103" s="221"/>
      <c r="BZ103" s="221"/>
      <c r="CA103" s="221"/>
      <c r="CB103" s="221"/>
      <c r="CC103" s="43"/>
    </row>
    <row r="104" spans="3:81" ht="11.25" customHeight="1">
      <c r="C104" s="43"/>
      <c r="D104" s="213"/>
      <c r="E104" s="213"/>
      <c r="F104" s="213"/>
      <c r="G104" s="213"/>
      <c r="H104" s="213"/>
      <c r="I104" s="220"/>
      <c r="J104" s="220"/>
      <c r="K104" s="220"/>
      <c r="L104" s="220"/>
      <c r="M104" s="220"/>
      <c r="N104" s="220"/>
      <c r="O104" s="220"/>
      <c r="P104" s="220"/>
      <c r="Q104" s="220"/>
      <c r="R104" s="220"/>
      <c r="S104" s="220"/>
      <c r="T104" s="220"/>
      <c r="U104" s="220"/>
      <c r="V104" s="220"/>
      <c r="W104" s="220"/>
      <c r="X104" s="220"/>
      <c r="Y104" s="220"/>
      <c r="Z104" s="220"/>
      <c r="AA104" s="220"/>
      <c r="AB104" s="220"/>
      <c r="AC104" s="220"/>
      <c r="AD104" s="220"/>
      <c r="AE104" s="220"/>
      <c r="AF104" s="220"/>
      <c r="AG104" s="220"/>
      <c r="AH104" s="220"/>
      <c r="AI104" s="220"/>
      <c r="AJ104" s="220"/>
      <c r="AK104" s="220"/>
      <c r="AL104" s="220"/>
      <c r="AM104" s="220"/>
      <c r="AN104" s="220"/>
      <c r="AO104" s="220"/>
      <c r="AP104" s="220"/>
      <c r="AQ104" s="220"/>
      <c r="AR104" s="220"/>
      <c r="AS104" s="220"/>
      <c r="AT104" s="220"/>
      <c r="AU104" s="220"/>
      <c r="AV104" s="213"/>
      <c r="AW104" s="213"/>
      <c r="AX104" s="213"/>
      <c r="AY104" s="213"/>
      <c r="AZ104" s="213"/>
      <c r="BA104" s="213"/>
      <c r="BB104" s="213"/>
      <c r="BC104" s="222"/>
      <c r="BD104" s="222"/>
      <c r="BE104" s="222"/>
      <c r="BF104" s="222"/>
      <c r="BG104" s="213"/>
      <c r="BH104" s="213"/>
      <c r="BI104" s="213"/>
      <c r="BJ104" s="213"/>
      <c r="BK104" s="213"/>
      <c r="BL104" s="213"/>
      <c r="BM104" s="213"/>
      <c r="BN104" s="213"/>
      <c r="BO104" s="213"/>
      <c r="BP104" s="213"/>
      <c r="BQ104" s="213"/>
      <c r="BR104" s="213"/>
      <c r="BS104" s="213"/>
      <c r="BT104" s="213"/>
      <c r="BU104" s="213"/>
      <c r="BV104" s="213"/>
      <c r="BW104" s="213"/>
      <c r="BX104" s="213"/>
      <c r="BY104" s="221"/>
      <c r="BZ104" s="221"/>
      <c r="CA104" s="221"/>
      <c r="CB104" s="221"/>
      <c r="CC104" s="43"/>
    </row>
    <row r="105" spans="3:81" ht="11.25" customHeight="1">
      <c r="C105" s="43"/>
      <c r="D105" s="213"/>
      <c r="E105" s="213"/>
      <c r="F105" s="213"/>
      <c r="G105" s="213"/>
      <c r="H105" s="213"/>
      <c r="I105" s="220"/>
      <c r="J105" s="220"/>
      <c r="K105" s="220"/>
      <c r="L105" s="220"/>
      <c r="M105" s="220"/>
      <c r="N105" s="220"/>
      <c r="O105" s="220"/>
      <c r="P105" s="220"/>
      <c r="Q105" s="220"/>
      <c r="R105" s="220"/>
      <c r="S105" s="220"/>
      <c r="T105" s="220"/>
      <c r="U105" s="220"/>
      <c r="V105" s="220"/>
      <c r="W105" s="220"/>
      <c r="X105" s="220"/>
      <c r="Y105" s="220"/>
      <c r="Z105" s="220"/>
      <c r="AA105" s="220"/>
      <c r="AB105" s="220"/>
      <c r="AC105" s="220"/>
      <c r="AD105" s="220"/>
      <c r="AE105" s="220"/>
      <c r="AF105" s="220"/>
      <c r="AG105" s="220"/>
      <c r="AH105" s="220"/>
      <c r="AI105" s="220"/>
      <c r="AJ105" s="220"/>
      <c r="AK105" s="220"/>
      <c r="AL105" s="220"/>
      <c r="AM105" s="220"/>
      <c r="AN105" s="220"/>
      <c r="AO105" s="220"/>
      <c r="AP105" s="220"/>
      <c r="AQ105" s="220"/>
      <c r="AR105" s="220"/>
      <c r="AS105" s="220"/>
      <c r="AT105" s="220"/>
      <c r="AU105" s="220"/>
      <c r="AV105" s="213"/>
      <c r="AW105" s="213"/>
      <c r="AX105" s="213"/>
      <c r="AY105" s="213"/>
      <c r="AZ105" s="213"/>
      <c r="BA105" s="213"/>
      <c r="BB105" s="213"/>
      <c r="BC105" s="222"/>
      <c r="BD105" s="222"/>
      <c r="BE105" s="222"/>
      <c r="BF105" s="222"/>
      <c r="BG105" s="213"/>
      <c r="BH105" s="213"/>
      <c r="BI105" s="213"/>
      <c r="BJ105" s="213"/>
      <c r="BK105" s="213"/>
      <c r="BL105" s="213"/>
      <c r="BM105" s="213"/>
      <c r="BN105" s="213"/>
      <c r="BO105" s="213"/>
      <c r="BP105" s="213"/>
      <c r="BQ105" s="213"/>
      <c r="BR105" s="213"/>
      <c r="BS105" s="213"/>
      <c r="BT105" s="213"/>
      <c r="BU105" s="213"/>
      <c r="BV105" s="213"/>
      <c r="BW105" s="213"/>
      <c r="BX105" s="213"/>
      <c r="BY105" s="221"/>
      <c r="BZ105" s="221"/>
      <c r="CA105" s="221"/>
      <c r="CB105" s="221"/>
      <c r="CC105" s="43"/>
    </row>
    <row r="106" spans="3:81" ht="11.25" customHeight="1">
      <c r="C106" s="43"/>
      <c r="D106" s="213"/>
      <c r="E106" s="213"/>
      <c r="F106" s="213"/>
      <c r="G106" s="213"/>
      <c r="H106" s="213"/>
      <c r="I106" s="220"/>
      <c r="J106" s="220"/>
      <c r="K106" s="220"/>
      <c r="L106" s="220"/>
      <c r="M106" s="220"/>
      <c r="N106" s="220"/>
      <c r="O106" s="220"/>
      <c r="P106" s="220"/>
      <c r="Q106" s="220"/>
      <c r="R106" s="220"/>
      <c r="S106" s="220"/>
      <c r="T106" s="220"/>
      <c r="U106" s="220"/>
      <c r="V106" s="220"/>
      <c r="W106" s="220"/>
      <c r="X106" s="220"/>
      <c r="Y106" s="220"/>
      <c r="Z106" s="220"/>
      <c r="AA106" s="220"/>
      <c r="AB106" s="220"/>
      <c r="AC106" s="220"/>
      <c r="AD106" s="220"/>
      <c r="AE106" s="220"/>
      <c r="AF106" s="220"/>
      <c r="AG106" s="220"/>
      <c r="AH106" s="220"/>
      <c r="AI106" s="220"/>
      <c r="AJ106" s="220"/>
      <c r="AK106" s="220"/>
      <c r="AL106" s="220"/>
      <c r="AM106" s="220"/>
      <c r="AN106" s="220"/>
      <c r="AO106" s="220"/>
      <c r="AP106" s="220"/>
      <c r="AQ106" s="220"/>
      <c r="AR106" s="220"/>
      <c r="AS106" s="220"/>
      <c r="AT106" s="220"/>
      <c r="AU106" s="220"/>
      <c r="AV106" s="213"/>
      <c r="AW106" s="213"/>
      <c r="AX106" s="213"/>
      <c r="AY106" s="213"/>
      <c r="AZ106" s="213"/>
      <c r="BA106" s="213"/>
      <c r="BB106" s="213"/>
      <c r="BC106" s="222"/>
      <c r="BD106" s="222"/>
      <c r="BE106" s="222"/>
      <c r="BF106" s="222"/>
      <c r="BG106" s="213"/>
      <c r="BH106" s="213"/>
      <c r="BI106" s="213"/>
      <c r="BJ106" s="213"/>
      <c r="BK106" s="213"/>
      <c r="BL106" s="213"/>
      <c r="BM106" s="213"/>
      <c r="BN106" s="213"/>
      <c r="BO106" s="213"/>
      <c r="BP106" s="213"/>
      <c r="BQ106" s="213"/>
      <c r="BR106" s="213"/>
      <c r="BS106" s="213"/>
      <c r="BT106" s="213"/>
      <c r="BU106" s="213"/>
      <c r="BV106" s="213"/>
      <c r="BW106" s="213"/>
      <c r="BX106" s="213"/>
      <c r="BY106" s="221"/>
      <c r="BZ106" s="221"/>
      <c r="CA106" s="221"/>
      <c r="CB106" s="221"/>
      <c r="CC106" s="43"/>
    </row>
    <row r="107" spans="3:81" ht="11.25" customHeight="1">
      <c r="C107" s="43"/>
      <c r="D107" s="213"/>
      <c r="E107" s="213"/>
      <c r="F107" s="213"/>
      <c r="G107" s="213"/>
      <c r="H107" s="213"/>
      <c r="I107" s="220"/>
      <c r="J107" s="220"/>
      <c r="K107" s="220"/>
      <c r="L107" s="220"/>
      <c r="M107" s="220"/>
      <c r="N107" s="220"/>
      <c r="O107" s="220"/>
      <c r="P107" s="220"/>
      <c r="Q107" s="220"/>
      <c r="R107" s="220"/>
      <c r="S107" s="220"/>
      <c r="T107" s="220"/>
      <c r="U107" s="220"/>
      <c r="V107" s="220"/>
      <c r="W107" s="220"/>
      <c r="X107" s="220"/>
      <c r="Y107" s="220"/>
      <c r="Z107" s="220"/>
      <c r="AA107" s="220"/>
      <c r="AB107" s="220"/>
      <c r="AC107" s="220"/>
      <c r="AD107" s="220"/>
      <c r="AE107" s="220"/>
      <c r="AF107" s="220"/>
      <c r="AG107" s="220"/>
      <c r="AH107" s="220"/>
      <c r="AI107" s="220"/>
      <c r="AJ107" s="220"/>
      <c r="AK107" s="220"/>
      <c r="AL107" s="220"/>
      <c r="AM107" s="220"/>
      <c r="AN107" s="220"/>
      <c r="AO107" s="220"/>
      <c r="AP107" s="220"/>
      <c r="AQ107" s="220"/>
      <c r="AR107" s="220"/>
      <c r="AS107" s="220"/>
      <c r="AT107" s="220"/>
      <c r="AU107" s="220"/>
      <c r="AV107" s="213"/>
      <c r="AW107" s="213"/>
      <c r="AX107" s="213"/>
      <c r="AY107" s="213"/>
      <c r="AZ107" s="213"/>
      <c r="BA107" s="213"/>
      <c r="BB107" s="213"/>
      <c r="BC107" s="222"/>
      <c r="BD107" s="222"/>
      <c r="BE107" s="222"/>
      <c r="BF107" s="222"/>
      <c r="BG107" s="213"/>
      <c r="BH107" s="213"/>
      <c r="BI107" s="213"/>
      <c r="BJ107" s="213"/>
      <c r="BK107" s="213"/>
      <c r="BL107" s="213"/>
      <c r="BM107" s="213"/>
      <c r="BN107" s="213"/>
      <c r="BO107" s="213"/>
      <c r="BP107" s="213"/>
      <c r="BQ107" s="213"/>
      <c r="BR107" s="213"/>
      <c r="BS107" s="213"/>
      <c r="BT107" s="213"/>
      <c r="BU107" s="213"/>
      <c r="BV107" s="213"/>
      <c r="BW107" s="213"/>
      <c r="BX107" s="213"/>
      <c r="BY107" s="221"/>
      <c r="BZ107" s="221"/>
      <c r="CA107" s="221"/>
      <c r="CB107" s="221"/>
      <c r="CC107" s="43"/>
    </row>
    <row r="108" spans="3:81" ht="11.25" customHeight="1">
      <c r="C108" s="43"/>
      <c r="D108" s="223"/>
      <c r="E108" s="223"/>
      <c r="F108" s="223"/>
      <c r="G108" s="223"/>
      <c r="H108" s="223"/>
      <c r="I108" s="223"/>
      <c r="J108" s="223"/>
      <c r="K108" s="223"/>
      <c r="L108" s="223"/>
      <c r="M108" s="223"/>
      <c r="N108" s="223"/>
      <c r="O108" s="223"/>
      <c r="P108" s="223"/>
      <c r="Q108" s="223"/>
      <c r="R108" s="223"/>
      <c r="S108" s="223"/>
      <c r="T108" s="223"/>
      <c r="U108" s="223"/>
      <c r="V108" s="223"/>
      <c r="W108" s="223"/>
      <c r="X108" s="223"/>
      <c r="Y108" s="223"/>
      <c r="Z108" s="223"/>
      <c r="AA108" s="223"/>
      <c r="AB108" s="223"/>
      <c r="AC108" s="223"/>
      <c r="AD108" s="223"/>
      <c r="AE108" s="223"/>
      <c r="AF108" s="223"/>
      <c r="AG108" s="223"/>
      <c r="AH108" s="223"/>
      <c r="AI108" s="223"/>
      <c r="AJ108" s="223"/>
      <c r="AK108" s="223"/>
      <c r="AL108" s="223"/>
      <c r="AM108" s="223"/>
      <c r="AN108" s="223"/>
      <c r="AO108" s="223"/>
      <c r="AP108" s="223"/>
      <c r="AQ108" s="223"/>
      <c r="AR108" s="223"/>
      <c r="AS108" s="223"/>
      <c r="AT108" s="223"/>
      <c r="AU108" s="223"/>
      <c r="AV108" s="223"/>
      <c r="AW108" s="223"/>
      <c r="AX108" s="223"/>
      <c r="AY108" s="223"/>
      <c r="AZ108" s="223"/>
      <c r="BA108" s="223"/>
      <c r="BB108" s="223"/>
      <c r="BC108" s="223"/>
      <c r="BD108" s="223"/>
      <c r="BE108" s="223"/>
      <c r="BF108" s="223"/>
      <c r="BG108" s="223"/>
      <c r="BH108" s="223"/>
      <c r="BI108" s="223"/>
      <c r="BJ108" s="223"/>
      <c r="BK108" s="223"/>
      <c r="BL108" s="223"/>
      <c r="BM108" s="223"/>
      <c r="BN108" s="223"/>
      <c r="BO108" s="223"/>
      <c r="BP108" s="223"/>
      <c r="BQ108" s="223"/>
      <c r="BR108" s="223"/>
      <c r="BS108" s="223"/>
      <c r="BT108" s="223"/>
      <c r="BU108" s="223"/>
      <c r="BV108" s="223"/>
      <c r="BW108" s="223"/>
      <c r="BX108" s="223"/>
      <c r="BY108" s="221"/>
      <c r="BZ108" s="221"/>
      <c r="CA108" s="221"/>
      <c r="CB108" s="221"/>
      <c r="CC108" s="43"/>
    </row>
    <row r="109" spans="3:81" ht="11.25" customHeight="1">
      <c r="C109" s="43"/>
      <c r="D109" s="223"/>
      <c r="E109" s="223"/>
      <c r="F109" s="223"/>
      <c r="G109" s="223"/>
      <c r="H109" s="223"/>
      <c r="I109" s="223"/>
      <c r="J109" s="223"/>
      <c r="K109" s="223"/>
      <c r="L109" s="223"/>
      <c r="M109" s="223"/>
      <c r="N109" s="223"/>
      <c r="O109" s="223"/>
      <c r="P109" s="223"/>
      <c r="Q109" s="223"/>
      <c r="R109" s="223"/>
      <c r="S109" s="223"/>
      <c r="T109" s="223"/>
      <c r="U109" s="223"/>
      <c r="V109" s="223"/>
      <c r="W109" s="223"/>
      <c r="X109" s="223"/>
      <c r="Y109" s="223"/>
      <c r="Z109" s="223"/>
      <c r="AA109" s="223"/>
      <c r="AB109" s="223"/>
      <c r="AC109" s="223"/>
      <c r="AD109" s="223"/>
      <c r="AE109" s="223"/>
      <c r="AF109" s="223"/>
      <c r="AG109" s="223"/>
      <c r="AH109" s="223"/>
      <c r="AI109" s="223"/>
      <c r="AJ109" s="223"/>
      <c r="AK109" s="223"/>
      <c r="AL109" s="223"/>
      <c r="AM109" s="223"/>
      <c r="AN109" s="223"/>
      <c r="AO109" s="223"/>
      <c r="AP109" s="223"/>
      <c r="AQ109" s="223"/>
      <c r="AR109" s="223"/>
      <c r="AS109" s="223"/>
      <c r="AT109" s="223"/>
      <c r="AU109" s="223"/>
      <c r="AV109" s="223"/>
      <c r="AW109" s="223"/>
      <c r="AX109" s="223"/>
      <c r="AY109" s="223"/>
      <c r="AZ109" s="223"/>
      <c r="BA109" s="223"/>
      <c r="BB109" s="223"/>
      <c r="BC109" s="223"/>
      <c r="BD109" s="223"/>
      <c r="BE109" s="223"/>
      <c r="BF109" s="223"/>
      <c r="BG109" s="223"/>
      <c r="BH109" s="223"/>
      <c r="BI109" s="223"/>
      <c r="BJ109" s="223"/>
      <c r="BK109" s="223"/>
      <c r="BL109" s="223"/>
      <c r="BM109" s="223"/>
      <c r="BN109" s="223"/>
      <c r="BO109" s="223"/>
      <c r="BP109" s="223"/>
      <c r="BQ109" s="223"/>
      <c r="BR109" s="223"/>
      <c r="BS109" s="223"/>
      <c r="BT109" s="223"/>
      <c r="BU109" s="223"/>
      <c r="BV109" s="223"/>
      <c r="BW109" s="223"/>
      <c r="BX109" s="223"/>
      <c r="BY109" s="221"/>
      <c r="BZ109" s="221"/>
      <c r="CA109" s="221"/>
      <c r="CB109" s="221"/>
      <c r="CC109" s="43"/>
    </row>
    <row r="110" spans="3:81" ht="11.25" customHeight="1">
      <c r="C110" s="43"/>
      <c r="D110" s="213"/>
      <c r="E110" s="213"/>
      <c r="F110" s="213"/>
      <c r="G110" s="213"/>
      <c r="H110" s="213"/>
      <c r="I110" s="220"/>
      <c r="J110" s="220"/>
      <c r="K110" s="220"/>
      <c r="L110" s="220"/>
      <c r="M110" s="220"/>
      <c r="N110" s="220"/>
      <c r="O110" s="220"/>
      <c r="P110" s="220"/>
      <c r="Q110" s="220"/>
      <c r="R110" s="220"/>
      <c r="S110" s="220"/>
      <c r="T110" s="220"/>
      <c r="U110" s="220"/>
      <c r="V110" s="220"/>
      <c r="W110" s="220"/>
      <c r="X110" s="220"/>
      <c r="Y110" s="220"/>
      <c r="Z110" s="220"/>
      <c r="AA110" s="220"/>
      <c r="AB110" s="220"/>
      <c r="AC110" s="220"/>
      <c r="AD110" s="220"/>
      <c r="AE110" s="220"/>
      <c r="AF110" s="220"/>
      <c r="AG110" s="220"/>
      <c r="AH110" s="220"/>
      <c r="AI110" s="220"/>
      <c r="AJ110" s="220"/>
      <c r="AK110" s="220"/>
      <c r="AL110" s="220"/>
      <c r="AM110" s="220"/>
      <c r="AN110" s="220"/>
      <c r="AO110" s="220"/>
      <c r="AP110" s="220"/>
      <c r="AQ110" s="220"/>
      <c r="AR110" s="220"/>
      <c r="AS110" s="220"/>
      <c r="AT110" s="220"/>
      <c r="AU110" s="220"/>
      <c r="AV110" s="213"/>
      <c r="AW110" s="213"/>
      <c r="AX110" s="213"/>
      <c r="AY110" s="213"/>
      <c r="AZ110" s="213"/>
      <c r="BA110" s="213"/>
      <c r="BB110" s="213"/>
      <c r="BC110" s="222"/>
      <c r="BD110" s="222"/>
      <c r="BE110" s="222"/>
      <c r="BF110" s="222"/>
      <c r="BG110" s="213"/>
      <c r="BH110" s="213"/>
      <c r="BI110" s="213"/>
      <c r="BJ110" s="213"/>
      <c r="BK110" s="213"/>
      <c r="BL110" s="213"/>
      <c r="BM110" s="213"/>
      <c r="BN110" s="213"/>
      <c r="BO110" s="213"/>
      <c r="BP110" s="213"/>
      <c r="BQ110" s="213"/>
      <c r="BR110" s="213"/>
      <c r="BS110" s="213"/>
      <c r="BT110" s="213"/>
      <c r="BU110" s="213"/>
      <c r="BV110" s="213"/>
      <c r="BW110" s="213"/>
      <c r="BX110" s="213"/>
      <c r="BY110" s="221"/>
      <c r="BZ110" s="221"/>
      <c r="CA110" s="221"/>
      <c r="CB110" s="221"/>
      <c r="CC110" s="43"/>
    </row>
    <row r="111" spans="3:81" ht="11.25" customHeight="1">
      <c r="C111" s="43"/>
      <c r="D111" s="213"/>
      <c r="E111" s="213"/>
      <c r="F111" s="213"/>
      <c r="G111" s="213"/>
      <c r="H111" s="213"/>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13"/>
      <c r="AW111" s="213"/>
      <c r="AX111" s="213"/>
      <c r="AY111" s="213"/>
      <c r="AZ111" s="213"/>
      <c r="BA111" s="213"/>
      <c r="BB111" s="213"/>
      <c r="BC111" s="222"/>
      <c r="BD111" s="222"/>
      <c r="BE111" s="222"/>
      <c r="BF111" s="222"/>
      <c r="BG111" s="213"/>
      <c r="BH111" s="213"/>
      <c r="BI111" s="213"/>
      <c r="BJ111" s="213"/>
      <c r="BK111" s="213"/>
      <c r="BL111" s="213"/>
      <c r="BM111" s="213"/>
      <c r="BN111" s="213"/>
      <c r="BO111" s="213"/>
      <c r="BP111" s="213"/>
      <c r="BQ111" s="213"/>
      <c r="BR111" s="213"/>
      <c r="BS111" s="213"/>
      <c r="BT111" s="213"/>
      <c r="BU111" s="213"/>
      <c r="BV111" s="213"/>
      <c r="BW111" s="213"/>
      <c r="BX111" s="213"/>
      <c r="BY111" s="221"/>
      <c r="BZ111" s="221"/>
      <c r="CA111" s="221"/>
      <c r="CB111" s="221"/>
      <c r="CC111" s="43"/>
    </row>
    <row r="112" spans="3:81" ht="11.25" customHeight="1">
      <c r="C112" s="43"/>
      <c r="D112" s="213"/>
      <c r="E112" s="213"/>
      <c r="F112" s="213"/>
      <c r="G112" s="213"/>
      <c r="H112" s="213"/>
      <c r="I112" s="220"/>
      <c r="J112" s="220"/>
      <c r="K112" s="220"/>
      <c r="L112" s="220"/>
      <c r="M112" s="220"/>
      <c r="N112" s="220"/>
      <c r="O112" s="220"/>
      <c r="P112" s="220"/>
      <c r="Q112" s="220"/>
      <c r="R112" s="220"/>
      <c r="S112" s="220"/>
      <c r="T112" s="220"/>
      <c r="U112" s="220"/>
      <c r="V112" s="220"/>
      <c r="W112" s="220"/>
      <c r="X112" s="220"/>
      <c r="Y112" s="220"/>
      <c r="Z112" s="220"/>
      <c r="AA112" s="220"/>
      <c r="AB112" s="220"/>
      <c r="AC112" s="220"/>
      <c r="AD112" s="220"/>
      <c r="AE112" s="220"/>
      <c r="AF112" s="220"/>
      <c r="AG112" s="220"/>
      <c r="AH112" s="220"/>
      <c r="AI112" s="220"/>
      <c r="AJ112" s="220"/>
      <c r="AK112" s="220"/>
      <c r="AL112" s="220"/>
      <c r="AM112" s="220"/>
      <c r="AN112" s="220"/>
      <c r="AO112" s="220"/>
      <c r="AP112" s="220"/>
      <c r="AQ112" s="220"/>
      <c r="AR112" s="220"/>
      <c r="AS112" s="220"/>
      <c r="AT112" s="220"/>
      <c r="AU112" s="220"/>
      <c r="AV112" s="213"/>
      <c r="AW112" s="213"/>
      <c r="AX112" s="213"/>
      <c r="AY112" s="213"/>
      <c r="AZ112" s="213"/>
      <c r="BA112" s="213"/>
      <c r="BB112" s="213"/>
      <c r="BC112" s="222"/>
      <c r="BD112" s="222"/>
      <c r="BE112" s="222"/>
      <c r="BF112" s="222"/>
      <c r="BG112" s="213"/>
      <c r="BH112" s="213"/>
      <c r="BI112" s="213"/>
      <c r="BJ112" s="213"/>
      <c r="BK112" s="213"/>
      <c r="BL112" s="213"/>
      <c r="BM112" s="213"/>
      <c r="BN112" s="213"/>
      <c r="BO112" s="213"/>
      <c r="BP112" s="213"/>
      <c r="BQ112" s="213"/>
      <c r="BR112" s="213"/>
      <c r="BS112" s="213"/>
      <c r="BT112" s="213"/>
      <c r="BU112" s="213"/>
      <c r="BV112" s="213"/>
      <c r="BW112" s="213"/>
      <c r="BX112" s="213"/>
      <c r="BY112" s="221"/>
      <c r="BZ112" s="221"/>
      <c r="CA112" s="221"/>
      <c r="CB112" s="221"/>
      <c r="CC112" s="43"/>
    </row>
    <row r="113" spans="3:81" ht="11.25" customHeight="1">
      <c r="C113" s="43"/>
      <c r="D113" s="213"/>
      <c r="E113" s="213"/>
      <c r="F113" s="213"/>
      <c r="G113" s="213"/>
      <c r="H113" s="213"/>
      <c r="I113" s="220"/>
      <c r="J113" s="220"/>
      <c r="K113" s="220"/>
      <c r="L113" s="220"/>
      <c r="M113" s="220"/>
      <c r="N113" s="220"/>
      <c r="O113" s="220"/>
      <c r="P113" s="220"/>
      <c r="Q113" s="220"/>
      <c r="R113" s="220"/>
      <c r="S113" s="220"/>
      <c r="T113" s="220"/>
      <c r="U113" s="220"/>
      <c r="V113" s="220"/>
      <c r="W113" s="220"/>
      <c r="X113" s="220"/>
      <c r="Y113" s="220"/>
      <c r="Z113" s="220"/>
      <c r="AA113" s="220"/>
      <c r="AB113" s="220"/>
      <c r="AC113" s="220"/>
      <c r="AD113" s="220"/>
      <c r="AE113" s="220"/>
      <c r="AF113" s="220"/>
      <c r="AG113" s="220"/>
      <c r="AH113" s="220"/>
      <c r="AI113" s="220"/>
      <c r="AJ113" s="220"/>
      <c r="AK113" s="220"/>
      <c r="AL113" s="220"/>
      <c r="AM113" s="220"/>
      <c r="AN113" s="220"/>
      <c r="AO113" s="220"/>
      <c r="AP113" s="220"/>
      <c r="AQ113" s="220"/>
      <c r="AR113" s="220"/>
      <c r="AS113" s="220"/>
      <c r="AT113" s="220"/>
      <c r="AU113" s="220"/>
      <c r="AV113" s="213"/>
      <c r="AW113" s="213"/>
      <c r="AX113" s="213"/>
      <c r="AY113" s="213"/>
      <c r="AZ113" s="213"/>
      <c r="BA113" s="213"/>
      <c r="BB113" s="213"/>
      <c r="BC113" s="222"/>
      <c r="BD113" s="222"/>
      <c r="BE113" s="222"/>
      <c r="BF113" s="222"/>
      <c r="BG113" s="213"/>
      <c r="BH113" s="213"/>
      <c r="BI113" s="213"/>
      <c r="BJ113" s="213"/>
      <c r="BK113" s="213"/>
      <c r="BL113" s="213"/>
      <c r="BM113" s="213"/>
      <c r="BN113" s="213"/>
      <c r="BO113" s="213"/>
      <c r="BP113" s="213"/>
      <c r="BQ113" s="213"/>
      <c r="BR113" s="213"/>
      <c r="BS113" s="213"/>
      <c r="BT113" s="213"/>
      <c r="BU113" s="213"/>
      <c r="BV113" s="213"/>
      <c r="BW113" s="213"/>
      <c r="BX113" s="213"/>
      <c r="BY113" s="221"/>
      <c r="BZ113" s="221"/>
      <c r="CA113" s="221"/>
      <c r="CB113" s="221"/>
      <c r="CC113" s="43"/>
    </row>
    <row r="114" spans="3:81" ht="11.25" customHeight="1">
      <c r="C114" s="43"/>
      <c r="D114" s="213"/>
      <c r="E114" s="213"/>
      <c r="F114" s="213"/>
      <c r="G114" s="213"/>
      <c r="H114" s="213"/>
      <c r="I114" s="220"/>
      <c r="J114" s="220"/>
      <c r="K114" s="220"/>
      <c r="L114" s="220"/>
      <c r="M114" s="220"/>
      <c r="N114" s="220"/>
      <c r="O114" s="220"/>
      <c r="P114" s="220"/>
      <c r="Q114" s="220"/>
      <c r="R114" s="220"/>
      <c r="S114" s="220"/>
      <c r="T114" s="220"/>
      <c r="U114" s="220"/>
      <c r="V114" s="220"/>
      <c r="W114" s="220"/>
      <c r="X114" s="220"/>
      <c r="Y114" s="220"/>
      <c r="Z114" s="220"/>
      <c r="AA114" s="220"/>
      <c r="AB114" s="220"/>
      <c r="AC114" s="220"/>
      <c r="AD114" s="220"/>
      <c r="AE114" s="220"/>
      <c r="AF114" s="220"/>
      <c r="AG114" s="220"/>
      <c r="AH114" s="220"/>
      <c r="AI114" s="220"/>
      <c r="AJ114" s="220"/>
      <c r="AK114" s="220"/>
      <c r="AL114" s="220"/>
      <c r="AM114" s="220"/>
      <c r="AN114" s="220"/>
      <c r="AO114" s="220"/>
      <c r="AP114" s="220"/>
      <c r="AQ114" s="220"/>
      <c r="AR114" s="220"/>
      <c r="AS114" s="220"/>
      <c r="AT114" s="220"/>
      <c r="AU114" s="220"/>
      <c r="AV114" s="213"/>
      <c r="AW114" s="213"/>
      <c r="AX114" s="213"/>
      <c r="AY114" s="213"/>
      <c r="AZ114" s="213"/>
      <c r="BA114" s="213"/>
      <c r="BB114" s="213"/>
      <c r="BC114" s="222"/>
      <c r="BD114" s="222"/>
      <c r="BE114" s="222"/>
      <c r="BF114" s="222"/>
      <c r="BG114" s="213"/>
      <c r="BH114" s="213"/>
      <c r="BI114" s="213"/>
      <c r="BJ114" s="213"/>
      <c r="BK114" s="213"/>
      <c r="BL114" s="213"/>
      <c r="BM114" s="213"/>
      <c r="BN114" s="213"/>
      <c r="BO114" s="213"/>
      <c r="BP114" s="213"/>
      <c r="BQ114" s="213"/>
      <c r="BR114" s="213"/>
      <c r="BS114" s="213"/>
      <c r="BT114" s="213"/>
      <c r="BU114" s="213"/>
      <c r="BV114" s="213"/>
      <c r="BW114" s="213"/>
      <c r="BX114" s="213"/>
      <c r="BY114" s="221"/>
      <c r="BZ114" s="221"/>
      <c r="CA114" s="221"/>
      <c r="CB114" s="221"/>
      <c r="CC114" s="43"/>
    </row>
    <row r="115" spans="3:81" ht="11.25" customHeight="1">
      <c r="C115" s="43"/>
      <c r="D115" s="213"/>
      <c r="E115" s="213"/>
      <c r="F115" s="213"/>
      <c r="G115" s="213"/>
      <c r="H115" s="213"/>
      <c r="I115" s="220"/>
      <c r="J115" s="220"/>
      <c r="K115" s="220"/>
      <c r="L115" s="220"/>
      <c r="M115" s="220"/>
      <c r="N115" s="220"/>
      <c r="O115" s="220"/>
      <c r="P115" s="220"/>
      <c r="Q115" s="220"/>
      <c r="R115" s="220"/>
      <c r="S115" s="220"/>
      <c r="T115" s="220"/>
      <c r="U115" s="220"/>
      <c r="V115" s="220"/>
      <c r="W115" s="220"/>
      <c r="X115" s="220"/>
      <c r="Y115" s="220"/>
      <c r="Z115" s="220"/>
      <c r="AA115" s="220"/>
      <c r="AB115" s="220"/>
      <c r="AC115" s="220"/>
      <c r="AD115" s="220"/>
      <c r="AE115" s="220"/>
      <c r="AF115" s="220"/>
      <c r="AG115" s="220"/>
      <c r="AH115" s="220"/>
      <c r="AI115" s="220"/>
      <c r="AJ115" s="220"/>
      <c r="AK115" s="220"/>
      <c r="AL115" s="220"/>
      <c r="AM115" s="220"/>
      <c r="AN115" s="220"/>
      <c r="AO115" s="220"/>
      <c r="AP115" s="220"/>
      <c r="AQ115" s="220"/>
      <c r="AR115" s="220"/>
      <c r="AS115" s="220"/>
      <c r="AT115" s="220"/>
      <c r="AU115" s="220"/>
      <c r="AV115" s="213"/>
      <c r="AW115" s="213"/>
      <c r="AX115" s="213"/>
      <c r="AY115" s="213"/>
      <c r="AZ115" s="213"/>
      <c r="BA115" s="213"/>
      <c r="BB115" s="213"/>
      <c r="BC115" s="222"/>
      <c r="BD115" s="222"/>
      <c r="BE115" s="222"/>
      <c r="BF115" s="222"/>
      <c r="BG115" s="213"/>
      <c r="BH115" s="213"/>
      <c r="BI115" s="213"/>
      <c r="BJ115" s="213"/>
      <c r="BK115" s="213"/>
      <c r="BL115" s="213"/>
      <c r="BM115" s="213"/>
      <c r="BN115" s="213"/>
      <c r="BO115" s="213"/>
      <c r="BP115" s="213"/>
      <c r="BQ115" s="213"/>
      <c r="BR115" s="213"/>
      <c r="BS115" s="213"/>
      <c r="BT115" s="213"/>
      <c r="BU115" s="213"/>
      <c r="BV115" s="213"/>
      <c r="BW115" s="213"/>
      <c r="BX115" s="213"/>
      <c r="BY115" s="221"/>
      <c r="BZ115" s="221"/>
      <c r="CA115" s="221"/>
      <c r="CB115" s="221"/>
      <c r="CC115" s="43"/>
    </row>
    <row r="116" spans="3:81" ht="11.25" customHeight="1">
      <c r="C116" s="43"/>
      <c r="D116" s="223"/>
      <c r="E116" s="223"/>
      <c r="F116" s="223"/>
      <c r="G116" s="223"/>
      <c r="H116" s="223"/>
      <c r="I116" s="223"/>
      <c r="J116" s="223"/>
      <c r="K116" s="223"/>
      <c r="L116" s="223"/>
      <c r="M116" s="223"/>
      <c r="N116" s="223"/>
      <c r="O116" s="223"/>
      <c r="P116" s="223"/>
      <c r="Q116" s="223"/>
      <c r="R116" s="223"/>
      <c r="S116" s="223"/>
      <c r="T116" s="223"/>
      <c r="U116" s="223"/>
      <c r="V116" s="223"/>
      <c r="W116" s="223"/>
      <c r="X116" s="223"/>
      <c r="Y116" s="223"/>
      <c r="Z116" s="223"/>
      <c r="AA116" s="223"/>
      <c r="AB116" s="223"/>
      <c r="AC116" s="223"/>
      <c r="AD116" s="223"/>
      <c r="AE116" s="223"/>
      <c r="AF116" s="223"/>
      <c r="AG116" s="223"/>
      <c r="AH116" s="223"/>
      <c r="AI116" s="223"/>
      <c r="AJ116" s="223"/>
      <c r="AK116" s="223"/>
      <c r="AL116" s="223"/>
      <c r="AM116" s="223"/>
      <c r="AN116" s="223"/>
      <c r="AO116" s="223"/>
      <c r="AP116" s="223"/>
      <c r="AQ116" s="223"/>
      <c r="AR116" s="223"/>
      <c r="AS116" s="223"/>
      <c r="AT116" s="223"/>
      <c r="AU116" s="223"/>
      <c r="AV116" s="223"/>
      <c r="AW116" s="223"/>
      <c r="AX116" s="223"/>
      <c r="AY116" s="223"/>
      <c r="AZ116" s="223"/>
      <c r="BA116" s="223"/>
      <c r="BB116" s="223"/>
      <c r="BC116" s="223"/>
      <c r="BD116" s="223"/>
      <c r="BE116" s="223"/>
      <c r="BF116" s="223"/>
      <c r="BG116" s="223"/>
      <c r="BH116" s="223"/>
      <c r="BI116" s="223"/>
      <c r="BJ116" s="223"/>
      <c r="BK116" s="223"/>
      <c r="BL116" s="223"/>
      <c r="BM116" s="223"/>
      <c r="BN116" s="223"/>
      <c r="BO116" s="223"/>
      <c r="BP116" s="223"/>
      <c r="BQ116" s="223"/>
      <c r="BR116" s="223"/>
      <c r="BS116" s="223"/>
      <c r="BT116" s="223"/>
      <c r="BU116" s="223"/>
      <c r="BV116" s="223"/>
      <c r="BW116" s="223"/>
      <c r="BX116" s="223"/>
      <c r="BY116" s="221"/>
      <c r="BZ116" s="221"/>
      <c r="CA116" s="221"/>
      <c r="CB116" s="221"/>
      <c r="CC116" s="43"/>
    </row>
    <row r="117" spans="3:81" ht="11.25" customHeight="1">
      <c r="C117" s="43"/>
      <c r="D117" s="223"/>
      <c r="E117" s="223"/>
      <c r="F117" s="223"/>
      <c r="G117" s="223"/>
      <c r="H117" s="223"/>
      <c r="I117" s="223"/>
      <c r="J117" s="223"/>
      <c r="K117" s="223"/>
      <c r="L117" s="223"/>
      <c r="M117" s="223"/>
      <c r="N117" s="223"/>
      <c r="O117" s="223"/>
      <c r="P117" s="223"/>
      <c r="Q117" s="223"/>
      <c r="R117" s="223"/>
      <c r="S117" s="223"/>
      <c r="T117" s="223"/>
      <c r="U117" s="223"/>
      <c r="V117" s="223"/>
      <c r="W117" s="223"/>
      <c r="X117" s="223"/>
      <c r="Y117" s="223"/>
      <c r="Z117" s="223"/>
      <c r="AA117" s="223"/>
      <c r="AB117" s="223"/>
      <c r="AC117" s="223"/>
      <c r="AD117" s="223"/>
      <c r="AE117" s="223"/>
      <c r="AF117" s="223"/>
      <c r="AG117" s="223"/>
      <c r="AH117" s="223"/>
      <c r="AI117" s="223"/>
      <c r="AJ117" s="223"/>
      <c r="AK117" s="223"/>
      <c r="AL117" s="223"/>
      <c r="AM117" s="223"/>
      <c r="AN117" s="223"/>
      <c r="AO117" s="223"/>
      <c r="AP117" s="223"/>
      <c r="AQ117" s="223"/>
      <c r="AR117" s="223"/>
      <c r="AS117" s="223"/>
      <c r="AT117" s="223"/>
      <c r="AU117" s="223"/>
      <c r="AV117" s="223"/>
      <c r="AW117" s="223"/>
      <c r="AX117" s="223"/>
      <c r="AY117" s="223"/>
      <c r="AZ117" s="223"/>
      <c r="BA117" s="223"/>
      <c r="BB117" s="223"/>
      <c r="BC117" s="223"/>
      <c r="BD117" s="223"/>
      <c r="BE117" s="223"/>
      <c r="BF117" s="223"/>
      <c r="BG117" s="223"/>
      <c r="BH117" s="223"/>
      <c r="BI117" s="223"/>
      <c r="BJ117" s="223"/>
      <c r="BK117" s="223"/>
      <c r="BL117" s="223"/>
      <c r="BM117" s="223"/>
      <c r="BN117" s="223"/>
      <c r="BO117" s="223"/>
      <c r="BP117" s="223"/>
      <c r="BQ117" s="223"/>
      <c r="BR117" s="223"/>
      <c r="BS117" s="223"/>
      <c r="BT117" s="223"/>
      <c r="BU117" s="223"/>
      <c r="BV117" s="223"/>
      <c r="BW117" s="223"/>
      <c r="BX117" s="223"/>
      <c r="BY117" s="221"/>
      <c r="BZ117" s="221"/>
      <c r="CA117" s="221"/>
      <c r="CB117" s="221"/>
      <c r="CC117" s="43"/>
    </row>
    <row r="118" spans="3:81" ht="11.25" customHeight="1">
      <c r="C118" s="43"/>
      <c r="D118" s="213"/>
      <c r="E118" s="213"/>
      <c r="F118" s="213"/>
      <c r="G118" s="213"/>
      <c r="H118" s="213"/>
      <c r="I118" s="220"/>
      <c r="J118" s="220"/>
      <c r="K118" s="220"/>
      <c r="L118" s="220"/>
      <c r="M118" s="220"/>
      <c r="N118" s="220"/>
      <c r="O118" s="220"/>
      <c r="P118" s="220"/>
      <c r="Q118" s="220"/>
      <c r="R118" s="220"/>
      <c r="S118" s="220"/>
      <c r="T118" s="220"/>
      <c r="U118" s="220"/>
      <c r="V118" s="220"/>
      <c r="W118" s="220"/>
      <c r="X118" s="220"/>
      <c r="Y118" s="220"/>
      <c r="Z118" s="220"/>
      <c r="AA118" s="220"/>
      <c r="AB118" s="220"/>
      <c r="AC118" s="220"/>
      <c r="AD118" s="220"/>
      <c r="AE118" s="220"/>
      <c r="AF118" s="220"/>
      <c r="AG118" s="220"/>
      <c r="AH118" s="220"/>
      <c r="AI118" s="220"/>
      <c r="AJ118" s="220"/>
      <c r="AK118" s="220"/>
      <c r="AL118" s="220"/>
      <c r="AM118" s="220"/>
      <c r="AN118" s="220"/>
      <c r="AO118" s="220"/>
      <c r="AP118" s="220"/>
      <c r="AQ118" s="220"/>
      <c r="AR118" s="220"/>
      <c r="AS118" s="220"/>
      <c r="AT118" s="220"/>
      <c r="AU118" s="220"/>
      <c r="AV118" s="224"/>
      <c r="AW118" s="213"/>
      <c r="AX118" s="213"/>
      <c r="AY118" s="213"/>
      <c r="AZ118" s="213"/>
      <c r="BA118" s="213"/>
      <c r="BB118" s="213"/>
      <c r="BC118" s="222"/>
      <c r="BD118" s="222"/>
      <c r="BE118" s="222"/>
      <c r="BF118" s="222"/>
      <c r="BG118" s="213"/>
      <c r="BH118" s="213"/>
      <c r="BI118" s="213"/>
      <c r="BJ118" s="213"/>
      <c r="BK118" s="213"/>
      <c r="BL118" s="213"/>
      <c r="BM118" s="213"/>
      <c r="BN118" s="213"/>
      <c r="BO118" s="213"/>
      <c r="BP118" s="213"/>
      <c r="BQ118" s="213"/>
      <c r="BR118" s="213"/>
      <c r="BS118" s="213"/>
      <c r="BT118" s="213"/>
      <c r="BU118" s="213"/>
      <c r="BV118" s="213"/>
      <c r="BW118" s="213"/>
      <c r="BX118" s="213"/>
      <c r="BY118" s="221"/>
      <c r="BZ118" s="221"/>
      <c r="CA118" s="221"/>
      <c r="CB118" s="221"/>
      <c r="CC118" s="43"/>
    </row>
    <row r="119" spans="3:81" ht="11.25" customHeight="1">
      <c r="C119" s="43"/>
      <c r="D119" s="213"/>
      <c r="E119" s="213"/>
      <c r="F119" s="213"/>
      <c r="G119" s="213"/>
      <c r="H119" s="213"/>
      <c r="I119" s="220"/>
      <c r="J119" s="220"/>
      <c r="K119" s="220"/>
      <c r="L119" s="220"/>
      <c r="M119" s="220"/>
      <c r="N119" s="220"/>
      <c r="O119" s="220"/>
      <c r="P119" s="220"/>
      <c r="Q119" s="220"/>
      <c r="R119" s="220"/>
      <c r="S119" s="220"/>
      <c r="T119" s="220"/>
      <c r="U119" s="220"/>
      <c r="V119" s="220"/>
      <c r="W119" s="220"/>
      <c r="X119" s="220"/>
      <c r="Y119" s="220"/>
      <c r="Z119" s="220"/>
      <c r="AA119" s="220"/>
      <c r="AB119" s="220"/>
      <c r="AC119" s="220"/>
      <c r="AD119" s="220"/>
      <c r="AE119" s="220"/>
      <c r="AF119" s="220"/>
      <c r="AG119" s="220"/>
      <c r="AH119" s="220"/>
      <c r="AI119" s="220"/>
      <c r="AJ119" s="220"/>
      <c r="AK119" s="220"/>
      <c r="AL119" s="220"/>
      <c r="AM119" s="220"/>
      <c r="AN119" s="220"/>
      <c r="AO119" s="220"/>
      <c r="AP119" s="220"/>
      <c r="AQ119" s="220"/>
      <c r="AR119" s="220"/>
      <c r="AS119" s="220"/>
      <c r="AT119" s="220"/>
      <c r="AU119" s="220"/>
      <c r="AV119" s="224"/>
      <c r="AW119" s="213"/>
      <c r="AX119" s="213"/>
      <c r="AY119" s="213"/>
      <c r="AZ119" s="213"/>
      <c r="BA119" s="213"/>
      <c r="BB119" s="213"/>
      <c r="BC119" s="222"/>
      <c r="BD119" s="222"/>
      <c r="BE119" s="222"/>
      <c r="BF119" s="222"/>
      <c r="BG119" s="213"/>
      <c r="BH119" s="213"/>
      <c r="BI119" s="213"/>
      <c r="BJ119" s="213"/>
      <c r="BK119" s="213"/>
      <c r="BL119" s="213"/>
      <c r="BM119" s="213"/>
      <c r="BN119" s="213"/>
      <c r="BO119" s="213"/>
      <c r="BP119" s="213"/>
      <c r="BQ119" s="213"/>
      <c r="BR119" s="213"/>
      <c r="BS119" s="213"/>
      <c r="BT119" s="213"/>
      <c r="BU119" s="213"/>
      <c r="BV119" s="213"/>
      <c r="BW119" s="213"/>
      <c r="BX119" s="213"/>
      <c r="BY119" s="221"/>
      <c r="BZ119" s="221"/>
      <c r="CA119" s="221"/>
      <c r="CB119" s="221"/>
      <c r="CC119" s="43"/>
    </row>
    <row r="120" spans="3:81" ht="11.25" customHeight="1">
      <c r="C120" s="125"/>
      <c r="D120" s="125"/>
      <c r="E120" s="125"/>
      <c r="F120" s="125"/>
      <c r="G120" s="125"/>
      <c r="H120" s="125"/>
      <c r="I120" s="125"/>
      <c r="J120" s="125"/>
      <c r="K120" s="125"/>
      <c r="L120" s="125"/>
      <c r="M120" s="125"/>
      <c r="N120" s="125"/>
      <c r="O120" s="125"/>
      <c r="P120" s="125"/>
      <c r="Q120" s="125"/>
      <c r="R120" s="125"/>
      <c r="S120" s="125"/>
      <c r="T120" s="125"/>
      <c r="U120" s="125"/>
      <c r="V120" s="125"/>
      <c r="W120" s="125"/>
      <c r="X120" s="125"/>
      <c r="Y120" s="125"/>
      <c r="Z120" s="125"/>
      <c r="AA120" s="125"/>
      <c r="AB120" s="125"/>
      <c r="AC120" s="125"/>
      <c r="AD120" s="125"/>
      <c r="AE120" s="125"/>
      <c r="AF120" s="125"/>
      <c r="AG120" s="125"/>
      <c r="AH120" s="125"/>
      <c r="AI120" s="125"/>
      <c r="AJ120" s="125"/>
      <c r="AK120" s="125"/>
      <c r="AL120" s="125"/>
      <c r="AM120" s="125"/>
      <c r="AN120" s="125"/>
      <c r="AO120" s="125"/>
      <c r="AP120" s="125"/>
      <c r="AQ120" s="125"/>
      <c r="AR120" s="125"/>
      <c r="AS120" s="125"/>
      <c r="AT120" s="125"/>
      <c r="AU120" s="125"/>
      <c r="AV120" s="125"/>
      <c r="AW120" s="125"/>
      <c r="AX120" s="125"/>
      <c r="AY120" s="125"/>
      <c r="AZ120" s="125"/>
      <c r="BA120" s="125"/>
      <c r="BB120" s="125"/>
      <c r="BC120" s="125"/>
      <c r="BD120" s="125"/>
      <c r="BE120" s="125"/>
      <c r="BF120" s="125"/>
      <c r="BG120" s="125"/>
      <c r="BH120" s="125"/>
      <c r="BI120" s="125"/>
      <c r="BJ120" s="125"/>
      <c r="BK120" s="125"/>
      <c r="BL120" s="125"/>
      <c r="BM120" s="125"/>
      <c r="BN120" s="125"/>
      <c r="BO120" s="125"/>
      <c r="BP120" s="125"/>
      <c r="BQ120" s="125"/>
      <c r="BR120" s="125"/>
      <c r="BS120" s="125"/>
      <c r="BT120" s="125"/>
      <c r="BU120" s="125"/>
      <c r="BV120" s="125"/>
      <c r="BW120" s="125"/>
      <c r="BX120" s="125"/>
      <c r="BY120" s="221"/>
      <c r="BZ120" s="221"/>
      <c r="CA120" s="221"/>
      <c r="CB120" s="221"/>
      <c r="CC120" s="125"/>
    </row>
    <row r="121" spans="3:81" ht="11.25" customHeight="1">
      <c r="C121" s="125"/>
      <c r="D121" s="125"/>
      <c r="E121" s="125"/>
      <c r="F121" s="125"/>
      <c r="G121" s="125"/>
      <c r="H121" s="125"/>
      <c r="I121" s="125"/>
      <c r="J121" s="125"/>
      <c r="K121" s="125"/>
      <c r="L121" s="125"/>
      <c r="M121" s="125"/>
      <c r="N121" s="125"/>
      <c r="O121" s="125"/>
      <c r="P121" s="125"/>
      <c r="Q121" s="125"/>
      <c r="R121" s="125"/>
      <c r="S121" s="125"/>
      <c r="T121" s="125"/>
      <c r="U121" s="125"/>
      <c r="V121" s="125"/>
      <c r="W121" s="125"/>
      <c r="X121" s="125"/>
      <c r="Y121" s="125"/>
      <c r="Z121" s="125"/>
      <c r="AA121" s="125"/>
      <c r="AB121" s="125"/>
      <c r="AC121" s="125"/>
      <c r="AD121" s="125"/>
      <c r="AE121" s="125"/>
      <c r="AF121" s="125"/>
      <c r="AG121" s="125"/>
      <c r="AH121" s="125"/>
      <c r="AI121" s="125"/>
      <c r="AJ121" s="125"/>
      <c r="AK121" s="125"/>
      <c r="AL121" s="125"/>
      <c r="AM121" s="125"/>
      <c r="AN121" s="125"/>
      <c r="AO121" s="125"/>
      <c r="AP121" s="125"/>
      <c r="AQ121" s="125"/>
      <c r="AR121" s="125"/>
      <c r="AS121" s="125"/>
      <c r="AT121" s="125"/>
      <c r="AU121" s="125"/>
      <c r="AV121" s="125"/>
      <c r="AW121" s="125"/>
      <c r="AX121" s="125"/>
      <c r="AY121" s="125"/>
      <c r="AZ121" s="125"/>
      <c r="BA121" s="125"/>
      <c r="BB121" s="125"/>
      <c r="BC121" s="125"/>
      <c r="BD121" s="125"/>
      <c r="BE121" s="125"/>
      <c r="BF121" s="125"/>
      <c r="BG121" s="125"/>
      <c r="BH121" s="125"/>
      <c r="BI121" s="125"/>
      <c r="BJ121" s="125"/>
      <c r="BK121" s="125"/>
      <c r="BL121" s="125"/>
      <c r="BM121" s="125"/>
      <c r="BN121" s="125"/>
      <c r="BO121" s="125"/>
      <c r="BP121" s="125"/>
      <c r="BQ121" s="125"/>
      <c r="BR121" s="125"/>
      <c r="BS121" s="125"/>
      <c r="BT121" s="125"/>
      <c r="BU121" s="125"/>
      <c r="BV121" s="125"/>
      <c r="BW121" s="125"/>
      <c r="BX121" s="125"/>
      <c r="BY121" s="221"/>
      <c r="BZ121" s="221"/>
      <c r="CA121" s="221"/>
      <c r="CB121" s="221"/>
      <c r="CC121" s="125"/>
    </row>
    <row r="122" spans="3:81" ht="11.25" customHeight="1">
      <c r="C122" s="125"/>
      <c r="D122" s="125"/>
      <c r="E122" s="125"/>
      <c r="F122" s="125"/>
      <c r="G122" s="125"/>
      <c r="H122" s="125"/>
      <c r="I122" s="125"/>
      <c r="J122" s="125"/>
      <c r="K122" s="125"/>
      <c r="L122" s="125"/>
      <c r="M122" s="125"/>
      <c r="N122" s="125"/>
      <c r="O122" s="125"/>
      <c r="P122" s="125"/>
      <c r="Q122" s="125"/>
      <c r="R122" s="125"/>
      <c r="S122" s="125"/>
      <c r="T122" s="125"/>
      <c r="U122" s="125"/>
      <c r="V122" s="125"/>
      <c r="W122" s="125"/>
      <c r="X122" s="125"/>
      <c r="Y122" s="125"/>
      <c r="Z122" s="125"/>
      <c r="AA122" s="125"/>
      <c r="AB122" s="125"/>
      <c r="AC122" s="125"/>
      <c r="AD122" s="125"/>
      <c r="AE122" s="125"/>
      <c r="AF122" s="125"/>
      <c r="AG122" s="125"/>
      <c r="AH122" s="125"/>
      <c r="AI122" s="125"/>
      <c r="AJ122" s="125"/>
      <c r="AK122" s="125"/>
      <c r="AL122" s="125"/>
      <c r="AM122" s="125"/>
      <c r="AN122" s="125"/>
      <c r="AO122" s="125"/>
      <c r="AP122" s="125"/>
      <c r="AQ122" s="125"/>
      <c r="AR122" s="125"/>
      <c r="AS122" s="125"/>
      <c r="AT122" s="125"/>
      <c r="AU122" s="125"/>
      <c r="AV122" s="125"/>
      <c r="AW122" s="125"/>
      <c r="AX122" s="125"/>
      <c r="AY122" s="125"/>
      <c r="AZ122" s="125"/>
      <c r="BA122" s="125"/>
      <c r="BB122" s="125"/>
      <c r="BC122" s="125"/>
      <c r="BD122" s="125"/>
      <c r="BE122" s="125"/>
      <c r="BF122" s="125"/>
      <c r="BG122" s="125"/>
      <c r="BH122" s="125"/>
      <c r="BI122" s="125"/>
      <c r="BJ122" s="125"/>
      <c r="BK122" s="125"/>
      <c r="BL122" s="125"/>
      <c r="BM122" s="125"/>
      <c r="BN122" s="125"/>
      <c r="BO122" s="125"/>
      <c r="BP122" s="125"/>
      <c r="BQ122" s="125"/>
      <c r="BR122" s="125"/>
      <c r="BS122" s="125"/>
      <c r="BT122" s="125"/>
      <c r="BU122" s="125"/>
      <c r="BV122" s="125"/>
      <c r="BW122" s="125"/>
      <c r="BX122" s="125"/>
      <c r="BY122" s="221"/>
      <c r="BZ122" s="221"/>
      <c r="CA122" s="221"/>
      <c r="CB122" s="221"/>
      <c r="CC122" s="125"/>
    </row>
    <row r="123" spans="3:81" ht="11.25" customHeight="1">
      <c r="C123" s="43"/>
      <c r="D123" s="213"/>
      <c r="E123" s="213"/>
      <c r="F123" s="213"/>
      <c r="G123" s="213"/>
      <c r="H123" s="213"/>
      <c r="I123" s="220"/>
      <c r="J123" s="220"/>
      <c r="K123" s="220"/>
      <c r="L123" s="220"/>
      <c r="M123" s="220"/>
      <c r="N123" s="220"/>
      <c r="O123" s="220"/>
      <c r="P123" s="220"/>
      <c r="Q123" s="220"/>
      <c r="R123" s="220"/>
      <c r="S123" s="220"/>
      <c r="T123" s="220"/>
      <c r="U123" s="220"/>
      <c r="V123" s="220"/>
      <c r="W123" s="220"/>
      <c r="X123" s="220"/>
      <c r="Y123" s="220"/>
      <c r="Z123" s="220"/>
      <c r="AA123" s="220"/>
      <c r="AB123" s="220"/>
      <c r="AC123" s="220"/>
      <c r="AD123" s="220"/>
      <c r="AE123" s="220"/>
      <c r="AF123" s="220"/>
      <c r="AG123" s="220"/>
      <c r="AH123" s="220"/>
      <c r="AI123" s="220"/>
      <c r="AJ123" s="220"/>
      <c r="AK123" s="220"/>
      <c r="AL123" s="220"/>
      <c r="AM123" s="220"/>
      <c r="AN123" s="220"/>
      <c r="AO123" s="220"/>
      <c r="AP123" s="220"/>
      <c r="AQ123" s="220"/>
      <c r="AR123" s="220"/>
      <c r="AS123" s="220"/>
      <c r="AT123" s="220"/>
      <c r="AU123" s="220"/>
      <c r="AV123" s="224"/>
      <c r="AW123" s="213"/>
      <c r="AX123" s="213"/>
      <c r="AY123" s="213"/>
      <c r="AZ123" s="213"/>
      <c r="BA123" s="213"/>
      <c r="BB123" s="213"/>
      <c r="BC123" s="222"/>
      <c r="BD123" s="222"/>
      <c r="BE123" s="222"/>
      <c r="BF123" s="222"/>
      <c r="BG123" s="213"/>
      <c r="BH123" s="213"/>
      <c r="BI123" s="213"/>
      <c r="BJ123" s="213"/>
      <c r="BK123" s="213"/>
      <c r="BL123" s="213"/>
      <c r="BM123" s="213"/>
      <c r="BN123" s="213"/>
      <c r="BO123" s="213"/>
      <c r="BP123" s="213"/>
      <c r="BQ123" s="213"/>
      <c r="BR123" s="213"/>
      <c r="BS123" s="213"/>
      <c r="BT123" s="213"/>
      <c r="BU123" s="213"/>
      <c r="BV123" s="213"/>
      <c r="BW123" s="213"/>
      <c r="BX123" s="213"/>
      <c r="BY123" s="221"/>
      <c r="BZ123" s="221"/>
      <c r="CA123" s="221"/>
      <c r="CB123" s="221"/>
      <c r="CC123" s="43"/>
    </row>
    <row r="124" spans="3:81" ht="11.25" customHeight="1">
      <c r="C124" s="43"/>
      <c r="D124" s="213"/>
      <c r="E124" s="213"/>
      <c r="F124" s="213"/>
      <c r="G124" s="213"/>
      <c r="H124" s="213"/>
      <c r="I124" s="220"/>
      <c r="J124" s="220"/>
      <c r="K124" s="220"/>
      <c r="L124" s="220"/>
      <c r="M124" s="220"/>
      <c r="N124" s="220"/>
      <c r="O124" s="220"/>
      <c r="P124" s="220"/>
      <c r="Q124" s="220"/>
      <c r="R124" s="220"/>
      <c r="S124" s="220"/>
      <c r="T124" s="220"/>
      <c r="U124" s="220"/>
      <c r="V124" s="220"/>
      <c r="W124" s="220"/>
      <c r="X124" s="220"/>
      <c r="Y124" s="220"/>
      <c r="Z124" s="220"/>
      <c r="AA124" s="220"/>
      <c r="AB124" s="220"/>
      <c r="AC124" s="220"/>
      <c r="AD124" s="220"/>
      <c r="AE124" s="220"/>
      <c r="AF124" s="220"/>
      <c r="AG124" s="220"/>
      <c r="AH124" s="220"/>
      <c r="AI124" s="220"/>
      <c r="AJ124" s="220"/>
      <c r="AK124" s="220"/>
      <c r="AL124" s="220"/>
      <c r="AM124" s="220"/>
      <c r="AN124" s="220"/>
      <c r="AO124" s="220"/>
      <c r="AP124" s="220"/>
      <c r="AQ124" s="220"/>
      <c r="AR124" s="220"/>
      <c r="AS124" s="220"/>
      <c r="AT124" s="220"/>
      <c r="AU124" s="220"/>
      <c r="AV124" s="224"/>
      <c r="AW124" s="213"/>
      <c r="AX124" s="213"/>
      <c r="AY124" s="213"/>
      <c r="AZ124" s="213"/>
      <c r="BA124" s="213"/>
      <c r="BB124" s="213"/>
      <c r="BC124" s="222"/>
      <c r="BD124" s="222"/>
      <c r="BE124" s="222"/>
      <c r="BF124" s="222"/>
      <c r="BG124" s="213"/>
      <c r="BH124" s="213"/>
      <c r="BI124" s="213"/>
      <c r="BJ124" s="213"/>
      <c r="BK124" s="213"/>
      <c r="BL124" s="213"/>
      <c r="BM124" s="213"/>
      <c r="BN124" s="213"/>
      <c r="BO124" s="213"/>
      <c r="BP124" s="213"/>
      <c r="BQ124" s="213"/>
      <c r="BR124" s="213"/>
      <c r="BS124" s="213"/>
      <c r="BT124" s="213"/>
      <c r="BU124" s="213"/>
      <c r="BV124" s="213"/>
      <c r="BW124" s="213"/>
      <c r="BX124" s="213"/>
      <c r="BY124" s="221"/>
      <c r="BZ124" s="221"/>
      <c r="CA124" s="221"/>
      <c r="CB124" s="221"/>
      <c r="CC124" s="43"/>
    </row>
    <row r="125" spans="3:81" ht="11.25" customHeight="1">
      <c r="C125" s="43"/>
      <c r="D125" s="213"/>
      <c r="E125" s="213"/>
      <c r="F125" s="213"/>
      <c r="G125" s="213"/>
      <c r="H125" s="213"/>
      <c r="I125" s="220"/>
      <c r="J125" s="220"/>
      <c r="K125" s="220"/>
      <c r="L125" s="220"/>
      <c r="M125" s="220"/>
      <c r="N125" s="220"/>
      <c r="O125" s="220"/>
      <c r="P125" s="220"/>
      <c r="Q125" s="220"/>
      <c r="R125" s="220"/>
      <c r="S125" s="220"/>
      <c r="T125" s="220"/>
      <c r="U125" s="220"/>
      <c r="V125" s="220"/>
      <c r="W125" s="220"/>
      <c r="X125" s="220"/>
      <c r="Y125" s="220"/>
      <c r="Z125" s="220"/>
      <c r="AA125" s="220"/>
      <c r="AB125" s="220"/>
      <c r="AC125" s="220"/>
      <c r="AD125" s="220"/>
      <c r="AE125" s="220"/>
      <c r="AF125" s="220"/>
      <c r="AG125" s="220"/>
      <c r="AH125" s="220"/>
      <c r="AI125" s="220"/>
      <c r="AJ125" s="220"/>
      <c r="AK125" s="220"/>
      <c r="AL125" s="220"/>
      <c r="AM125" s="220"/>
      <c r="AN125" s="220"/>
      <c r="AO125" s="220"/>
      <c r="AP125" s="220"/>
      <c r="AQ125" s="220"/>
      <c r="AR125" s="220"/>
      <c r="AS125" s="220"/>
      <c r="AT125" s="220"/>
      <c r="AU125" s="220"/>
      <c r="AV125" s="224"/>
      <c r="AW125" s="213"/>
      <c r="AX125" s="213"/>
      <c r="AY125" s="213"/>
      <c r="AZ125" s="213"/>
      <c r="BA125" s="213"/>
      <c r="BB125" s="213"/>
      <c r="BC125" s="222"/>
      <c r="BD125" s="222"/>
      <c r="BE125" s="222"/>
      <c r="BF125" s="222"/>
      <c r="BG125" s="213"/>
      <c r="BH125" s="213"/>
      <c r="BI125" s="213"/>
      <c r="BJ125" s="213"/>
      <c r="BK125" s="213"/>
      <c r="BL125" s="213"/>
      <c r="BM125" s="213"/>
      <c r="BN125" s="213"/>
      <c r="BO125" s="213"/>
      <c r="BP125" s="213"/>
      <c r="BQ125" s="213"/>
      <c r="BR125" s="213"/>
      <c r="BS125" s="213"/>
      <c r="BT125" s="213"/>
      <c r="BU125" s="213"/>
      <c r="BV125" s="213"/>
      <c r="BW125" s="213"/>
      <c r="BX125" s="213"/>
      <c r="BY125" s="221"/>
      <c r="BZ125" s="221"/>
      <c r="CA125" s="221"/>
      <c r="CB125" s="221"/>
      <c r="CC125" s="43"/>
    </row>
    <row r="126" spans="3:81" ht="11.25" customHeight="1">
      <c r="C126" s="125"/>
      <c r="D126" s="125"/>
      <c r="E126" s="125"/>
      <c r="F126" s="125"/>
      <c r="G126" s="125"/>
      <c r="H126" s="125"/>
      <c r="I126" s="125"/>
      <c r="J126" s="125"/>
      <c r="K126" s="125"/>
      <c r="L126" s="125"/>
      <c r="M126" s="125"/>
      <c r="N126" s="125"/>
      <c r="O126" s="125"/>
      <c r="P126" s="125"/>
      <c r="Q126" s="125"/>
      <c r="R126" s="125"/>
      <c r="S126" s="125"/>
      <c r="T126" s="125"/>
      <c r="U126" s="125"/>
      <c r="V126" s="125"/>
      <c r="W126" s="125"/>
      <c r="X126" s="125"/>
      <c r="Y126" s="125"/>
      <c r="Z126" s="125"/>
      <c r="AA126" s="125"/>
      <c r="AB126" s="125"/>
      <c r="AC126" s="125"/>
      <c r="AD126" s="125"/>
      <c r="AE126" s="125"/>
      <c r="AF126" s="125"/>
      <c r="AG126" s="125"/>
      <c r="AH126" s="125"/>
      <c r="AI126" s="125"/>
      <c r="AJ126" s="125"/>
      <c r="AK126" s="125"/>
      <c r="AL126" s="125"/>
      <c r="AM126" s="125"/>
      <c r="AN126" s="125"/>
      <c r="AO126" s="125"/>
      <c r="AP126" s="125"/>
      <c r="AQ126" s="125"/>
      <c r="AR126" s="125"/>
      <c r="AS126" s="125"/>
      <c r="AT126" s="125"/>
      <c r="AU126" s="125"/>
      <c r="AV126" s="125"/>
      <c r="AW126" s="125"/>
      <c r="AX126" s="125"/>
      <c r="AY126" s="125"/>
      <c r="AZ126" s="125"/>
      <c r="BA126" s="125"/>
      <c r="BB126" s="125"/>
      <c r="BC126" s="125"/>
      <c r="BD126" s="125"/>
      <c r="BE126" s="125"/>
      <c r="BF126" s="125"/>
      <c r="BG126" s="125"/>
      <c r="BH126" s="125"/>
      <c r="BI126" s="125"/>
      <c r="BJ126" s="125"/>
      <c r="BK126" s="125"/>
      <c r="BL126" s="125"/>
      <c r="BM126" s="125"/>
      <c r="BN126" s="125"/>
      <c r="BO126" s="125"/>
      <c r="BP126" s="125"/>
      <c r="BQ126" s="125"/>
      <c r="BR126" s="125"/>
      <c r="BS126" s="125"/>
      <c r="BT126" s="125"/>
      <c r="BU126" s="125"/>
      <c r="BV126" s="125"/>
      <c r="BW126" s="125"/>
      <c r="BX126" s="125"/>
      <c r="BY126" s="221"/>
      <c r="BZ126" s="221"/>
      <c r="CA126" s="221"/>
      <c r="CB126" s="221"/>
      <c r="CC126" s="125"/>
    </row>
    <row r="127" spans="3:81" ht="11.25" customHeight="1">
      <c r="C127" s="125"/>
      <c r="D127" s="125"/>
      <c r="E127" s="125"/>
      <c r="F127" s="125"/>
      <c r="G127" s="125"/>
      <c r="H127" s="125"/>
      <c r="I127" s="125"/>
      <c r="J127" s="125"/>
      <c r="K127" s="125"/>
      <c r="L127" s="125"/>
      <c r="M127" s="125"/>
      <c r="N127" s="125"/>
      <c r="O127" s="125"/>
      <c r="P127" s="125"/>
      <c r="Q127" s="125"/>
      <c r="R127" s="125"/>
      <c r="S127" s="125"/>
      <c r="T127" s="125"/>
      <c r="U127" s="125"/>
      <c r="V127" s="125"/>
      <c r="W127" s="125"/>
      <c r="X127" s="125"/>
      <c r="Y127" s="125"/>
      <c r="Z127" s="125"/>
      <c r="AA127" s="125"/>
      <c r="AB127" s="125"/>
      <c r="AC127" s="125"/>
      <c r="AD127" s="125"/>
      <c r="AE127" s="125"/>
      <c r="AF127" s="125"/>
      <c r="AG127" s="125"/>
      <c r="AH127" s="125"/>
      <c r="AI127" s="125"/>
      <c r="AJ127" s="125"/>
      <c r="AK127" s="125"/>
      <c r="AL127" s="125"/>
      <c r="AM127" s="125"/>
      <c r="AN127" s="125"/>
      <c r="AO127" s="125"/>
      <c r="AP127" s="125"/>
      <c r="AQ127" s="125"/>
      <c r="AR127" s="125"/>
      <c r="AS127" s="125"/>
      <c r="AT127" s="125"/>
      <c r="AU127" s="125"/>
      <c r="AV127" s="125"/>
      <c r="AW127" s="125"/>
      <c r="AX127" s="125"/>
      <c r="AY127" s="125"/>
      <c r="AZ127" s="125"/>
      <c r="BA127" s="125"/>
      <c r="BB127" s="125"/>
      <c r="BC127" s="125"/>
      <c r="BD127" s="125"/>
      <c r="BE127" s="125"/>
      <c r="BF127" s="125"/>
      <c r="BG127" s="125"/>
      <c r="BH127" s="125"/>
      <c r="BI127" s="125"/>
      <c r="BJ127" s="125"/>
      <c r="BK127" s="125"/>
      <c r="BL127" s="125"/>
      <c r="BM127" s="125"/>
      <c r="BN127" s="125"/>
      <c r="BO127" s="125"/>
      <c r="BP127" s="125"/>
      <c r="BQ127" s="125"/>
      <c r="BR127" s="125"/>
      <c r="BS127" s="125"/>
      <c r="BT127" s="125"/>
      <c r="BU127" s="125"/>
      <c r="BV127" s="125"/>
      <c r="BW127" s="125"/>
      <c r="BX127" s="125"/>
      <c r="BY127" s="221"/>
      <c r="BZ127" s="221"/>
      <c r="CA127" s="221"/>
      <c r="CB127" s="221"/>
      <c r="CC127" s="125"/>
    </row>
    <row r="128" spans="3:81" ht="11.25" customHeight="1">
      <c r="C128" s="125"/>
      <c r="D128" s="125"/>
      <c r="E128" s="125"/>
      <c r="F128" s="125"/>
      <c r="G128" s="125"/>
      <c r="H128" s="125"/>
      <c r="I128" s="125"/>
      <c r="J128" s="125"/>
      <c r="K128" s="125"/>
      <c r="L128" s="125"/>
      <c r="M128" s="125"/>
      <c r="N128" s="125"/>
      <c r="O128" s="125"/>
      <c r="P128" s="125"/>
      <c r="Q128" s="125"/>
      <c r="R128" s="125"/>
      <c r="S128" s="125"/>
      <c r="T128" s="125"/>
      <c r="U128" s="125"/>
      <c r="V128" s="125"/>
      <c r="W128" s="125"/>
      <c r="X128" s="125"/>
      <c r="Y128" s="125"/>
      <c r="Z128" s="125"/>
      <c r="AA128" s="125"/>
      <c r="AB128" s="125"/>
      <c r="AC128" s="125"/>
      <c r="AD128" s="125"/>
      <c r="AE128" s="125"/>
      <c r="AF128" s="125"/>
      <c r="AG128" s="125"/>
      <c r="AH128" s="125"/>
      <c r="AI128" s="125"/>
      <c r="AJ128" s="125"/>
      <c r="AK128" s="125"/>
      <c r="AL128" s="125"/>
      <c r="AM128" s="125"/>
      <c r="AN128" s="125"/>
      <c r="AO128" s="125"/>
      <c r="AP128" s="125"/>
      <c r="AQ128" s="125"/>
      <c r="AR128" s="125"/>
      <c r="AS128" s="125"/>
      <c r="AT128" s="125"/>
      <c r="AU128" s="125"/>
      <c r="AV128" s="125"/>
      <c r="AW128" s="125"/>
      <c r="AX128" s="125"/>
      <c r="AY128" s="125"/>
      <c r="AZ128" s="125"/>
      <c r="BA128" s="125"/>
      <c r="BB128" s="125"/>
      <c r="BC128" s="125"/>
      <c r="BD128" s="125"/>
      <c r="BE128" s="125"/>
      <c r="BF128" s="125"/>
      <c r="BG128" s="125"/>
      <c r="BH128" s="125"/>
      <c r="BI128" s="125"/>
      <c r="BJ128" s="125"/>
      <c r="BK128" s="125"/>
      <c r="BL128" s="125"/>
      <c r="BM128" s="125"/>
      <c r="BN128" s="125"/>
      <c r="BO128" s="125"/>
      <c r="BP128" s="125"/>
      <c r="BQ128" s="125"/>
      <c r="BR128" s="125"/>
      <c r="BS128" s="125"/>
      <c r="BT128" s="125"/>
      <c r="BU128" s="125"/>
      <c r="BV128" s="125"/>
      <c r="BW128" s="125"/>
      <c r="BX128" s="125"/>
      <c r="BY128" s="221"/>
      <c r="BZ128" s="221"/>
      <c r="CA128" s="221"/>
      <c r="CB128" s="221"/>
      <c r="CC128" s="125"/>
    </row>
    <row r="129" spans="3:81" ht="11.25" customHeight="1">
      <c r="C129" s="43"/>
      <c r="D129" s="213"/>
      <c r="E129" s="213"/>
      <c r="F129" s="213"/>
      <c r="G129" s="213"/>
      <c r="H129" s="213"/>
      <c r="I129" s="220"/>
      <c r="J129" s="220"/>
      <c r="K129" s="220"/>
      <c r="L129" s="220"/>
      <c r="M129" s="220"/>
      <c r="N129" s="220"/>
      <c r="O129" s="220"/>
      <c r="P129" s="220"/>
      <c r="Q129" s="220"/>
      <c r="R129" s="220"/>
      <c r="S129" s="220"/>
      <c r="T129" s="220"/>
      <c r="U129" s="220"/>
      <c r="V129" s="220"/>
      <c r="W129" s="220"/>
      <c r="X129" s="220"/>
      <c r="Y129" s="220"/>
      <c r="Z129" s="220"/>
      <c r="AA129" s="220"/>
      <c r="AB129" s="220"/>
      <c r="AC129" s="220"/>
      <c r="AD129" s="220"/>
      <c r="AE129" s="220"/>
      <c r="AF129" s="220"/>
      <c r="AG129" s="220"/>
      <c r="AH129" s="220"/>
      <c r="AI129" s="220"/>
      <c r="AJ129" s="220"/>
      <c r="AK129" s="220"/>
      <c r="AL129" s="220"/>
      <c r="AM129" s="220"/>
      <c r="AN129" s="220"/>
      <c r="AO129" s="220"/>
      <c r="AP129" s="220"/>
      <c r="AQ129" s="220"/>
      <c r="AR129" s="220"/>
      <c r="AS129" s="220"/>
      <c r="AT129" s="220"/>
      <c r="AU129" s="220"/>
      <c r="AV129" s="224"/>
      <c r="AW129" s="213"/>
      <c r="AX129" s="213"/>
      <c r="AY129" s="213"/>
      <c r="AZ129" s="213"/>
      <c r="BA129" s="213"/>
      <c r="BB129" s="213"/>
      <c r="BC129" s="222"/>
      <c r="BD129" s="222"/>
      <c r="BE129" s="222"/>
      <c r="BF129" s="222"/>
      <c r="BG129" s="213"/>
      <c r="BH129" s="213"/>
      <c r="BI129" s="213"/>
      <c r="BJ129" s="213"/>
      <c r="BK129" s="213"/>
      <c r="BL129" s="213"/>
      <c r="BM129" s="213"/>
      <c r="BN129" s="213"/>
      <c r="BO129" s="213"/>
      <c r="BP129" s="213"/>
      <c r="BQ129" s="213"/>
      <c r="BR129" s="213"/>
      <c r="BS129" s="213"/>
      <c r="BT129" s="213"/>
      <c r="BU129" s="213"/>
      <c r="BV129" s="213"/>
      <c r="BW129" s="213"/>
      <c r="BX129" s="213"/>
      <c r="BY129" s="221"/>
      <c r="BZ129" s="221"/>
      <c r="CA129" s="221"/>
      <c r="CB129" s="221"/>
      <c r="CC129" s="43"/>
    </row>
    <row r="130" spans="3:81" ht="11.25" customHeight="1">
      <c r="C130" s="43"/>
      <c r="D130" s="213"/>
      <c r="E130" s="213"/>
      <c r="F130" s="213"/>
      <c r="G130" s="213"/>
      <c r="H130" s="213"/>
      <c r="I130" s="220"/>
      <c r="J130" s="220"/>
      <c r="K130" s="220"/>
      <c r="L130" s="220"/>
      <c r="M130" s="220"/>
      <c r="N130" s="220"/>
      <c r="O130" s="220"/>
      <c r="P130" s="220"/>
      <c r="Q130" s="220"/>
      <c r="R130" s="220"/>
      <c r="S130" s="220"/>
      <c r="T130" s="220"/>
      <c r="U130" s="220"/>
      <c r="V130" s="220"/>
      <c r="W130" s="220"/>
      <c r="X130" s="220"/>
      <c r="Y130" s="220"/>
      <c r="Z130" s="220"/>
      <c r="AA130" s="220"/>
      <c r="AB130" s="220"/>
      <c r="AC130" s="220"/>
      <c r="AD130" s="220"/>
      <c r="AE130" s="220"/>
      <c r="AF130" s="220"/>
      <c r="AG130" s="220"/>
      <c r="AH130" s="220"/>
      <c r="AI130" s="220"/>
      <c r="AJ130" s="220"/>
      <c r="AK130" s="220"/>
      <c r="AL130" s="220"/>
      <c r="AM130" s="220"/>
      <c r="AN130" s="220"/>
      <c r="AO130" s="220"/>
      <c r="AP130" s="220"/>
      <c r="AQ130" s="220"/>
      <c r="AR130" s="220"/>
      <c r="AS130" s="220"/>
      <c r="AT130" s="220"/>
      <c r="AU130" s="220"/>
      <c r="AV130" s="224"/>
      <c r="AW130" s="213"/>
      <c r="AX130" s="213"/>
      <c r="AY130" s="213"/>
      <c r="AZ130" s="213"/>
      <c r="BA130" s="213"/>
      <c r="BB130" s="213"/>
      <c r="BC130" s="222"/>
      <c r="BD130" s="222"/>
      <c r="BE130" s="222"/>
      <c r="BF130" s="222"/>
      <c r="BG130" s="213"/>
      <c r="BH130" s="213"/>
      <c r="BI130" s="213"/>
      <c r="BJ130" s="213"/>
      <c r="BK130" s="213"/>
      <c r="BL130" s="213"/>
      <c r="BM130" s="213"/>
      <c r="BN130" s="213"/>
      <c r="BO130" s="213"/>
      <c r="BP130" s="213"/>
      <c r="BQ130" s="213"/>
      <c r="BR130" s="213"/>
      <c r="BS130" s="213"/>
      <c r="BT130" s="213"/>
      <c r="BU130" s="213"/>
      <c r="BV130" s="213"/>
      <c r="BW130" s="213"/>
      <c r="BX130" s="213"/>
      <c r="BY130" s="221"/>
      <c r="BZ130" s="221"/>
      <c r="CA130" s="221"/>
      <c r="CB130" s="221"/>
      <c r="CC130" s="43"/>
    </row>
    <row r="131" spans="3:81" ht="11.25" customHeight="1">
      <c r="C131" s="43"/>
      <c r="D131" s="213"/>
      <c r="E131" s="213"/>
      <c r="F131" s="213"/>
      <c r="G131" s="213"/>
      <c r="H131" s="213"/>
      <c r="I131" s="220"/>
      <c r="J131" s="220"/>
      <c r="K131" s="220"/>
      <c r="L131" s="220"/>
      <c r="M131" s="220"/>
      <c r="N131" s="220"/>
      <c r="O131" s="220"/>
      <c r="P131" s="220"/>
      <c r="Q131" s="220"/>
      <c r="R131" s="220"/>
      <c r="S131" s="220"/>
      <c r="T131" s="220"/>
      <c r="U131" s="220"/>
      <c r="V131" s="220"/>
      <c r="W131" s="220"/>
      <c r="X131" s="220"/>
      <c r="Y131" s="220"/>
      <c r="Z131" s="220"/>
      <c r="AA131" s="220"/>
      <c r="AB131" s="220"/>
      <c r="AC131" s="220"/>
      <c r="AD131" s="220"/>
      <c r="AE131" s="220"/>
      <c r="AF131" s="220"/>
      <c r="AG131" s="220"/>
      <c r="AH131" s="220"/>
      <c r="AI131" s="220"/>
      <c r="AJ131" s="220"/>
      <c r="AK131" s="220"/>
      <c r="AL131" s="220"/>
      <c r="AM131" s="220"/>
      <c r="AN131" s="220"/>
      <c r="AO131" s="220"/>
      <c r="AP131" s="220"/>
      <c r="AQ131" s="220"/>
      <c r="AR131" s="220"/>
      <c r="AS131" s="220"/>
      <c r="AT131" s="220"/>
      <c r="AU131" s="220"/>
      <c r="AV131" s="224"/>
      <c r="AW131" s="213"/>
      <c r="AX131" s="213"/>
      <c r="AY131" s="213"/>
      <c r="AZ131" s="213"/>
      <c r="BA131" s="213"/>
      <c r="BB131" s="213"/>
      <c r="BC131" s="222"/>
      <c r="BD131" s="222"/>
      <c r="BE131" s="222"/>
      <c r="BF131" s="222"/>
      <c r="BG131" s="213"/>
      <c r="BH131" s="213"/>
      <c r="BI131" s="213"/>
      <c r="BJ131" s="213"/>
      <c r="BK131" s="213"/>
      <c r="BL131" s="213"/>
      <c r="BM131" s="213"/>
      <c r="BN131" s="213"/>
      <c r="BO131" s="213"/>
      <c r="BP131" s="213"/>
      <c r="BQ131" s="213"/>
      <c r="BR131" s="213"/>
      <c r="BS131" s="213"/>
      <c r="BT131" s="213"/>
      <c r="BU131" s="213"/>
      <c r="BV131" s="213"/>
      <c r="BW131" s="213"/>
      <c r="BX131" s="213"/>
      <c r="BY131" s="221"/>
      <c r="BZ131" s="221"/>
      <c r="CA131" s="221"/>
      <c r="CB131" s="221"/>
      <c r="CC131" s="43"/>
    </row>
    <row r="132" spans="3:81" ht="11.25" customHeight="1">
      <c r="C132" s="43"/>
      <c r="D132" s="213"/>
      <c r="E132" s="213"/>
      <c r="F132" s="213"/>
      <c r="G132" s="213"/>
      <c r="H132" s="213"/>
      <c r="I132" s="220"/>
      <c r="J132" s="220"/>
      <c r="K132" s="220"/>
      <c r="L132" s="220"/>
      <c r="M132" s="220"/>
      <c r="N132" s="220"/>
      <c r="O132" s="220"/>
      <c r="P132" s="220"/>
      <c r="Q132" s="220"/>
      <c r="R132" s="220"/>
      <c r="S132" s="220"/>
      <c r="T132" s="220"/>
      <c r="U132" s="220"/>
      <c r="V132" s="220"/>
      <c r="W132" s="220"/>
      <c r="X132" s="220"/>
      <c r="Y132" s="220"/>
      <c r="Z132" s="220"/>
      <c r="AA132" s="220"/>
      <c r="AB132" s="220"/>
      <c r="AC132" s="220"/>
      <c r="AD132" s="220"/>
      <c r="AE132" s="220"/>
      <c r="AF132" s="220"/>
      <c r="AG132" s="220"/>
      <c r="AH132" s="220"/>
      <c r="AI132" s="220"/>
      <c r="AJ132" s="220"/>
      <c r="AK132" s="220"/>
      <c r="AL132" s="220"/>
      <c r="AM132" s="220"/>
      <c r="AN132" s="220"/>
      <c r="AO132" s="220"/>
      <c r="AP132" s="220"/>
      <c r="AQ132" s="220"/>
      <c r="AR132" s="220"/>
      <c r="AS132" s="220"/>
      <c r="AT132" s="220"/>
      <c r="AU132" s="220"/>
      <c r="AV132" s="224"/>
      <c r="AW132" s="213"/>
      <c r="AX132" s="213"/>
      <c r="AY132" s="213"/>
      <c r="AZ132" s="213"/>
      <c r="BA132" s="213"/>
      <c r="BB132" s="213"/>
      <c r="BC132" s="222"/>
      <c r="BD132" s="222"/>
      <c r="BE132" s="222"/>
      <c r="BF132" s="222"/>
      <c r="BG132" s="213"/>
      <c r="BH132" s="213"/>
      <c r="BI132" s="213"/>
      <c r="BJ132" s="213"/>
      <c r="BK132" s="213"/>
      <c r="BL132" s="213"/>
      <c r="BM132" s="213"/>
      <c r="BN132" s="213"/>
      <c r="BO132" s="213"/>
      <c r="BP132" s="213"/>
      <c r="BQ132" s="213"/>
      <c r="BR132" s="213"/>
      <c r="BS132" s="213"/>
      <c r="BT132" s="213"/>
      <c r="BU132" s="213"/>
      <c r="BV132" s="213"/>
      <c r="BW132" s="213"/>
      <c r="BX132" s="213"/>
      <c r="BY132" s="221"/>
      <c r="BZ132" s="221"/>
      <c r="CA132" s="221"/>
      <c r="CB132" s="221"/>
      <c r="CC132" s="43"/>
    </row>
    <row r="133" spans="3:81" ht="11.25" customHeight="1">
      <c r="C133" s="43"/>
      <c r="D133" s="223"/>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3"/>
      <c r="AC133" s="223"/>
      <c r="AD133" s="223"/>
      <c r="AE133" s="223"/>
      <c r="AF133" s="223"/>
      <c r="AG133" s="223"/>
      <c r="AH133" s="223"/>
      <c r="AI133" s="223"/>
      <c r="AJ133" s="223"/>
      <c r="AK133" s="223"/>
      <c r="AL133" s="223"/>
      <c r="AM133" s="223"/>
      <c r="AN133" s="223"/>
      <c r="AO133" s="223"/>
      <c r="AP133" s="223"/>
      <c r="AQ133" s="223"/>
      <c r="AR133" s="223"/>
      <c r="AS133" s="223"/>
      <c r="AT133" s="223"/>
      <c r="AU133" s="223"/>
      <c r="AV133" s="223"/>
      <c r="AW133" s="223"/>
      <c r="AX133" s="223"/>
      <c r="AY133" s="223"/>
      <c r="AZ133" s="223"/>
      <c r="BA133" s="223"/>
      <c r="BB133" s="223"/>
      <c r="BC133" s="223"/>
      <c r="BD133" s="223"/>
      <c r="BE133" s="223"/>
      <c r="BF133" s="223"/>
      <c r="BG133" s="223"/>
      <c r="BH133" s="223"/>
      <c r="BI133" s="223"/>
      <c r="BJ133" s="223"/>
      <c r="BK133" s="223"/>
      <c r="BL133" s="223"/>
      <c r="BM133" s="223"/>
      <c r="BN133" s="223"/>
      <c r="BO133" s="223"/>
      <c r="BP133" s="223"/>
      <c r="BQ133" s="223"/>
      <c r="BR133" s="223"/>
      <c r="BS133" s="223"/>
      <c r="BT133" s="223"/>
      <c r="BU133" s="223"/>
      <c r="BV133" s="223"/>
      <c r="BW133" s="223"/>
      <c r="BX133" s="223"/>
      <c r="BY133" s="221"/>
      <c r="BZ133" s="221"/>
      <c r="CA133" s="221"/>
      <c r="CB133" s="221"/>
      <c r="CC133" s="43"/>
    </row>
    <row r="134" spans="3:81" ht="11.25" customHeight="1">
      <c r="C134" s="43"/>
      <c r="D134" s="223"/>
      <c r="E134" s="223"/>
      <c r="F134" s="223"/>
      <c r="G134" s="223"/>
      <c r="H134" s="223"/>
      <c r="I134" s="223"/>
      <c r="J134" s="223"/>
      <c r="K134" s="223"/>
      <c r="L134" s="223"/>
      <c r="M134" s="223"/>
      <c r="N134" s="223"/>
      <c r="O134" s="223"/>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223"/>
      <c r="AM134" s="223"/>
      <c r="AN134" s="223"/>
      <c r="AO134" s="223"/>
      <c r="AP134" s="223"/>
      <c r="AQ134" s="223"/>
      <c r="AR134" s="223"/>
      <c r="AS134" s="223"/>
      <c r="AT134" s="223"/>
      <c r="AU134" s="223"/>
      <c r="AV134" s="223"/>
      <c r="AW134" s="223"/>
      <c r="AX134" s="223"/>
      <c r="AY134" s="223"/>
      <c r="AZ134" s="223"/>
      <c r="BA134" s="223"/>
      <c r="BB134" s="223"/>
      <c r="BC134" s="223"/>
      <c r="BD134" s="223"/>
      <c r="BE134" s="223"/>
      <c r="BF134" s="223"/>
      <c r="BG134" s="223"/>
      <c r="BH134" s="223"/>
      <c r="BI134" s="223"/>
      <c r="BJ134" s="223"/>
      <c r="BK134" s="223"/>
      <c r="BL134" s="223"/>
      <c r="BM134" s="223"/>
      <c r="BN134" s="223"/>
      <c r="BO134" s="223"/>
      <c r="BP134" s="223"/>
      <c r="BQ134" s="223"/>
      <c r="BR134" s="223"/>
      <c r="BS134" s="223"/>
      <c r="BT134" s="223"/>
      <c r="BU134" s="223"/>
      <c r="BV134" s="223"/>
      <c r="BW134" s="223"/>
      <c r="BX134" s="223"/>
      <c r="BY134" s="221"/>
      <c r="BZ134" s="221"/>
      <c r="CA134" s="221"/>
      <c r="CB134" s="221"/>
      <c r="CC134" s="43"/>
    </row>
    <row r="135" spans="3:81" ht="11.25" customHeight="1">
      <c r="C135" s="43"/>
      <c r="D135" s="213"/>
      <c r="E135" s="213"/>
      <c r="F135" s="213"/>
      <c r="G135" s="213"/>
      <c r="H135" s="213"/>
      <c r="I135" s="220"/>
      <c r="J135" s="220"/>
      <c r="K135" s="220"/>
      <c r="L135" s="220"/>
      <c r="M135" s="220"/>
      <c r="N135" s="220"/>
      <c r="O135" s="220"/>
      <c r="P135" s="220"/>
      <c r="Q135" s="220"/>
      <c r="R135" s="220"/>
      <c r="S135" s="220"/>
      <c r="T135" s="220"/>
      <c r="U135" s="220"/>
      <c r="V135" s="220"/>
      <c r="W135" s="220"/>
      <c r="X135" s="220"/>
      <c r="Y135" s="220"/>
      <c r="Z135" s="220"/>
      <c r="AA135" s="220"/>
      <c r="AB135" s="220"/>
      <c r="AC135" s="220"/>
      <c r="AD135" s="220"/>
      <c r="AE135" s="220"/>
      <c r="AF135" s="220"/>
      <c r="AG135" s="220"/>
      <c r="AH135" s="220"/>
      <c r="AI135" s="220"/>
      <c r="AJ135" s="220"/>
      <c r="AK135" s="220"/>
      <c r="AL135" s="220"/>
      <c r="AM135" s="220"/>
      <c r="AN135" s="220"/>
      <c r="AO135" s="220"/>
      <c r="AP135" s="220"/>
      <c r="AQ135" s="220"/>
      <c r="AR135" s="220"/>
      <c r="AS135" s="220"/>
      <c r="AT135" s="220"/>
      <c r="AU135" s="220"/>
      <c r="AV135" s="213"/>
      <c r="AW135" s="213"/>
      <c r="AX135" s="213"/>
      <c r="AY135" s="213"/>
      <c r="AZ135" s="213"/>
      <c r="BA135" s="213"/>
      <c r="BB135" s="213"/>
      <c r="BC135" s="222"/>
      <c r="BD135" s="222"/>
      <c r="BE135" s="222"/>
      <c r="BF135" s="222"/>
      <c r="BG135" s="213"/>
      <c r="BH135" s="213"/>
      <c r="BI135" s="213"/>
      <c r="BJ135" s="213"/>
      <c r="BK135" s="213"/>
      <c r="BL135" s="213"/>
      <c r="BM135" s="213"/>
      <c r="BN135" s="213"/>
      <c r="BO135" s="213"/>
      <c r="BP135" s="213"/>
      <c r="BQ135" s="213"/>
      <c r="BR135" s="213"/>
      <c r="BS135" s="213"/>
      <c r="BT135" s="213"/>
      <c r="BU135" s="213"/>
      <c r="BV135" s="213"/>
      <c r="BW135" s="213"/>
      <c r="BX135" s="213"/>
      <c r="BY135" s="221"/>
      <c r="BZ135" s="221"/>
      <c r="CA135" s="221"/>
      <c r="CB135" s="221"/>
      <c r="CC135" s="43"/>
    </row>
    <row r="136" spans="3:81" ht="11.25" customHeight="1">
      <c r="C136" s="43"/>
      <c r="D136" s="213"/>
      <c r="E136" s="213"/>
      <c r="F136" s="213"/>
      <c r="G136" s="213"/>
      <c r="H136" s="213"/>
      <c r="I136" s="220"/>
      <c r="J136" s="220"/>
      <c r="K136" s="220"/>
      <c r="L136" s="220"/>
      <c r="M136" s="220"/>
      <c r="N136" s="220"/>
      <c r="O136" s="220"/>
      <c r="P136" s="220"/>
      <c r="Q136" s="220"/>
      <c r="R136" s="220"/>
      <c r="S136" s="220"/>
      <c r="T136" s="220"/>
      <c r="U136" s="220"/>
      <c r="V136" s="220"/>
      <c r="W136" s="220"/>
      <c r="X136" s="220"/>
      <c r="Y136" s="220"/>
      <c r="Z136" s="220"/>
      <c r="AA136" s="220"/>
      <c r="AB136" s="220"/>
      <c r="AC136" s="220"/>
      <c r="AD136" s="220"/>
      <c r="AE136" s="220"/>
      <c r="AF136" s="220"/>
      <c r="AG136" s="220"/>
      <c r="AH136" s="220"/>
      <c r="AI136" s="220"/>
      <c r="AJ136" s="220"/>
      <c r="AK136" s="220"/>
      <c r="AL136" s="220"/>
      <c r="AM136" s="220"/>
      <c r="AN136" s="220"/>
      <c r="AO136" s="220"/>
      <c r="AP136" s="220"/>
      <c r="AQ136" s="220"/>
      <c r="AR136" s="220"/>
      <c r="AS136" s="220"/>
      <c r="AT136" s="220"/>
      <c r="AU136" s="220"/>
      <c r="AV136" s="213"/>
      <c r="AW136" s="213"/>
      <c r="AX136" s="213"/>
      <c r="AY136" s="213"/>
      <c r="AZ136" s="213"/>
      <c r="BA136" s="213"/>
      <c r="BB136" s="213"/>
      <c r="BC136" s="222"/>
      <c r="BD136" s="222"/>
      <c r="BE136" s="222"/>
      <c r="BF136" s="222"/>
      <c r="BG136" s="213"/>
      <c r="BH136" s="213"/>
      <c r="BI136" s="213"/>
      <c r="BJ136" s="213"/>
      <c r="BK136" s="213"/>
      <c r="BL136" s="213"/>
      <c r="BM136" s="213"/>
      <c r="BN136" s="213"/>
      <c r="BO136" s="213"/>
      <c r="BP136" s="213"/>
      <c r="BQ136" s="213"/>
      <c r="BR136" s="213"/>
      <c r="BS136" s="213"/>
      <c r="BT136" s="213"/>
      <c r="BU136" s="213"/>
      <c r="BV136" s="213"/>
      <c r="BW136" s="213"/>
      <c r="BX136" s="213"/>
      <c r="BY136" s="221"/>
      <c r="BZ136" s="221"/>
      <c r="CA136" s="221"/>
      <c r="CB136" s="221"/>
      <c r="CC136" s="43"/>
    </row>
    <row r="137" spans="3:81" ht="11.25" customHeight="1">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c r="AL137" s="43"/>
      <c r="AM137" s="43"/>
      <c r="AN137" s="43"/>
      <c r="AO137" s="43"/>
      <c r="AP137" s="43"/>
      <c r="AQ137" s="43"/>
      <c r="AR137" s="43"/>
      <c r="AS137" s="43"/>
      <c r="AT137" s="43"/>
      <c r="AU137" s="43"/>
      <c r="AV137" s="43"/>
      <c r="AW137" s="43"/>
      <c r="AX137" s="43"/>
      <c r="AY137" s="43"/>
      <c r="AZ137" s="43"/>
      <c r="BA137" s="43"/>
      <c r="BB137" s="43"/>
      <c r="BC137" s="43"/>
      <c r="BD137" s="43"/>
      <c r="BE137" s="43"/>
      <c r="BF137" s="43"/>
      <c r="BG137" s="43"/>
      <c r="BH137" s="43"/>
      <c r="BI137" s="43"/>
      <c r="BJ137" s="43"/>
      <c r="BK137" s="43"/>
      <c r="BL137" s="43"/>
      <c r="BM137" s="43"/>
      <c r="BN137" s="43"/>
      <c r="BO137" s="43"/>
      <c r="BP137" s="43"/>
      <c r="BQ137" s="43"/>
      <c r="BR137" s="43"/>
      <c r="BS137" s="43"/>
      <c r="BT137" s="43"/>
      <c r="BU137" s="43"/>
      <c r="BV137" s="43"/>
      <c r="BW137" s="43"/>
      <c r="BX137" s="43"/>
      <c r="BY137" s="221"/>
      <c r="BZ137" s="221"/>
      <c r="CA137" s="221"/>
      <c r="CB137" s="221"/>
      <c r="CC137" s="43"/>
    </row>
    <row r="138" spans="3:81" ht="11.25" customHeight="1">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c r="AF138" s="43"/>
      <c r="AG138" s="43"/>
      <c r="AH138" s="43"/>
      <c r="AI138" s="43"/>
      <c r="AJ138" s="43"/>
      <c r="AK138" s="43"/>
      <c r="AL138" s="43"/>
      <c r="AM138" s="43"/>
      <c r="AN138" s="43"/>
      <c r="AO138" s="43"/>
      <c r="AP138" s="43"/>
      <c r="AQ138" s="43"/>
      <c r="AR138" s="43"/>
      <c r="AS138" s="43"/>
      <c r="AT138" s="43"/>
      <c r="AU138" s="43"/>
      <c r="AV138" s="43"/>
      <c r="AW138" s="43"/>
      <c r="AX138" s="43"/>
      <c r="AY138" s="43"/>
      <c r="AZ138" s="43"/>
      <c r="BA138" s="43"/>
      <c r="BB138" s="43"/>
      <c r="BC138" s="43"/>
      <c r="BD138" s="43"/>
      <c r="BE138" s="43"/>
      <c r="BF138" s="43"/>
      <c r="BG138" s="43"/>
      <c r="BH138" s="43"/>
      <c r="BI138" s="43"/>
      <c r="BJ138" s="43"/>
      <c r="BK138" s="43"/>
      <c r="BL138" s="43"/>
      <c r="BM138" s="43"/>
      <c r="BN138" s="43"/>
      <c r="BO138" s="43"/>
      <c r="BP138" s="43"/>
      <c r="BQ138" s="43"/>
      <c r="BR138" s="43"/>
      <c r="BS138" s="43"/>
      <c r="BT138" s="43"/>
      <c r="BU138" s="43"/>
      <c r="BV138" s="43"/>
      <c r="BW138" s="43"/>
      <c r="BX138" s="43"/>
      <c r="BY138" s="221"/>
      <c r="BZ138" s="221"/>
      <c r="CA138" s="221"/>
      <c r="CB138" s="221"/>
      <c r="CC138" s="43"/>
    </row>
    <row r="139" spans="3:81" ht="11.25" customHeight="1">
      <c r="C139" s="43"/>
      <c r="D139" s="225"/>
      <c r="E139" s="225"/>
      <c r="F139" s="225"/>
      <c r="G139" s="225"/>
      <c r="H139" s="225"/>
      <c r="I139" s="124"/>
      <c r="J139" s="219"/>
      <c r="K139" s="219"/>
      <c r="L139" s="219"/>
      <c r="M139" s="219"/>
      <c r="N139" s="219"/>
      <c r="O139" s="219"/>
      <c r="P139" s="219"/>
      <c r="Q139" s="219"/>
      <c r="R139" s="219"/>
      <c r="S139" s="219"/>
      <c r="T139" s="219"/>
      <c r="U139" s="219"/>
      <c r="V139" s="43"/>
      <c r="W139" s="43"/>
      <c r="X139" s="43"/>
      <c r="Y139" s="43"/>
      <c r="Z139" s="43"/>
      <c r="AA139" s="43"/>
      <c r="AB139" s="43"/>
      <c r="AC139" s="43"/>
      <c r="AD139" s="43"/>
      <c r="AE139" s="43"/>
      <c r="AF139" s="43"/>
      <c r="AG139" s="43"/>
      <c r="AH139" s="43"/>
      <c r="AI139" s="43"/>
      <c r="AJ139" s="43"/>
      <c r="AK139" s="43"/>
      <c r="AL139" s="43"/>
      <c r="AM139" s="43"/>
      <c r="AN139" s="43"/>
      <c r="AO139" s="43"/>
      <c r="AP139" s="43"/>
      <c r="AQ139" s="43"/>
      <c r="AR139" s="43"/>
      <c r="AS139" s="43"/>
      <c r="AT139" s="43"/>
      <c r="AU139" s="43"/>
      <c r="AV139" s="43"/>
      <c r="AW139" s="226"/>
      <c r="AX139" s="226"/>
      <c r="AY139" s="226"/>
      <c r="AZ139" s="226"/>
      <c r="BA139" s="226"/>
      <c r="BB139" s="226"/>
      <c r="BC139" s="92"/>
      <c r="BD139" s="92"/>
      <c r="BE139" s="92"/>
      <c r="BF139" s="92"/>
      <c r="BG139" s="227"/>
      <c r="BH139" s="227"/>
      <c r="BI139" s="227"/>
      <c r="BJ139" s="227"/>
      <c r="BK139" s="227"/>
      <c r="BL139" s="227"/>
      <c r="BM139" s="227"/>
      <c r="BN139" s="227"/>
      <c r="BO139" s="227"/>
      <c r="BP139" s="227"/>
      <c r="BQ139" s="227"/>
      <c r="BR139" s="227"/>
      <c r="BS139" s="227"/>
      <c r="BT139" s="227"/>
      <c r="BU139" s="227"/>
      <c r="BV139" s="227"/>
      <c r="BW139" s="227"/>
      <c r="BX139" s="227"/>
      <c r="BY139" s="221"/>
      <c r="BZ139" s="221"/>
      <c r="CA139" s="221"/>
      <c r="CB139" s="221"/>
      <c r="CC139" s="43"/>
    </row>
    <row r="140" spans="3:81" ht="11.25" customHeight="1">
      <c r="C140" s="43"/>
      <c r="D140" s="225"/>
      <c r="E140" s="225"/>
      <c r="F140" s="225"/>
      <c r="G140" s="225"/>
      <c r="H140" s="225"/>
      <c r="I140" s="219"/>
      <c r="J140" s="219"/>
      <c r="K140" s="219"/>
      <c r="L140" s="219"/>
      <c r="M140" s="219"/>
      <c r="N140" s="219"/>
      <c r="O140" s="219"/>
      <c r="P140" s="219"/>
      <c r="Q140" s="219"/>
      <c r="R140" s="219"/>
      <c r="S140" s="219"/>
      <c r="T140" s="219"/>
      <c r="U140" s="219"/>
      <c r="V140" s="43"/>
      <c r="W140" s="43"/>
      <c r="X140" s="43"/>
      <c r="Y140" s="43"/>
      <c r="Z140" s="43"/>
      <c r="AA140" s="43"/>
      <c r="AB140" s="43"/>
      <c r="AC140" s="43"/>
      <c r="AD140" s="43"/>
      <c r="AE140" s="43"/>
      <c r="AF140" s="43"/>
      <c r="AG140" s="43"/>
      <c r="AH140" s="43"/>
      <c r="AI140" s="43"/>
      <c r="AJ140" s="43"/>
      <c r="AK140" s="43"/>
      <c r="AL140" s="43"/>
      <c r="AM140" s="43"/>
      <c r="AN140" s="43"/>
      <c r="AO140" s="43"/>
      <c r="AP140" s="43"/>
      <c r="AQ140" s="43"/>
      <c r="AR140" s="43"/>
      <c r="AS140" s="43"/>
      <c r="AT140" s="43"/>
      <c r="AU140" s="43"/>
      <c r="AV140" s="43"/>
      <c r="AW140" s="226"/>
      <c r="AX140" s="226"/>
      <c r="AY140" s="226"/>
      <c r="AZ140" s="226"/>
      <c r="BA140" s="226"/>
      <c r="BB140" s="226"/>
      <c r="BC140" s="92"/>
      <c r="BD140" s="92"/>
      <c r="BE140" s="92"/>
      <c r="BF140" s="92"/>
      <c r="BG140" s="227"/>
      <c r="BH140" s="227"/>
      <c r="BI140" s="227"/>
      <c r="BJ140" s="227"/>
      <c r="BK140" s="227"/>
      <c r="BL140" s="227"/>
      <c r="BM140" s="227"/>
      <c r="BN140" s="227"/>
      <c r="BO140" s="227"/>
      <c r="BP140" s="227"/>
      <c r="BQ140" s="227"/>
      <c r="BR140" s="227"/>
      <c r="BS140" s="227"/>
      <c r="BT140" s="227"/>
      <c r="BU140" s="227"/>
      <c r="BV140" s="227"/>
      <c r="BW140" s="227"/>
      <c r="BX140" s="227"/>
      <c r="BY140" s="221"/>
      <c r="BZ140" s="221"/>
      <c r="CA140" s="221"/>
      <c r="CB140" s="221"/>
      <c r="CC140" s="43"/>
    </row>
    <row r="141" spans="3:81" ht="11.25" customHeight="1">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c r="AL141" s="43"/>
      <c r="AM141" s="43"/>
      <c r="AN141" s="43"/>
      <c r="AO141" s="43"/>
      <c r="AP141" s="43"/>
      <c r="AQ141" s="43"/>
      <c r="AR141" s="43"/>
      <c r="AS141" s="43"/>
      <c r="AT141" s="43"/>
      <c r="AU141" s="43"/>
      <c r="AV141" s="43"/>
      <c r="AW141" s="43"/>
      <c r="AX141" s="43"/>
      <c r="AY141" s="43"/>
      <c r="AZ141" s="43"/>
      <c r="BA141" s="43"/>
      <c r="BB141" s="43"/>
      <c r="BC141" s="43"/>
      <c r="BD141" s="43"/>
      <c r="BE141" s="43"/>
      <c r="BF141" s="43"/>
      <c r="BG141" s="43"/>
      <c r="BH141" s="43"/>
      <c r="BI141" s="43"/>
      <c r="BJ141" s="43"/>
      <c r="BK141" s="43"/>
      <c r="BL141" s="43"/>
      <c r="BM141" s="43"/>
      <c r="BN141" s="43"/>
      <c r="BO141" s="43"/>
      <c r="BP141" s="43"/>
      <c r="BQ141" s="43"/>
      <c r="BR141" s="43"/>
      <c r="BS141" s="43"/>
      <c r="BT141" s="43"/>
      <c r="BU141" s="43"/>
      <c r="BV141" s="43"/>
      <c r="BW141" s="43"/>
      <c r="BX141" s="43"/>
      <c r="BY141" s="221"/>
      <c r="BZ141" s="221"/>
      <c r="CA141" s="221"/>
      <c r="CB141" s="221"/>
      <c r="CC141" s="43"/>
    </row>
    <row r="142" spans="3:81" ht="11.25" customHeight="1">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c r="AF142" s="43"/>
      <c r="AG142" s="43"/>
      <c r="AH142" s="43"/>
      <c r="AI142" s="43"/>
      <c r="AJ142" s="43"/>
      <c r="AK142" s="43"/>
      <c r="AL142" s="43"/>
      <c r="AM142" s="43"/>
      <c r="AN142" s="43"/>
      <c r="AO142" s="43"/>
      <c r="AP142" s="43"/>
      <c r="AQ142" s="43"/>
      <c r="AR142" s="43"/>
      <c r="AS142" s="43"/>
      <c r="AT142" s="43"/>
      <c r="AU142" s="43"/>
      <c r="AV142" s="43"/>
      <c r="AW142" s="43"/>
      <c r="AX142" s="43"/>
      <c r="AY142" s="43"/>
      <c r="AZ142" s="43"/>
      <c r="BA142" s="43"/>
      <c r="BB142" s="43"/>
      <c r="BC142" s="43"/>
      <c r="BD142" s="43"/>
      <c r="BE142" s="43"/>
      <c r="BF142" s="43"/>
      <c r="BG142" s="43"/>
      <c r="BH142" s="43"/>
      <c r="BI142" s="43"/>
      <c r="BJ142" s="43"/>
      <c r="BK142" s="43"/>
      <c r="BL142" s="43"/>
      <c r="BM142" s="43"/>
      <c r="BN142" s="43"/>
      <c r="BO142" s="43"/>
      <c r="BP142" s="43"/>
      <c r="BQ142" s="43"/>
      <c r="BR142" s="43"/>
      <c r="BS142" s="43"/>
      <c r="BT142" s="43"/>
      <c r="BU142" s="43"/>
      <c r="BV142" s="43"/>
      <c r="BW142" s="43"/>
      <c r="BX142" s="43"/>
      <c r="BY142" s="43"/>
      <c r="BZ142" s="43"/>
      <c r="CA142" s="43"/>
      <c r="CB142" s="43"/>
      <c r="CC142" s="43"/>
    </row>
    <row r="143" spans="3:81" ht="11.25" customHeight="1">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c r="BE143" s="43"/>
      <c r="BF143" s="43"/>
      <c r="BG143" s="43"/>
      <c r="BH143" s="43"/>
      <c r="BI143" s="43"/>
      <c r="BJ143" s="43"/>
      <c r="BK143" s="43"/>
      <c r="BL143" s="43"/>
      <c r="BM143" s="43"/>
      <c r="BN143" s="43"/>
      <c r="BO143" s="43"/>
      <c r="BP143" s="43"/>
      <c r="BQ143" s="43"/>
      <c r="BR143" s="43"/>
      <c r="BS143" s="43"/>
      <c r="BT143" s="43"/>
      <c r="BU143" s="43"/>
      <c r="BV143" s="43"/>
      <c r="BW143" s="43"/>
      <c r="BX143" s="43"/>
      <c r="BY143" s="43"/>
      <c r="BZ143" s="43"/>
      <c r="CA143" s="43"/>
      <c r="CB143" s="43"/>
      <c r="CC143" s="43"/>
    </row>
    <row r="144" spans="3:81" ht="11.25" customHeight="1">
      <c r="C144" s="43"/>
      <c r="D144" s="213"/>
      <c r="E144" s="213"/>
      <c r="F144" s="213"/>
      <c r="G144" s="213"/>
      <c r="H144" s="213"/>
      <c r="I144" s="213"/>
      <c r="J144" s="213"/>
      <c r="K144" s="213"/>
      <c r="L144" s="213"/>
      <c r="M144" s="213"/>
      <c r="N144" s="213"/>
      <c r="O144" s="213"/>
      <c r="P144" s="213"/>
      <c r="Q144" s="213"/>
      <c r="R144" s="213"/>
      <c r="S144" s="213"/>
      <c r="T144" s="213"/>
      <c r="U144" s="213"/>
      <c r="V144" s="213"/>
      <c r="W144" s="213"/>
      <c r="X144" s="213"/>
      <c r="Y144" s="213"/>
      <c r="Z144" s="213"/>
      <c r="AA144" s="213"/>
      <c r="AB144" s="213"/>
      <c r="AC144" s="213"/>
      <c r="AD144" s="213"/>
      <c r="AE144" s="213"/>
      <c r="AF144" s="213"/>
      <c r="AG144" s="213"/>
      <c r="AH144" s="213"/>
      <c r="AI144" s="213"/>
      <c r="AJ144" s="213"/>
      <c r="AK144" s="213"/>
      <c r="AL144" s="213"/>
      <c r="AM144" s="213"/>
      <c r="AN144" s="213"/>
      <c r="AO144" s="213"/>
      <c r="AP144" s="213"/>
      <c r="AQ144" s="213"/>
      <c r="AR144" s="213"/>
      <c r="AS144" s="213"/>
      <c r="AT144" s="213"/>
      <c r="AU144" s="213"/>
      <c r="AV144" s="213"/>
      <c r="AW144" s="213"/>
      <c r="AX144" s="213"/>
      <c r="AY144" s="213"/>
      <c r="AZ144" s="213"/>
      <c r="BA144" s="213"/>
      <c r="BB144" s="213"/>
      <c r="BC144" s="213"/>
      <c r="BD144" s="213"/>
      <c r="BE144" s="213"/>
      <c r="BF144" s="213"/>
      <c r="BG144" s="213"/>
      <c r="BH144" s="213"/>
      <c r="BI144" s="213"/>
      <c r="BJ144" s="213"/>
      <c r="BK144" s="213"/>
      <c r="BL144" s="213"/>
      <c r="BM144" s="213"/>
      <c r="BN144" s="213"/>
      <c r="BO144" s="213"/>
      <c r="BP144" s="213"/>
      <c r="BQ144" s="213"/>
      <c r="BR144" s="213"/>
      <c r="BS144" s="213"/>
      <c r="BT144" s="213"/>
      <c r="BU144" s="213"/>
      <c r="BV144" s="213"/>
      <c r="BW144" s="213"/>
      <c r="BX144" s="213"/>
      <c r="BY144" s="221"/>
      <c r="BZ144" s="221"/>
      <c r="CA144" s="221"/>
      <c r="CB144" s="221"/>
      <c r="CC144" s="43"/>
    </row>
    <row r="145" spans="3:81" ht="11.25" customHeight="1">
      <c r="C145" s="43"/>
      <c r="D145" s="213"/>
      <c r="E145" s="213"/>
      <c r="F145" s="213"/>
      <c r="G145" s="213"/>
      <c r="H145" s="213"/>
      <c r="I145" s="213"/>
      <c r="J145" s="213"/>
      <c r="K145" s="213"/>
      <c r="L145" s="213"/>
      <c r="M145" s="213"/>
      <c r="N145" s="213"/>
      <c r="O145" s="213"/>
      <c r="P145" s="213"/>
      <c r="Q145" s="213"/>
      <c r="R145" s="213"/>
      <c r="S145" s="213"/>
      <c r="T145" s="213"/>
      <c r="U145" s="213"/>
      <c r="V145" s="213"/>
      <c r="W145" s="213"/>
      <c r="X145" s="213"/>
      <c r="Y145" s="213"/>
      <c r="Z145" s="213"/>
      <c r="AA145" s="213"/>
      <c r="AB145" s="213"/>
      <c r="AC145" s="213"/>
      <c r="AD145" s="213"/>
      <c r="AE145" s="213"/>
      <c r="AF145" s="213"/>
      <c r="AG145" s="213"/>
      <c r="AH145" s="213"/>
      <c r="AI145" s="213"/>
      <c r="AJ145" s="213"/>
      <c r="AK145" s="213"/>
      <c r="AL145" s="213"/>
      <c r="AM145" s="213"/>
      <c r="AN145" s="213"/>
      <c r="AO145" s="213"/>
      <c r="AP145" s="213"/>
      <c r="AQ145" s="213"/>
      <c r="AR145" s="213"/>
      <c r="AS145" s="213"/>
      <c r="AT145" s="213"/>
      <c r="AU145" s="213"/>
      <c r="AV145" s="213"/>
      <c r="AW145" s="213"/>
      <c r="AX145" s="213"/>
      <c r="AY145" s="213"/>
      <c r="AZ145" s="213"/>
      <c r="BA145" s="213"/>
      <c r="BB145" s="213"/>
      <c r="BC145" s="213"/>
      <c r="BD145" s="213"/>
      <c r="BE145" s="213"/>
      <c r="BF145" s="213"/>
      <c r="BG145" s="213"/>
      <c r="BH145" s="213"/>
      <c r="BI145" s="213"/>
      <c r="BJ145" s="213"/>
      <c r="BK145" s="213"/>
      <c r="BL145" s="213"/>
      <c r="BM145" s="213"/>
      <c r="BN145" s="213"/>
      <c r="BO145" s="213"/>
      <c r="BP145" s="213"/>
      <c r="BQ145" s="213"/>
      <c r="BR145" s="213"/>
      <c r="BS145" s="213"/>
      <c r="BT145" s="213"/>
      <c r="BU145" s="213"/>
      <c r="BV145" s="213"/>
      <c r="BW145" s="213"/>
      <c r="BX145" s="213"/>
      <c r="BY145" s="221"/>
      <c r="BZ145" s="221"/>
      <c r="CA145" s="221"/>
      <c r="CB145" s="221"/>
      <c r="CC145" s="43"/>
    </row>
    <row r="146" spans="3:81" ht="11.25" customHeight="1">
      <c r="C146" s="43"/>
      <c r="D146" s="213"/>
      <c r="E146" s="213"/>
      <c r="F146" s="213"/>
      <c r="G146" s="213"/>
      <c r="H146" s="213"/>
      <c r="I146" s="213"/>
      <c r="J146" s="213"/>
      <c r="K146" s="213"/>
      <c r="L146" s="213"/>
      <c r="M146" s="213"/>
      <c r="N146" s="213"/>
      <c r="O146" s="213"/>
      <c r="P146" s="213"/>
      <c r="Q146" s="213"/>
      <c r="R146" s="213"/>
      <c r="S146" s="213"/>
      <c r="T146" s="213"/>
      <c r="U146" s="213"/>
      <c r="V146" s="213"/>
      <c r="W146" s="213"/>
      <c r="X146" s="213"/>
      <c r="Y146" s="213"/>
      <c r="Z146" s="213"/>
      <c r="AA146" s="213"/>
      <c r="AB146" s="213"/>
      <c r="AC146" s="213"/>
      <c r="AD146" s="213"/>
      <c r="AE146" s="213"/>
      <c r="AF146" s="213"/>
      <c r="AG146" s="213"/>
      <c r="AH146" s="213"/>
      <c r="AI146" s="213"/>
      <c r="AJ146" s="213"/>
      <c r="AK146" s="213"/>
      <c r="AL146" s="213"/>
      <c r="AM146" s="213"/>
      <c r="AN146" s="213"/>
      <c r="AO146" s="213"/>
      <c r="AP146" s="213"/>
      <c r="AQ146" s="213"/>
      <c r="AR146" s="213"/>
      <c r="AS146" s="213"/>
      <c r="AT146" s="213"/>
      <c r="AU146" s="213"/>
      <c r="AV146" s="213"/>
      <c r="AW146" s="213"/>
      <c r="AX146" s="213"/>
      <c r="AY146" s="213"/>
      <c r="AZ146" s="213"/>
      <c r="BA146" s="213"/>
      <c r="BB146" s="213"/>
      <c r="BC146" s="213"/>
      <c r="BD146" s="213"/>
      <c r="BE146" s="213"/>
      <c r="BF146" s="213"/>
      <c r="BG146" s="213"/>
      <c r="BH146" s="213"/>
      <c r="BI146" s="213"/>
      <c r="BJ146" s="213"/>
      <c r="BK146" s="213"/>
      <c r="BL146" s="213"/>
      <c r="BM146" s="213"/>
      <c r="BN146" s="213"/>
      <c r="BO146" s="213"/>
      <c r="BP146" s="213"/>
      <c r="BQ146" s="213"/>
      <c r="BR146" s="213"/>
      <c r="BS146" s="213"/>
      <c r="BT146" s="213"/>
      <c r="BU146" s="213"/>
      <c r="BV146" s="213"/>
      <c r="BW146" s="213"/>
      <c r="BX146" s="213"/>
      <c r="BY146" s="221"/>
      <c r="BZ146" s="221"/>
      <c r="CA146" s="221"/>
      <c r="CB146" s="221"/>
      <c r="CC146" s="43"/>
    </row>
    <row r="147" spans="3:81" ht="11.25" customHeight="1">
      <c r="C147" s="125"/>
      <c r="D147" s="125"/>
      <c r="E147" s="125"/>
      <c r="F147" s="125"/>
      <c r="G147" s="125"/>
      <c r="H147" s="125"/>
      <c r="I147" s="125"/>
      <c r="J147" s="125"/>
      <c r="K147" s="125"/>
      <c r="L147" s="125"/>
      <c r="M147" s="125"/>
      <c r="N147" s="125"/>
      <c r="O147" s="125"/>
      <c r="P147" s="125"/>
      <c r="Q147" s="125"/>
      <c r="R147" s="125"/>
      <c r="S147" s="125"/>
      <c r="T147" s="125"/>
      <c r="U147" s="125"/>
      <c r="V147" s="125"/>
      <c r="W147" s="125"/>
      <c r="X147" s="125"/>
      <c r="Y147" s="125"/>
      <c r="Z147" s="125"/>
      <c r="AA147" s="125"/>
      <c r="AB147" s="125"/>
      <c r="AC147" s="125"/>
      <c r="AD147" s="125"/>
      <c r="AE147" s="125"/>
      <c r="AF147" s="125"/>
      <c r="AG147" s="125"/>
      <c r="AH147" s="125"/>
      <c r="AI147" s="125"/>
      <c r="AJ147" s="125"/>
      <c r="AK147" s="125"/>
      <c r="AL147" s="125"/>
      <c r="AM147" s="125"/>
      <c r="AN147" s="125"/>
      <c r="AO147" s="125"/>
      <c r="AP147" s="125"/>
      <c r="AQ147" s="125"/>
      <c r="AR147" s="125"/>
      <c r="AS147" s="125"/>
      <c r="AT147" s="125"/>
      <c r="AU147" s="125"/>
      <c r="AV147" s="125"/>
      <c r="AW147" s="125"/>
      <c r="AX147" s="125"/>
      <c r="AY147" s="125"/>
      <c r="AZ147" s="125"/>
      <c r="BA147" s="125"/>
      <c r="BB147" s="125"/>
      <c r="BC147" s="125"/>
      <c r="BD147" s="125"/>
      <c r="BE147" s="125"/>
      <c r="BF147" s="125"/>
      <c r="BG147" s="125"/>
      <c r="BH147" s="125"/>
      <c r="BI147" s="125"/>
      <c r="BJ147" s="125"/>
      <c r="BK147" s="125"/>
      <c r="BL147" s="125"/>
      <c r="BM147" s="125"/>
      <c r="BN147" s="125"/>
      <c r="BO147" s="125"/>
      <c r="BP147" s="125"/>
      <c r="BQ147" s="125"/>
      <c r="BR147" s="125"/>
      <c r="BS147" s="125"/>
      <c r="BT147" s="125"/>
      <c r="BU147" s="125"/>
      <c r="BV147" s="125"/>
      <c r="BW147" s="125"/>
      <c r="BX147" s="125"/>
      <c r="BY147" s="221"/>
      <c r="BZ147" s="221"/>
      <c r="CA147" s="221"/>
      <c r="CB147" s="221"/>
      <c r="CC147" s="125"/>
    </row>
    <row r="148" spans="3:81" ht="11.25" customHeight="1">
      <c r="C148" s="125"/>
      <c r="D148" s="125"/>
      <c r="E148" s="125"/>
      <c r="F148" s="125"/>
      <c r="G148" s="125"/>
      <c r="H148" s="125"/>
      <c r="I148" s="125"/>
      <c r="J148" s="125"/>
      <c r="K148" s="125"/>
      <c r="L148" s="125"/>
      <c r="M148" s="125"/>
      <c r="N148" s="125"/>
      <c r="O148" s="125"/>
      <c r="P148" s="125"/>
      <c r="Q148" s="125"/>
      <c r="R148" s="125"/>
      <c r="S148" s="125"/>
      <c r="T148" s="125"/>
      <c r="U148" s="125"/>
      <c r="V148" s="125"/>
      <c r="W148" s="125"/>
      <c r="X148" s="125"/>
      <c r="Y148" s="125"/>
      <c r="Z148" s="125"/>
      <c r="AA148" s="125"/>
      <c r="AB148" s="125"/>
      <c r="AC148" s="125"/>
      <c r="AD148" s="125"/>
      <c r="AE148" s="125"/>
      <c r="AF148" s="125"/>
      <c r="AG148" s="125"/>
      <c r="AH148" s="125"/>
      <c r="AI148" s="125"/>
      <c r="AJ148" s="125"/>
      <c r="AK148" s="125"/>
      <c r="AL148" s="125"/>
      <c r="AM148" s="125"/>
      <c r="AN148" s="125"/>
      <c r="AO148" s="125"/>
      <c r="AP148" s="125"/>
      <c r="AQ148" s="125"/>
      <c r="AR148" s="125"/>
      <c r="AS148" s="125"/>
      <c r="AT148" s="125"/>
      <c r="AU148" s="125"/>
      <c r="AV148" s="125"/>
      <c r="AW148" s="125"/>
      <c r="AX148" s="125"/>
      <c r="AY148" s="125"/>
      <c r="AZ148" s="125"/>
      <c r="BA148" s="125"/>
      <c r="BB148" s="125"/>
      <c r="BC148" s="125"/>
      <c r="BD148" s="125"/>
      <c r="BE148" s="125"/>
      <c r="BF148" s="125"/>
      <c r="BG148" s="125"/>
      <c r="BH148" s="125"/>
      <c r="BI148" s="125"/>
      <c r="BJ148" s="125"/>
      <c r="BK148" s="125"/>
      <c r="BL148" s="125"/>
      <c r="BM148" s="125"/>
      <c r="BN148" s="125"/>
      <c r="BO148" s="125"/>
      <c r="BP148" s="125"/>
      <c r="BQ148" s="125"/>
      <c r="BR148" s="125"/>
      <c r="BS148" s="125"/>
      <c r="BT148" s="125"/>
      <c r="BU148" s="125"/>
      <c r="BV148" s="125"/>
      <c r="BW148" s="125"/>
      <c r="BX148" s="125"/>
      <c r="BY148" s="221"/>
      <c r="BZ148" s="221"/>
      <c r="CA148" s="221"/>
      <c r="CB148" s="221"/>
      <c r="CC148" s="125"/>
    </row>
    <row r="149" spans="3:81" ht="11.25" customHeight="1">
      <c r="C149" s="125"/>
      <c r="D149" s="125"/>
      <c r="E149" s="125"/>
      <c r="F149" s="125"/>
      <c r="G149" s="125"/>
      <c r="H149" s="125"/>
      <c r="I149" s="125"/>
      <c r="J149" s="125"/>
      <c r="K149" s="125"/>
      <c r="L149" s="125"/>
      <c r="M149" s="125"/>
      <c r="N149" s="125"/>
      <c r="O149" s="125"/>
      <c r="P149" s="125"/>
      <c r="Q149" s="125"/>
      <c r="R149" s="125"/>
      <c r="S149" s="125"/>
      <c r="T149" s="125"/>
      <c r="U149" s="125"/>
      <c r="V149" s="125"/>
      <c r="W149" s="125"/>
      <c r="X149" s="125"/>
      <c r="Y149" s="125"/>
      <c r="Z149" s="125"/>
      <c r="AA149" s="125"/>
      <c r="AB149" s="125"/>
      <c r="AC149" s="125"/>
      <c r="AD149" s="125"/>
      <c r="AE149" s="125"/>
      <c r="AF149" s="125"/>
      <c r="AG149" s="125"/>
      <c r="AH149" s="125"/>
      <c r="AI149" s="125"/>
      <c r="AJ149" s="125"/>
      <c r="AK149" s="125"/>
      <c r="AL149" s="125"/>
      <c r="AM149" s="125"/>
      <c r="AN149" s="125"/>
      <c r="AO149" s="125"/>
      <c r="AP149" s="125"/>
      <c r="AQ149" s="125"/>
      <c r="AR149" s="125"/>
      <c r="AS149" s="125"/>
      <c r="AT149" s="125"/>
      <c r="AU149" s="125"/>
      <c r="AV149" s="125"/>
      <c r="AW149" s="125"/>
      <c r="AX149" s="125"/>
      <c r="AY149" s="125"/>
      <c r="AZ149" s="125"/>
      <c r="BA149" s="125"/>
      <c r="BB149" s="125"/>
      <c r="BC149" s="125"/>
      <c r="BD149" s="125"/>
      <c r="BE149" s="125"/>
      <c r="BF149" s="125"/>
      <c r="BG149" s="125"/>
      <c r="BH149" s="125"/>
      <c r="BI149" s="125"/>
      <c r="BJ149" s="125"/>
      <c r="BK149" s="125"/>
      <c r="BL149" s="125"/>
      <c r="BM149" s="125"/>
      <c r="BN149" s="125"/>
      <c r="BO149" s="125"/>
      <c r="BP149" s="125"/>
      <c r="BQ149" s="125"/>
      <c r="BR149" s="125"/>
      <c r="BS149" s="125"/>
      <c r="BT149" s="125"/>
      <c r="BU149" s="125"/>
      <c r="BV149" s="125"/>
      <c r="BW149" s="125"/>
      <c r="BX149" s="125"/>
      <c r="BY149" s="221"/>
      <c r="BZ149" s="221"/>
      <c r="CA149" s="221"/>
      <c r="CB149" s="221"/>
      <c r="CC149" s="125"/>
    </row>
    <row r="150" spans="3:81" ht="11.25" customHeight="1">
      <c r="C150" s="218"/>
      <c r="D150" s="213"/>
      <c r="E150" s="213"/>
      <c r="F150" s="213"/>
      <c r="G150" s="213"/>
      <c r="H150" s="213"/>
      <c r="I150" s="220"/>
      <c r="J150" s="220"/>
      <c r="K150" s="220"/>
      <c r="L150" s="220"/>
      <c r="M150" s="220"/>
      <c r="N150" s="220"/>
      <c r="O150" s="220"/>
      <c r="P150" s="220"/>
      <c r="Q150" s="220"/>
      <c r="R150" s="220"/>
      <c r="S150" s="220"/>
      <c r="T150" s="220"/>
      <c r="U150" s="220"/>
      <c r="V150" s="220"/>
      <c r="W150" s="220"/>
      <c r="X150" s="220"/>
      <c r="Y150" s="220"/>
      <c r="Z150" s="220"/>
      <c r="AA150" s="220"/>
      <c r="AB150" s="220"/>
      <c r="AC150" s="220"/>
      <c r="AD150" s="220"/>
      <c r="AE150" s="220"/>
      <c r="AF150" s="220"/>
      <c r="AG150" s="220"/>
      <c r="AH150" s="220"/>
      <c r="AI150" s="220"/>
      <c r="AJ150" s="220"/>
      <c r="AK150" s="220"/>
      <c r="AL150" s="220"/>
      <c r="AM150" s="220"/>
      <c r="AN150" s="220"/>
      <c r="AO150" s="220"/>
      <c r="AP150" s="220"/>
      <c r="AQ150" s="220"/>
      <c r="AR150" s="220"/>
      <c r="AS150" s="220"/>
      <c r="AT150" s="220"/>
      <c r="AU150" s="220"/>
      <c r="AV150" s="213"/>
      <c r="AW150" s="213"/>
      <c r="AX150" s="213"/>
      <c r="AY150" s="213"/>
      <c r="AZ150" s="213"/>
      <c r="BA150" s="213"/>
      <c r="BB150" s="213"/>
      <c r="BC150" s="222"/>
      <c r="BD150" s="222"/>
      <c r="BE150" s="222"/>
      <c r="BF150" s="222"/>
      <c r="BG150" s="213"/>
      <c r="BH150" s="213"/>
      <c r="BI150" s="213"/>
      <c r="BJ150" s="213"/>
      <c r="BK150" s="213"/>
      <c r="BL150" s="213"/>
      <c r="BM150" s="213"/>
      <c r="BN150" s="213"/>
      <c r="BO150" s="213"/>
      <c r="BP150" s="213"/>
      <c r="BQ150" s="213"/>
      <c r="BR150" s="213"/>
      <c r="BS150" s="213"/>
      <c r="BT150" s="213"/>
      <c r="BU150" s="213"/>
      <c r="BV150" s="213"/>
      <c r="BW150" s="213"/>
      <c r="BX150" s="213"/>
      <c r="BY150" s="221"/>
      <c r="BZ150" s="221"/>
      <c r="CA150" s="221"/>
      <c r="CB150" s="221"/>
      <c r="CC150" s="43"/>
    </row>
    <row r="151" spans="3:81" ht="11.25" customHeight="1">
      <c r="C151" s="218"/>
      <c r="D151" s="213"/>
      <c r="E151" s="213"/>
      <c r="F151" s="213"/>
      <c r="G151" s="213"/>
      <c r="H151" s="213"/>
      <c r="I151" s="220"/>
      <c r="J151" s="220"/>
      <c r="K151" s="220"/>
      <c r="L151" s="220"/>
      <c r="M151" s="220"/>
      <c r="N151" s="220"/>
      <c r="O151" s="220"/>
      <c r="P151" s="220"/>
      <c r="Q151" s="220"/>
      <c r="R151" s="220"/>
      <c r="S151" s="220"/>
      <c r="T151" s="220"/>
      <c r="U151" s="220"/>
      <c r="V151" s="220"/>
      <c r="W151" s="220"/>
      <c r="X151" s="220"/>
      <c r="Y151" s="220"/>
      <c r="Z151" s="220"/>
      <c r="AA151" s="220"/>
      <c r="AB151" s="220"/>
      <c r="AC151" s="220"/>
      <c r="AD151" s="220"/>
      <c r="AE151" s="220"/>
      <c r="AF151" s="220"/>
      <c r="AG151" s="220"/>
      <c r="AH151" s="220"/>
      <c r="AI151" s="220"/>
      <c r="AJ151" s="220"/>
      <c r="AK151" s="220"/>
      <c r="AL151" s="220"/>
      <c r="AM151" s="220"/>
      <c r="AN151" s="220"/>
      <c r="AO151" s="220"/>
      <c r="AP151" s="220"/>
      <c r="AQ151" s="220"/>
      <c r="AR151" s="220"/>
      <c r="AS151" s="220"/>
      <c r="AT151" s="220"/>
      <c r="AU151" s="220"/>
      <c r="AV151" s="213"/>
      <c r="AW151" s="213"/>
      <c r="AX151" s="213"/>
      <c r="AY151" s="213"/>
      <c r="AZ151" s="213"/>
      <c r="BA151" s="213"/>
      <c r="BB151" s="213"/>
      <c r="BC151" s="222"/>
      <c r="BD151" s="222"/>
      <c r="BE151" s="222"/>
      <c r="BF151" s="222"/>
      <c r="BG151" s="213"/>
      <c r="BH151" s="213"/>
      <c r="BI151" s="213"/>
      <c r="BJ151" s="213"/>
      <c r="BK151" s="213"/>
      <c r="BL151" s="213"/>
      <c r="BM151" s="213"/>
      <c r="BN151" s="213"/>
      <c r="BO151" s="213"/>
      <c r="BP151" s="213"/>
      <c r="BQ151" s="213"/>
      <c r="BR151" s="213"/>
      <c r="BS151" s="213"/>
      <c r="BT151" s="213"/>
      <c r="BU151" s="213"/>
      <c r="BV151" s="213"/>
      <c r="BW151" s="213"/>
      <c r="BX151" s="213"/>
      <c r="BY151" s="221"/>
      <c r="BZ151" s="221"/>
      <c r="CA151" s="221"/>
      <c r="CB151" s="221"/>
      <c r="CC151" s="43"/>
    </row>
    <row r="152" spans="3:81" ht="11.25" customHeight="1">
      <c r="C152" s="218"/>
      <c r="D152" s="213"/>
      <c r="E152" s="213"/>
      <c r="F152" s="213"/>
      <c r="G152" s="213"/>
      <c r="H152" s="213"/>
      <c r="I152" s="220"/>
      <c r="J152" s="220"/>
      <c r="K152" s="220"/>
      <c r="L152" s="220"/>
      <c r="M152" s="220"/>
      <c r="N152" s="220"/>
      <c r="O152" s="220"/>
      <c r="P152" s="220"/>
      <c r="Q152" s="220"/>
      <c r="R152" s="220"/>
      <c r="S152" s="220"/>
      <c r="T152" s="220"/>
      <c r="U152" s="220"/>
      <c r="V152" s="220"/>
      <c r="W152" s="220"/>
      <c r="X152" s="220"/>
      <c r="Y152" s="220"/>
      <c r="Z152" s="220"/>
      <c r="AA152" s="220"/>
      <c r="AB152" s="220"/>
      <c r="AC152" s="220"/>
      <c r="AD152" s="220"/>
      <c r="AE152" s="220"/>
      <c r="AF152" s="220"/>
      <c r="AG152" s="220"/>
      <c r="AH152" s="220"/>
      <c r="AI152" s="220"/>
      <c r="AJ152" s="220"/>
      <c r="AK152" s="220"/>
      <c r="AL152" s="220"/>
      <c r="AM152" s="220"/>
      <c r="AN152" s="220"/>
      <c r="AO152" s="220"/>
      <c r="AP152" s="220"/>
      <c r="AQ152" s="220"/>
      <c r="AR152" s="220"/>
      <c r="AS152" s="220"/>
      <c r="AT152" s="220"/>
      <c r="AU152" s="220"/>
      <c r="AV152" s="213"/>
      <c r="AW152" s="213"/>
      <c r="AX152" s="213"/>
      <c r="AY152" s="213"/>
      <c r="AZ152" s="213"/>
      <c r="BA152" s="213"/>
      <c r="BB152" s="213"/>
      <c r="BC152" s="222"/>
      <c r="BD152" s="222"/>
      <c r="BE152" s="222"/>
      <c r="BF152" s="222"/>
      <c r="BG152" s="213"/>
      <c r="BH152" s="213"/>
      <c r="BI152" s="213"/>
      <c r="BJ152" s="213"/>
      <c r="BK152" s="213"/>
      <c r="BL152" s="213"/>
      <c r="BM152" s="213"/>
      <c r="BN152" s="213"/>
      <c r="BO152" s="213"/>
      <c r="BP152" s="213"/>
      <c r="BQ152" s="213"/>
      <c r="BR152" s="213"/>
      <c r="BS152" s="213"/>
      <c r="BT152" s="213"/>
      <c r="BU152" s="213"/>
      <c r="BV152" s="213"/>
      <c r="BW152" s="213"/>
      <c r="BX152" s="213"/>
      <c r="BY152" s="221"/>
      <c r="BZ152" s="221"/>
      <c r="CA152" s="221"/>
      <c r="CB152" s="221"/>
      <c r="CC152" s="43"/>
    </row>
    <row r="153" spans="3:81" ht="11.25" customHeight="1">
      <c r="C153" s="218"/>
      <c r="D153" s="213"/>
      <c r="E153" s="213"/>
      <c r="F153" s="213"/>
      <c r="G153" s="213"/>
      <c r="H153" s="213"/>
      <c r="I153" s="220"/>
      <c r="J153" s="220"/>
      <c r="K153" s="220"/>
      <c r="L153" s="220"/>
      <c r="M153" s="220"/>
      <c r="N153" s="220"/>
      <c r="O153" s="220"/>
      <c r="P153" s="220"/>
      <c r="Q153" s="220"/>
      <c r="R153" s="220"/>
      <c r="S153" s="220"/>
      <c r="T153" s="220"/>
      <c r="U153" s="220"/>
      <c r="V153" s="220"/>
      <c r="W153" s="220"/>
      <c r="X153" s="220"/>
      <c r="Y153" s="220"/>
      <c r="Z153" s="220"/>
      <c r="AA153" s="220"/>
      <c r="AB153" s="220"/>
      <c r="AC153" s="220"/>
      <c r="AD153" s="220"/>
      <c r="AE153" s="220"/>
      <c r="AF153" s="220"/>
      <c r="AG153" s="220"/>
      <c r="AH153" s="220"/>
      <c r="AI153" s="220"/>
      <c r="AJ153" s="220"/>
      <c r="AK153" s="220"/>
      <c r="AL153" s="220"/>
      <c r="AM153" s="220"/>
      <c r="AN153" s="220"/>
      <c r="AO153" s="220"/>
      <c r="AP153" s="220"/>
      <c r="AQ153" s="220"/>
      <c r="AR153" s="220"/>
      <c r="AS153" s="220"/>
      <c r="AT153" s="220"/>
      <c r="AU153" s="220"/>
      <c r="AV153" s="213"/>
      <c r="AW153" s="213"/>
      <c r="AX153" s="213"/>
      <c r="AY153" s="213"/>
      <c r="AZ153" s="213"/>
      <c r="BA153" s="213"/>
      <c r="BB153" s="213"/>
      <c r="BC153" s="222"/>
      <c r="BD153" s="222"/>
      <c r="BE153" s="222"/>
      <c r="BF153" s="222"/>
      <c r="BG153" s="213"/>
      <c r="BH153" s="213"/>
      <c r="BI153" s="213"/>
      <c r="BJ153" s="213"/>
      <c r="BK153" s="213"/>
      <c r="BL153" s="213"/>
      <c r="BM153" s="213"/>
      <c r="BN153" s="213"/>
      <c r="BO153" s="213"/>
      <c r="BP153" s="213"/>
      <c r="BQ153" s="213"/>
      <c r="BR153" s="213"/>
      <c r="BS153" s="213"/>
      <c r="BT153" s="213"/>
      <c r="BU153" s="213"/>
      <c r="BV153" s="213"/>
      <c r="BW153" s="213"/>
      <c r="BX153" s="213"/>
      <c r="BY153" s="221"/>
      <c r="BZ153" s="221"/>
      <c r="CA153" s="221"/>
      <c r="CB153" s="221"/>
      <c r="CC153" s="43"/>
    </row>
    <row r="154" spans="3:81" ht="11.25" customHeight="1">
      <c r="C154" s="218"/>
      <c r="D154" s="213"/>
      <c r="E154" s="213"/>
      <c r="F154" s="213"/>
      <c r="G154" s="213"/>
      <c r="H154" s="213"/>
      <c r="I154" s="220"/>
      <c r="J154" s="220"/>
      <c r="K154" s="220"/>
      <c r="L154" s="220"/>
      <c r="M154" s="220"/>
      <c r="N154" s="220"/>
      <c r="O154" s="220"/>
      <c r="P154" s="220"/>
      <c r="Q154" s="220"/>
      <c r="R154" s="220"/>
      <c r="S154" s="220"/>
      <c r="T154" s="220"/>
      <c r="U154" s="220"/>
      <c r="V154" s="220"/>
      <c r="W154" s="220"/>
      <c r="X154" s="220"/>
      <c r="Y154" s="220"/>
      <c r="Z154" s="220"/>
      <c r="AA154" s="220"/>
      <c r="AB154" s="220"/>
      <c r="AC154" s="220"/>
      <c r="AD154" s="220"/>
      <c r="AE154" s="220"/>
      <c r="AF154" s="220"/>
      <c r="AG154" s="220"/>
      <c r="AH154" s="220"/>
      <c r="AI154" s="220"/>
      <c r="AJ154" s="220"/>
      <c r="AK154" s="220"/>
      <c r="AL154" s="220"/>
      <c r="AM154" s="220"/>
      <c r="AN154" s="220"/>
      <c r="AO154" s="220"/>
      <c r="AP154" s="220"/>
      <c r="AQ154" s="220"/>
      <c r="AR154" s="220"/>
      <c r="AS154" s="220"/>
      <c r="AT154" s="220"/>
      <c r="AU154" s="220"/>
      <c r="AV154" s="213"/>
      <c r="AW154" s="213"/>
      <c r="AX154" s="213"/>
      <c r="AY154" s="213"/>
      <c r="AZ154" s="213"/>
      <c r="BA154" s="213"/>
      <c r="BB154" s="213"/>
      <c r="BC154" s="222"/>
      <c r="BD154" s="222"/>
      <c r="BE154" s="222"/>
      <c r="BF154" s="222"/>
      <c r="BG154" s="213"/>
      <c r="BH154" s="213"/>
      <c r="BI154" s="213"/>
      <c r="BJ154" s="213"/>
      <c r="BK154" s="213"/>
      <c r="BL154" s="213"/>
      <c r="BM154" s="213"/>
      <c r="BN154" s="213"/>
      <c r="BO154" s="213"/>
      <c r="BP154" s="213"/>
      <c r="BQ154" s="213"/>
      <c r="BR154" s="213"/>
      <c r="BS154" s="213"/>
      <c r="BT154" s="213"/>
      <c r="BU154" s="213"/>
      <c r="BV154" s="213"/>
      <c r="BW154" s="213"/>
      <c r="BX154" s="213"/>
      <c r="BY154" s="221"/>
      <c r="BZ154" s="221"/>
      <c r="CA154" s="221"/>
      <c r="CB154" s="221"/>
      <c r="CC154" s="43"/>
    </row>
    <row r="155" spans="3:81" ht="11.25" customHeight="1">
      <c r="C155" s="218"/>
      <c r="D155" s="213"/>
      <c r="E155" s="213"/>
      <c r="F155" s="213"/>
      <c r="G155" s="213"/>
      <c r="H155" s="213"/>
      <c r="I155" s="220"/>
      <c r="J155" s="220"/>
      <c r="K155" s="220"/>
      <c r="L155" s="220"/>
      <c r="M155" s="220"/>
      <c r="N155" s="220"/>
      <c r="O155" s="220"/>
      <c r="P155" s="220"/>
      <c r="Q155" s="220"/>
      <c r="R155" s="220"/>
      <c r="S155" s="220"/>
      <c r="T155" s="220"/>
      <c r="U155" s="220"/>
      <c r="V155" s="220"/>
      <c r="W155" s="220"/>
      <c r="X155" s="220"/>
      <c r="Y155" s="220"/>
      <c r="Z155" s="220"/>
      <c r="AA155" s="220"/>
      <c r="AB155" s="220"/>
      <c r="AC155" s="220"/>
      <c r="AD155" s="220"/>
      <c r="AE155" s="220"/>
      <c r="AF155" s="220"/>
      <c r="AG155" s="220"/>
      <c r="AH155" s="220"/>
      <c r="AI155" s="220"/>
      <c r="AJ155" s="220"/>
      <c r="AK155" s="220"/>
      <c r="AL155" s="220"/>
      <c r="AM155" s="220"/>
      <c r="AN155" s="220"/>
      <c r="AO155" s="220"/>
      <c r="AP155" s="220"/>
      <c r="AQ155" s="220"/>
      <c r="AR155" s="220"/>
      <c r="AS155" s="220"/>
      <c r="AT155" s="220"/>
      <c r="AU155" s="220"/>
      <c r="AV155" s="213"/>
      <c r="AW155" s="213"/>
      <c r="AX155" s="213"/>
      <c r="AY155" s="213"/>
      <c r="AZ155" s="213"/>
      <c r="BA155" s="213"/>
      <c r="BB155" s="213"/>
      <c r="BC155" s="222"/>
      <c r="BD155" s="222"/>
      <c r="BE155" s="222"/>
      <c r="BF155" s="222"/>
      <c r="BG155" s="213"/>
      <c r="BH155" s="213"/>
      <c r="BI155" s="213"/>
      <c r="BJ155" s="213"/>
      <c r="BK155" s="213"/>
      <c r="BL155" s="213"/>
      <c r="BM155" s="213"/>
      <c r="BN155" s="213"/>
      <c r="BO155" s="213"/>
      <c r="BP155" s="213"/>
      <c r="BQ155" s="213"/>
      <c r="BR155" s="213"/>
      <c r="BS155" s="213"/>
      <c r="BT155" s="213"/>
      <c r="BU155" s="213"/>
      <c r="BV155" s="213"/>
      <c r="BW155" s="213"/>
      <c r="BX155" s="213"/>
      <c r="BY155" s="221"/>
      <c r="BZ155" s="221"/>
      <c r="CA155" s="221"/>
      <c r="CB155" s="221"/>
      <c r="CC155" s="43"/>
    </row>
    <row r="156" spans="3:81" ht="11.25" customHeight="1">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3"/>
      <c r="BG156" s="43"/>
      <c r="BH156" s="43"/>
      <c r="BI156" s="43"/>
      <c r="BJ156" s="43"/>
      <c r="BK156" s="43"/>
      <c r="BL156" s="43"/>
      <c r="BM156" s="43"/>
      <c r="BN156" s="43"/>
      <c r="BO156" s="43"/>
      <c r="BP156" s="43"/>
      <c r="BQ156" s="43"/>
      <c r="BR156" s="43"/>
      <c r="BS156" s="43"/>
      <c r="BT156" s="43"/>
      <c r="BU156" s="43"/>
      <c r="BV156" s="43"/>
      <c r="BW156" s="43"/>
      <c r="BX156" s="43"/>
      <c r="BY156" s="221"/>
      <c r="BZ156" s="221"/>
      <c r="CA156" s="221"/>
      <c r="CB156" s="221"/>
      <c r="CC156" s="43"/>
    </row>
    <row r="157" spans="3:81" ht="11.25" customHeight="1">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c r="BG157" s="43"/>
      <c r="BH157" s="43"/>
      <c r="BI157" s="43"/>
      <c r="BJ157" s="43"/>
      <c r="BK157" s="43"/>
      <c r="BL157" s="43"/>
      <c r="BM157" s="43"/>
      <c r="BN157" s="43"/>
      <c r="BO157" s="43"/>
      <c r="BP157" s="43"/>
      <c r="BQ157" s="43"/>
      <c r="BR157" s="43"/>
      <c r="BS157" s="43"/>
      <c r="BT157" s="43"/>
      <c r="BU157" s="43"/>
      <c r="BV157" s="43"/>
      <c r="BW157" s="43"/>
      <c r="BX157" s="43"/>
      <c r="BY157" s="221"/>
      <c r="BZ157" s="221"/>
      <c r="CA157" s="221"/>
      <c r="CB157" s="221"/>
      <c r="CC157" s="43"/>
    </row>
    <row r="158" spans="3:81" ht="11.25" customHeight="1">
      <c r="C158" s="43"/>
      <c r="D158" s="225"/>
      <c r="E158" s="225"/>
      <c r="F158" s="225"/>
      <c r="G158" s="225"/>
      <c r="H158" s="225"/>
      <c r="I158" s="124"/>
      <c r="J158" s="219"/>
      <c r="K158" s="219"/>
      <c r="L158" s="219"/>
      <c r="M158" s="219"/>
      <c r="N158" s="219"/>
      <c r="O158" s="219"/>
      <c r="P158" s="219"/>
      <c r="Q158" s="219"/>
      <c r="R158" s="219"/>
      <c r="S158" s="219"/>
      <c r="T158" s="219"/>
      <c r="U158" s="219"/>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226"/>
      <c r="AX158" s="226"/>
      <c r="AY158" s="226"/>
      <c r="AZ158" s="226"/>
      <c r="BA158" s="226"/>
      <c r="BB158" s="226"/>
      <c r="BC158" s="92"/>
      <c r="BD158" s="92"/>
      <c r="BE158" s="92"/>
      <c r="BF158" s="92"/>
      <c r="BG158" s="227"/>
      <c r="BH158" s="227"/>
      <c r="BI158" s="227"/>
      <c r="BJ158" s="227"/>
      <c r="BK158" s="227"/>
      <c r="BL158" s="227"/>
      <c r="BM158" s="227"/>
      <c r="BN158" s="227"/>
      <c r="BO158" s="227"/>
      <c r="BP158" s="227"/>
      <c r="BQ158" s="227"/>
      <c r="BR158" s="227"/>
      <c r="BS158" s="227"/>
      <c r="BT158" s="227"/>
      <c r="BU158" s="227"/>
      <c r="BV158" s="227"/>
      <c r="BW158" s="227"/>
      <c r="BX158" s="227"/>
      <c r="BY158" s="221"/>
      <c r="BZ158" s="221"/>
      <c r="CA158" s="221"/>
      <c r="CB158" s="221"/>
      <c r="CC158" s="43"/>
    </row>
    <row r="159" spans="3:81" ht="11.25" customHeight="1">
      <c r="C159" s="43"/>
      <c r="D159" s="225"/>
      <c r="E159" s="225"/>
      <c r="F159" s="225"/>
      <c r="G159" s="225"/>
      <c r="H159" s="225"/>
      <c r="I159" s="219"/>
      <c r="J159" s="219"/>
      <c r="K159" s="219"/>
      <c r="L159" s="219"/>
      <c r="M159" s="219"/>
      <c r="N159" s="219"/>
      <c r="O159" s="219"/>
      <c r="P159" s="219"/>
      <c r="Q159" s="219"/>
      <c r="R159" s="219"/>
      <c r="S159" s="219"/>
      <c r="T159" s="219"/>
      <c r="U159" s="219"/>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226"/>
      <c r="AX159" s="226"/>
      <c r="AY159" s="226"/>
      <c r="AZ159" s="226"/>
      <c r="BA159" s="226"/>
      <c r="BB159" s="226"/>
      <c r="BC159" s="92"/>
      <c r="BD159" s="92"/>
      <c r="BE159" s="92"/>
      <c r="BF159" s="92"/>
      <c r="BG159" s="227"/>
      <c r="BH159" s="227"/>
      <c r="BI159" s="227"/>
      <c r="BJ159" s="227"/>
      <c r="BK159" s="227"/>
      <c r="BL159" s="227"/>
      <c r="BM159" s="227"/>
      <c r="BN159" s="227"/>
      <c r="BO159" s="227"/>
      <c r="BP159" s="227"/>
      <c r="BQ159" s="227"/>
      <c r="BR159" s="227"/>
      <c r="BS159" s="227"/>
      <c r="BT159" s="227"/>
      <c r="BU159" s="227"/>
      <c r="BV159" s="227"/>
      <c r="BW159" s="227"/>
      <c r="BX159" s="227"/>
      <c r="BY159" s="221"/>
      <c r="BZ159" s="221"/>
      <c r="CA159" s="221"/>
      <c r="CB159" s="221"/>
      <c r="CC159" s="43"/>
    </row>
    <row r="160" spans="3:81" ht="11.25" customHeight="1">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3"/>
      <c r="BG160" s="43"/>
      <c r="BH160" s="43"/>
      <c r="BI160" s="43"/>
      <c r="BJ160" s="43"/>
      <c r="BK160" s="43"/>
      <c r="BL160" s="43"/>
      <c r="BM160" s="43"/>
      <c r="BN160" s="43"/>
      <c r="BO160" s="43"/>
      <c r="BP160" s="43"/>
      <c r="BQ160" s="43"/>
      <c r="BR160" s="43"/>
      <c r="BS160" s="43"/>
      <c r="BT160" s="43"/>
      <c r="BU160" s="43"/>
      <c r="BV160" s="43"/>
      <c r="BW160" s="43"/>
      <c r="BX160" s="43"/>
      <c r="BY160" s="221"/>
      <c r="BZ160" s="221"/>
      <c r="CA160" s="221"/>
      <c r="CB160" s="221"/>
      <c r="CC160" s="43"/>
    </row>
    <row r="161" spans="3:81" ht="11.25" customHeight="1">
      <c r="C161" s="218"/>
      <c r="D161" s="218"/>
      <c r="E161" s="218"/>
      <c r="F161" s="218"/>
      <c r="G161" s="218"/>
      <c r="H161" s="218"/>
      <c r="I161" s="218"/>
      <c r="J161" s="218"/>
      <c r="K161" s="218"/>
      <c r="L161" s="218"/>
      <c r="M161" s="218"/>
      <c r="N161" s="218"/>
      <c r="O161" s="218"/>
      <c r="P161" s="218"/>
      <c r="Q161" s="218"/>
      <c r="R161" s="218"/>
      <c r="S161" s="218"/>
      <c r="T161" s="218"/>
      <c r="U161" s="218"/>
      <c r="V161" s="218"/>
      <c r="W161" s="218"/>
      <c r="X161" s="218"/>
      <c r="Y161" s="218"/>
      <c r="Z161" s="255"/>
      <c r="AA161" s="255"/>
      <c r="AB161" s="218"/>
      <c r="AC161" s="218"/>
      <c r="AD161" s="218"/>
      <c r="AE161" s="218"/>
      <c r="AF161" s="218"/>
      <c r="AG161" s="218"/>
      <c r="AH161" s="218"/>
      <c r="AI161" s="218"/>
      <c r="AJ161" s="218"/>
      <c r="AK161" s="218"/>
      <c r="AL161" s="218"/>
      <c r="AM161" s="218"/>
      <c r="AN161" s="218"/>
      <c r="AO161" s="218"/>
      <c r="AP161" s="218"/>
      <c r="AQ161" s="218"/>
      <c r="AR161" s="218"/>
      <c r="AS161" s="218"/>
      <c r="AT161" s="218"/>
      <c r="AU161" s="218"/>
      <c r="AV161" s="218"/>
      <c r="AW161" s="218"/>
      <c r="AX161" s="218"/>
      <c r="AY161" s="218"/>
      <c r="AZ161" s="218"/>
      <c r="BA161" s="218"/>
      <c r="BB161" s="218"/>
      <c r="BC161" s="218"/>
      <c r="BD161" s="218"/>
      <c r="BE161" s="218"/>
      <c r="BF161" s="218"/>
      <c r="BG161" s="218"/>
      <c r="BH161" s="218"/>
      <c r="BI161" s="218"/>
      <c r="BJ161" s="218"/>
      <c r="BK161" s="218"/>
      <c r="BL161" s="218"/>
      <c r="BM161" s="218"/>
      <c r="BN161" s="218"/>
      <c r="BO161" s="218"/>
      <c r="BP161" s="218"/>
      <c r="BQ161" s="218"/>
      <c r="BR161" s="218"/>
      <c r="BS161" s="218"/>
      <c r="BT161" s="218"/>
      <c r="BU161" s="218"/>
      <c r="BV161" s="218"/>
      <c r="BW161" s="218"/>
      <c r="BX161" s="218"/>
      <c r="BY161" s="218"/>
      <c r="BZ161" s="218"/>
      <c r="CA161" s="218"/>
      <c r="CB161" s="218"/>
      <c r="CC161" s="218"/>
    </row>
    <row r="162" spans="3:81" ht="11.25" customHeight="1">
      <c r="C162" s="218"/>
      <c r="D162" s="218"/>
      <c r="E162" s="218"/>
      <c r="F162" s="218"/>
      <c r="G162" s="218"/>
      <c r="H162" s="218"/>
      <c r="I162" s="218"/>
      <c r="J162" s="218"/>
      <c r="K162" s="218"/>
      <c r="L162" s="218"/>
      <c r="M162" s="218"/>
      <c r="N162" s="218"/>
      <c r="O162" s="218"/>
      <c r="P162" s="218"/>
      <c r="Q162" s="218"/>
      <c r="R162" s="218"/>
      <c r="S162" s="218"/>
      <c r="T162" s="218"/>
      <c r="U162" s="218"/>
      <c r="V162" s="218"/>
      <c r="W162" s="218"/>
      <c r="X162" s="218"/>
      <c r="Y162" s="218"/>
      <c r="Z162" s="255"/>
      <c r="AA162" s="255"/>
      <c r="AB162" s="218"/>
      <c r="AC162" s="218"/>
      <c r="AD162" s="218"/>
      <c r="AE162" s="218"/>
      <c r="AF162" s="218"/>
      <c r="AG162" s="218"/>
      <c r="AH162" s="218"/>
      <c r="AI162" s="218"/>
      <c r="AJ162" s="218"/>
      <c r="AK162" s="218"/>
      <c r="AL162" s="218"/>
      <c r="AM162" s="218"/>
      <c r="AN162" s="218"/>
      <c r="AO162" s="218"/>
      <c r="AP162" s="218"/>
      <c r="AQ162" s="218"/>
      <c r="AR162" s="218"/>
      <c r="AS162" s="218"/>
      <c r="AT162" s="218"/>
      <c r="AU162" s="218"/>
      <c r="AV162" s="218"/>
      <c r="AW162" s="218"/>
      <c r="AX162" s="218"/>
      <c r="AY162" s="218"/>
      <c r="AZ162" s="218"/>
      <c r="BA162" s="218"/>
      <c r="BB162" s="218"/>
      <c r="BC162" s="218"/>
      <c r="BD162" s="218"/>
      <c r="BE162" s="218"/>
      <c r="BF162" s="218"/>
      <c r="BG162" s="218"/>
      <c r="BH162" s="218"/>
      <c r="BI162" s="218"/>
      <c r="BJ162" s="218"/>
      <c r="BK162" s="218"/>
      <c r="BL162" s="218"/>
      <c r="BM162" s="218"/>
      <c r="BN162" s="218"/>
      <c r="BO162" s="218"/>
      <c r="BP162" s="218"/>
      <c r="BQ162" s="218"/>
      <c r="BR162" s="218"/>
      <c r="BS162" s="218"/>
      <c r="BT162" s="218"/>
      <c r="BU162" s="218"/>
      <c r="BV162" s="218"/>
      <c r="BW162" s="218"/>
      <c r="BX162" s="218"/>
      <c r="BY162" s="218"/>
      <c r="BZ162" s="218"/>
      <c r="CA162" s="218"/>
      <c r="CB162" s="218"/>
      <c r="CC162" s="218"/>
    </row>
    <row r="163" spans="3:81" ht="11.25" customHeight="1">
      <c r="C163" s="218"/>
      <c r="D163" s="218"/>
      <c r="E163" s="218"/>
      <c r="F163" s="218"/>
      <c r="G163" s="218"/>
      <c r="H163" s="218"/>
      <c r="I163" s="218"/>
      <c r="J163" s="218"/>
      <c r="K163" s="218"/>
      <c r="L163" s="218"/>
      <c r="M163" s="218"/>
      <c r="N163" s="218"/>
      <c r="O163" s="218"/>
      <c r="P163" s="218"/>
      <c r="Q163" s="218"/>
      <c r="R163" s="218"/>
      <c r="S163" s="218"/>
      <c r="T163" s="218"/>
      <c r="U163" s="218"/>
      <c r="V163" s="218"/>
      <c r="W163" s="218"/>
      <c r="X163" s="218"/>
      <c r="Y163" s="218"/>
      <c r="Z163" s="255"/>
      <c r="AA163" s="255"/>
      <c r="AB163" s="218"/>
      <c r="AC163" s="218"/>
      <c r="AD163" s="218"/>
      <c r="AE163" s="218"/>
      <c r="AF163" s="218"/>
      <c r="AG163" s="218"/>
      <c r="AH163" s="218"/>
      <c r="AI163" s="218"/>
      <c r="AJ163" s="218"/>
      <c r="AK163" s="218"/>
      <c r="AL163" s="218"/>
      <c r="AM163" s="218"/>
      <c r="AN163" s="218"/>
      <c r="AO163" s="218"/>
      <c r="AP163" s="218"/>
      <c r="AQ163" s="218"/>
      <c r="AR163" s="218"/>
      <c r="AS163" s="218"/>
      <c r="AT163" s="218"/>
      <c r="AU163" s="218"/>
      <c r="AV163" s="218"/>
      <c r="AW163" s="218"/>
      <c r="AX163" s="218"/>
      <c r="AY163" s="218"/>
      <c r="AZ163" s="218"/>
      <c r="BA163" s="218"/>
      <c r="BB163" s="218"/>
      <c r="BC163" s="218"/>
      <c r="BD163" s="218"/>
      <c r="BE163" s="218"/>
      <c r="BF163" s="218"/>
      <c r="BG163" s="218"/>
      <c r="BH163" s="218"/>
      <c r="BI163" s="218"/>
      <c r="BJ163" s="218"/>
      <c r="BK163" s="218"/>
      <c r="BL163" s="218"/>
      <c r="BM163" s="218"/>
      <c r="BN163" s="218"/>
      <c r="BO163" s="218"/>
      <c r="BP163" s="218"/>
      <c r="BQ163" s="218"/>
      <c r="BR163" s="218"/>
      <c r="BS163" s="218"/>
      <c r="BT163" s="218"/>
      <c r="BU163" s="218"/>
      <c r="BV163" s="218"/>
      <c r="BW163" s="218"/>
      <c r="BX163" s="218"/>
      <c r="BY163" s="218"/>
      <c r="BZ163" s="218"/>
      <c r="CA163" s="218"/>
      <c r="CB163" s="218"/>
      <c r="CC163" s="218"/>
    </row>
    <row r="164" spans="3:81" ht="11.25" customHeight="1">
      <c r="C164" s="218"/>
      <c r="D164" s="218"/>
      <c r="E164" s="218"/>
      <c r="F164" s="218"/>
      <c r="G164" s="218"/>
      <c r="H164" s="218"/>
      <c r="I164" s="218"/>
      <c r="J164" s="218"/>
      <c r="K164" s="218"/>
      <c r="L164" s="218"/>
      <c r="M164" s="218"/>
      <c r="N164" s="218"/>
      <c r="O164" s="218"/>
      <c r="P164" s="218"/>
      <c r="Q164" s="218"/>
      <c r="R164" s="218"/>
      <c r="S164" s="218"/>
      <c r="T164" s="218"/>
      <c r="U164" s="218"/>
      <c r="V164" s="218"/>
      <c r="W164" s="218"/>
      <c r="X164" s="218"/>
      <c r="Y164" s="218"/>
      <c r="Z164" s="255"/>
      <c r="AA164" s="255"/>
      <c r="AB164" s="218"/>
      <c r="AC164" s="218"/>
      <c r="AD164" s="218"/>
      <c r="AE164" s="218"/>
      <c r="AF164" s="218"/>
      <c r="AG164" s="218"/>
      <c r="AH164" s="218"/>
      <c r="AI164" s="218"/>
      <c r="AJ164" s="218"/>
      <c r="AK164" s="218"/>
      <c r="AL164" s="218"/>
      <c r="AM164" s="218"/>
      <c r="AN164" s="218"/>
      <c r="AO164" s="218"/>
      <c r="AP164" s="218"/>
      <c r="AQ164" s="218"/>
      <c r="AR164" s="218"/>
      <c r="AS164" s="218"/>
      <c r="AT164" s="218"/>
      <c r="AU164" s="218"/>
      <c r="AV164" s="218"/>
      <c r="AW164" s="218"/>
      <c r="AX164" s="218"/>
      <c r="AY164" s="218"/>
      <c r="AZ164" s="218"/>
      <c r="BA164" s="218"/>
      <c r="BB164" s="218"/>
      <c r="BC164" s="218"/>
      <c r="BD164" s="218"/>
      <c r="BE164" s="218"/>
      <c r="BF164" s="218"/>
      <c r="BG164" s="218"/>
      <c r="BH164" s="218"/>
      <c r="BI164" s="218"/>
      <c r="BJ164" s="218"/>
      <c r="BK164" s="218"/>
      <c r="BL164" s="218"/>
      <c r="BM164" s="218"/>
      <c r="BN164" s="218"/>
      <c r="BO164" s="218"/>
      <c r="BP164" s="218"/>
      <c r="BQ164" s="218"/>
      <c r="BR164" s="218"/>
      <c r="BS164" s="218"/>
      <c r="BT164" s="218"/>
      <c r="BU164" s="218"/>
      <c r="BV164" s="218"/>
      <c r="BW164" s="218"/>
      <c r="BX164" s="218"/>
      <c r="BY164" s="218"/>
      <c r="BZ164" s="218"/>
      <c r="CA164" s="218"/>
      <c r="CB164" s="218"/>
      <c r="CC164" s="218"/>
    </row>
    <row r="165" spans="3:81" ht="11.25" customHeight="1">
      <c r="C165" s="218"/>
      <c r="D165" s="218"/>
      <c r="E165" s="218"/>
      <c r="F165" s="218"/>
      <c r="G165" s="218"/>
      <c r="H165" s="218"/>
      <c r="I165" s="218"/>
      <c r="J165" s="218"/>
      <c r="K165" s="218"/>
      <c r="L165" s="218"/>
      <c r="M165" s="218"/>
      <c r="N165" s="218"/>
      <c r="O165" s="218"/>
      <c r="P165" s="218"/>
      <c r="Q165" s="218"/>
      <c r="R165" s="218"/>
      <c r="S165" s="218"/>
      <c r="T165" s="218"/>
      <c r="U165" s="218"/>
      <c r="V165" s="218"/>
      <c r="W165" s="218"/>
      <c r="X165" s="218"/>
      <c r="Y165" s="218"/>
      <c r="Z165" s="255"/>
      <c r="AA165" s="255"/>
      <c r="AB165" s="218"/>
      <c r="AC165" s="218"/>
      <c r="AD165" s="218"/>
      <c r="AE165" s="218"/>
      <c r="AF165" s="218"/>
      <c r="AG165" s="218"/>
      <c r="AH165" s="218"/>
      <c r="AI165" s="218"/>
      <c r="AJ165" s="218"/>
      <c r="AK165" s="218"/>
      <c r="AL165" s="218"/>
      <c r="AM165" s="218"/>
      <c r="AN165" s="218"/>
      <c r="AO165" s="218"/>
      <c r="AP165" s="218"/>
      <c r="AQ165" s="218"/>
      <c r="AR165" s="218"/>
      <c r="AS165" s="218"/>
      <c r="AT165" s="218"/>
      <c r="AU165" s="218"/>
      <c r="AV165" s="218"/>
      <c r="AW165" s="218"/>
      <c r="AX165" s="218"/>
      <c r="AY165" s="218"/>
      <c r="AZ165" s="218"/>
      <c r="BA165" s="218"/>
      <c r="BB165" s="218"/>
      <c r="BC165" s="218"/>
      <c r="BD165" s="218"/>
      <c r="BE165" s="218"/>
      <c r="BF165" s="218"/>
      <c r="BG165" s="218"/>
      <c r="BH165" s="218"/>
      <c r="BI165" s="218"/>
      <c r="BJ165" s="218"/>
      <c r="BK165" s="218"/>
      <c r="BL165" s="218"/>
      <c r="BM165" s="218"/>
      <c r="BN165" s="218"/>
      <c r="BO165" s="218"/>
      <c r="BP165" s="218"/>
      <c r="BQ165" s="218"/>
      <c r="BR165" s="218"/>
      <c r="BS165" s="218"/>
      <c r="BT165" s="218"/>
      <c r="BU165" s="218"/>
      <c r="BV165" s="218"/>
      <c r="BW165" s="218"/>
      <c r="BX165" s="218"/>
      <c r="BY165" s="218"/>
      <c r="BZ165" s="218"/>
      <c r="CA165" s="218"/>
      <c r="CB165" s="218"/>
      <c r="CC165" s="218"/>
    </row>
    <row r="166" spans="3:81" ht="11.25" customHeight="1">
      <c r="C166" s="218"/>
      <c r="D166" s="218"/>
      <c r="E166" s="218"/>
      <c r="F166" s="218"/>
      <c r="G166" s="218"/>
      <c r="H166" s="218"/>
      <c r="I166" s="218"/>
      <c r="J166" s="218"/>
      <c r="K166" s="218"/>
      <c r="L166" s="218"/>
      <c r="M166" s="218"/>
      <c r="N166" s="218"/>
      <c r="O166" s="218"/>
      <c r="P166" s="218"/>
      <c r="Q166" s="218"/>
      <c r="R166" s="218"/>
      <c r="S166" s="218"/>
      <c r="T166" s="218"/>
      <c r="U166" s="218"/>
      <c r="V166" s="218"/>
      <c r="W166" s="218"/>
      <c r="X166" s="218"/>
      <c r="Y166" s="218"/>
      <c r="Z166" s="255"/>
      <c r="AA166" s="255"/>
      <c r="AB166" s="218"/>
      <c r="AC166" s="218"/>
      <c r="AD166" s="218"/>
      <c r="AE166" s="218"/>
      <c r="AF166" s="218"/>
      <c r="AG166" s="218"/>
      <c r="AH166" s="218"/>
      <c r="AI166" s="218"/>
      <c r="AJ166" s="218"/>
      <c r="AK166" s="218"/>
      <c r="AL166" s="218"/>
      <c r="AM166" s="218"/>
      <c r="AN166" s="218"/>
      <c r="AO166" s="218"/>
      <c r="AP166" s="218"/>
      <c r="AQ166" s="218"/>
      <c r="AR166" s="218"/>
      <c r="AS166" s="218"/>
      <c r="AT166" s="218"/>
      <c r="AU166" s="218"/>
      <c r="AV166" s="218"/>
      <c r="AW166" s="218"/>
      <c r="AX166" s="218"/>
      <c r="AY166" s="218"/>
      <c r="AZ166" s="218"/>
      <c r="BA166" s="218"/>
      <c r="BB166" s="218"/>
      <c r="BC166" s="218"/>
      <c r="BD166" s="218"/>
      <c r="BE166" s="218"/>
      <c r="BF166" s="218"/>
      <c r="BG166" s="218"/>
      <c r="BH166" s="218"/>
      <c r="BI166" s="218"/>
      <c r="BJ166" s="218"/>
      <c r="BK166" s="218"/>
      <c r="BL166" s="218"/>
      <c r="BM166" s="218"/>
      <c r="BN166" s="218"/>
      <c r="BO166" s="218"/>
      <c r="BP166" s="218"/>
      <c r="BQ166" s="218"/>
      <c r="BR166" s="218"/>
      <c r="BS166" s="218"/>
      <c r="BT166" s="218"/>
      <c r="BU166" s="218"/>
      <c r="BV166" s="218"/>
      <c r="BW166" s="218"/>
      <c r="BX166" s="218"/>
      <c r="BY166" s="218"/>
      <c r="BZ166" s="218"/>
      <c r="CA166" s="218"/>
      <c r="CB166" s="218"/>
      <c r="CC166" s="218"/>
    </row>
    <row r="167" spans="3:81" ht="11.25" customHeight="1">
      <c r="C167" s="218"/>
      <c r="D167" s="218"/>
      <c r="E167" s="218"/>
      <c r="F167" s="218"/>
      <c r="G167" s="218"/>
      <c r="H167" s="218"/>
      <c r="I167" s="218"/>
      <c r="J167" s="218"/>
      <c r="K167" s="218"/>
      <c r="L167" s="218"/>
      <c r="M167" s="218"/>
      <c r="N167" s="218"/>
      <c r="O167" s="218"/>
      <c r="P167" s="218"/>
      <c r="Q167" s="218"/>
      <c r="R167" s="218"/>
      <c r="S167" s="218"/>
      <c r="T167" s="218"/>
      <c r="U167" s="218"/>
      <c r="V167" s="218"/>
      <c r="W167" s="218"/>
      <c r="X167" s="218"/>
      <c r="Y167" s="218"/>
      <c r="Z167" s="255"/>
      <c r="AA167" s="255"/>
      <c r="AB167" s="218"/>
      <c r="AC167" s="218"/>
      <c r="AD167" s="218"/>
      <c r="AE167" s="218"/>
      <c r="AF167" s="218"/>
      <c r="AG167" s="218"/>
      <c r="AH167" s="218"/>
      <c r="AI167" s="218"/>
      <c r="AJ167" s="218"/>
      <c r="AK167" s="218"/>
      <c r="AL167" s="218"/>
      <c r="AM167" s="218"/>
      <c r="AN167" s="218"/>
      <c r="AO167" s="218"/>
      <c r="AP167" s="218"/>
      <c r="AQ167" s="218"/>
      <c r="AR167" s="218"/>
      <c r="AS167" s="218"/>
      <c r="AT167" s="218"/>
      <c r="AU167" s="218"/>
      <c r="AV167" s="218"/>
      <c r="AW167" s="218"/>
      <c r="AX167" s="218"/>
      <c r="AY167" s="218"/>
      <c r="AZ167" s="218"/>
      <c r="BA167" s="218"/>
      <c r="BB167" s="218"/>
      <c r="BC167" s="218"/>
      <c r="BD167" s="218"/>
      <c r="BE167" s="218"/>
      <c r="BF167" s="218"/>
      <c r="BG167" s="218"/>
      <c r="BH167" s="218"/>
      <c r="BI167" s="218"/>
      <c r="BJ167" s="218"/>
      <c r="BK167" s="218"/>
      <c r="BL167" s="218"/>
      <c r="BM167" s="218"/>
      <c r="BN167" s="218"/>
      <c r="BO167" s="218"/>
      <c r="BP167" s="218"/>
      <c r="BQ167" s="218"/>
      <c r="BR167" s="218"/>
      <c r="BS167" s="218"/>
      <c r="BT167" s="218"/>
      <c r="BU167" s="218"/>
      <c r="BV167" s="218"/>
      <c r="BW167" s="218"/>
      <c r="BX167" s="218"/>
      <c r="BY167" s="218"/>
      <c r="BZ167" s="218"/>
      <c r="CA167" s="218"/>
      <c r="CB167" s="218"/>
      <c r="CC167" s="218"/>
    </row>
    <row r="168" spans="3:81" ht="11.25" customHeight="1">
      <c r="C168" s="218"/>
      <c r="D168" s="218"/>
      <c r="E168" s="218"/>
      <c r="F168" s="218"/>
      <c r="G168" s="218"/>
      <c r="H168" s="218"/>
      <c r="I168" s="218"/>
      <c r="J168" s="218"/>
      <c r="K168" s="218"/>
      <c r="L168" s="218"/>
      <c r="M168" s="218"/>
      <c r="N168" s="218"/>
      <c r="O168" s="218"/>
      <c r="P168" s="218"/>
      <c r="Q168" s="218"/>
      <c r="R168" s="218"/>
      <c r="S168" s="218"/>
      <c r="T168" s="218"/>
      <c r="U168" s="218"/>
      <c r="V168" s="218"/>
      <c r="W168" s="218"/>
      <c r="X168" s="218"/>
      <c r="Y168" s="218"/>
      <c r="Z168" s="255"/>
      <c r="AA168" s="255"/>
      <c r="AB168" s="218"/>
      <c r="AC168" s="218"/>
      <c r="AD168" s="218"/>
      <c r="AE168" s="218"/>
      <c r="AF168" s="218"/>
      <c r="AG168" s="218"/>
      <c r="AH168" s="218"/>
      <c r="AI168" s="218"/>
      <c r="AJ168" s="218"/>
      <c r="AK168" s="218"/>
      <c r="AL168" s="218"/>
      <c r="AM168" s="218"/>
      <c r="AN168" s="218"/>
      <c r="AO168" s="218"/>
      <c r="AP168" s="218"/>
      <c r="AQ168" s="218"/>
      <c r="AR168" s="218"/>
      <c r="AS168" s="218"/>
      <c r="AT168" s="218"/>
      <c r="AU168" s="218"/>
      <c r="AV168" s="218"/>
      <c r="AW168" s="218"/>
      <c r="AX168" s="218"/>
      <c r="AY168" s="218"/>
      <c r="AZ168" s="218"/>
      <c r="BA168" s="218"/>
      <c r="BB168" s="218"/>
      <c r="BC168" s="218"/>
      <c r="BD168" s="218"/>
      <c r="BE168" s="218"/>
      <c r="BF168" s="218"/>
      <c r="BG168" s="218"/>
      <c r="BH168" s="218"/>
      <c r="BI168" s="218"/>
      <c r="BJ168" s="218"/>
      <c r="BK168" s="218"/>
      <c r="BL168" s="218"/>
      <c r="BM168" s="218"/>
      <c r="BN168" s="218"/>
      <c r="BO168" s="218"/>
      <c r="BP168" s="218"/>
      <c r="BQ168" s="218"/>
      <c r="BR168" s="218"/>
      <c r="BS168" s="218"/>
      <c r="BT168" s="218"/>
      <c r="BU168" s="218"/>
      <c r="BV168" s="218"/>
      <c r="BW168" s="218"/>
      <c r="BX168" s="218"/>
      <c r="BY168" s="218"/>
      <c r="BZ168" s="218"/>
      <c r="CA168" s="218"/>
      <c r="CB168" s="218"/>
      <c r="CC168" s="218"/>
    </row>
    <row r="169" spans="3:81" ht="11.25" customHeight="1">
      <c r="C169" s="218"/>
      <c r="D169" s="218"/>
      <c r="E169" s="218"/>
      <c r="F169" s="218"/>
      <c r="G169" s="218"/>
      <c r="H169" s="218"/>
      <c r="I169" s="218"/>
      <c r="J169" s="218"/>
      <c r="K169" s="218"/>
      <c r="L169" s="218"/>
      <c r="M169" s="218"/>
      <c r="N169" s="218"/>
      <c r="O169" s="218"/>
      <c r="P169" s="218"/>
      <c r="Q169" s="218"/>
      <c r="R169" s="218"/>
      <c r="S169" s="218"/>
      <c r="T169" s="218"/>
      <c r="U169" s="218"/>
      <c r="V169" s="218"/>
      <c r="W169" s="218"/>
      <c r="X169" s="218"/>
      <c r="Y169" s="218"/>
      <c r="Z169" s="255"/>
      <c r="AA169" s="255"/>
      <c r="AB169" s="218"/>
      <c r="AC169" s="218"/>
      <c r="AD169" s="218"/>
      <c r="AE169" s="218"/>
      <c r="AF169" s="218"/>
      <c r="AG169" s="218"/>
      <c r="AH169" s="218"/>
      <c r="AI169" s="218"/>
      <c r="AJ169" s="218"/>
      <c r="AK169" s="218"/>
      <c r="AL169" s="218"/>
      <c r="AM169" s="218"/>
      <c r="AN169" s="218"/>
      <c r="AO169" s="218"/>
      <c r="AP169" s="218"/>
      <c r="AQ169" s="218"/>
      <c r="AR169" s="218"/>
      <c r="AS169" s="218"/>
      <c r="AT169" s="218"/>
      <c r="AU169" s="218"/>
      <c r="AV169" s="218"/>
      <c r="AW169" s="218"/>
      <c r="AX169" s="218"/>
      <c r="AY169" s="218"/>
      <c r="AZ169" s="218"/>
      <c r="BA169" s="218"/>
      <c r="BB169" s="218"/>
      <c r="BC169" s="218"/>
      <c r="BD169" s="218"/>
      <c r="BE169" s="218"/>
      <c r="BF169" s="218"/>
      <c r="BG169" s="218"/>
      <c r="BH169" s="218"/>
      <c r="BI169" s="218"/>
      <c r="BJ169" s="218"/>
      <c r="BK169" s="218"/>
      <c r="BL169" s="218"/>
      <c r="BM169" s="218"/>
      <c r="BN169" s="218"/>
      <c r="BO169" s="218"/>
      <c r="BP169" s="218"/>
      <c r="BQ169" s="218"/>
      <c r="BR169" s="218"/>
      <c r="BS169" s="218"/>
      <c r="BT169" s="218"/>
      <c r="BU169" s="218"/>
      <c r="BV169" s="218"/>
      <c r="BW169" s="218"/>
      <c r="BX169" s="218"/>
      <c r="BY169" s="218"/>
      <c r="BZ169" s="218"/>
      <c r="CA169" s="218"/>
      <c r="CB169" s="218"/>
      <c r="CC169" s="218"/>
    </row>
    <row r="170" spans="3:81" ht="11.25" customHeight="1">
      <c r="C170" s="218"/>
      <c r="D170" s="218"/>
      <c r="E170" s="218"/>
      <c r="F170" s="218"/>
      <c r="G170" s="218"/>
      <c r="H170" s="218"/>
      <c r="I170" s="218"/>
      <c r="J170" s="218"/>
      <c r="K170" s="218"/>
      <c r="L170" s="218"/>
      <c r="M170" s="218"/>
      <c r="N170" s="218"/>
      <c r="O170" s="218"/>
      <c r="P170" s="218"/>
      <c r="Q170" s="218"/>
      <c r="R170" s="218"/>
      <c r="S170" s="218"/>
      <c r="T170" s="218"/>
      <c r="U170" s="218"/>
      <c r="V170" s="218"/>
      <c r="W170" s="218"/>
      <c r="X170" s="218"/>
      <c r="Y170" s="218"/>
      <c r="Z170" s="255"/>
      <c r="AA170" s="255"/>
      <c r="AB170" s="218"/>
      <c r="AC170" s="218"/>
      <c r="AD170" s="218"/>
      <c r="AE170" s="218"/>
      <c r="AF170" s="218"/>
      <c r="AG170" s="218"/>
      <c r="AH170" s="218"/>
      <c r="AI170" s="218"/>
      <c r="AJ170" s="218"/>
      <c r="AK170" s="218"/>
      <c r="AL170" s="218"/>
      <c r="AM170" s="218"/>
      <c r="AN170" s="218"/>
      <c r="AO170" s="218"/>
      <c r="AP170" s="218"/>
      <c r="AQ170" s="218"/>
      <c r="AR170" s="218"/>
      <c r="AS170" s="218"/>
      <c r="AT170" s="218"/>
      <c r="AU170" s="218"/>
      <c r="AV170" s="218"/>
      <c r="AW170" s="218"/>
      <c r="AX170" s="218"/>
      <c r="AY170" s="218"/>
      <c r="AZ170" s="218"/>
      <c r="BA170" s="218"/>
      <c r="BB170" s="218"/>
      <c r="BC170" s="218"/>
      <c r="BD170" s="218"/>
      <c r="BE170" s="218"/>
      <c r="BF170" s="218"/>
      <c r="BG170" s="218"/>
      <c r="BH170" s="218"/>
      <c r="BI170" s="218"/>
      <c r="BJ170" s="218"/>
      <c r="BK170" s="218"/>
      <c r="BL170" s="218"/>
      <c r="BM170" s="218"/>
      <c r="BN170" s="218"/>
      <c r="BO170" s="218"/>
      <c r="BP170" s="218"/>
      <c r="BQ170" s="218"/>
      <c r="BR170" s="218"/>
      <c r="BS170" s="218"/>
      <c r="BT170" s="218"/>
      <c r="BU170" s="218"/>
      <c r="BV170" s="218"/>
      <c r="BW170" s="218"/>
      <c r="BX170" s="218"/>
      <c r="BY170" s="218"/>
      <c r="BZ170" s="218"/>
      <c r="CA170" s="218"/>
      <c r="CB170" s="218"/>
      <c r="CC170" s="218"/>
    </row>
    <row r="171" spans="3:81" ht="11.25" customHeight="1">
      <c r="C171" s="218"/>
      <c r="D171" s="218"/>
      <c r="E171" s="218"/>
      <c r="F171" s="218"/>
      <c r="G171" s="218"/>
      <c r="H171" s="218"/>
      <c r="I171" s="218"/>
      <c r="J171" s="218"/>
      <c r="K171" s="218"/>
      <c r="L171" s="218"/>
      <c r="M171" s="218"/>
      <c r="N171" s="218"/>
      <c r="O171" s="218"/>
      <c r="P171" s="218"/>
      <c r="Q171" s="218"/>
      <c r="R171" s="218"/>
      <c r="S171" s="218"/>
      <c r="T171" s="218"/>
      <c r="U171" s="218"/>
      <c r="V171" s="218"/>
      <c r="W171" s="218"/>
      <c r="X171" s="218"/>
      <c r="Y171" s="218"/>
      <c r="Z171" s="255"/>
      <c r="AA171" s="255"/>
      <c r="AB171" s="218"/>
      <c r="AC171" s="218"/>
      <c r="AD171" s="218"/>
      <c r="AE171" s="218"/>
      <c r="AF171" s="218"/>
      <c r="AG171" s="218"/>
      <c r="AH171" s="218"/>
      <c r="AI171" s="218"/>
      <c r="AJ171" s="218"/>
      <c r="AK171" s="218"/>
      <c r="AL171" s="218"/>
      <c r="AM171" s="218"/>
      <c r="AN171" s="218"/>
      <c r="AO171" s="218"/>
      <c r="AP171" s="218"/>
      <c r="AQ171" s="218"/>
      <c r="AR171" s="218"/>
      <c r="AS171" s="218"/>
      <c r="AT171" s="218"/>
      <c r="AU171" s="218"/>
      <c r="AV171" s="218"/>
      <c r="AW171" s="218"/>
      <c r="AX171" s="218"/>
      <c r="AY171" s="218"/>
      <c r="AZ171" s="218"/>
      <c r="BA171" s="218"/>
      <c r="BB171" s="218"/>
      <c r="BC171" s="218"/>
      <c r="BD171" s="218"/>
      <c r="BE171" s="218"/>
      <c r="BF171" s="218"/>
      <c r="BG171" s="218"/>
      <c r="BH171" s="218"/>
      <c r="BI171" s="218"/>
      <c r="BJ171" s="218"/>
      <c r="BK171" s="218"/>
      <c r="BL171" s="218"/>
      <c r="BM171" s="218"/>
      <c r="BN171" s="218"/>
      <c r="BO171" s="218"/>
      <c r="BP171" s="218"/>
      <c r="BQ171" s="218"/>
      <c r="BR171" s="218"/>
      <c r="BS171" s="218"/>
      <c r="BT171" s="218"/>
      <c r="BU171" s="218"/>
      <c r="BV171" s="218"/>
      <c r="BW171" s="218"/>
      <c r="BX171" s="218"/>
      <c r="BY171" s="218"/>
      <c r="BZ171" s="218"/>
      <c r="CA171" s="218"/>
      <c r="CB171" s="218"/>
      <c r="CC171" s="218"/>
    </row>
    <row r="172" spans="3:81" ht="11.25" customHeight="1">
      <c r="C172" s="218"/>
      <c r="D172" s="218"/>
      <c r="E172" s="218"/>
      <c r="F172" s="218"/>
      <c r="G172" s="218"/>
      <c r="H172" s="218"/>
      <c r="I172" s="218"/>
      <c r="J172" s="218"/>
      <c r="K172" s="218"/>
      <c r="L172" s="218"/>
      <c r="M172" s="218"/>
      <c r="N172" s="218"/>
      <c r="O172" s="218"/>
      <c r="P172" s="218"/>
      <c r="Q172" s="218"/>
      <c r="R172" s="218"/>
      <c r="S172" s="218"/>
      <c r="T172" s="218"/>
      <c r="U172" s="218"/>
      <c r="V172" s="218"/>
      <c r="W172" s="218"/>
      <c r="X172" s="218"/>
      <c r="Y172" s="218"/>
      <c r="Z172" s="255"/>
      <c r="AA172" s="255"/>
      <c r="AB172" s="218"/>
      <c r="AC172" s="218"/>
      <c r="AD172" s="218"/>
      <c r="AE172" s="218"/>
      <c r="AF172" s="218"/>
      <c r="AG172" s="218"/>
      <c r="AH172" s="218"/>
      <c r="AI172" s="218"/>
      <c r="AJ172" s="218"/>
      <c r="AK172" s="218"/>
      <c r="AL172" s="218"/>
      <c r="AM172" s="218"/>
      <c r="AN172" s="218"/>
      <c r="AO172" s="218"/>
      <c r="AP172" s="218"/>
      <c r="AQ172" s="218"/>
      <c r="AR172" s="218"/>
      <c r="AS172" s="218"/>
      <c r="AT172" s="218"/>
      <c r="AU172" s="218"/>
      <c r="AV172" s="218"/>
      <c r="AW172" s="218"/>
      <c r="AX172" s="218"/>
      <c r="AY172" s="218"/>
      <c r="AZ172" s="218"/>
      <c r="BA172" s="218"/>
      <c r="BB172" s="218"/>
      <c r="BC172" s="218"/>
      <c r="BD172" s="218"/>
      <c r="BE172" s="218"/>
      <c r="BF172" s="218"/>
      <c r="BG172" s="218"/>
      <c r="BH172" s="218"/>
      <c r="BI172" s="218"/>
      <c r="BJ172" s="218"/>
      <c r="BK172" s="218"/>
      <c r="BL172" s="218"/>
      <c r="BM172" s="218"/>
      <c r="BN172" s="218"/>
      <c r="BO172" s="218"/>
      <c r="BP172" s="218"/>
      <c r="BQ172" s="218"/>
      <c r="BR172" s="218"/>
      <c r="BS172" s="218"/>
      <c r="BT172" s="218"/>
      <c r="BU172" s="218"/>
      <c r="BV172" s="218"/>
      <c r="BW172" s="218"/>
      <c r="BX172" s="218"/>
      <c r="BY172" s="218"/>
      <c r="BZ172" s="218"/>
      <c r="CA172" s="218"/>
      <c r="CB172" s="218"/>
      <c r="CC172" s="218"/>
    </row>
    <row r="173" spans="3:81" ht="11.25" customHeight="1">
      <c r="C173" s="218"/>
      <c r="D173" s="218"/>
      <c r="E173" s="218"/>
      <c r="F173" s="218"/>
      <c r="G173" s="218"/>
      <c r="H173" s="218"/>
      <c r="I173" s="218"/>
      <c r="J173" s="218"/>
      <c r="K173" s="218"/>
      <c r="L173" s="218"/>
      <c r="M173" s="218"/>
      <c r="N173" s="218"/>
      <c r="O173" s="218"/>
      <c r="P173" s="218"/>
      <c r="Q173" s="218"/>
      <c r="R173" s="218"/>
      <c r="S173" s="218"/>
      <c r="T173" s="218"/>
      <c r="U173" s="218"/>
      <c r="V173" s="218"/>
      <c r="W173" s="218"/>
      <c r="X173" s="218"/>
      <c r="Y173" s="218"/>
      <c r="Z173" s="255"/>
      <c r="AA173" s="255"/>
      <c r="AB173" s="218"/>
      <c r="AC173" s="218"/>
      <c r="AD173" s="218"/>
      <c r="AE173" s="218"/>
      <c r="AF173" s="218"/>
      <c r="AG173" s="218"/>
      <c r="AH173" s="218"/>
      <c r="AI173" s="218"/>
      <c r="AJ173" s="218"/>
      <c r="AK173" s="218"/>
      <c r="AL173" s="218"/>
      <c r="AM173" s="218"/>
      <c r="AN173" s="218"/>
      <c r="AO173" s="218"/>
      <c r="AP173" s="218"/>
      <c r="AQ173" s="218"/>
      <c r="AR173" s="218"/>
      <c r="AS173" s="218"/>
      <c r="AT173" s="218"/>
      <c r="AU173" s="218"/>
      <c r="AV173" s="218"/>
      <c r="AW173" s="218"/>
      <c r="AX173" s="218"/>
      <c r="AY173" s="218"/>
      <c r="AZ173" s="218"/>
      <c r="BA173" s="218"/>
      <c r="BB173" s="218"/>
      <c r="BC173" s="218"/>
      <c r="BD173" s="218"/>
      <c r="BE173" s="218"/>
      <c r="BF173" s="218"/>
      <c r="BG173" s="218"/>
      <c r="BH173" s="218"/>
      <c r="BI173" s="218"/>
      <c r="BJ173" s="218"/>
      <c r="BK173" s="218"/>
      <c r="BL173" s="218"/>
      <c r="BM173" s="218"/>
      <c r="BN173" s="218"/>
      <c r="BO173" s="218"/>
      <c r="BP173" s="218"/>
      <c r="BQ173" s="218"/>
      <c r="BR173" s="218"/>
      <c r="BS173" s="218"/>
      <c r="BT173" s="218"/>
      <c r="BU173" s="218"/>
      <c r="BV173" s="218"/>
      <c r="BW173" s="218"/>
      <c r="BX173" s="218"/>
      <c r="BY173" s="218"/>
      <c r="BZ173" s="218"/>
      <c r="CA173" s="218"/>
      <c r="CB173" s="218"/>
      <c r="CC173" s="218"/>
    </row>
    <row r="174" spans="3:81" ht="11.25" customHeight="1">
      <c r="C174" s="218"/>
      <c r="D174" s="218"/>
      <c r="E174" s="218"/>
      <c r="F174" s="218"/>
      <c r="G174" s="218"/>
      <c r="H174" s="218"/>
      <c r="I174" s="218"/>
      <c r="J174" s="218"/>
      <c r="K174" s="218"/>
      <c r="L174" s="218"/>
      <c r="M174" s="218"/>
      <c r="N174" s="218"/>
      <c r="O174" s="218"/>
      <c r="P174" s="218"/>
      <c r="Q174" s="218"/>
      <c r="R174" s="218"/>
      <c r="S174" s="218"/>
      <c r="T174" s="218"/>
      <c r="U174" s="218"/>
      <c r="V174" s="218"/>
      <c r="W174" s="218"/>
      <c r="X174" s="218"/>
      <c r="Y174" s="218"/>
      <c r="Z174" s="255"/>
      <c r="AA174" s="255"/>
      <c r="AB174" s="218"/>
      <c r="AC174" s="218"/>
      <c r="AD174" s="218"/>
      <c r="AE174" s="218"/>
      <c r="AF174" s="218"/>
      <c r="AG174" s="218"/>
      <c r="AH174" s="218"/>
      <c r="AI174" s="218"/>
      <c r="AJ174" s="218"/>
      <c r="AK174" s="218"/>
      <c r="AL174" s="218"/>
      <c r="AM174" s="218"/>
      <c r="AN174" s="218"/>
      <c r="AO174" s="218"/>
      <c r="AP174" s="218"/>
      <c r="AQ174" s="218"/>
      <c r="AR174" s="218"/>
      <c r="AS174" s="218"/>
      <c r="AT174" s="218"/>
      <c r="AU174" s="218"/>
      <c r="AV174" s="218"/>
      <c r="AW174" s="218"/>
      <c r="AX174" s="218"/>
      <c r="AY174" s="218"/>
      <c r="AZ174" s="218"/>
      <c r="BA174" s="218"/>
      <c r="BB174" s="218"/>
      <c r="BC174" s="218"/>
      <c r="BD174" s="218"/>
      <c r="BE174" s="218"/>
      <c r="BF174" s="218"/>
      <c r="BG174" s="218"/>
      <c r="BH174" s="218"/>
      <c r="BI174" s="218"/>
      <c r="BJ174" s="218"/>
      <c r="BK174" s="218"/>
      <c r="BL174" s="218"/>
      <c r="BM174" s="218"/>
      <c r="BN174" s="218"/>
      <c r="BO174" s="218"/>
      <c r="BP174" s="218"/>
      <c r="BQ174" s="218"/>
      <c r="BR174" s="218"/>
      <c r="BS174" s="218"/>
      <c r="BT174" s="218"/>
      <c r="BU174" s="218"/>
      <c r="BV174" s="218"/>
      <c r="BW174" s="218"/>
      <c r="BX174" s="218"/>
      <c r="BY174" s="218"/>
      <c r="BZ174" s="218"/>
      <c r="CA174" s="218"/>
      <c r="CB174" s="218"/>
      <c r="CC174" s="218"/>
    </row>
    <row r="175" spans="3:81" ht="11.25" customHeight="1">
      <c r="C175" s="218"/>
      <c r="D175" s="218"/>
      <c r="E175" s="218"/>
      <c r="F175" s="218"/>
      <c r="G175" s="218"/>
      <c r="H175" s="218"/>
      <c r="I175" s="218"/>
      <c r="J175" s="218"/>
      <c r="K175" s="218"/>
      <c r="L175" s="218"/>
      <c r="M175" s="218"/>
      <c r="N175" s="218"/>
      <c r="O175" s="218"/>
      <c r="P175" s="218"/>
      <c r="Q175" s="218"/>
      <c r="R175" s="218"/>
      <c r="S175" s="218"/>
      <c r="T175" s="218"/>
      <c r="U175" s="218"/>
      <c r="V175" s="218"/>
      <c r="W175" s="218"/>
      <c r="X175" s="218"/>
      <c r="Y175" s="218"/>
      <c r="Z175" s="255"/>
      <c r="AA175" s="255"/>
      <c r="AB175" s="218"/>
      <c r="AC175" s="218"/>
      <c r="AD175" s="218"/>
      <c r="AE175" s="218"/>
      <c r="AF175" s="218"/>
      <c r="AG175" s="218"/>
      <c r="AH175" s="218"/>
      <c r="AI175" s="218"/>
      <c r="AJ175" s="218"/>
      <c r="AK175" s="218"/>
      <c r="AL175" s="218"/>
      <c r="AM175" s="218"/>
      <c r="AN175" s="218"/>
      <c r="AO175" s="218"/>
      <c r="AP175" s="218"/>
      <c r="AQ175" s="218"/>
      <c r="AR175" s="218"/>
      <c r="AS175" s="218"/>
      <c r="AT175" s="218"/>
      <c r="AU175" s="218"/>
      <c r="AV175" s="218"/>
      <c r="AW175" s="218"/>
      <c r="AX175" s="218"/>
      <c r="AY175" s="218"/>
      <c r="AZ175" s="218"/>
      <c r="BA175" s="218"/>
      <c r="BB175" s="218"/>
      <c r="BC175" s="218"/>
      <c r="BD175" s="218"/>
      <c r="BE175" s="218"/>
      <c r="BF175" s="218"/>
      <c r="BG175" s="218"/>
      <c r="BH175" s="218"/>
      <c r="BI175" s="218"/>
      <c r="BJ175" s="218"/>
      <c r="BK175" s="218"/>
      <c r="BL175" s="218"/>
      <c r="BM175" s="218"/>
      <c r="BN175" s="218"/>
      <c r="BO175" s="218"/>
      <c r="BP175" s="218"/>
      <c r="BQ175" s="218"/>
      <c r="BR175" s="218"/>
      <c r="BS175" s="218"/>
      <c r="BT175" s="218"/>
      <c r="BU175" s="218"/>
      <c r="BV175" s="218"/>
      <c r="BW175" s="218"/>
      <c r="BX175" s="218"/>
      <c r="BY175" s="218"/>
      <c r="BZ175" s="218"/>
      <c r="CA175" s="218"/>
      <c r="CB175" s="218"/>
      <c r="CC175" s="218"/>
    </row>
    <row r="176" spans="3:81" ht="11.25" customHeight="1">
      <c r="C176" s="218"/>
      <c r="D176" s="218"/>
      <c r="E176" s="218"/>
      <c r="F176" s="218"/>
      <c r="G176" s="218"/>
      <c r="H176" s="218"/>
      <c r="I176" s="218"/>
      <c r="J176" s="218"/>
      <c r="K176" s="218"/>
      <c r="L176" s="218"/>
      <c r="M176" s="218"/>
      <c r="N176" s="218"/>
      <c r="O176" s="218"/>
      <c r="P176" s="218"/>
      <c r="Q176" s="218"/>
      <c r="R176" s="218"/>
      <c r="S176" s="218"/>
      <c r="T176" s="218"/>
      <c r="U176" s="218"/>
      <c r="V176" s="218"/>
      <c r="W176" s="218"/>
      <c r="X176" s="218"/>
      <c r="Y176" s="218"/>
      <c r="Z176" s="255"/>
      <c r="AA176" s="255"/>
      <c r="AB176" s="218"/>
      <c r="AC176" s="218"/>
      <c r="AD176" s="218"/>
      <c r="AE176" s="218"/>
      <c r="AF176" s="218"/>
      <c r="AG176" s="218"/>
      <c r="AH176" s="218"/>
      <c r="AI176" s="218"/>
      <c r="AJ176" s="218"/>
      <c r="AK176" s="218"/>
      <c r="AL176" s="218"/>
      <c r="AM176" s="218"/>
      <c r="AN176" s="218"/>
      <c r="AO176" s="218"/>
      <c r="AP176" s="218"/>
      <c r="AQ176" s="218"/>
      <c r="AR176" s="218"/>
      <c r="AS176" s="218"/>
      <c r="AT176" s="218"/>
      <c r="AU176" s="218"/>
      <c r="AV176" s="218"/>
      <c r="AW176" s="218"/>
      <c r="AX176" s="218"/>
      <c r="AY176" s="218"/>
      <c r="AZ176" s="218"/>
      <c r="BA176" s="218"/>
      <c r="BB176" s="218"/>
      <c r="BC176" s="218"/>
      <c r="BD176" s="218"/>
      <c r="BE176" s="218"/>
      <c r="BF176" s="218"/>
      <c r="BG176" s="218"/>
      <c r="BH176" s="218"/>
      <c r="BI176" s="218"/>
      <c r="BJ176" s="218"/>
      <c r="BK176" s="218"/>
      <c r="BL176" s="218"/>
      <c r="BM176" s="218"/>
      <c r="BN176" s="218"/>
      <c r="BO176" s="218"/>
      <c r="BP176" s="218"/>
      <c r="BQ176" s="218"/>
      <c r="BR176" s="218"/>
      <c r="BS176" s="218"/>
      <c r="BT176" s="218"/>
      <c r="BU176" s="218"/>
      <c r="BV176" s="218"/>
      <c r="BW176" s="218"/>
      <c r="BX176" s="218"/>
      <c r="BY176" s="218"/>
      <c r="BZ176" s="218"/>
      <c r="CA176" s="218"/>
      <c r="CB176" s="218"/>
      <c r="CC176" s="218"/>
    </row>
    <row r="177" spans="3:81" ht="11.25" customHeight="1">
      <c r="C177" s="218"/>
      <c r="D177" s="218"/>
      <c r="E177" s="218"/>
      <c r="F177" s="218"/>
      <c r="G177" s="218"/>
      <c r="H177" s="218"/>
      <c r="I177" s="218"/>
      <c r="J177" s="218"/>
      <c r="K177" s="218"/>
      <c r="L177" s="218"/>
      <c r="M177" s="218"/>
      <c r="N177" s="218"/>
      <c r="O177" s="218"/>
      <c r="P177" s="218"/>
      <c r="Q177" s="218"/>
      <c r="R177" s="218"/>
      <c r="S177" s="218"/>
      <c r="T177" s="218"/>
      <c r="U177" s="218"/>
      <c r="V177" s="218"/>
      <c r="W177" s="218"/>
      <c r="X177" s="218"/>
      <c r="Y177" s="218"/>
      <c r="Z177" s="255"/>
      <c r="AA177" s="255"/>
      <c r="AB177" s="218"/>
      <c r="AC177" s="218"/>
      <c r="AD177" s="218"/>
      <c r="AE177" s="218"/>
      <c r="AF177" s="218"/>
      <c r="AG177" s="218"/>
      <c r="AH177" s="218"/>
      <c r="AI177" s="218"/>
      <c r="AJ177" s="218"/>
      <c r="AK177" s="218"/>
      <c r="AL177" s="218"/>
      <c r="AM177" s="218"/>
      <c r="AN177" s="218"/>
      <c r="AO177" s="218"/>
      <c r="AP177" s="218"/>
      <c r="AQ177" s="218"/>
      <c r="AR177" s="218"/>
      <c r="AS177" s="218"/>
      <c r="AT177" s="218"/>
      <c r="AU177" s="218"/>
      <c r="AV177" s="218"/>
      <c r="AW177" s="218"/>
      <c r="AX177" s="218"/>
      <c r="AY177" s="218"/>
      <c r="AZ177" s="218"/>
      <c r="BA177" s="218"/>
      <c r="BB177" s="218"/>
      <c r="BC177" s="218"/>
      <c r="BD177" s="218"/>
      <c r="BE177" s="218"/>
      <c r="BF177" s="218"/>
      <c r="BG177" s="218"/>
      <c r="BH177" s="218"/>
      <c r="BI177" s="218"/>
      <c r="BJ177" s="218"/>
      <c r="BK177" s="218"/>
      <c r="BL177" s="218"/>
      <c r="BM177" s="218"/>
      <c r="BN177" s="218"/>
      <c r="BO177" s="218"/>
      <c r="BP177" s="218"/>
      <c r="BQ177" s="218"/>
      <c r="BR177" s="218"/>
      <c r="BS177" s="218"/>
      <c r="BT177" s="218"/>
      <c r="BU177" s="218"/>
      <c r="BV177" s="218"/>
      <c r="BW177" s="218"/>
      <c r="BX177" s="218"/>
      <c r="BY177" s="218"/>
      <c r="BZ177" s="218"/>
      <c r="CA177" s="218"/>
      <c r="CB177" s="218"/>
      <c r="CC177" s="218"/>
    </row>
    <row r="178" spans="3:81" ht="11.25" customHeight="1">
      <c r="C178" s="218"/>
      <c r="D178" s="218"/>
      <c r="E178" s="218"/>
      <c r="F178" s="218"/>
      <c r="G178" s="218"/>
      <c r="H178" s="218"/>
      <c r="I178" s="218"/>
      <c r="J178" s="218"/>
      <c r="K178" s="218"/>
      <c r="L178" s="218"/>
      <c r="M178" s="218"/>
      <c r="N178" s="218"/>
      <c r="O178" s="218"/>
      <c r="P178" s="218"/>
      <c r="Q178" s="218"/>
      <c r="R178" s="218"/>
      <c r="S178" s="218"/>
      <c r="T178" s="218"/>
      <c r="U178" s="218"/>
      <c r="V178" s="218"/>
      <c r="W178" s="218"/>
      <c r="X178" s="218"/>
      <c r="Y178" s="218"/>
      <c r="Z178" s="255"/>
      <c r="AA178" s="255"/>
      <c r="AB178" s="218"/>
      <c r="AC178" s="218"/>
      <c r="AD178" s="218"/>
      <c r="AE178" s="218"/>
      <c r="AF178" s="218"/>
      <c r="AG178" s="218"/>
      <c r="AH178" s="218"/>
      <c r="AI178" s="218"/>
      <c r="AJ178" s="218"/>
      <c r="AK178" s="218"/>
      <c r="AL178" s="218"/>
      <c r="AM178" s="218"/>
      <c r="AN178" s="218"/>
      <c r="AO178" s="218"/>
      <c r="AP178" s="218"/>
      <c r="AQ178" s="218"/>
      <c r="AR178" s="218"/>
      <c r="AS178" s="218"/>
      <c r="AT178" s="218"/>
      <c r="AU178" s="218"/>
      <c r="AV178" s="218"/>
      <c r="AW178" s="218"/>
      <c r="AX178" s="218"/>
      <c r="AY178" s="218"/>
      <c r="AZ178" s="218"/>
      <c r="BA178" s="218"/>
      <c r="BB178" s="218"/>
      <c r="BC178" s="218"/>
      <c r="BD178" s="218"/>
      <c r="BE178" s="218"/>
      <c r="BF178" s="218"/>
      <c r="BG178" s="218"/>
      <c r="BH178" s="218"/>
      <c r="BI178" s="218"/>
      <c r="BJ178" s="218"/>
      <c r="BK178" s="218"/>
      <c r="BL178" s="218"/>
      <c r="BM178" s="218"/>
      <c r="BN178" s="218"/>
      <c r="BO178" s="218"/>
      <c r="BP178" s="218"/>
      <c r="BQ178" s="218"/>
      <c r="BR178" s="218"/>
      <c r="BS178" s="218"/>
      <c r="BT178" s="218"/>
      <c r="BU178" s="218"/>
      <c r="BV178" s="218"/>
      <c r="BW178" s="218"/>
      <c r="BX178" s="218"/>
      <c r="BY178" s="218"/>
      <c r="BZ178" s="218"/>
      <c r="CA178" s="218"/>
      <c r="CB178" s="218"/>
      <c r="CC178" s="218"/>
    </row>
    <row r="179" spans="3:81" ht="11.25" customHeight="1">
      <c r="C179" s="218"/>
      <c r="D179" s="218"/>
      <c r="E179" s="218"/>
      <c r="F179" s="218"/>
      <c r="G179" s="218"/>
      <c r="H179" s="218"/>
      <c r="I179" s="218"/>
      <c r="J179" s="218"/>
      <c r="K179" s="218"/>
      <c r="L179" s="218"/>
      <c r="M179" s="218"/>
      <c r="N179" s="218"/>
      <c r="O179" s="218"/>
      <c r="P179" s="218"/>
      <c r="Q179" s="218"/>
      <c r="R179" s="218"/>
      <c r="S179" s="218"/>
      <c r="T179" s="218"/>
      <c r="U179" s="218"/>
      <c r="V179" s="218"/>
      <c r="W179" s="218"/>
      <c r="X179" s="218"/>
      <c r="Y179" s="218"/>
      <c r="Z179" s="255"/>
      <c r="AA179" s="255"/>
      <c r="AB179" s="218"/>
      <c r="AC179" s="218"/>
      <c r="AD179" s="218"/>
      <c r="AE179" s="218"/>
      <c r="AF179" s="218"/>
      <c r="AG179" s="218"/>
      <c r="AH179" s="218"/>
      <c r="AI179" s="218"/>
      <c r="AJ179" s="218"/>
      <c r="AK179" s="218"/>
      <c r="AL179" s="218"/>
      <c r="AM179" s="218"/>
      <c r="AN179" s="218"/>
      <c r="AO179" s="218"/>
      <c r="AP179" s="218"/>
      <c r="AQ179" s="218"/>
      <c r="AR179" s="218"/>
      <c r="AS179" s="218"/>
      <c r="AT179" s="218"/>
      <c r="AU179" s="218"/>
      <c r="AV179" s="218"/>
      <c r="AW179" s="218"/>
      <c r="AX179" s="218"/>
      <c r="AY179" s="218"/>
      <c r="AZ179" s="218"/>
      <c r="BA179" s="218"/>
      <c r="BB179" s="218"/>
      <c r="BC179" s="218"/>
      <c r="BD179" s="218"/>
      <c r="BE179" s="218"/>
      <c r="BF179" s="218"/>
      <c r="BG179" s="218"/>
      <c r="BH179" s="218"/>
      <c r="BI179" s="218"/>
      <c r="BJ179" s="218"/>
      <c r="BK179" s="218"/>
      <c r="BL179" s="218"/>
      <c r="BM179" s="218"/>
      <c r="BN179" s="218"/>
      <c r="BO179" s="218"/>
      <c r="BP179" s="218"/>
      <c r="BQ179" s="218"/>
      <c r="BR179" s="218"/>
      <c r="BS179" s="218"/>
      <c r="BT179" s="218"/>
      <c r="BU179" s="218"/>
      <c r="BV179" s="218"/>
      <c r="BW179" s="218"/>
      <c r="BX179" s="218"/>
      <c r="BY179" s="218"/>
      <c r="BZ179" s="218"/>
      <c r="CA179" s="218"/>
      <c r="CB179" s="218"/>
      <c r="CC179" s="218"/>
    </row>
    <row r="180" spans="3:81" ht="11.25" customHeight="1">
      <c r="C180" s="218"/>
      <c r="D180" s="218"/>
      <c r="E180" s="218"/>
      <c r="F180" s="218"/>
      <c r="G180" s="218"/>
      <c r="H180" s="218"/>
      <c r="I180" s="218"/>
      <c r="J180" s="218"/>
      <c r="K180" s="218"/>
      <c r="L180" s="218"/>
      <c r="M180" s="218"/>
      <c r="N180" s="218"/>
      <c r="O180" s="218"/>
      <c r="P180" s="218"/>
      <c r="Q180" s="218"/>
      <c r="R180" s="218"/>
      <c r="S180" s="218"/>
      <c r="T180" s="218"/>
      <c r="U180" s="218"/>
      <c r="V180" s="218"/>
      <c r="W180" s="218"/>
      <c r="X180" s="218"/>
      <c r="Y180" s="218"/>
      <c r="Z180" s="255"/>
      <c r="AA180" s="255"/>
      <c r="AB180" s="218"/>
      <c r="AC180" s="218"/>
      <c r="AD180" s="218"/>
      <c r="AE180" s="218"/>
      <c r="AF180" s="218"/>
      <c r="AG180" s="218"/>
      <c r="AH180" s="218"/>
      <c r="AI180" s="218"/>
      <c r="AJ180" s="218"/>
      <c r="AK180" s="218"/>
      <c r="AL180" s="218"/>
      <c r="AM180" s="218"/>
      <c r="AN180" s="218"/>
      <c r="AO180" s="218"/>
      <c r="AP180" s="218"/>
      <c r="AQ180" s="218"/>
      <c r="AR180" s="218"/>
      <c r="AS180" s="218"/>
      <c r="AT180" s="218"/>
      <c r="AU180" s="218"/>
      <c r="AV180" s="218"/>
      <c r="AW180" s="218"/>
      <c r="AX180" s="218"/>
      <c r="AY180" s="218"/>
      <c r="AZ180" s="218"/>
      <c r="BA180" s="218"/>
      <c r="BB180" s="218"/>
      <c r="BC180" s="218"/>
      <c r="BD180" s="218"/>
      <c r="BE180" s="218"/>
      <c r="BF180" s="218"/>
      <c r="BG180" s="218"/>
      <c r="BH180" s="218"/>
      <c r="BI180" s="218"/>
      <c r="BJ180" s="218"/>
      <c r="BK180" s="218"/>
      <c r="BL180" s="218"/>
      <c r="BM180" s="218"/>
      <c r="BN180" s="218"/>
      <c r="BO180" s="218"/>
      <c r="BP180" s="218"/>
      <c r="BQ180" s="218"/>
      <c r="BR180" s="218"/>
      <c r="BS180" s="218"/>
      <c r="BT180" s="218"/>
      <c r="BU180" s="218"/>
      <c r="BV180" s="218"/>
      <c r="BW180" s="218"/>
      <c r="BX180" s="218"/>
      <c r="BY180" s="218"/>
      <c r="BZ180" s="218"/>
      <c r="CA180" s="218"/>
      <c r="CB180" s="218"/>
      <c r="CC180" s="218"/>
    </row>
    <row r="181" spans="3:81" ht="11.25" customHeight="1">
      <c r="C181" s="218"/>
      <c r="D181" s="218"/>
      <c r="E181" s="218"/>
      <c r="F181" s="218"/>
      <c r="G181" s="218"/>
      <c r="H181" s="218"/>
      <c r="I181" s="218"/>
      <c r="J181" s="218"/>
      <c r="K181" s="218"/>
      <c r="L181" s="218"/>
      <c r="M181" s="218"/>
      <c r="N181" s="218"/>
      <c r="O181" s="218"/>
      <c r="P181" s="218"/>
      <c r="Q181" s="218"/>
      <c r="R181" s="218"/>
      <c r="S181" s="218"/>
      <c r="T181" s="218"/>
      <c r="U181" s="218"/>
      <c r="V181" s="218"/>
      <c r="W181" s="218"/>
      <c r="X181" s="218"/>
      <c r="Y181" s="218"/>
      <c r="Z181" s="255"/>
      <c r="AA181" s="255"/>
      <c r="AB181" s="218"/>
      <c r="AC181" s="218"/>
      <c r="AD181" s="218"/>
      <c r="AE181" s="218"/>
      <c r="AF181" s="218"/>
      <c r="AG181" s="218"/>
      <c r="AH181" s="218"/>
      <c r="AI181" s="218"/>
      <c r="AJ181" s="218"/>
      <c r="AK181" s="218"/>
      <c r="AL181" s="218"/>
      <c r="AM181" s="218"/>
      <c r="AN181" s="218"/>
      <c r="AO181" s="218"/>
      <c r="AP181" s="218"/>
      <c r="AQ181" s="218"/>
      <c r="AR181" s="218"/>
      <c r="AS181" s="218"/>
      <c r="AT181" s="218"/>
      <c r="AU181" s="218"/>
      <c r="AV181" s="218"/>
      <c r="AW181" s="218"/>
      <c r="AX181" s="218"/>
      <c r="AY181" s="218"/>
      <c r="AZ181" s="218"/>
      <c r="BA181" s="218"/>
      <c r="BB181" s="218"/>
      <c r="BC181" s="218"/>
      <c r="BD181" s="218"/>
      <c r="BE181" s="218"/>
      <c r="BF181" s="218"/>
      <c r="BG181" s="218"/>
      <c r="BH181" s="218"/>
      <c r="BI181" s="218"/>
      <c r="BJ181" s="218"/>
      <c r="BK181" s="218"/>
      <c r="BL181" s="218"/>
      <c r="BM181" s="218"/>
      <c r="BN181" s="218"/>
      <c r="BO181" s="218"/>
      <c r="BP181" s="218"/>
      <c r="BQ181" s="218"/>
      <c r="BR181" s="218"/>
      <c r="BS181" s="218"/>
      <c r="BT181" s="218"/>
      <c r="BU181" s="218"/>
      <c r="BV181" s="218"/>
      <c r="BW181" s="218"/>
      <c r="BX181" s="218"/>
      <c r="BY181" s="218"/>
      <c r="BZ181" s="218"/>
      <c r="CA181" s="218"/>
      <c r="CB181" s="218"/>
      <c r="CC181" s="218"/>
    </row>
    <row r="182" spans="3:81" ht="11.25" customHeight="1">
      <c r="C182" s="218"/>
      <c r="D182" s="218"/>
      <c r="E182" s="218"/>
      <c r="F182" s="218"/>
      <c r="G182" s="218"/>
      <c r="H182" s="218"/>
      <c r="I182" s="218"/>
      <c r="J182" s="218"/>
      <c r="K182" s="218"/>
      <c r="L182" s="218"/>
      <c r="M182" s="218"/>
      <c r="N182" s="218"/>
      <c r="O182" s="218"/>
      <c r="P182" s="218"/>
      <c r="Q182" s="218"/>
      <c r="R182" s="218"/>
      <c r="S182" s="218"/>
      <c r="T182" s="218"/>
      <c r="U182" s="218"/>
      <c r="V182" s="218"/>
      <c r="W182" s="218"/>
      <c r="X182" s="218"/>
      <c r="Y182" s="218"/>
      <c r="Z182" s="255"/>
      <c r="AA182" s="255"/>
      <c r="AB182" s="218"/>
      <c r="AC182" s="218"/>
      <c r="AD182" s="218"/>
      <c r="AE182" s="218"/>
      <c r="AF182" s="218"/>
      <c r="AG182" s="218"/>
      <c r="AH182" s="218"/>
      <c r="AI182" s="218"/>
      <c r="AJ182" s="218"/>
      <c r="AK182" s="218"/>
      <c r="AL182" s="218"/>
      <c r="AM182" s="218"/>
      <c r="AN182" s="218"/>
      <c r="AO182" s="218"/>
      <c r="AP182" s="218"/>
      <c r="AQ182" s="218"/>
      <c r="AR182" s="218"/>
      <c r="AS182" s="218"/>
      <c r="AT182" s="218"/>
      <c r="AU182" s="218"/>
      <c r="AV182" s="218"/>
      <c r="AW182" s="218"/>
      <c r="AX182" s="218"/>
      <c r="AY182" s="218"/>
      <c r="AZ182" s="218"/>
      <c r="BA182" s="218"/>
      <c r="BB182" s="218"/>
      <c r="BC182" s="218"/>
      <c r="BD182" s="218"/>
      <c r="BE182" s="218"/>
      <c r="BF182" s="218"/>
      <c r="BG182" s="218"/>
      <c r="BH182" s="218"/>
      <c r="BI182" s="218"/>
      <c r="BJ182" s="218"/>
      <c r="BK182" s="218"/>
      <c r="BL182" s="218"/>
      <c r="BM182" s="218"/>
      <c r="BN182" s="218"/>
      <c r="BO182" s="218"/>
      <c r="BP182" s="218"/>
      <c r="BQ182" s="218"/>
      <c r="BR182" s="218"/>
      <c r="BS182" s="218"/>
      <c r="BT182" s="218"/>
      <c r="BU182" s="218"/>
      <c r="BV182" s="218"/>
      <c r="BW182" s="218"/>
      <c r="BX182" s="218"/>
      <c r="BY182" s="218"/>
      <c r="BZ182" s="218"/>
      <c r="CA182" s="218"/>
      <c r="CB182" s="218"/>
      <c r="CC182" s="218"/>
    </row>
    <row r="183" spans="3:81" ht="11.25" customHeight="1">
      <c r="C183" s="218"/>
      <c r="D183" s="218"/>
      <c r="E183" s="218"/>
      <c r="F183" s="218"/>
      <c r="G183" s="218"/>
      <c r="H183" s="218"/>
      <c r="I183" s="218"/>
      <c r="J183" s="218"/>
      <c r="K183" s="218"/>
      <c r="L183" s="218"/>
      <c r="M183" s="218"/>
      <c r="N183" s="218"/>
      <c r="O183" s="218"/>
      <c r="P183" s="218"/>
      <c r="Q183" s="218"/>
      <c r="R183" s="218"/>
      <c r="S183" s="218"/>
      <c r="T183" s="218"/>
      <c r="U183" s="218"/>
      <c r="V183" s="218"/>
      <c r="W183" s="218"/>
      <c r="X183" s="218"/>
      <c r="Y183" s="218"/>
      <c r="Z183" s="255"/>
      <c r="AA183" s="255"/>
      <c r="AB183" s="218"/>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18"/>
      <c r="AY183" s="218"/>
      <c r="AZ183" s="218"/>
      <c r="BA183" s="218"/>
      <c r="BB183" s="218"/>
      <c r="BC183" s="218"/>
      <c r="BD183" s="218"/>
      <c r="BE183" s="218"/>
      <c r="BF183" s="218"/>
      <c r="BG183" s="218"/>
      <c r="BH183" s="218"/>
      <c r="BI183" s="218"/>
      <c r="BJ183" s="218"/>
      <c r="BK183" s="218"/>
      <c r="BL183" s="218"/>
      <c r="BM183" s="218"/>
      <c r="BN183" s="218"/>
      <c r="BO183" s="218"/>
      <c r="BP183" s="218"/>
      <c r="BQ183" s="218"/>
      <c r="BR183" s="218"/>
      <c r="BS183" s="218"/>
      <c r="BT183" s="218"/>
      <c r="BU183" s="218"/>
      <c r="BV183" s="218"/>
      <c r="BW183" s="218"/>
      <c r="BX183" s="218"/>
      <c r="BY183" s="218"/>
      <c r="BZ183" s="218"/>
      <c r="CA183" s="218"/>
      <c r="CB183" s="218"/>
      <c r="CC183" s="218"/>
    </row>
    <row r="184" spans="3:81" ht="11.25" customHeight="1">
      <c r="C184" s="218"/>
      <c r="D184" s="218"/>
      <c r="E184" s="218"/>
      <c r="F184" s="218"/>
      <c r="G184" s="218"/>
      <c r="H184" s="218"/>
      <c r="I184" s="218"/>
      <c r="J184" s="218"/>
      <c r="K184" s="218"/>
      <c r="L184" s="218"/>
      <c r="M184" s="218"/>
      <c r="N184" s="218"/>
      <c r="O184" s="218"/>
      <c r="P184" s="218"/>
      <c r="Q184" s="218"/>
      <c r="R184" s="218"/>
      <c r="S184" s="218"/>
      <c r="T184" s="218"/>
      <c r="U184" s="218"/>
      <c r="V184" s="218"/>
      <c r="W184" s="218"/>
      <c r="X184" s="218"/>
      <c r="Y184" s="218"/>
      <c r="Z184" s="255"/>
      <c r="AA184" s="255"/>
      <c r="AB184" s="218"/>
      <c r="AC184" s="218"/>
      <c r="AD184" s="218"/>
      <c r="AE184" s="218"/>
      <c r="AF184" s="218"/>
      <c r="AG184" s="218"/>
      <c r="AH184" s="218"/>
      <c r="AI184" s="218"/>
      <c r="AJ184" s="218"/>
      <c r="AK184" s="218"/>
      <c r="AL184" s="218"/>
      <c r="AM184" s="218"/>
      <c r="AN184" s="218"/>
      <c r="AO184" s="218"/>
      <c r="AP184" s="218"/>
      <c r="AQ184" s="218"/>
      <c r="AR184" s="218"/>
      <c r="AS184" s="218"/>
      <c r="AT184" s="218"/>
      <c r="AU184" s="218"/>
      <c r="AV184" s="218"/>
      <c r="AW184" s="218"/>
      <c r="AX184" s="218"/>
      <c r="AY184" s="218"/>
      <c r="AZ184" s="218"/>
      <c r="BA184" s="218"/>
      <c r="BB184" s="218"/>
      <c r="BC184" s="218"/>
      <c r="BD184" s="218"/>
      <c r="BE184" s="218"/>
      <c r="BF184" s="218"/>
      <c r="BG184" s="218"/>
      <c r="BH184" s="218"/>
      <c r="BI184" s="218"/>
      <c r="BJ184" s="218"/>
      <c r="BK184" s="218"/>
      <c r="BL184" s="218"/>
      <c r="BM184" s="218"/>
      <c r="BN184" s="218"/>
      <c r="BO184" s="218"/>
      <c r="BP184" s="218"/>
      <c r="BQ184" s="218"/>
      <c r="BR184" s="218"/>
      <c r="BS184" s="218"/>
      <c r="BT184" s="218"/>
      <c r="BU184" s="218"/>
      <c r="BV184" s="218"/>
      <c r="BW184" s="218"/>
      <c r="BX184" s="218"/>
      <c r="BY184" s="218"/>
      <c r="BZ184" s="218"/>
      <c r="CA184" s="218"/>
      <c r="CB184" s="218"/>
      <c r="CC184" s="218"/>
    </row>
    <row r="185" spans="3:81" ht="11.25" customHeight="1">
      <c r="C185" s="218"/>
      <c r="D185" s="218"/>
      <c r="E185" s="218"/>
      <c r="F185" s="218"/>
      <c r="G185" s="218"/>
      <c r="H185" s="218"/>
      <c r="I185" s="218"/>
      <c r="J185" s="218"/>
      <c r="K185" s="218"/>
      <c r="L185" s="218"/>
      <c r="M185" s="218"/>
      <c r="N185" s="218"/>
      <c r="O185" s="218"/>
      <c r="P185" s="218"/>
      <c r="Q185" s="218"/>
      <c r="R185" s="218"/>
      <c r="S185" s="218"/>
      <c r="T185" s="218"/>
      <c r="U185" s="218"/>
      <c r="V185" s="218"/>
      <c r="W185" s="218"/>
      <c r="X185" s="218"/>
      <c r="Y185" s="218"/>
      <c r="Z185" s="255"/>
      <c r="AA185" s="255"/>
      <c r="AB185" s="218"/>
      <c r="AC185" s="218"/>
      <c r="AD185" s="218"/>
      <c r="AE185" s="218"/>
      <c r="AF185" s="218"/>
      <c r="AG185" s="218"/>
      <c r="AH185" s="218"/>
      <c r="AI185" s="218"/>
      <c r="AJ185" s="218"/>
      <c r="AK185" s="218"/>
      <c r="AL185" s="218"/>
      <c r="AM185" s="218"/>
      <c r="AN185" s="218"/>
      <c r="AO185" s="218"/>
      <c r="AP185" s="218"/>
      <c r="AQ185" s="218"/>
      <c r="AR185" s="218"/>
      <c r="AS185" s="218"/>
      <c r="AT185" s="218"/>
      <c r="AU185" s="218"/>
      <c r="AV185" s="218"/>
      <c r="AW185" s="218"/>
      <c r="AX185" s="218"/>
      <c r="AY185" s="218"/>
      <c r="AZ185" s="218"/>
      <c r="BA185" s="218"/>
      <c r="BB185" s="218"/>
      <c r="BC185" s="218"/>
      <c r="BD185" s="218"/>
      <c r="BE185" s="218"/>
      <c r="BF185" s="218"/>
      <c r="BG185" s="218"/>
      <c r="BH185" s="218"/>
      <c r="BI185" s="218"/>
      <c r="BJ185" s="218"/>
      <c r="BK185" s="218"/>
      <c r="BL185" s="218"/>
      <c r="BM185" s="218"/>
      <c r="BN185" s="218"/>
      <c r="BO185" s="218"/>
      <c r="BP185" s="218"/>
      <c r="BQ185" s="218"/>
      <c r="BR185" s="218"/>
      <c r="BS185" s="218"/>
      <c r="BT185" s="218"/>
      <c r="BU185" s="218"/>
      <c r="BV185" s="218"/>
      <c r="BW185" s="218"/>
      <c r="BX185" s="218"/>
      <c r="BY185" s="218"/>
      <c r="BZ185" s="218"/>
      <c r="CA185" s="218"/>
      <c r="CB185" s="218"/>
      <c r="CC185" s="218"/>
    </row>
    <row r="186" spans="3:81" ht="11.25" customHeight="1">
      <c r="C186" s="218"/>
      <c r="D186" s="218"/>
      <c r="E186" s="218"/>
      <c r="F186" s="218"/>
      <c r="G186" s="218"/>
      <c r="H186" s="218"/>
      <c r="I186" s="218"/>
      <c r="J186" s="218"/>
      <c r="K186" s="218"/>
      <c r="L186" s="218"/>
      <c r="M186" s="218"/>
      <c r="N186" s="218"/>
      <c r="O186" s="218"/>
      <c r="P186" s="218"/>
      <c r="Q186" s="218"/>
      <c r="R186" s="218"/>
      <c r="S186" s="218"/>
      <c r="T186" s="218"/>
      <c r="U186" s="218"/>
      <c r="V186" s="218"/>
      <c r="W186" s="218"/>
      <c r="X186" s="218"/>
      <c r="Y186" s="218"/>
      <c r="Z186" s="255"/>
      <c r="AA186" s="255"/>
      <c r="AB186" s="218"/>
      <c r="AC186" s="218"/>
      <c r="AD186" s="218"/>
      <c r="AE186" s="218"/>
      <c r="AF186" s="218"/>
      <c r="AG186" s="218"/>
      <c r="AH186" s="218"/>
      <c r="AI186" s="218"/>
      <c r="AJ186" s="218"/>
      <c r="AK186" s="218"/>
      <c r="AL186" s="218"/>
      <c r="AM186" s="218"/>
      <c r="AN186" s="218"/>
      <c r="AO186" s="218"/>
      <c r="AP186" s="218"/>
      <c r="AQ186" s="218"/>
      <c r="AR186" s="218"/>
      <c r="AS186" s="218"/>
      <c r="AT186" s="218"/>
      <c r="AU186" s="218"/>
      <c r="AV186" s="218"/>
      <c r="AW186" s="218"/>
      <c r="AX186" s="218"/>
      <c r="AY186" s="218"/>
      <c r="AZ186" s="218"/>
      <c r="BA186" s="218"/>
      <c r="BB186" s="218"/>
      <c r="BC186" s="218"/>
      <c r="BD186" s="218"/>
      <c r="BE186" s="218"/>
      <c r="BF186" s="218"/>
      <c r="BG186" s="218"/>
      <c r="BH186" s="218"/>
      <c r="BI186" s="218"/>
      <c r="BJ186" s="218"/>
      <c r="BK186" s="218"/>
      <c r="BL186" s="218"/>
      <c r="BM186" s="218"/>
      <c r="BN186" s="218"/>
      <c r="BO186" s="218"/>
      <c r="BP186" s="218"/>
      <c r="BQ186" s="218"/>
      <c r="BR186" s="218"/>
      <c r="BS186" s="218"/>
      <c r="BT186" s="218"/>
      <c r="BU186" s="218"/>
      <c r="BV186" s="218"/>
      <c r="BW186" s="218"/>
      <c r="BX186" s="218"/>
      <c r="BY186" s="218"/>
      <c r="BZ186" s="218"/>
      <c r="CA186" s="218"/>
      <c r="CB186" s="218"/>
      <c r="CC186" s="218"/>
    </row>
    <row r="187" spans="3:81" ht="11.25" customHeight="1">
      <c r="C187" s="218"/>
      <c r="D187" s="218"/>
      <c r="E187" s="218"/>
      <c r="F187" s="218"/>
      <c r="G187" s="218"/>
      <c r="H187" s="218"/>
      <c r="I187" s="218"/>
      <c r="J187" s="218"/>
      <c r="K187" s="218"/>
      <c r="L187" s="218"/>
      <c r="M187" s="218"/>
      <c r="N187" s="218"/>
      <c r="O187" s="218"/>
      <c r="P187" s="218"/>
      <c r="Q187" s="218"/>
      <c r="R187" s="218"/>
      <c r="S187" s="218"/>
      <c r="T187" s="218"/>
      <c r="U187" s="218"/>
      <c r="V187" s="218"/>
      <c r="W187" s="218"/>
      <c r="X187" s="218"/>
      <c r="Y187" s="218"/>
      <c r="Z187" s="255"/>
      <c r="AA187" s="255"/>
      <c r="AB187" s="218"/>
      <c r="AC187" s="218"/>
      <c r="AD187" s="218"/>
      <c r="AE187" s="218"/>
      <c r="AF187" s="218"/>
      <c r="AG187" s="218"/>
      <c r="AH187" s="218"/>
      <c r="AI187" s="218"/>
      <c r="AJ187" s="218"/>
      <c r="AK187" s="218"/>
      <c r="AL187" s="218"/>
      <c r="AM187" s="218"/>
      <c r="AN187" s="218"/>
      <c r="AO187" s="218"/>
      <c r="AP187" s="218"/>
      <c r="AQ187" s="218"/>
      <c r="AR187" s="218"/>
      <c r="AS187" s="218"/>
      <c r="AT187" s="218"/>
      <c r="AU187" s="218"/>
      <c r="AV187" s="218"/>
      <c r="AW187" s="218"/>
      <c r="AX187" s="218"/>
      <c r="AY187" s="218"/>
      <c r="AZ187" s="218"/>
      <c r="BA187" s="218"/>
      <c r="BB187" s="218"/>
      <c r="BC187" s="218"/>
      <c r="BD187" s="218"/>
      <c r="BE187" s="218"/>
      <c r="BF187" s="218"/>
      <c r="BG187" s="218"/>
      <c r="BH187" s="218"/>
      <c r="BI187" s="218"/>
      <c r="BJ187" s="218"/>
      <c r="BK187" s="218"/>
      <c r="BL187" s="218"/>
      <c r="BM187" s="218"/>
      <c r="BN187" s="218"/>
      <c r="BO187" s="218"/>
      <c r="BP187" s="218"/>
      <c r="BQ187" s="218"/>
      <c r="BR187" s="218"/>
      <c r="BS187" s="218"/>
      <c r="BT187" s="218"/>
      <c r="BU187" s="218"/>
      <c r="BV187" s="218"/>
      <c r="BW187" s="218"/>
      <c r="BX187" s="218"/>
      <c r="BY187" s="218"/>
      <c r="BZ187" s="218"/>
      <c r="CA187" s="218"/>
      <c r="CB187" s="218"/>
      <c r="CC187" s="218"/>
    </row>
    <row r="188" spans="3:81" ht="11.25" customHeight="1">
      <c r="C188" s="218"/>
      <c r="D188" s="218"/>
      <c r="E188" s="218"/>
      <c r="F188" s="218"/>
      <c r="G188" s="218"/>
      <c r="H188" s="218"/>
      <c r="I188" s="218"/>
      <c r="J188" s="218"/>
      <c r="K188" s="218"/>
      <c r="L188" s="218"/>
      <c r="M188" s="218"/>
      <c r="N188" s="218"/>
      <c r="O188" s="218"/>
      <c r="P188" s="218"/>
      <c r="Q188" s="218"/>
      <c r="R188" s="218"/>
      <c r="S188" s="218"/>
      <c r="T188" s="218"/>
      <c r="U188" s="218"/>
      <c r="V188" s="218"/>
      <c r="W188" s="218"/>
      <c r="X188" s="218"/>
      <c r="Y188" s="218"/>
      <c r="Z188" s="255"/>
      <c r="AA188" s="255"/>
      <c r="AB188" s="218"/>
      <c r="AC188" s="218"/>
      <c r="AD188" s="218"/>
      <c r="AE188" s="218"/>
      <c r="AF188" s="218"/>
      <c r="AG188" s="218"/>
      <c r="AH188" s="218"/>
      <c r="AI188" s="218"/>
      <c r="AJ188" s="218"/>
      <c r="AK188" s="218"/>
      <c r="AL188" s="218"/>
      <c r="AM188" s="218"/>
      <c r="AN188" s="218"/>
      <c r="AO188" s="218"/>
      <c r="AP188" s="218"/>
      <c r="AQ188" s="218"/>
      <c r="AR188" s="218"/>
      <c r="AS188" s="218"/>
      <c r="AT188" s="218"/>
      <c r="AU188" s="218"/>
      <c r="AV188" s="218"/>
      <c r="AW188" s="218"/>
      <c r="AX188" s="218"/>
      <c r="AY188" s="218"/>
      <c r="AZ188" s="218"/>
      <c r="BA188" s="218"/>
      <c r="BB188" s="218"/>
      <c r="BC188" s="218"/>
      <c r="BD188" s="218"/>
      <c r="BE188" s="218"/>
      <c r="BF188" s="218"/>
      <c r="BG188" s="218"/>
      <c r="BH188" s="218"/>
      <c r="BI188" s="218"/>
      <c r="BJ188" s="218"/>
      <c r="BK188" s="218"/>
      <c r="BL188" s="218"/>
      <c r="BM188" s="218"/>
      <c r="BN188" s="218"/>
      <c r="BO188" s="218"/>
      <c r="BP188" s="218"/>
      <c r="BQ188" s="218"/>
      <c r="BR188" s="218"/>
      <c r="BS188" s="218"/>
      <c r="BT188" s="218"/>
      <c r="BU188" s="218"/>
      <c r="BV188" s="218"/>
      <c r="BW188" s="218"/>
      <c r="BX188" s="218"/>
      <c r="BY188" s="218"/>
      <c r="BZ188" s="218"/>
      <c r="CA188" s="218"/>
      <c r="CB188" s="218"/>
      <c r="CC188" s="218"/>
    </row>
    <row r="189" spans="3:81" ht="11.25" customHeight="1">
      <c r="C189" s="218"/>
      <c r="D189" s="218"/>
      <c r="E189" s="218"/>
      <c r="F189" s="218"/>
      <c r="G189" s="218"/>
      <c r="H189" s="218"/>
      <c r="I189" s="218"/>
      <c r="J189" s="218"/>
      <c r="K189" s="218"/>
      <c r="L189" s="218"/>
      <c r="M189" s="218"/>
      <c r="N189" s="218"/>
      <c r="O189" s="218"/>
      <c r="P189" s="218"/>
      <c r="Q189" s="218"/>
      <c r="R189" s="218"/>
      <c r="S189" s="218"/>
      <c r="T189" s="218"/>
      <c r="U189" s="218"/>
      <c r="V189" s="218"/>
      <c r="W189" s="218"/>
      <c r="X189" s="218"/>
      <c r="Y189" s="218"/>
      <c r="Z189" s="255"/>
      <c r="AA189" s="255"/>
      <c r="AB189" s="218"/>
      <c r="AC189" s="218"/>
      <c r="AD189" s="218"/>
      <c r="AE189" s="218"/>
      <c r="AF189" s="218"/>
      <c r="AG189" s="218"/>
      <c r="AH189" s="218"/>
      <c r="AI189" s="218"/>
      <c r="AJ189" s="218"/>
      <c r="AK189" s="218"/>
      <c r="AL189" s="218"/>
      <c r="AM189" s="218"/>
      <c r="AN189" s="218"/>
      <c r="AO189" s="218"/>
      <c r="AP189" s="218"/>
      <c r="AQ189" s="218"/>
      <c r="AR189" s="218"/>
      <c r="AS189" s="218"/>
      <c r="AT189" s="218"/>
      <c r="AU189" s="218"/>
      <c r="AV189" s="218"/>
      <c r="AW189" s="218"/>
      <c r="AX189" s="218"/>
      <c r="AY189" s="218"/>
      <c r="AZ189" s="218"/>
      <c r="BA189" s="218"/>
      <c r="BB189" s="218"/>
      <c r="BC189" s="218"/>
      <c r="BD189" s="218"/>
      <c r="BE189" s="218"/>
      <c r="BF189" s="218"/>
      <c r="BG189" s="218"/>
      <c r="BH189" s="218"/>
      <c r="BI189" s="218"/>
      <c r="BJ189" s="218"/>
      <c r="BK189" s="218"/>
      <c r="BL189" s="218"/>
      <c r="BM189" s="218"/>
      <c r="BN189" s="218"/>
      <c r="BO189" s="218"/>
      <c r="BP189" s="218"/>
      <c r="BQ189" s="218"/>
      <c r="BR189" s="218"/>
      <c r="BS189" s="218"/>
      <c r="BT189" s="218"/>
      <c r="BU189" s="218"/>
      <c r="BV189" s="218"/>
      <c r="BW189" s="218"/>
      <c r="BX189" s="218"/>
      <c r="BY189" s="218"/>
      <c r="BZ189" s="218"/>
      <c r="CA189" s="218"/>
      <c r="CB189" s="218"/>
      <c r="CC189" s="218"/>
    </row>
    <row r="190" spans="3:81" ht="11.25" customHeight="1">
      <c r="C190" s="218"/>
      <c r="D190" s="218"/>
      <c r="E190" s="218"/>
      <c r="F190" s="218"/>
      <c r="G190" s="218"/>
      <c r="H190" s="218"/>
      <c r="I190" s="218"/>
      <c r="J190" s="218"/>
      <c r="K190" s="218"/>
      <c r="L190" s="218"/>
      <c r="M190" s="218"/>
      <c r="N190" s="218"/>
      <c r="O190" s="218"/>
      <c r="P190" s="218"/>
      <c r="Q190" s="218"/>
      <c r="R190" s="218"/>
      <c r="S190" s="218"/>
      <c r="T190" s="218"/>
      <c r="U190" s="218"/>
      <c r="V190" s="218"/>
      <c r="W190" s="218"/>
      <c r="X190" s="218"/>
      <c r="Y190" s="218"/>
      <c r="Z190" s="255"/>
      <c r="AA190" s="255"/>
      <c r="AB190" s="218"/>
      <c r="AC190" s="218"/>
      <c r="AD190" s="218"/>
      <c r="AE190" s="218"/>
      <c r="AF190" s="218"/>
      <c r="AG190" s="218"/>
      <c r="AH190" s="218"/>
      <c r="AI190" s="218"/>
      <c r="AJ190" s="218"/>
      <c r="AK190" s="218"/>
      <c r="AL190" s="218"/>
      <c r="AM190" s="218"/>
      <c r="AN190" s="218"/>
      <c r="AO190" s="218"/>
      <c r="AP190" s="218"/>
      <c r="AQ190" s="218"/>
      <c r="AR190" s="218"/>
      <c r="AS190" s="218"/>
      <c r="AT190" s="218"/>
      <c r="AU190" s="218"/>
      <c r="AV190" s="218"/>
      <c r="AW190" s="218"/>
      <c r="AX190" s="218"/>
      <c r="AY190" s="218"/>
      <c r="AZ190" s="218"/>
      <c r="BA190" s="218"/>
      <c r="BB190" s="218"/>
      <c r="BC190" s="218"/>
      <c r="BD190" s="218"/>
      <c r="BE190" s="218"/>
      <c r="BF190" s="218"/>
      <c r="BG190" s="218"/>
      <c r="BH190" s="218"/>
      <c r="BI190" s="218"/>
      <c r="BJ190" s="218"/>
      <c r="BK190" s="218"/>
      <c r="BL190" s="218"/>
      <c r="BM190" s="218"/>
      <c r="BN190" s="218"/>
      <c r="BO190" s="218"/>
      <c r="BP190" s="218"/>
      <c r="BQ190" s="218"/>
      <c r="BR190" s="218"/>
      <c r="BS190" s="218"/>
      <c r="BT190" s="218"/>
      <c r="BU190" s="218"/>
      <c r="BV190" s="218"/>
      <c r="BW190" s="218"/>
      <c r="BX190" s="218"/>
      <c r="BY190" s="218"/>
      <c r="BZ190" s="218"/>
      <c r="CA190" s="218"/>
      <c r="CB190" s="218"/>
      <c r="CC190" s="218"/>
    </row>
    <row r="191" spans="3:81" ht="11.25" customHeight="1">
      <c r="C191" s="218"/>
      <c r="D191" s="218"/>
      <c r="E191" s="218"/>
      <c r="F191" s="218"/>
      <c r="G191" s="218"/>
      <c r="H191" s="218"/>
      <c r="I191" s="218"/>
      <c r="J191" s="218"/>
      <c r="K191" s="218"/>
      <c r="L191" s="218"/>
      <c r="M191" s="218"/>
      <c r="N191" s="218"/>
      <c r="O191" s="218"/>
      <c r="P191" s="218"/>
      <c r="Q191" s="218"/>
      <c r="R191" s="218"/>
      <c r="S191" s="218"/>
      <c r="T191" s="218"/>
      <c r="U191" s="218"/>
      <c r="V191" s="218"/>
      <c r="W191" s="218"/>
      <c r="X191" s="218"/>
      <c r="Y191" s="218"/>
      <c r="Z191" s="255"/>
      <c r="AA191" s="255"/>
      <c r="AB191" s="218"/>
      <c r="AC191" s="218"/>
      <c r="AD191" s="218"/>
      <c r="AE191" s="218"/>
      <c r="AF191" s="218"/>
      <c r="AG191" s="218"/>
      <c r="AH191" s="218"/>
      <c r="AI191" s="218"/>
      <c r="AJ191" s="218"/>
      <c r="AK191" s="218"/>
      <c r="AL191" s="218"/>
      <c r="AM191" s="218"/>
      <c r="AN191" s="218"/>
      <c r="AO191" s="218"/>
      <c r="AP191" s="218"/>
      <c r="AQ191" s="218"/>
      <c r="AR191" s="218"/>
      <c r="AS191" s="218"/>
      <c r="AT191" s="218"/>
      <c r="AU191" s="218"/>
      <c r="AV191" s="218"/>
      <c r="AW191" s="218"/>
      <c r="AX191" s="218"/>
      <c r="AY191" s="218"/>
      <c r="AZ191" s="218"/>
      <c r="BA191" s="218"/>
      <c r="BB191" s="218"/>
      <c r="BC191" s="218"/>
      <c r="BD191" s="218"/>
      <c r="BE191" s="218"/>
      <c r="BF191" s="218"/>
      <c r="BG191" s="218"/>
      <c r="BH191" s="218"/>
      <c r="BI191" s="218"/>
      <c r="BJ191" s="218"/>
      <c r="BK191" s="218"/>
      <c r="BL191" s="218"/>
      <c r="BM191" s="218"/>
      <c r="BN191" s="218"/>
      <c r="BO191" s="218"/>
      <c r="BP191" s="218"/>
      <c r="BQ191" s="218"/>
      <c r="BR191" s="218"/>
      <c r="BS191" s="218"/>
      <c r="BT191" s="218"/>
      <c r="BU191" s="218"/>
      <c r="BV191" s="218"/>
      <c r="BW191" s="218"/>
      <c r="BX191" s="218"/>
      <c r="BY191" s="218"/>
      <c r="BZ191" s="218"/>
      <c r="CA191" s="218"/>
      <c r="CB191" s="218"/>
      <c r="CC191" s="218"/>
    </row>
    <row r="192" spans="3:81" ht="11.25" customHeight="1">
      <c r="C192" s="218"/>
      <c r="D192" s="218"/>
      <c r="E192" s="218"/>
      <c r="F192" s="218"/>
      <c r="G192" s="218"/>
      <c r="H192" s="218"/>
      <c r="I192" s="218"/>
      <c r="J192" s="218"/>
      <c r="K192" s="218"/>
      <c r="L192" s="218"/>
      <c r="M192" s="218"/>
      <c r="N192" s="218"/>
      <c r="O192" s="218"/>
      <c r="P192" s="218"/>
      <c r="Q192" s="218"/>
      <c r="R192" s="218"/>
      <c r="S192" s="218"/>
      <c r="T192" s="218"/>
      <c r="U192" s="218"/>
      <c r="V192" s="218"/>
      <c r="W192" s="218"/>
      <c r="X192" s="218"/>
      <c r="Y192" s="218"/>
      <c r="Z192" s="255"/>
      <c r="AA192" s="255"/>
      <c r="AB192" s="218"/>
      <c r="AC192" s="218"/>
      <c r="AD192" s="218"/>
      <c r="AE192" s="218"/>
      <c r="AF192" s="218"/>
      <c r="AG192" s="218"/>
      <c r="AH192" s="218"/>
      <c r="AI192" s="218"/>
      <c r="AJ192" s="218"/>
      <c r="AK192" s="218"/>
      <c r="AL192" s="218"/>
      <c r="AM192" s="218"/>
      <c r="AN192" s="218"/>
      <c r="AO192" s="218"/>
      <c r="AP192" s="218"/>
      <c r="AQ192" s="218"/>
      <c r="AR192" s="218"/>
      <c r="AS192" s="218"/>
      <c r="AT192" s="218"/>
      <c r="AU192" s="218"/>
      <c r="AV192" s="218"/>
      <c r="AW192" s="218"/>
      <c r="AX192" s="218"/>
      <c r="AY192" s="218"/>
      <c r="AZ192" s="218"/>
      <c r="BA192" s="218"/>
      <c r="BB192" s="218"/>
      <c r="BC192" s="218"/>
      <c r="BD192" s="218"/>
      <c r="BE192" s="218"/>
      <c r="BF192" s="218"/>
      <c r="BG192" s="218"/>
      <c r="BH192" s="218"/>
      <c r="BI192" s="218"/>
      <c r="BJ192" s="218"/>
      <c r="BK192" s="218"/>
      <c r="BL192" s="218"/>
      <c r="BM192" s="218"/>
      <c r="BN192" s="218"/>
      <c r="BO192" s="218"/>
      <c r="BP192" s="218"/>
      <c r="BQ192" s="218"/>
      <c r="BR192" s="218"/>
      <c r="BS192" s="218"/>
      <c r="BT192" s="218"/>
      <c r="BU192" s="218"/>
      <c r="BV192" s="218"/>
      <c r="BW192" s="218"/>
      <c r="BX192" s="218"/>
      <c r="BY192" s="218"/>
      <c r="BZ192" s="218"/>
      <c r="CA192" s="218"/>
      <c r="CB192" s="218"/>
      <c r="CC192" s="218"/>
    </row>
    <row r="193" spans="3:81" ht="11.25" customHeight="1">
      <c r="C193" s="218"/>
      <c r="D193" s="218"/>
      <c r="E193" s="218"/>
      <c r="F193" s="218"/>
      <c r="G193" s="218"/>
      <c r="H193" s="218"/>
      <c r="I193" s="218"/>
      <c r="J193" s="218"/>
      <c r="K193" s="218"/>
      <c r="L193" s="218"/>
      <c r="M193" s="218"/>
      <c r="N193" s="218"/>
      <c r="O193" s="218"/>
      <c r="P193" s="218"/>
      <c r="Q193" s="218"/>
      <c r="R193" s="218"/>
      <c r="S193" s="218"/>
      <c r="T193" s="218"/>
      <c r="U193" s="218"/>
      <c r="V193" s="218"/>
      <c r="W193" s="218"/>
      <c r="X193" s="218"/>
      <c r="Y193" s="218"/>
      <c r="Z193" s="255"/>
      <c r="AA193" s="255"/>
      <c r="AB193" s="218"/>
      <c r="AC193" s="218"/>
      <c r="AD193" s="218"/>
      <c r="AE193" s="218"/>
      <c r="AF193" s="218"/>
      <c r="AG193" s="218"/>
      <c r="AH193" s="218"/>
      <c r="AI193" s="218"/>
      <c r="AJ193" s="218"/>
      <c r="AK193" s="218"/>
      <c r="AL193" s="218"/>
      <c r="AM193" s="218"/>
      <c r="AN193" s="218"/>
      <c r="AO193" s="218"/>
      <c r="AP193" s="218"/>
      <c r="AQ193" s="218"/>
      <c r="AR193" s="218"/>
      <c r="AS193" s="218"/>
      <c r="AT193" s="218"/>
      <c r="AU193" s="218"/>
      <c r="AV193" s="218"/>
      <c r="AW193" s="218"/>
      <c r="AX193" s="218"/>
      <c r="AY193" s="218"/>
      <c r="AZ193" s="218"/>
      <c r="BA193" s="218"/>
      <c r="BB193" s="218"/>
      <c r="BC193" s="218"/>
      <c r="BD193" s="218"/>
      <c r="BE193" s="218"/>
      <c r="BF193" s="218"/>
      <c r="BG193" s="218"/>
      <c r="BH193" s="218"/>
      <c r="BI193" s="218"/>
      <c r="BJ193" s="218"/>
      <c r="BK193" s="218"/>
      <c r="BL193" s="218"/>
      <c r="BM193" s="218"/>
      <c r="BN193" s="218"/>
      <c r="BO193" s="218"/>
      <c r="BP193" s="218"/>
      <c r="BQ193" s="218"/>
      <c r="BR193" s="218"/>
      <c r="BS193" s="218"/>
      <c r="BT193" s="218"/>
      <c r="BU193" s="218"/>
      <c r="BV193" s="218"/>
      <c r="BW193" s="218"/>
      <c r="BX193" s="218"/>
      <c r="BY193" s="218"/>
      <c r="BZ193" s="218"/>
      <c r="CA193" s="218"/>
      <c r="CB193" s="218"/>
      <c r="CC193" s="218"/>
    </row>
    <row r="194" spans="3:81" ht="11.25" customHeight="1">
      <c r="C194" s="218"/>
      <c r="D194" s="218"/>
      <c r="E194" s="218"/>
      <c r="F194" s="218"/>
      <c r="G194" s="218"/>
      <c r="H194" s="218"/>
      <c r="I194" s="218"/>
      <c r="J194" s="218"/>
      <c r="K194" s="218"/>
      <c r="L194" s="218"/>
      <c r="M194" s="218"/>
      <c r="N194" s="218"/>
      <c r="O194" s="218"/>
      <c r="P194" s="218"/>
      <c r="Q194" s="218"/>
      <c r="R194" s="218"/>
      <c r="S194" s="218"/>
      <c r="T194" s="218"/>
      <c r="U194" s="218"/>
      <c r="V194" s="218"/>
      <c r="W194" s="218"/>
      <c r="X194" s="218"/>
      <c r="Y194" s="218"/>
      <c r="Z194" s="255"/>
      <c r="AA194" s="255"/>
      <c r="AB194" s="218"/>
      <c r="AC194" s="218"/>
      <c r="AD194" s="218"/>
      <c r="AE194" s="218"/>
      <c r="AF194" s="218"/>
      <c r="AG194" s="218"/>
      <c r="AH194" s="218"/>
      <c r="AI194" s="218"/>
      <c r="AJ194" s="218"/>
      <c r="AK194" s="218"/>
      <c r="AL194" s="218"/>
      <c r="AM194" s="218"/>
      <c r="AN194" s="218"/>
      <c r="AO194" s="218"/>
      <c r="AP194" s="218"/>
      <c r="AQ194" s="218"/>
      <c r="AR194" s="218"/>
      <c r="AS194" s="218"/>
      <c r="AT194" s="218"/>
      <c r="AU194" s="218"/>
      <c r="AV194" s="218"/>
      <c r="AW194" s="218"/>
      <c r="AX194" s="218"/>
      <c r="AY194" s="218"/>
      <c r="AZ194" s="218"/>
      <c r="BA194" s="218"/>
      <c r="BB194" s="218"/>
      <c r="BC194" s="218"/>
      <c r="BD194" s="218"/>
      <c r="BE194" s="218"/>
      <c r="BF194" s="218"/>
      <c r="BG194" s="218"/>
      <c r="BH194" s="218"/>
      <c r="BI194" s="218"/>
      <c r="BJ194" s="218"/>
      <c r="BK194" s="218"/>
      <c r="BL194" s="218"/>
      <c r="BM194" s="218"/>
      <c r="BN194" s="218"/>
      <c r="BO194" s="218"/>
      <c r="BP194" s="218"/>
      <c r="BQ194" s="218"/>
      <c r="BR194" s="218"/>
      <c r="BS194" s="218"/>
      <c r="BT194" s="218"/>
      <c r="BU194" s="218"/>
      <c r="BV194" s="218"/>
      <c r="BW194" s="218"/>
      <c r="BX194" s="218"/>
      <c r="BY194" s="218"/>
      <c r="BZ194" s="218"/>
      <c r="CA194" s="218"/>
      <c r="CB194" s="218"/>
      <c r="CC194" s="218"/>
    </row>
    <row r="195" spans="3:81" ht="11.25" customHeight="1">
      <c r="C195" s="218"/>
      <c r="D195" s="218"/>
      <c r="E195" s="218"/>
      <c r="F195" s="218"/>
      <c r="G195" s="218"/>
      <c r="H195" s="218"/>
      <c r="I195" s="218"/>
      <c r="J195" s="218"/>
      <c r="K195" s="218"/>
      <c r="L195" s="218"/>
      <c r="M195" s="218"/>
      <c r="N195" s="218"/>
      <c r="O195" s="218"/>
      <c r="P195" s="218"/>
      <c r="Q195" s="218"/>
      <c r="R195" s="218"/>
      <c r="S195" s="218"/>
      <c r="T195" s="218"/>
      <c r="U195" s="218"/>
      <c r="V195" s="218"/>
      <c r="W195" s="218"/>
      <c r="X195" s="218"/>
      <c r="Y195" s="218"/>
      <c r="Z195" s="255"/>
      <c r="AA195" s="255"/>
      <c r="AB195" s="218"/>
      <c r="AC195" s="218"/>
      <c r="AD195" s="218"/>
      <c r="AE195" s="218"/>
      <c r="AF195" s="218"/>
      <c r="AG195" s="218"/>
      <c r="AH195" s="218"/>
      <c r="AI195" s="218"/>
      <c r="AJ195" s="218"/>
      <c r="AK195" s="218"/>
      <c r="AL195" s="218"/>
      <c r="AM195" s="218"/>
      <c r="AN195" s="218"/>
      <c r="AO195" s="218"/>
      <c r="AP195" s="218"/>
      <c r="AQ195" s="218"/>
      <c r="AR195" s="218"/>
      <c r="AS195" s="218"/>
      <c r="AT195" s="218"/>
      <c r="AU195" s="218"/>
      <c r="AV195" s="218"/>
      <c r="AW195" s="218"/>
      <c r="AX195" s="218"/>
      <c r="AY195" s="218"/>
      <c r="AZ195" s="218"/>
      <c r="BA195" s="218"/>
      <c r="BB195" s="218"/>
      <c r="BC195" s="218"/>
      <c r="BD195" s="218"/>
      <c r="BE195" s="218"/>
      <c r="BF195" s="218"/>
      <c r="BG195" s="218"/>
      <c r="BH195" s="218"/>
      <c r="BI195" s="218"/>
      <c r="BJ195" s="218"/>
      <c r="BK195" s="218"/>
      <c r="BL195" s="218"/>
      <c r="BM195" s="218"/>
      <c r="BN195" s="218"/>
      <c r="BO195" s="218"/>
      <c r="BP195" s="218"/>
      <c r="BQ195" s="218"/>
      <c r="BR195" s="218"/>
      <c r="BS195" s="218"/>
      <c r="BT195" s="218"/>
      <c r="BU195" s="218"/>
      <c r="BV195" s="218"/>
      <c r="BW195" s="218"/>
      <c r="BX195" s="218"/>
      <c r="BY195" s="218"/>
      <c r="BZ195" s="218"/>
      <c r="CA195" s="218"/>
      <c r="CB195" s="218"/>
      <c r="CC195" s="218"/>
    </row>
    <row r="196" spans="3:81" ht="11.25" customHeight="1">
      <c r="C196" s="218"/>
      <c r="D196" s="218"/>
      <c r="E196" s="218"/>
      <c r="F196" s="218"/>
      <c r="G196" s="218"/>
      <c r="H196" s="218"/>
      <c r="I196" s="218"/>
      <c r="J196" s="218"/>
      <c r="K196" s="218"/>
      <c r="L196" s="218"/>
      <c r="M196" s="218"/>
      <c r="N196" s="218"/>
      <c r="O196" s="218"/>
      <c r="P196" s="218"/>
      <c r="Q196" s="218"/>
      <c r="R196" s="218"/>
      <c r="S196" s="218"/>
      <c r="T196" s="218"/>
      <c r="U196" s="218"/>
      <c r="V196" s="218"/>
      <c r="W196" s="218"/>
      <c r="X196" s="218"/>
      <c r="Y196" s="218"/>
      <c r="Z196" s="255"/>
      <c r="AA196" s="255"/>
      <c r="AB196" s="218"/>
      <c r="AC196" s="218"/>
      <c r="AD196" s="218"/>
      <c r="AE196" s="218"/>
      <c r="AF196" s="218"/>
      <c r="AG196" s="218"/>
      <c r="AH196" s="218"/>
      <c r="AI196" s="218"/>
      <c r="AJ196" s="218"/>
      <c r="AK196" s="218"/>
      <c r="AL196" s="218"/>
      <c r="AM196" s="218"/>
      <c r="AN196" s="218"/>
      <c r="AO196" s="218"/>
      <c r="AP196" s="218"/>
      <c r="AQ196" s="218"/>
      <c r="AR196" s="218"/>
      <c r="AS196" s="218"/>
      <c r="AT196" s="218"/>
      <c r="AU196" s="218"/>
      <c r="AV196" s="218"/>
      <c r="AW196" s="218"/>
      <c r="AX196" s="218"/>
      <c r="AY196" s="218"/>
      <c r="AZ196" s="218"/>
      <c r="BA196" s="218"/>
      <c r="BB196" s="218"/>
      <c r="BC196" s="218"/>
      <c r="BD196" s="218"/>
      <c r="BE196" s="218"/>
      <c r="BF196" s="218"/>
      <c r="BG196" s="218"/>
      <c r="BH196" s="218"/>
      <c r="BI196" s="218"/>
      <c r="BJ196" s="218"/>
      <c r="BK196" s="218"/>
      <c r="BL196" s="218"/>
      <c r="BM196" s="218"/>
      <c r="BN196" s="218"/>
      <c r="BO196" s="218"/>
      <c r="BP196" s="218"/>
      <c r="BQ196" s="218"/>
      <c r="BR196" s="218"/>
      <c r="BS196" s="218"/>
      <c r="BT196" s="218"/>
      <c r="BU196" s="218"/>
      <c r="BV196" s="218"/>
      <c r="BW196" s="218"/>
      <c r="BX196" s="218"/>
      <c r="BY196" s="218"/>
      <c r="BZ196" s="218"/>
      <c r="CA196" s="218"/>
      <c r="CB196" s="218"/>
      <c r="CC196" s="218"/>
    </row>
    <row r="197" spans="3:81" ht="11.25" customHeight="1">
      <c r="C197" s="218"/>
      <c r="D197" s="218"/>
      <c r="E197" s="218"/>
      <c r="F197" s="218"/>
      <c r="G197" s="218"/>
      <c r="H197" s="218"/>
      <c r="I197" s="218"/>
      <c r="J197" s="218"/>
      <c r="K197" s="218"/>
      <c r="L197" s="218"/>
      <c r="M197" s="218"/>
      <c r="N197" s="218"/>
      <c r="O197" s="218"/>
      <c r="P197" s="218"/>
      <c r="Q197" s="218"/>
      <c r="R197" s="218"/>
      <c r="S197" s="218"/>
      <c r="T197" s="218"/>
      <c r="U197" s="218"/>
      <c r="V197" s="218"/>
      <c r="W197" s="218"/>
      <c r="X197" s="218"/>
      <c r="Y197" s="218"/>
      <c r="Z197" s="255"/>
      <c r="AA197" s="255"/>
      <c r="AB197" s="218"/>
      <c r="AC197" s="218"/>
      <c r="AD197" s="218"/>
      <c r="AE197" s="218"/>
      <c r="AF197" s="218"/>
      <c r="AG197" s="218"/>
      <c r="AH197" s="218"/>
      <c r="AI197" s="218"/>
      <c r="AJ197" s="218"/>
      <c r="AK197" s="218"/>
      <c r="AL197" s="218"/>
      <c r="AM197" s="218"/>
      <c r="AN197" s="218"/>
      <c r="AO197" s="218"/>
      <c r="AP197" s="218"/>
      <c r="AQ197" s="218"/>
      <c r="AR197" s="218"/>
      <c r="AS197" s="218"/>
      <c r="AT197" s="218"/>
      <c r="AU197" s="218"/>
      <c r="AV197" s="218"/>
      <c r="AW197" s="218"/>
      <c r="AX197" s="218"/>
      <c r="AY197" s="218"/>
      <c r="AZ197" s="218"/>
      <c r="BA197" s="218"/>
      <c r="BB197" s="218"/>
      <c r="BC197" s="218"/>
      <c r="BD197" s="218"/>
      <c r="BE197" s="218"/>
      <c r="BF197" s="218"/>
      <c r="BG197" s="218"/>
      <c r="BH197" s="218"/>
      <c r="BI197" s="218"/>
      <c r="BJ197" s="218"/>
      <c r="BK197" s="218"/>
      <c r="BL197" s="218"/>
      <c r="BM197" s="218"/>
      <c r="BN197" s="218"/>
      <c r="BO197" s="218"/>
      <c r="BP197" s="218"/>
      <c r="BQ197" s="218"/>
      <c r="BR197" s="218"/>
      <c r="BS197" s="218"/>
      <c r="BT197" s="218"/>
      <c r="BU197" s="218"/>
      <c r="BV197" s="218"/>
      <c r="BW197" s="218"/>
      <c r="BX197" s="218"/>
      <c r="BY197" s="218"/>
      <c r="BZ197" s="218"/>
      <c r="CA197" s="218"/>
      <c r="CB197" s="218"/>
      <c r="CC197" s="218"/>
    </row>
    <row r="198" spans="3:81" ht="11.25" customHeight="1">
      <c r="C198" s="218"/>
      <c r="D198" s="218"/>
      <c r="E198" s="218"/>
      <c r="F198" s="218"/>
      <c r="G198" s="218"/>
      <c r="H198" s="218"/>
      <c r="I198" s="218"/>
      <c r="J198" s="218"/>
      <c r="K198" s="218"/>
      <c r="L198" s="218"/>
      <c r="M198" s="218"/>
      <c r="N198" s="218"/>
      <c r="O198" s="218"/>
      <c r="P198" s="218"/>
      <c r="Q198" s="218"/>
      <c r="R198" s="218"/>
      <c r="S198" s="218"/>
      <c r="T198" s="218"/>
      <c r="U198" s="218"/>
      <c r="V198" s="218"/>
      <c r="W198" s="218"/>
      <c r="X198" s="218"/>
      <c r="Y198" s="218"/>
      <c r="Z198" s="255"/>
      <c r="AA198" s="255"/>
      <c r="AB198" s="218"/>
      <c r="AC198" s="218"/>
      <c r="AD198" s="218"/>
      <c r="AE198" s="218"/>
      <c r="AF198" s="218"/>
      <c r="AG198" s="218"/>
      <c r="AH198" s="218"/>
      <c r="AI198" s="218"/>
      <c r="AJ198" s="218"/>
      <c r="AK198" s="218"/>
      <c r="AL198" s="218"/>
      <c r="AM198" s="218"/>
      <c r="AN198" s="218"/>
      <c r="AO198" s="218"/>
      <c r="AP198" s="218"/>
      <c r="AQ198" s="218"/>
      <c r="AR198" s="218"/>
      <c r="AS198" s="218"/>
      <c r="AT198" s="218"/>
      <c r="AU198" s="218"/>
      <c r="AV198" s="218"/>
      <c r="AW198" s="218"/>
      <c r="AX198" s="218"/>
      <c r="AY198" s="218"/>
      <c r="AZ198" s="218"/>
      <c r="BA198" s="218"/>
      <c r="BB198" s="218"/>
      <c r="BC198" s="218"/>
      <c r="BD198" s="218"/>
      <c r="BE198" s="218"/>
      <c r="BF198" s="218"/>
      <c r="BG198" s="218"/>
      <c r="BH198" s="218"/>
      <c r="BI198" s="218"/>
      <c r="BJ198" s="218"/>
      <c r="BK198" s="218"/>
      <c r="BL198" s="218"/>
      <c r="BM198" s="218"/>
      <c r="BN198" s="218"/>
      <c r="BO198" s="218"/>
      <c r="BP198" s="218"/>
      <c r="BQ198" s="218"/>
      <c r="BR198" s="218"/>
      <c r="BS198" s="218"/>
      <c r="BT198" s="218"/>
      <c r="BU198" s="218"/>
      <c r="BV198" s="218"/>
      <c r="BW198" s="218"/>
      <c r="BX198" s="218"/>
      <c r="BY198" s="218"/>
      <c r="BZ198" s="218"/>
      <c r="CA198" s="218"/>
      <c r="CB198" s="218"/>
      <c r="CC198" s="218"/>
    </row>
    <row r="199" spans="3:81" ht="11.25" customHeight="1">
      <c r="C199" s="218"/>
      <c r="D199" s="218"/>
      <c r="E199" s="218"/>
      <c r="F199" s="218"/>
      <c r="G199" s="218"/>
      <c r="H199" s="218"/>
      <c r="I199" s="218"/>
      <c r="J199" s="218"/>
      <c r="K199" s="218"/>
      <c r="L199" s="218"/>
      <c r="M199" s="218"/>
      <c r="N199" s="218"/>
      <c r="O199" s="218"/>
      <c r="P199" s="218"/>
      <c r="Q199" s="218"/>
      <c r="R199" s="218"/>
      <c r="S199" s="218"/>
      <c r="T199" s="218"/>
      <c r="U199" s="218"/>
      <c r="V199" s="218"/>
      <c r="W199" s="218"/>
      <c r="X199" s="218"/>
      <c r="Y199" s="218"/>
      <c r="Z199" s="255"/>
      <c r="AA199" s="255"/>
      <c r="AB199" s="218"/>
      <c r="AC199" s="218"/>
      <c r="AD199" s="218"/>
      <c r="AE199" s="218"/>
      <c r="AF199" s="218"/>
      <c r="AG199" s="218"/>
      <c r="AH199" s="218"/>
      <c r="AI199" s="218"/>
      <c r="AJ199" s="218"/>
      <c r="AK199" s="218"/>
      <c r="AL199" s="218"/>
      <c r="AM199" s="218"/>
      <c r="AN199" s="218"/>
      <c r="AO199" s="218"/>
      <c r="AP199" s="218"/>
      <c r="AQ199" s="218"/>
      <c r="AR199" s="218"/>
      <c r="AS199" s="218"/>
      <c r="AT199" s="218"/>
      <c r="AU199" s="218"/>
      <c r="AV199" s="218"/>
      <c r="AW199" s="218"/>
      <c r="AX199" s="218"/>
      <c r="AY199" s="218"/>
      <c r="AZ199" s="218"/>
      <c r="BA199" s="218"/>
      <c r="BB199" s="218"/>
      <c r="BC199" s="218"/>
      <c r="BD199" s="218"/>
      <c r="BE199" s="218"/>
      <c r="BF199" s="218"/>
      <c r="BG199" s="218"/>
      <c r="BH199" s="218"/>
      <c r="BI199" s="218"/>
      <c r="BJ199" s="218"/>
      <c r="BK199" s="218"/>
      <c r="BL199" s="218"/>
      <c r="BM199" s="218"/>
      <c r="BN199" s="218"/>
      <c r="BO199" s="218"/>
      <c r="BP199" s="218"/>
      <c r="BQ199" s="218"/>
      <c r="BR199" s="218"/>
      <c r="BS199" s="218"/>
      <c r="BT199" s="218"/>
      <c r="BU199" s="218"/>
      <c r="BV199" s="218"/>
      <c r="BW199" s="218"/>
      <c r="BX199" s="218"/>
      <c r="BY199" s="218"/>
      <c r="BZ199" s="218"/>
      <c r="CA199" s="218"/>
      <c r="CB199" s="218"/>
      <c r="CC199" s="218"/>
    </row>
    <row r="200" spans="3:81" ht="11.25" customHeight="1">
      <c r="C200" s="218"/>
      <c r="D200" s="218"/>
      <c r="E200" s="218"/>
      <c r="F200" s="218"/>
      <c r="G200" s="218"/>
      <c r="H200" s="218"/>
      <c r="I200" s="218"/>
      <c r="J200" s="218"/>
      <c r="K200" s="218"/>
      <c r="L200" s="218"/>
      <c r="M200" s="218"/>
      <c r="N200" s="218"/>
      <c r="O200" s="218"/>
      <c r="P200" s="218"/>
      <c r="Q200" s="218"/>
      <c r="R200" s="218"/>
      <c r="S200" s="218"/>
      <c r="T200" s="218"/>
      <c r="U200" s="218"/>
      <c r="V200" s="218"/>
      <c r="W200" s="218"/>
      <c r="X200" s="218"/>
      <c r="Y200" s="218"/>
      <c r="Z200" s="255"/>
      <c r="AA200" s="255"/>
      <c r="AB200" s="218"/>
      <c r="AC200" s="218"/>
      <c r="AD200" s="218"/>
      <c r="AE200" s="218"/>
      <c r="AF200" s="218"/>
      <c r="AG200" s="218"/>
      <c r="AH200" s="218"/>
      <c r="AI200" s="218"/>
      <c r="AJ200" s="218"/>
      <c r="AK200" s="218"/>
      <c r="AL200" s="218"/>
      <c r="AM200" s="218"/>
      <c r="AN200" s="218"/>
      <c r="AO200" s="218"/>
      <c r="AP200" s="218"/>
      <c r="AQ200" s="218"/>
      <c r="AR200" s="218"/>
      <c r="AS200" s="218"/>
      <c r="AT200" s="218"/>
      <c r="AU200" s="218"/>
      <c r="AV200" s="218"/>
      <c r="AW200" s="218"/>
      <c r="AX200" s="218"/>
      <c r="AY200" s="218"/>
      <c r="AZ200" s="218"/>
      <c r="BA200" s="218"/>
      <c r="BB200" s="218"/>
      <c r="BC200" s="218"/>
      <c r="BD200" s="218"/>
      <c r="BE200" s="218"/>
      <c r="BF200" s="218"/>
      <c r="BG200" s="218"/>
      <c r="BH200" s="218"/>
      <c r="BI200" s="218"/>
      <c r="BJ200" s="218"/>
      <c r="BK200" s="218"/>
      <c r="BL200" s="218"/>
      <c r="BM200" s="218"/>
      <c r="BN200" s="218"/>
      <c r="BO200" s="218"/>
      <c r="BP200" s="218"/>
      <c r="BQ200" s="218"/>
      <c r="BR200" s="218"/>
      <c r="BS200" s="218"/>
      <c r="BT200" s="218"/>
      <c r="BU200" s="218"/>
      <c r="BV200" s="218"/>
      <c r="BW200" s="218"/>
      <c r="BX200" s="218"/>
      <c r="BY200" s="218"/>
      <c r="BZ200" s="218"/>
      <c r="CA200" s="218"/>
      <c r="CB200" s="218"/>
      <c r="CC200" s="218"/>
    </row>
    <row r="201" spans="3:81" ht="11.25" customHeight="1">
      <c r="C201" s="218"/>
      <c r="D201" s="218"/>
      <c r="E201" s="218"/>
      <c r="F201" s="218"/>
      <c r="G201" s="218"/>
      <c r="H201" s="218"/>
      <c r="I201" s="218"/>
      <c r="J201" s="218"/>
      <c r="K201" s="218"/>
      <c r="L201" s="218"/>
      <c r="M201" s="218"/>
      <c r="N201" s="218"/>
      <c r="O201" s="218"/>
      <c r="P201" s="218"/>
      <c r="Q201" s="218"/>
      <c r="R201" s="218"/>
      <c r="S201" s="218"/>
      <c r="T201" s="218"/>
      <c r="U201" s="218"/>
      <c r="V201" s="218"/>
      <c r="W201" s="218"/>
      <c r="X201" s="218"/>
      <c r="Y201" s="218"/>
      <c r="Z201" s="255"/>
      <c r="AA201" s="255"/>
      <c r="AB201" s="218"/>
      <c r="AC201" s="218"/>
      <c r="AD201" s="218"/>
      <c r="AE201" s="218"/>
      <c r="AF201" s="218"/>
      <c r="AG201" s="218"/>
      <c r="AH201" s="218"/>
      <c r="AI201" s="218"/>
      <c r="AJ201" s="218"/>
      <c r="AK201" s="218"/>
      <c r="AL201" s="218"/>
      <c r="AM201" s="218"/>
      <c r="AN201" s="218"/>
      <c r="AO201" s="218"/>
      <c r="AP201" s="218"/>
      <c r="AQ201" s="218"/>
      <c r="AR201" s="218"/>
      <c r="AS201" s="218"/>
      <c r="AT201" s="218"/>
      <c r="AU201" s="218"/>
      <c r="AV201" s="218"/>
      <c r="AW201" s="218"/>
      <c r="AX201" s="218"/>
      <c r="AY201" s="218"/>
      <c r="AZ201" s="218"/>
      <c r="BA201" s="218"/>
      <c r="BB201" s="218"/>
      <c r="BC201" s="218"/>
      <c r="BD201" s="218"/>
      <c r="BE201" s="218"/>
      <c r="BF201" s="218"/>
      <c r="BG201" s="218"/>
      <c r="BH201" s="218"/>
      <c r="BI201" s="218"/>
      <c r="BJ201" s="218"/>
      <c r="BK201" s="218"/>
      <c r="BL201" s="218"/>
      <c r="BM201" s="218"/>
      <c r="BN201" s="218"/>
      <c r="BO201" s="218"/>
      <c r="BP201" s="218"/>
      <c r="BQ201" s="218"/>
      <c r="BR201" s="218"/>
      <c r="BS201" s="218"/>
      <c r="BT201" s="218"/>
      <c r="BU201" s="218"/>
      <c r="BV201" s="218"/>
      <c r="BW201" s="218"/>
      <c r="BX201" s="218"/>
      <c r="BY201" s="218"/>
      <c r="BZ201" s="218"/>
      <c r="CA201" s="218"/>
      <c r="CB201" s="218"/>
      <c r="CC201" s="218"/>
    </row>
    <row r="202" spans="3:81" ht="11.25" customHeight="1">
      <c r="C202" s="218"/>
      <c r="D202" s="218"/>
      <c r="E202" s="218"/>
      <c r="F202" s="218"/>
      <c r="G202" s="218"/>
      <c r="H202" s="218"/>
      <c r="I202" s="218"/>
      <c r="J202" s="218"/>
      <c r="K202" s="218"/>
      <c r="L202" s="218"/>
      <c r="M202" s="218"/>
      <c r="N202" s="218"/>
      <c r="O202" s="218"/>
      <c r="P202" s="218"/>
      <c r="Q202" s="218"/>
      <c r="R202" s="218"/>
      <c r="S202" s="218"/>
      <c r="T202" s="218"/>
      <c r="U202" s="218"/>
      <c r="V202" s="218"/>
      <c r="W202" s="218"/>
      <c r="X202" s="218"/>
      <c r="Y202" s="218"/>
      <c r="Z202" s="255"/>
      <c r="AA202" s="255"/>
      <c r="AB202" s="218"/>
      <c r="AC202" s="218"/>
      <c r="AD202" s="218"/>
      <c r="AE202" s="218"/>
      <c r="AF202" s="218"/>
      <c r="AG202" s="218"/>
      <c r="AH202" s="218"/>
      <c r="AI202" s="218"/>
      <c r="AJ202" s="218"/>
      <c r="AK202" s="218"/>
      <c r="AL202" s="218"/>
      <c r="AM202" s="218"/>
      <c r="AN202" s="218"/>
      <c r="AO202" s="218"/>
      <c r="AP202" s="218"/>
      <c r="AQ202" s="218"/>
      <c r="AR202" s="218"/>
      <c r="AS202" s="218"/>
      <c r="AT202" s="218"/>
      <c r="AU202" s="218"/>
      <c r="AV202" s="218"/>
      <c r="AW202" s="218"/>
      <c r="AX202" s="218"/>
      <c r="AY202" s="218"/>
      <c r="AZ202" s="218"/>
      <c r="BA202" s="218"/>
      <c r="BB202" s="218"/>
      <c r="BC202" s="218"/>
      <c r="BD202" s="218"/>
      <c r="BE202" s="218"/>
      <c r="BF202" s="218"/>
      <c r="BG202" s="218"/>
      <c r="BH202" s="218"/>
      <c r="BI202" s="218"/>
      <c r="BJ202" s="218"/>
      <c r="BK202" s="218"/>
      <c r="BL202" s="218"/>
      <c r="BM202" s="218"/>
      <c r="BN202" s="218"/>
      <c r="BO202" s="218"/>
      <c r="BP202" s="218"/>
      <c r="BQ202" s="218"/>
      <c r="BR202" s="218"/>
      <c r="BS202" s="218"/>
      <c r="BT202" s="218"/>
      <c r="BU202" s="218"/>
      <c r="BV202" s="218"/>
      <c r="BW202" s="218"/>
      <c r="BX202" s="218"/>
      <c r="BY202" s="218"/>
      <c r="BZ202" s="218"/>
      <c r="CA202" s="218"/>
      <c r="CB202" s="218"/>
      <c r="CC202" s="218"/>
    </row>
    <row r="203" spans="3:81" ht="11.25" customHeight="1">
      <c r="C203" s="218"/>
      <c r="D203" s="218"/>
      <c r="E203" s="218"/>
      <c r="F203" s="218"/>
      <c r="G203" s="218"/>
      <c r="H203" s="218"/>
      <c r="I203" s="218"/>
      <c r="J203" s="218"/>
      <c r="K203" s="218"/>
      <c r="L203" s="218"/>
      <c r="M203" s="218"/>
      <c r="N203" s="218"/>
      <c r="O203" s="218"/>
      <c r="P203" s="218"/>
      <c r="Q203" s="218"/>
      <c r="R203" s="218"/>
      <c r="S203" s="218"/>
      <c r="T203" s="218"/>
      <c r="U203" s="218"/>
      <c r="V203" s="218"/>
      <c r="W203" s="218"/>
      <c r="X203" s="218"/>
      <c r="Y203" s="218"/>
      <c r="Z203" s="255"/>
      <c r="AA203" s="255"/>
      <c r="AB203" s="218"/>
      <c r="AC203" s="218"/>
      <c r="AD203" s="218"/>
      <c r="AE203" s="218"/>
      <c r="AF203" s="218"/>
      <c r="AG203" s="218"/>
      <c r="AH203" s="218"/>
      <c r="AI203" s="218"/>
      <c r="AJ203" s="218"/>
      <c r="AK203" s="218"/>
      <c r="AL203" s="218"/>
      <c r="AM203" s="218"/>
      <c r="AN203" s="218"/>
      <c r="AO203" s="218"/>
      <c r="AP203" s="218"/>
      <c r="AQ203" s="218"/>
      <c r="AR203" s="218"/>
      <c r="AS203" s="218"/>
      <c r="AT203" s="218"/>
      <c r="AU203" s="218"/>
      <c r="AV203" s="218"/>
      <c r="AW203" s="218"/>
      <c r="AX203" s="218"/>
      <c r="AY203" s="218"/>
      <c r="AZ203" s="218"/>
      <c r="BA203" s="218"/>
      <c r="BB203" s="218"/>
      <c r="BC203" s="218"/>
      <c r="BD203" s="218"/>
      <c r="BE203" s="218"/>
      <c r="BF203" s="218"/>
      <c r="BG203" s="218"/>
      <c r="BH203" s="218"/>
      <c r="BI203" s="218"/>
      <c r="BJ203" s="218"/>
      <c r="BK203" s="218"/>
      <c r="BL203" s="218"/>
      <c r="BM203" s="218"/>
      <c r="BN203" s="218"/>
      <c r="BO203" s="218"/>
      <c r="BP203" s="218"/>
      <c r="BQ203" s="218"/>
      <c r="BR203" s="218"/>
      <c r="BS203" s="218"/>
      <c r="BT203" s="218"/>
      <c r="BU203" s="218"/>
      <c r="BV203" s="218"/>
      <c r="BW203" s="218"/>
      <c r="BX203" s="218"/>
      <c r="BY203" s="218"/>
      <c r="BZ203" s="218"/>
      <c r="CA203" s="218"/>
      <c r="CB203" s="218"/>
      <c r="CC203" s="218"/>
    </row>
    <row r="204" spans="3:81" ht="11.25" customHeight="1">
      <c r="C204" s="218"/>
      <c r="D204" s="218"/>
      <c r="E204" s="218"/>
      <c r="F204" s="218"/>
      <c r="G204" s="218"/>
      <c r="H204" s="218"/>
      <c r="I204" s="218"/>
      <c r="J204" s="218"/>
      <c r="K204" s="218"/>
      <c r="L204" s="218"/>
      <c r="M204" s="218"/>
      <c r="N204" s="218"/>
      <c r="O204" s="218"/>
      <c r="P204" s="218"/>
      <c r="Q204" s="218"/>
      <c r="R204" s="218"/>
      <c r="S204" s="218"/>
      <c r="T204" s="218"/>
      <c r="U204" s="218"/>
      <c r="V204" s="218"/>
      <c r="W204" s="218"/>
      <c r="X204" s="218"/>
      <c r="Y204" s="218"/>
      <c r="Z204" s="255"/>
      <c r="AA204" s="255"/>
      <c r="AB204" s="218"/>
      <c r="AC204" s="218"/>
      <c r="AD204" s="218"/>
      <c r="AE204" s="218"/>
      <c r="AF204" s="218"/>
      <c r="AG204" s="218"/>
      <c r="AH204" s="218"/>
      <c r="AI204" s="218"/>
      <c r="AJ204" s="218"/>
      <c r="AK204" s="218"/>
      <c r="AL204" s="218"/>
      <c r="AM204" s="218"/>
      <c r="AN204" s="218"/>
      <c r="AO204" s="218"/>
      <c r="AP204" s="218"/>
      <c r="AQ204" s="218"/>
      <c r="AR204" s="218"/>
      <c r="AS204" s="218"/>
      <c r="AT204" s="218"/>
      <c r="AU204" s="218"/>
      <c r="AV204" s="218"/>
      <c r="AW204" s="218"/>
      <c r="AX204" s="218"/>
      <c r="AY204" s="218"/>
      <c r="AZ204" s="218"/>
      <c r="BA204" s="218"/>
      <c r="BB204" s="218"/>
      <c r="BC204" s="218"/>
      <c r="BD204" s="218"/>
      <c r="BE204" s="218"/>
      <c r="BF204" s="218"/>
      <c r="BG204" s="218"/>
      <c r="BH204" s="218"/>
      <c r="BI204" s="218"/>
      <c r="BJ204" s="218"/>
      <c r="BK204" s="218"/>
      <c r="BL204" s="218"/>
      <c r="BM204" s="218"/>
      <c r="BN204" s="218"/>
      <c r="BO204" s="218"/>
      <c r="BP204" s="218"/>
      <c r="BQ204" s="218"/>
      <c r="BR204" s="218"/>
      <c r="BS204" s="218"/>
      <c r="BT204" s="218"/>
      <c r="BU204" s="218"/>
      <c r="BV204" s="218"/>
      <c r="BW204" s="218"/>
      <c r="BX204" s="218"/>
      <c r="BY204" s="218"/>
      <c r="BZ204" s="218"/>
      <c r="CA204" s="218"/>
      <c r="CB204" s="218"/>
      <c r="CC204" s="218"/>
    </row>
    <row r="205" spans="3:81" ht="11.25" customHeight="1">
      <c r="C205" s="218"/>
      <c r="D205" s="218"/>
      <c r="E205" s="218"/>
      <c r="F205" s="218"/>
      <c r="G205" s="218"/>
      <c r="H205" s="218"/>
      <c r="I205" s="218"/>
      <c r="J205" s="218"/>
      <c r="K205" s="218"/>
      <c r="L205" s="218"/>
      <c r="M205" s="218"/>
      <c r="N205" s="218"/>
      <c r="O205" s="218"/>
      <c r="P205" s="218"/>
      <c r="Q205" s="218"/>
      <c r="R205" s="218"/>
      <c r="S205" s="218"/>
      <c r="T205" s="218"/>
      <c r="U205" s="218"/>
      <c r="V205" s="218"/>
      <c r="W205" s="218"/>
      <c r="X205" s="218"/>
      <c r="Y205" s="218"/>
      <c r="Z205" s="255"/>
      <c r="AA205" s="255"/>
      <c r="AB205" s="218"/>
      <c r="AC205" s="218"/>
      <c r="AD205" s="218"/>
      <c r="AE205" s="218"/>
      <c r="AF205" s="218"/>
      <c r="AG205" s="218"/>
      <c r="AH205" s="218"/>
      <c r="AI205" s="218"/>
      <c r="AJ205" s="218"/>
      <c r="AK205" s="218"/>
      <c r="AL205" s="218"/>
      <c r="AM205" s="218"/>
      <c r="AN205" s="218"/>
      <c r="AO205" s="218"/>
      <c r="AP205" s="218"/>
      <c r="AQ205" s="218"/>
      <c r="AR205" s="218"/>
      <c r="AS205" s="218"/>
      <c r="AT205" s="218"/>
      <c r="AU205" s="218"/>
      <c r="AV205" s="218"/>
      <c r="AW205" s="218"/>
      <c r="AX205" s="218"/>
      <c r="AY205" s="218"/>
      <c r="AZ205" s="218"/>
      <c r="BA205" s="218"/>
      <c r="BB205" s="218"/>
      <c r="BC205" s="218"/>
      <c r="BD205" s="218"/>
      <c r="BE205" s="218"/>
      <c r="BF205" s="218"/>
      <c r="BG205" s="218"/>
      <c r="BH205" s="218"/>
      <c r="BI205" s="218"/>
      <c r="BJ205" s="218"/>
      <c r="BK205" s="218"/>
      <c r="BL205" s="218"/>
      <c r="BM205" s="218"/>
      <c r="BN205" s="218"/>
      <c r="BO205" s="218"/>
      <c r="BP205" s="218"/>
      <c r="BQ205" s="218"/>
      <c r="BR205" s="218"/>
      <c r="BS205" s="218"/>
      <c r="BT205" s="218"/>
      <c r="BU205" s="218"/>
      <c r="BV205" s="218"/>
      <c r="BW205" s="218"/>
      <c r="BX205" s="218"/>
      <c r="BY205" s="218"/>
      <c r="BZ205" s="218"/>
      <c r="CA205" s="218"/>
      <c r="CB205" s="218"/>
      <c r="CC205" s="218"/>
    </row>
    <row r="206" spans="3:81" ht="11.25" customHeight="1">
      <c r="C206" s="218"/>
      <c r="D206" s="218"/>
      <c r="E206" s="218"/>
      <c r="F206" s="218"/>
      <c r="G206" s="218"/>
      <c r="H206" s="218"/>
      <c r="I206" s="218"/>
      <c r="J206" s="218"/>
      <c r="K206" s="218"/>
      <c r="L206" s="218"/>
      <c r="M206" s="218"/>
      <c r="N206" s="218"/>
      <c r="O206" s="218"/>
      <c r="P206" s="218"/>
      <c r="Q206" s="218"/>
      <c r="R206" s="218"/>
      <c r="S206" s="218"/>
      <c r="T206" s="218"/>
      <c r="U206" s="218"/>
      <c r="V206" s="218"/>
      <c r="W206" s="218"/>
      <c r="X206" s="218"/>
      <c r="Y206" s="218"/>
      <c r="Z206" s="255"/>
      <c r="AA206" s="255"/>
      <c r="AB206" s="218"/>
      <c r="AC206" s="218"/>
      <c r="AD206" s="218"/>
      <c r="AE206" s="218"/>
      <c r="AF206" s="218"/>
      <c r="AG206" s="218"/>
      <c r="AH206" s="218"/>
      <c r="AI206" s="218"/>
      <c r="AJ206" s="218"/>
      <c r="AK206" s="218"/>
      <c r="AL206" s="218"/>
      <c r="AM206" s="218"/>
      <c r="AN206" s="218"/>
      <c r="AO206" s="218"/>
      <c r="AP206" s="218"/>
      <c r="AQ206" s="218"/>
      <c r="AR206" s="218"/>
      <c r="AS206" s="218"/>
      <c r="AT206" s="218"/>
      <c r="AU206" s="218"/>
      <c r="AV206" s="218"/>
      <c r="AW206" s="218"/>
      <c r="AX206" s="218"/>
      <c r="AY206" s="218"/>
      <c r="AZ206" s="218"/>
      <c r="BA206" s="218"/>
      <c r="BB206" s="218"/>
      <c r="BC206" s="218"/>
      <c r="BD206" s="218"/>
      <c r="BE206" s="218"/>
      <c r="BF206" s="218"/>
      <c r="BG206" s="218"/>
      <c r="BH206" s="218"/>
      <c r="BI206" s="218"/>
      <c r="BJ206" s="218"/>
      <c r="BK206" s="218"/>
      <c r="BL206" s="218"/>
      <c r="BM206" s="218"/>
      <c r="BN206" s="218"/>
      <c r="BO206" s="218"/>
      <c r="BP206" s="218"/>
      <c r="BQ206" s="218"/>
      <c r="BR206" s="218"/>
      <c r="BS206" s="218"/>
      <c r="BT206" s="218"/>
      <c r="BU206" s="218"/>
      <c r="BV206" s="218"/>
      <c r="BW206" s="218"/>
      <c r="BX206" s="218"/>
      <c r="BY206" s="218"/>
      <c r="BZ206" s="218"/>
      <c r="CA206" s="218"/>
      <c r="CB206" s="218"/>
      <c r="CC206" s="218"/>
    </row>
  </sheetData>
  <mergeCells count="601">
    <mergeCell ref="F7:AB7"/>
    <mergeCell ref="F10:AB10"/>
    <mergeCell ref="F9:AB9"/>
    <mergeCell ref="F8:AB8"/>
    <mergeCell ref="F15:AB15"/>
    <mergeCell ref="F14:AB14"/>
    <mergeCell ref="F13:AB13"/>
    <mergeCell ref="F12:AB12"/>
    <mergeCell ref="C5:X6"/>
    <mergeCell ref="C9:E9"/>
    <mergeCell ref="C8:E8"/>
    <mergeCell ref="C7:E7"/>
    <mergeCell ref="C13:E13"/>
    <mergeCell ref="C12:E12"/>
    <mergeCell ref="C10:E10"/>
    <mergeCell ref="C14:E14"/>
    <mergeCell ref="C15:E15"/>
    <mergeCell ref="B1:CA1"/>
    <mergeCell ref="F75:AC77"/>
    <mergeCell ref="AQ75:AR77"/>
    <mergeCell ref="AS75:AT77"/>
    <mergeCell ref="F54:AC56"/>
    <mergeCell ref="F57:AC59"/>
    <mergeCell ref="AO54:AP56"/>
    <mergeCell ref="F51:AC53"/>
    <mergeCell ref="AS51:AT53"/>
    <mergeCell ref="AE54:AF56"/>
    <mergeCell ref="AG54:AH56"/>
    <mergeCell ref="AI54:AJ56"/>
    <mergeCell ref="AK54:AL56"/>
    <mergeCell ref="AM54:AN56"/>
    <mergeCell ref="AQ62:AR64"/>
    <mergeCell ref="AS62:AT64"/>
    <mergeCell ref="AQ68:AR70"/>
    <mergeCell ref="AS68:AT70"/>
    <mergeCell ref="AE62:AF64"/>
    <mergeCell ref="AG62:AH64"/>
    <mergeCell ref="AI62:AJ64"/>
    <mergeCell ref="AK62:AL64"/>
    <mergeCell ref="AM62:AN64"/>
    <mergeCell ref="AE65:AF67"/>
    <mergeCell ref="F87:AC89"/>
    <mergeCell ref="C18:AD20"/>
    <mergeCell ref="AE18:AF20"/>
    <mergeCell ref="AG18:AH20"/>
    <mergeCell ref="AI18:AJ20"/>
    <mergeCell ref="F62:AC64"/>
    <mergeCell ref="F65:AC67"/>
    <mergeCell ref="F68:AC70"/>
    <mergeCell ref="F45:AC47"/>
    <mergeCell ref="F23:AC25"/>
    <mergeCell ref="F26:AC28"/>
    <mergeCell ref="C49:E70"/>
    <mergeCell ref="C21:E47"/>
    <mergeCell ref="F29:AC31"/>
    <mergeCell ref="F34:AC36"/>
    <mergeCell ref="F37:AC39"/>
    <mergeCell ref="C72:E89"/>
    <mergeCell ref="F72:AC74"/>
    <mergeCell ref="F78:AC80"/>
    <mergeCell ref="AE40:AF42"/>
    <mergeCell ref="F81:AC83"/>
    <mergeCell ref="AG29:AH31"/>
    <mergeCell ref="AI29:AJ31"/>
    <mergeCell ref="AE23:AF25"/>
    <mergeCell ref="AI7:AJ17"/>
    <mergeCell ref="AK7:AL17"/>
    <mergeCell ref="AM7:AN17"/>
    <mergeCell ref="AO7:AP17"/>
    <mergeCell ref="BI18:BJ20"/>
    <mergeCell ref="BK18:BL20"/>
    <mergeCell ref="BM18:BN20"/>
    <mergeCell ref="BO18:BP20"/>
    <mergeCell ref="BQ18:BR20"/>
    <mergeCell ref="AW18:AX20"/>
    <mergeCell ref="AY18:AZ20"/>
    <mergeCell ref="BA18:BB20"/>
    <mergeCell ref="BC18:BD20"/>
    <mergeCell ref="BE18:BF20"/>
    <mergeCell ref="BG18:BH20"/>
    <mergeCell ref="AK18:AL20"/>
    <mergeCell ref="AQ7:AR17"/>
    <mergeCell ref="AS7:AT17"/>
    <mergeCell ref="CA23:CB25"/>
    <mergeCell ref="BO23:BP25"/>
    <mergeCell ref="BQ23:BR25"/>
    <mergeCell ref="BS23:BT25"/>
    <mergeCell ref="BU23:BV25"/>
    <mergeCell ref="BW23:BX25"/>
    <mergeCell ref="BY23:BZ25"/>
    <mergeCell ref="BY18:BZ20"/>
    <mergeCell ref="F84:AC86"/>
    <mergeCell ref="AG40:AH42"/>
    <mergeCell ref="CA18:CB20"/>
    <mergeCell ref="BS18:BT20"/>
    <mergeCell ref="AG65:AH67"/>
    <mergeCell ref="AU26:AV28"/>
    <mergeCell ref="AW26:AX28"/>
    <mergeCell ref="AY26:AZ28"/>
    <mergeCell ref="BS26:BT28"/>
    <mergeCell ref="BU26:BV28"/>
    <mergeCell ref="BW26:BX28"/>
    <mergeCell ref="BY26:BZ28"/>
    <mergeCell ref="BU18:BV20"/>
    <mergeCell ref="BW18:BX20"/>
    <mergeCell ref="CA26:CB28"/>
    <mergeCell ref="BO26:BP28"/>
    <mergeCell ref="BQ26:BR28"/>
    <mergeCell ref="BC29:BD31"/>
    <mergeCell ref="BE29:BF31"/>
    <mergeCell ref="BG29:BH31"/>
    <mergeCell ref="AM18:AN20"/>
    <mergeCell ref="BI29:BJ31"/>
    <mergeCell ref="BK29:BL31"/>
    <mergeCell ref="AS18:AT20"/>
    <mergeCell ref="AU18:AV20"/>
    <mergeCell ref="AY29:AZ31"/>
    <mergeCell ref="AQ18:AR20"/>
    <mergeCell ref="AO18:AP20"/>
    <mergeCell ref="BA26:BB28"/>
    <mergeCell ref="BC26:BD28"/>
    <mergeCell ref="BE26:BF28"/>
    <mergeCell ref="BM23:BN25"/>
    <mergeCell ref="BA23:BB25"/>
    <mergeCell ref="BC23:BD25"/>
    <mergeCell ref="BE23:BF25"/>
    <mergeCell ref="BG23:BH25"/>
    <mergeCell ref="BI23:BJ25"/>
    <mergeCell ref="BK23:BL25"/>
    <mergeCell ref="AW23:AX25"/>
    <mergeCell ref="AY23:AZ25"/>
    <mergeCell ref="BY29:BZ31"/>
    <mergeCell ref="CA29:CB31"/>
    <mergeCell ref="BO29:BP31"/>
    <mergeCell ref="BQ29:BR31"/>
    <mergeCell ref="BS29:BT31"/>
    <mergeCell ref="BU29:BV31"/>
    <mergeCell ref="BW29:BX31"/>
    <mergeCell ref="F40:AC42"/>
    <mergeCell ref="AU40:AV42"/>
    <mergeCell ref="AW40:AX42"/>
    <mergeCell ref="AW37:AX39"/>
    <mergeCell ref="AI40:AJ42"/>
    <mergeCell ref="AK40:AL42"/>
    <mergeCell ref="AM40:AN42"/>
    <mergeCell ref="AO40:AP42"/>
    <mergeCell ref="AQ40:AR42"/>
    <mergeCell ref="AS40:AT42"/>
    <mergeCell ref="BS34:BT36"/>
    <mergeCell ref="BU34:BV36"/>
    <mergeCell ref="BW34:BX36"/>
    <mergeCell ref="BY34:BZ36"/>
    <mergeCell ref="CA34:CB36"/>
    <mergeCell ref="BO34:BP36"/>
    <mergeCell ref="BQ34:BR36"/>
    <mergeCell ref="AG23:AH25"/>
    <mergeCell ref="AI23:AJ25"/>
    <mergeCell ref="AK23:AL25"/>
    <mergeCell ref="AM23:AN25"/>
    <mergeCell ref="AQ23:AR25"/>
    <mergeCell ref="AW29:AX31"/>
    <mergeCell ref="AE29:AF31"/>
    <mergeCell ref="AK29:AL31"/>
    <mergeCell ref="AM29:AN31"/>
    <mergeCell ref="AS29:AT31"/>
    <mergeCell ref="AU29:AV31"/>
    <mergeCell ref="AO29:AP31"/>
    <mergeCell ref="AQ29:AR31"/>
    <mergeCell ref="AE26:AF28"/>
    <mergeCell ref="AG26:AH28"/>
    <mergeCell ref="AI26:AJ28"/>
    <mergeCell ref="AK26:AL28"/>
    <mergeCell ref="AM26:AN28"/>
    <mergeCell ref="AO26:AP28"/>
    <mergeCell ref="AQ26:AR28"/>
    <mergeCell ref="AS26:AT28"/>
    <mergeCell ref="AO23:AP25"/>
    <mergeCell ref="AS23:AT25"/>
    <mergeCell ref="AU23:AV25"/>
    <mergeCell ref="AE5:AJ6"/>
    <mergeCell ref="BW5:CB6"/>
    <mergeCell ref="BQ5:BV6"/>
    <mergeCell ref="BK5:BP6"/>
    <mergeCell ref="AK5:BJ6"/>
    <mergeCell ref="BO7:BP17"/>
    <mergeCell ref="BQ7:BR17"/>
    <mergeCell ref="BS7:BT17"/>
    <mergeCell ref="BU7:BV17"/>
    <mergeCell ref="BW7:BX17"/>
    <mergeCell ref="BY7:BZ17"/>
    <mergeCell ref="BC7:BD17"/>
    <mergeCell ref="BE7:BF17"/>
    <mergeCell ref="BG7:BH17"/>
    <mergeCell ref="BI7:BJ17"/>
    <mergeCell ref="BK7:BL17"/>
    <mergeCell ref="BM7:BN17"/>
    <mergeCell ref="AY7:AZ17"/>
    <mergeCell ref="BA7:BB17"/>
    <mergeCell ref="AW7:AX17"/>
    <mergeCell ref="CA7:CB17"/>
    <mergeCell ref="AU7:AV17"/>
    <mergeCell ref="AE7:AF17"/>
    <mergeCell ref="AG7:AH17"/>
    <mergeCell ref="BG26:BH28"/>
    <mergeCell ref="BI26:BJ28"/>
    <mergeCell ref="BK26:BL28"/>
    <mergeCell ref="BM26:BN28"/>
    <mergeCell ref="AE34:AF36"/>
    <mergeCell ref="AG34:AH36"/>
    <mergeCell ref="AI34:AJ36"/>
    <mergeCell ref="AK34:AL36"/>
    <mergeCell ref="AM34:AN36"/>
    <mergeCell ref="AO34:AP36"/>
    <mergeCell ref="AQ34:AR36"/>
    <mergeCell ref="AS34:AT36"/>
    <mergeCell ref="BM29:BN31"/>
    <mergeCell ref="BA29:BB31"/>
    <mergeCell ref="AE37:AF39"/>
    <mergeCell ref="AG37:AH39"/>
    <mergeCell ref="AI37:AJ39"/>
    <mergeCell ref="AK37:AL39"/>
    <mergeCell ref="AM37:AN39"/>
    <mergeCell ref="BM34:BN36"/>
    <mergeCell ref="AU34:AV36"/>
    <mergeCell ref="AW34:AX36"/>
    <mergeCell ref="AY34:AZ36"/>
    <mergeCell ref="BA34:BB36"/>
    <mergeCell ref="BC34:BD36"/>
    <mergeCell ref="BE34:BF36"/>
    <mergeCell ref="BG34:BH36"/>
    <mergeCell ref="BI34:BJ36"/>
    <mergeCell ref="BK34:BL36"/>
    <mergeCell ref="AO37:AP39"/>
    <mergeCell ref="AQ37:AR39"/>
    <mergeCell ref="AS37:AT39"/>
    <mergeCell ref="AU37:AV39"/>
    <mergeCell ref="AY37:AZ39"/>
    <mergeCell ref="BY37:BZ39"/>
    <mergeCell ref="CA37:CB39"/>
    <mergeCell ref="BO37:BP39"/>
    <mergeCell ref="BQ37:BR39"/>
    <mergeCell ref="BS37:BT39"/>
    <mergeCell ref="BU37:BV39"/>
    <mergeCell ref="BW37:BX39"/>
    <mergeCell ref="BM37:BN39"/>
    <mergeCell ref="BA37:BB39"/>
    <mergeCell ref="BC37:BD39"/>
    <mergeCell ref="BE37:BF39"/>
    <mergeCell ref="BG37:BH39"/>
    <mergeCell ref="BI37:BJ39"/>
    <mergeCell ref="BK37:BL39"/>
    <mergeCell ref="BW40:BX42"/>
    <mergeCell ref="BY40:BZ42"/>
    <mergeCell ref="CA40:CB42"/>
    <mergeCell ref="AE51:AF53"/>
    <mergeCell ref="AG51:AH53"/>
    <mergeCell ref="AI51:AJ53"/>
    <mergeCell ref="AK51:AL53"/>
    <mergeCell ref="AM51:AN53"/>
    <mergeCell ref="AO51:AP53"/>
    <mergeCell ref="AQ51:AR53"/>
    <mergeCell ref="BK40:BL42"/>
    <mergeCell ref="BM40:BN42"/>
    <mergeCell ref="BO40:BP42"/>
    <mergeCell ref="BQ40:BR42"/>
    <mergeCell ref="BS40:BT42"/>
    <mergeCell ref="BU40:BV42"/>
    <mergeCell ref="AY40:AZ42"/>
    <mergeCell ref="BA40:BB42"/>
    <mergeCell ref="BC40:BD42"/>
    <mergeCell ref="BE40:BF42"/>
    <mergeCell ref="BG40:BH42"/>
    <mergeCell ref="BI40:BJ42"/>
    <mergeCell ref="BS51:BT53"/>
    <mergeCell ref="BU51:BV53"/>
    <mergeCell ref="BG51:BH53"/>
    <mergeCell ref="BI51:BJ53"/>
    <mergeCell ref="BK51:BL53"/>
    <mergeCell ref="BM51:BN53"/>
    <mergeCell ref="AU51:AV53"/>
    <mergeCell ref="AW51:AX53"/>
    <mergeCell ref="AY51:AZ53"/>
    <mergeCell ref="BA51:BB53"/>
    <mergeCell ref="BC51:BD53"/>
    <mergeCell ref="BE51:BF53"/>
    <mergeCell ref="AU54:AV56"/>
    <mergeCell ref="AW54:AX56"/>
    <mergeCell ref="AY54:AZ56"/>
    <mergeCell ref="BA54:BB56"/>
    <mergeCell ref="BI54:BJ56"/>
    <mergeCell ref="BK54:BL56"/>
    <mergeCell ref="BM54:BN56"/>
    <mergeCell ref="AQ54:AR56"/>
    <mergeCell ref="AS54:AT56"/>
    <mergeCell ref="BW51:BX53"/>
    <mergeCell ref="BY51:BZ53"/>
    <mergeCell ref="CA51:CB53"/>
    <mergeCell ref="BO51:BP53"/>
    <mergeCell ref="BQ51:BR53"/>
    <mergeCell ref="CA54:CB56"/>
    <mergeCell ref="AE57:AF59"/>
    <mergeCell ref="AG57:AH59"/>
    <mergeCell ref="AI57:AJ59"/>
    <mergeCell ref="AK57:AL59"/>
    <mergeCell ref="AM57:AN59"/>
    <mergeCell ref="AO57:AP59"/>
    <mergeCell ref="AQ57:AR59"/>
    <mergeCell ref="AS57:AT59"/>
    <mergeCell ref="AU57:AV59"/>
    <mergeCell ref="BO54:BP56"/>
    <mergeCell ref="BQ54:BR56"/>
    <mergeCell ref="BS54:BT56"/>
    <mergeCell ref="BU54:BV56"/>
    <mergeCell ref="BW54:BX56"/>
    <mergeCell ref="BY54:BZ56"/>
    <mergeCell ref="BC54:BD56"/>
    <mergeCell ref="BE54:BF56"/>
    <mergeCell ref="BG54:BH56"/>
    <mergeCell ref="BE57:BF59"/>
    <mergeCell ref="BG57:BH59"/>
    <mergeCell ref="BG62:BH64"/>
    <mergeCell ref="BW65:BX67"/>
    <mergeCell ref="BU65:BV67"/>
    <mergeCell ref="BY65:BZ67"/>
    <mergeCell ref="CA65:CB67"/>
    <mergeCell ref="BO65:BP67"/>
    <mergeCell ref="BQ65:BR67"/>
    <mergeCell ref="BS65:BT67"/>
    <mergeCell ref="BS57:BT59"/>
    <mergeCell ref="BO62:BP64"/>
    <mergeCell ref="CA57:CB59"/>
    <mergeCell ref="BM65:BN67"/>
    <mergeCell ref="BI62:BJ64"/>
    <mergeCell ref="BK62:BL64"/>
    <mergeCell ref="BM62:BN64"/>
    <mergeCell ref="BW57:BX59"/>
    <mergeCell ref="BW60:CB61"/>
    <mergeCell ref="BQ60:BV61"/>
    <mergeCell ref="BQ62:BR64"/>
    <mergeCell ref="BY57:BZ59"/>
    <mergeCell ref="CA62:CB64"/>
    <mergeCell ref="BS62:BT64"/>
    <mergeCell ref="BU62:BV64"/>
    <mergeCell ref="BW62:BX64"/>
    <mergeCell ref="BY62:BZ64"/>
    <mergeCell ref="AE68:AF70"/>
    <mergeCell ref="AG68:AH70"/>
    <mergeCell ref="AI68:AJ70"/>
    <mergeCell ref="AK68:AL70"/>
    <mergeCell ref="AM68:AN70"/>
    <mergeCell ref="AO68:AP70"/>
    <mergeCell ref="BI65:BJ67"/>
    <mergeCell ref="BK65:BL67"/>
    <mergeCell ref="CA68:CB70"/>
    <mergeCell ref="AY68:AZ70"/>
    <mergeCell ref="BA68:BB70"/>
    <mergeCell ref="BW68:BX70"/>
    <mergeCell ref="AI65:AJ67"/>
    <mergeCell ref="AK65:AL67"/>
    <mergeCell ref="AM65:AN67"/>
    <mergeCell ref="AO65:AP67"/>
    <mergeCell ref="AQ65:AR67"/>
    <mergeCell ref="AS65:AT67"/>
    <mergeCell ref="AU65:AV67"/>
    <mergeCell ref="BE65:BF67"/>
    <mergeCell ref="BG65:BH67"/>
    <mergeCell ref="AE60:AJ61"/>
    <mergeCell ref="BU57:BV59"/>
    <mergeCell ref="BI57:BJ59"/>
    <mergeCell ref="BK57:BL59"/>
    <mergeCell ref="BM57:BN59"/>
    <mergeCell ref="BO57:BP59"/>
    <mergeCell ref="BQ57:BR59"/>
    <mergeCell ref="BY68:BZ70"/>
    <mergeCell ref="BC68:BD70"/>
    <mergeCell ref="BE68:BF70"/>
    <mergeCell ref="BG68:BH70"/>
    <mergeCell ref="BI68:BJ70"/>
    <mergeCell ref="BK68:BL70"/>
    <mergeCell ref="BM68:BN70"/>
    <mergeCell ref="BO68:BP70"/>
    <mergeCell ref="BQ68:BR70"/>
    <mergeCell ref="BS68:BT70"/>
    <mergeCell ref="BU68:BV70"/>
    <mergeCell ref="AW65:AX67"/>
    <mergeCell ref="AY65:AZ67"/>
    <mergeCell ref="BA65:BB67"/>
    <mergeCell ref="BC65:BD67"/>
    <mergeCell ref="AU68:AV70"/>
    <mergeCell ref="AW68:AX70"/>
    <mergeCell ref="AG72:AH74"/>
    <mergeCell ref="AI72:AJ74"/>
    <mergeCell ref="AK72:AL74"/>
    <mergeCell ref="AM72:AN74"/>
    <mergeCell ref="AO72:AP74"/>
    <mergeCell ref="AQ72:AR74"/>
    <mergeCell ref="AS72:AT74"/>
    <mergeCell ref="CA72:CB74"/>
    <mergeCell ref="BO72:BP74"/>
    <mergeCell ref="BQ72:BR74"/>
    <mergeCell ref="BS72:BT74"/>
    <mergeCell ref="AU72:AV74"/>
    <mergeCell ref="BY72:BZ74"/>
    <mergeCell ref="BU72:BV74"/>
    <mergeCell ref="BW72:BX74"/>
    <mergeCell ref="AM75:AN77"/>
    <mergeCell ref="AO75:AP77"/>
    <mergeCell ref="BI72:BJ74"/>
    <mergeCell ref="BK72:BL74"/>
    <mergeCell ref="BM72:BN74"/>
    <mergeCell ref="AW72:AX74"/>
    <mergeCell ref="AY72:AZ74"/>
    <mergeCell ref="BA72:BB74"/>
    <mergeCell ref="BC72:BD74"/>
    <mergeCell ref="BE72:BF74"/>
    <mergeCell ref="BG72:BH74"/>
    <mergeCell ref="CA75:CB77"/>
    <mergeCell ref="BO75:BP77"/>
    <mergeCell ref="BQ75:BR77"/>
    <mergeCell ref="AE72:AF74"/>
    <mergeCell ref="AE78:AF80"/>
    <mergeCell ref="AG78:AH80"/>
    <mergeCell ref="AI78:AJ80"/>
    <mergeCell ref="AK78:AL80"/>
    <mergeCell ref="AM78:AN80"/>
    <mergeCell ref="BG75:BH77"/>
    <mergeCell ref="BI75:BJ77"/>
    <mergeCell ref="BK75:BL77"/>
    <mergeCell ref="BM75:BN77"/>
    <mergeCell ref="AU75:AV77"/>
    <mergeCell ref="AW75:AX77"/>
    <mergeCell ref="AY75:AZ77"/>
    <mergeCell ref="BA75:BB77"/>
    <mergeCell ref="BC75:BD77"/>
    <mergeCell ref="BE75:BF77"/>
    <mergeCell ref="CA78:CB80"/>
    <mergeCell ref="AE75:AF77"/>
    <mergeCell ref="AG75:AH77"/>
    <mergeCell ref="AI75:AJ77"/>
    <mergeCell ref="AK75:AL77"/>
    <mergeCell ref="AQ78:AR80"/>
    <mergeCell ref="AS78:AT80"/>
    <mergeCell ref="BO78:BP80"/>
    <mergeCell ref="BQ78:BR80"/>
    <mergeCell ref="BS78:BT80"/>
    <mergeCell ref="BU78:BV80"/>
    <mergeCell ref="AO81:AP83"/>
    <mergeCell ref="AQ81:AR83"/>
    <mergeCell ref="AS81:AT83"/>
    <mergeCell ref="AU81:AV83"/>
    <mergeCell ref="AO78:AP80"/>
    <mergeCell ref="BI78:BJ80"/>
    <mergeCell ref="BK78:BL80"/>
    <mergeCell ref="BM78:BN80"/>
    <mergeCell ref="CA81:CB83"/>
    <mergeCell ref="AE84:AF86"/>
    <mergeCell ref="AG84:AH86"/>
    <mergeCell ref="AI84:AJ86"/>
    <mergeCell ref="AK84:AL86"/>
    <mergeCell ref="AM84:AN86"/>
    <mergeCell ref="AO84:AP86"/>
    <mergeCell ref="BI81:BJ83"/>
    <mergeCell ref="BK81:BL83"/>
    <mergeCell ref="BM81:BN83"/>
    <mergeCell ref="BO81:BP83"/>
    <mergeCell ref="BQ81:BR83"/>
    <mergeCell ref="BS81:BT83"/>
    <mergeCell ref="AW81:AX83"/>
    <mergeCell ref="AY81:AZ83"/>
    <mergeCell ref="BA81:BB83"/>
    <mergeCell ref="BC81:BD83"/>
    <mergeCell ref="BE81:BF83"/>
    <mergeCell ref="BG81:BH83"/>
    <mergeCell ref="AE81:AF83"/>
    <mergeCell ref="AG81:AH83"/>
    <mergeCell ref="AI81:AJ83"/>
    <mergeCell ref="AK81:AL83"/>
    <mergeCell ref="AM81:AN83"/>
    <mergeCell ref="AK87:AL89"/>
    <mergeCell ref="AM87:AN89"/>
    <mergeCell ref="AO87:AP89"/>
    <mergeCell ref="AQ87:AR89"/>
    <mergeCell ref="AS87:AT89"/>
    <mergeCell ref="AU87:AV89"/>
    <mergeCell ref="BO84:BP86"/>
    <mergeCell ref="BQ84:BR86"/>
    <mergeCell ref="BS84:BT86"/>
    <mergeCell ref="BC84:BD86"/>
    <mergeCell ref="BE84:BF86"/>
    <mergeCell ref="BG84:BH86"/>
    <mergeCell ref="BI84:BJ86"/>
    <mergeCell ref="BK84:BL86"/>
    <mergeCell ref="BM84:BN86"/>
    <mergeCell ref="AQ84:AR86"/>
    <mergeCell ref="AS84:AT86"/>
    <mergeCell ref="AU84:AV86"/>
    <mergeCell ref="AW84:AX86"/>
    <mergeCell ref="CA87:CB89"/>
    <mergeCell ref="AE45:AF47"/>
    <mergeCell ref="AG45:AH47"/>
    <mergeCell ref="AI45:AJ47"/>
    <mergeCell ref="AK45:AL47"/>
    <mergeCell ref="AM45:AN47"/>
    <mergeCell ref="AO45:AP47"/>
    <mergeCell ref="BI87:BJ89"/>
    <mergeCell ref="BK87:BL89"/>
    <mergeCell ref="BM87:BN89"/>
    <mergeCell ref="BO87:BP89"/>
    <mergeCell ref="BQ87:BR89"/>
    <mergeCell ref="BS87:BT89"/>
    <mergeCell ref="AW87:AX89"/>
    <mergeCell ref="AY87:AZ89"/>
    <mergeCell ref="BA87:BB89"/>
    <mergeCell ref="BC87:BD89"/>
    <mergeCell ref="BE87:BF89"/>
    <mergeCell ref="CA84:CB86"/>
    <mergeCell ref="AE87:AF89"/>
    <mergeCell ref="AG87:AH89"/>
    <mergeCell ref="AI87:AJ89"/>
    <mergeCell ref="BE78:BF80"/>
    <mergeCell ref="BG78:BH80"/>
    <mergeCell ref="BS75:BT77"/>
    <mergeCell ref="BU75:BV77"/>
    <mergeCell ref="BW75:BX77"/>
    <mergeCell ref="BY75:BZ77"/>
    <mergeCell ref="AQ45:AR47"/>
    <mergeCell ref="AS45:AT47"/>
    <mergeCell ref="AU45:AV47"/>
    <mergeCell ref="AW45:AX47"/>
    <mergeCell ref="AY45:AZ47"/>
    <mergeCell ref="BA45:BB47"/>
    <mergeCell ref="BK49:BP50"/>
    <mergeCell ref="BK60:BP61"/>
    <mergeCell ref="AK60:BJ61"/>
    <mergeCell ref="BC62:BD64"/>
    <mergeCell ref="BE62:BF64"/>
    <mergeCell ref="AO62:AP64"/>
    <mergeCell ref="AU62:AV64"/>
    <mergeCell ref="AW62:AX64"/>
    <mergeCell ref="AY62:AZ64"/>
    <mergeCell ref="BA62:BB64"/>
    <mergeCell ref="AW57:AX59"/>
    <mergeCell ref="AY57:AZ59"/>
    <mergeCell ref="BA57:BB59"/>
    <mergeCell ref="BC57:BD59"/>
    <mergeCell ref="BU87:BV89"/>
    <mergeCell ref="BW87:BX89"/>
    <mergeCell ref="BY87:BZ89"/>
    <mergeCell ref="BW84:BX86"/>
    <mergeCell ref="BY84:BZ86"/>
    <mergeCell ref="BU81:BV83"/>
    <mergeCell ref="BW81:BX83"/>
    <mergeCell ref="BY81:BZ83"/>
    <mergeCell ref="AU78:AV80"/>
    <mergeCell ref="AW78:AX80"/>
    <mergeCell ref="AY78:AZ80"/>
    <mergeCell ref="BA78:BB80"/>
    <mergeCell ref="BG87:BH89"/>
    <mergeCell ref="AY84:AZ86"/>
    <mergeCell ref="BA84:BB86"/>
    <mergeCell ref="BW78:BX80"/>
    <mergeCell ref="BY78:BZ80"/>
    <mergeCell ref="BC78:BD80"/>
    <mergeCell ref="BU84:BV86"/>
    <mergeCell ref="CA45:CB47"/>
    <mergeCell ref="BO45:BP47"/>
    <mergeCell ref="BQ45:BR47"/>
    <mergeCell ref="BS45:BT47"/>
    <mergeCell ref="BU45:BV47"/>
    <mergeCell ref="BW45:BX47"/>
    <mergeCell ref="BY45:BZ47"/>
    <mergeCell ref="BC45:BD47"/>
    <mergeCell ref="BE45:BF47"/>
    <mergeCell ref="BG45:BH47"/>
    <mergeCell ref="BI45:BJ47"/>
    <mergeCell ref="BK45:BL47"/>
    <mergeCell ref="BM45:BN47"/>
    <mergeCell ref="F60:AC61"/>
    <mergeCell ref="BW21:CB22"/>
    <mergeCell ref="BQ21:BV22"/>
    <mergeCell ref="BK21:BP22"/>
    <mergeCell ref="AK21:BJ22"/>
    <mergeCell ref="AE21:AJ22"/>
    <mergeCell ref="F21:AC22"/>
    <mergeCell ref="BW32:CB33"/>
    <mergeCell ref="BQ32:BV33"/>
    <mergeCell ref="BK32:BP33"/>
    <mergeCell ref="AK32:BJ33"/>
    <mergeCell ref="AE32:AJ33"/>
    <mergeCell ref="F32:AC33"/>
    <mergeCell ref="BW43:CB44"/>
    <mergeCell ref="BQ43:BV44"/>
    <mergeCell ref="BK43:BP44"/>
    <mergeCell ref="AK43:BJ44"/>
    <mergeCell ref="AE43:AJ44"/>
    <mergeCell ref="F43:AC44"/>
    <mergeCell ref="F49:AC50"/>
    <mergeCell ref="AK49:BJ50"/>
    <mergeCell ref="AE49:AJ50"/>
    <mergeCell ref="BW49:CB50"/>
    <mergeCell ref="BQ49:BV50"/>
  </mergeCells>
  <pageMargins left="0.70866141732283472" right="0.70866141732283472" top="0.86614173228346458" bottom="0.86614173228346458" header="0.23622047244094491" footer="0.23622047244094491"/>
  <pageSetup paperSize="9" scale="52" orientation="portrait" r:id="rId1"/>
  <headerFooter scaleWithDoc="0" alignWithMargins="0">
    <oddHeader>&amp;R&amp;G</oddHeader>
    <oddFooter>&amp;L&amp;8Index: 102
&amp;6Copyright by Brose. Alle Rechte vorbehalten&amp;C&amp;8Page: &amp;P/ &amp;N (&amp;A)&amp;R&amp;8Date saved: &amp;D
&amp;6Template version 2021</oddFooter>
  </headerFooter>
  <drawing r:id="rId2"/>
  <legacyDrawingHF r:id="rId3"/>
  <extLst>
    <ext xmlns:x14="http://schemas.microsoft.com/office/spreadsheetml/2009/9/main" uri="{78C0D931-6437-407d-A8EE-F0AAD7539E65}">
      <x14:conditionalFormattings>
        <x14:conditionalFormatting xmlns:xm="http://schemas.microsoft.com/office/excel/2006/main">
          <x14:cfRule type="cellIs" priority="13" operator="equal" id="{E40A9C1D-5D41-4E9F-9BA8-8D3B83C338E3}">
            <xm:f>Buttons!$B$93</xm:f>
            <x14:dxf>
              <font>
                <color rgb="FF92D050"/>
              </font>
              <fill>
                <patternFill>
                  <bgColor rgb="FF92D050"/>
                </patternFill>
              </fill>
            </x14:dxf>
          </x14:cfRule>
          <x14:cfRule type="cellIs" priority="14" operator="equal" id="{2C4FD896-6CEA-497A-A59A-D043F56132BA}">
            <xm:f>Buttons!$B$94</xm:f>
            <x14:dxf>
              <font>
                <color rgb="FFFF5050"/>
              </font>
              <fill>
                <patternFill>
                  <bgColor rgb="FFFF5050"/>
                </patternFill>
              </fill>
            </x14:dxf>
          </x14:cfRule>
          <x14:cfRule type="cellIs" priority="15" operator="equal" id="{48BE77EE-1C77-4A57-B006-9D7243823399}">
            <xm:f>Buttons!$B$92</xm:f>
            <x14:dxf>
              <font>
                <color theme="3" tint="0.39994506668294322"/>
              </font>
              <fill>
                <patternFill>
                  <bgColor theme="3" tint="0.39994506668294322"/>
                </patternFill>
              </fill>
            </x14:dxf>
          </x14:cfRule>
          <xm:sqref>AE23:CB31 AE34:CB42 AE51:CB59 AE62:CB70 AE72:CB89 AE45:CB47</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800-000000000000}">
          <x14:formula1>
            <xm:f>Buttons!$B$86:$B$90</xm:f>
          </x14:formula1>
          <xm:sqref>AE18:CB20</xm:sqref>
        </x14:dataValidation>
        <x14:dataValidation type="list" allowBlank="1" showInputMessage="1" showErrorMessage="1" xr:uid="{00000000-0002-0000-0800-000001000000}">
          <x14:formula1>
            <xm:f>Buttons!$B$92:$B$96</xm:f>
          </x14:formula1>
          <xm:sqref>AE23:CB31 AE72:CB89 AE62:CB70 AE51:CB59 AE45:CB47 AE34:CB42</xm:sqref>
        </x14:dataValidation>
        <x14:dataValidation type="list" allowBlank="1" showInputMessage="1" showErrorMessage="1" xr:uid="{00000000-0002-0000-0800-000002000000}">
          <x14:formula1>
            <xm:f>Buttons!$E$5:$E$97</xm:f>
          </x14:formula1>
          <xm:sqref>AW123 AW135:BB136 AW150:BB155 AW118:BB119 AW129:BB132 AW91:BB92 AW98:BB101 AW104:BB107 AW110:BB115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2">
    <pageSetUpPr fitToPage="1"/>
  </sheetPr>
  <dimension ref="A1:I75"/>
  <sheetViews>
    <sheetView tabSelected="1" zoomScaleNormal="100" workbookViewId="0">
      <pane ySplit="1" topLeftCell="A2" activePane="bottomLeft" state="frozen"/>
      <selection activeCell="D3" sqref="D3"/>
      <selection pane="bottomLeft" activeCell="D3" sqref="D3"/>
    </sheetView>
  </sheetViews>
  <sheetFormatPr baseColWidth="10" defaultColWidth="11" defaultRowHeight="12.75"/>
  <cols>
    <col min="1" max="1" width="1.875" style="410" customWidth="1"/>
    <col min="2" max="2" width="1.875" style="153" customWidth="1"/>
    <col min="3" max="3" width="6.25" style="153" customWidth="1"/>
    <col min="4" max="4" width="30" style="153" customWidth="1"/>
    <col min="5" max="5" width="43.75" style="153" customWidth="1"/>
    <col min="6" max="6" width="18.75" style="153" customWidth="1"/>
    <col min="7" max="7" width="12.5" style="182" customWidth="1"/>
    <col min="8" max="8" width="12.5" style="153" customWidth="1"/>
    <col min="9" max="9" width="22.5" style="153" customWidth="1"/>
    <col min="10" max="16384" width="11" style="153"/>
  </cols>
  <sheetData>
    <row r="1" spans="2:9" ht="33.75" customHeight="1">
      <c r="B1" s="1435" t="str">
        <f>VLOOKUP(12001,Languages!A5:C550,Languages!A2,FALSE)</f>
        <v>Action plan status list</v>
      </c>
      <c r="C1" s="1435"/>
      <c r="D1" s="1435"/>
      <c r="E1" s="1435"/>
      <c r="F1" s="1435"/>
      <c r="G1" s="1435"/>
      <c r="H1" s="1435"/>
      <c r="I1" s="1435"/>
    </row>
    <row r="2" spans="2:9" ht="11.25" customHeight="1">
      <c r="C2" s="183"/>
      <c r="D2" s="183"/>
      <c r="E2" s="183"/>
      <c r="F2" s="183"/>
    </row>
    <row r="3" spans="2:9" ht="22.5" customHeight="1">
      <c r="C3" s="1442"/>
      <c r="D3" s="1442"/>
      <c r="E3" s="1442"/>
      <c r="F3" s="172"/>
      <c r="G3" s="1438"/>
      <c r="H3" s="1438"/>
      <c r="I3" s="1438"/>
    </row>
    <row r="4" spans="2:9">
      <c r="C4" s="169"/>
      <c r="D4" s="169"/>
      <c r="E4" s="169"/>
      <c r="F4" s="1439" t="str">
        <f>VLOOKUP(12002,Languages!A5:C550,Languages!A2,FALSE)</f>
        <v>Implementation overview</v>
      </c>
      <c r="G4" s="1439"/>
      <c r="H4" s="1439"/>
      <c r="I4" s="1439"/>
    </row>
    <row r="5" spans="2:9">
      <c r="C5" s="1436" t="str">
        <f>VLOOKUP(12003,Languages!A5:C550,Languages!A2,FALSE)</f>
        <v>Project/Topic</v>
      </c>
      <c r="D5" s="1437"/>
      <c r="E5" s="155"/>
      <c r="F5" s="1440"/>
      <c r="G5" s="1441"/>
      <c r="H5" s="1441"/>
      <c r="I5" s="1441"/>
    </row>
    <row r="6" spans="2:9">
      <c r="C6" s="1436" t="str">
        <f>VLOOKUP(12004,Languages!A5:C550,Languages!A2,FALSE)</f>
        <v>Person Responsible</v>
      </c>
      <c r="D6" s="1437"/>
      <c r="E6" s="156"/>
      <c r="F6" s="169"/>
      <c r="G6" s="169"/>
      <c r="H6" s="169"/>
      <c r="I6" s="169"/>
    </row>
    <row r="7" spans="2:9">
      <c r="C7" s="1436" t="str">
        <f>VLOOKUP(12005,Languages!A5:C550,Languages!A2,FALSE)</f>
        <v>Status</v>
      </c>
      <c r="D7" s="1437"/>
      <c r="E7" s="156"/>
      <c r="F7" s="169"/>
      <c r="G7" s="169"/>
      <c r="H7" s="169"/>
      <c r="I7" s="169"/>
    </row>
    <row r="8" spans="2:9">
      <c r="C8" s="169" t="str">
        <f>VLOOKUP(12006,Languages!A5:C550,Languages!A2,FALSE)</f>
        <v>Today</v>
      </c>
      <c r="D8" s="169" t="str">
        <f>VLOOKUP(12011,Languages!A5:C550,Languages!A2,FALSE)</f>
        <v>(DD.MM.YY)</v>
      </c>
      <c r="E8" s="166">
        <f ca="1">TODAY()</f>
        <v>44313</v>
      </c>
      <c r="F8" s="169"/>
      <c r="G8" s="169"/>
      <c r="H8" s="169"/>
      <c r="I8" s="169"/>
    </row>
    <row r="9" spans="2:9">
      <c r="C9" s="158" t="str">
        <f>VLOOKUP(12007,Languages!A5:C550,Languages!A2,FALSE)</f>
        <v>green</v>
      </c>
      <c r="D9" s="159" t="str">
        <f>VLOOKUP(12012,Languages!A5:C550,Languages!A2,FALSE)</f>
        <v>completed</v>
      </c>
      <c r="E9" s="160">
        <f>COUNTIF(H16:H10002,D9)</f>
        <v>0</v>
      </c>
      <c r="F9" s="169"/>
      <c r="G9" s="169"/>
      <c r="H9" s="169"/>
      <c r="I9" s="169"/>
    </row>
    <row r="10" spans="2:9">
      <c r="C10" s="174" t="str">
        <f>VLOOKUP(12008,Languages!A5:C550,Languages!A2,FALSE)</f>
        <v>white</v>
      </c>
      <c r="D10" s="175" t="str">
        <f>VLOOKUP(12013,Languages!A5:C550,Languages!A2,FALSE)</f>
        <v>in progress</v>
      </c>
      <c r="E10" s="160">
        <f>COUNTIF(H16:H10002,D10)</f>
        <v>0</v>
      </c>
      <c r="F10" s="169"/>
      <c r="G10" s="169"/>
      <c r="H10" s="169"/>
      <c r="I10" s="169"/>
    </row>
    <row r="11" spans="2:9">
      <c r="C11" s="161" t="str">
        <f>VLOOKUP(12009,Languages!A5:C550,Languages!A2,FALSE)</f>
        <v>yellow</v>
      </c>
      <c r="D11" s="162" t="str">
        <f>VLOOKUP(12014,Languages!A5:C550,Languages!A2,FALSE)</f>
        <v>behind schedule</v>
      </c>
      <c r="E11" s="160">
        <f>COUNTIF(H16:H10002,D11)</f>
        <v>0</v>
      </c>
      <c r="F11" s="169"/>
      <c r="G11" s="169"/>
      <c r="H11" s="169"/>
      <c r="I11" s="169"/>
    </row>
    <row r="12" spans="2:9">
      <c r="C12" s="163" t="str">
        <f>VLOOKUP(12010,Languages!A5:C550,Languages!A2,FALSE)</f>
        <v>red</v>
      </c>
      <c r="D12" s="164" t="str">
        <f>VLOOKUP(12015,Languages!A5:C550,Languages!A2,FALSE)</f>
        <v>critical</v>
      </c>
      <c r="E12" s="165">
        <f>COUNTIF(H16:H10002,D12)</f>
        <v>0</v>
      </c>
      <c r="F12" s="173"/>
      <c r="G12" s="169"/>
      <c r="H12" s="169"/>
      <c r="I12" s="170"/>
    </row>
    <row r="13" spans="2:9">
      <c r="C13" s="169"/>
      <c r="D13" s="169"/>
      <c r="E13" s="169"/>
      <c r="F13" s="169"/>
      <c r="G13" s="169"/>
      <c r="H13" s="169"/>
      <c r="I13" s="170"/>
    </row>
    <row r="14" spans="2:9">
      <c r="C14" s="171"/>
      <c r="D14" s="171"/>
      <c r="E14" s="171"/>
      <c r="F14" s="171"/>
      <c r="G14" s="171"/>
      <c r="H14" s="171"/>
      <c r="I14" s="171"/>
    </row>
    <row r="15" spans="2:9" ht="25.5">
      <c r="C15" s="167" t="str">
        <f>VLOOKUP(12016,Languages!$A$5:$C$550,Languages!$A$2,FALSE)</f>
        <v>No.</v>
      </c>
      <c r="D15" s="167" t="str">
        <f>VLOOKUP(12017,Languages!A5:C550,Languages!A2,FALSE)</f>
        <v>Work package</v>
      </c>
      <c r="E15" s="167" t="str">
        <f>VLOOKUP(12018,Languages!A5:C550,Languages!A2,FALSE)</f>
        <v>Task / point / issue</v>
      </c>
      <c r="F15" s="167" t="str">
        <f>VLOOKUP(12019,Languages!A5:C550,Languages!A2,FALSE)</f>
        <v>Person responsible</v>
      </c>
      <c r="G15" s="168" t="str">
        <f>VLOOKUP(12020,Languages!A5:C550,Languages!A2,FALSE)</f>
        <v>Deadline (DD.MM.YY)</v>
      </c>
      <c r="H15" s="167" t="str">
        <f>VLOOKUP(12021,Languages!A5:C550,Languages!A2,FALSE)</f>
        <v>Status</v>
      </c>
      <c r="I15" s="167" t="str">
        <f>VLOOKUP(12022,Languages!A5:C550,Languages!A2,FALSE)</f>
        <v>Comments</v>
      </c>
    </row>
    <row r="16" spans="2:9">
      <c r="C16" s="154">
        <v>1</v>
      </c>
      <c r="D16" s="176"/>
      <c r="E16" s="176"/>
      <c r="F16" s="176"/>
      <c r="G16" s="177"/>
      <c r="H16" s="178"/>
      <c r="I16" s="176"/>
    </row>
    <row r="17" spans="3:9">
      <c r="C17" s="157">
        <v>2</v>
      </c>
      <c r="D17" s="179"/>
      <c r="E17" s="179"/>
      <c r="F17" s="179"/>
      <c r="G17" s="180"/>
      <c r="H17" s="181"/>
      <c r="I17" s="179"/>
    </row>
    <row r="18" spans="3:9">
      <c r="C18" s="157">
        <v>3</v>
      </c>
      <c r="D18" s="179"/>
      <c r="E18" s="179"/>
      <c r="F18" s="179"/>
      <c r="G18" s="180"/>
      <c r="H18" s="181"/>
      <c r="I18" s="179"/>
    </row>
    <row r="19" spans="3:9">
      <c r="C19" s="157">
        <v>4</v>
      </c>
      <c r="D19" s="179"/>
      <c r="E19" s="179"/>
      <c r="F19" s="179"/>
      <c r="G19" s="180"/>
      <c r="H19" s="181"/>
      <c r="I19" s="179"/>
    </row>
    <row r="20" spans="3:9">
      <c r="C20" s="157">
        <v>5</v>
      </c>
      <c r="D20" s="179"/>
      <c r="E20" s="179"/>
      <c r="F20" s="179"/>
      <c r="G20" s="180"/>
      <c r="H20" s="181"/>
      <c r="I20" s="179"/>
    </row>
    <row r="21" spans="3:9">
      <c r="C21" s="157">
        <v>6</v>
      </c>
      <c r="D21" s="179"/>
      <c r="E21" s="179"/>
      <c r="F21" s="179"/>
      <c r="G21" s="180"/>
      <c r="H21" s="181"/>
      <c r="I21" s="179"/>
    </row>
    <row r="22" spans="3:9">
      <c r="C22" s="157">
        <v>7</v>
      </c>
      <c r="D22" s="179"/>
      <c r="E22" s="179"/>
      <c r="F22" s="179"/>
      <c r="G22" s="180"/>
      <c r="H22" s="181"/>
      <c r="I22" s="179"/>
    </row>
    <row r="23" spans="3:9">
      <c r="C23" s="157">
        <v>8</v>
      </c>
      <c r="D23" s="179"/>
      <c r="E23" s="179"/>
      <c r="F23" s="179"/>
      <c r="G23" s="180"/>
      <c r="H23" s="181"/>
      <c r="I23" s="179"/>
    </row>
    <row r="24" spans="3:9">
      <c r="C24" s="157">
        <v>9</v>
      </c>
      <c r="D24" s="179"/>
      <c r="E24" s="179"/>
      <c r="F24" s="179"/>
      <c r="G24" s="180"/>
      <c r="H24" s="181"/>
      <c r="I24" s="179"/>
    </row>
    <row r="25" spans="3:9">
      <c r="C25" s="157">
        <v>10</v>
      </c>
      <c r="D25" s="179"/>
      <c r="E25" s="179"/>
      <c r="F25" s="179"/>
      <c r="G25" s="180"/>
      <c r="H25" s="181"/>
      <c r="I25" s="179"/>
    </row>
    <row r="26" spans="3:9">
      <c r="C26" s="157">
        <v>11</v>
      </c>
      <c r="D26" s="179"/>
      <c r="E26" s="179"/>
      <c r="F26" s="179"/>
      <c r="G26" s="180"/>
      <c r="H26" s="181"/>
      <c r="I26" s="179"/>
    </row>
    <row r="27" spans="3:9">
      <c r="C27" s="157">
        <v>12</v>
      </c>
      <c r="D27" s="179"/>
      <c r="E27" s="179"/>
      <c r="F27" s="179"/>
      <c r="G27" s="180"/>
      <c r="H27" s="181"/>
      <c r="I27" s="179"/>
    </row>
    <row r="28" spans="3:9">
      <c r="C28" s="157">
        <v>13</v>
      </c>
      <c r="D28" s="179"/>
      <c r="E28" s="179"/>
      <c r="F28" s="179"/>
      <c r="G28" s="180"/>
      <c r="H28" s="181"/>
      <c r="I28" s="179"/>
    </row>
    <row r="29" spans="3:9">
      <c r="C29" s="157">
        <v>14</v>
      </c>
      <c r="D29" s="179"/>
      <c r="E29" s="179"/>
      <c r="F29" s="179"/>
      <c r="G29" s="180"/>
      <c r="H29" s="181"/>
      <c r="I29" s="179"/>
    </row>
    <row r="30" spans="3:9">
      <c r="C30" s="157">
        <v>15</v>
      </c>
      <c r="D30" s="179"/>
      <c r="E30" s="179"/>
      <c r="F30" s="179"/>
      <c r="G30" s="180"/>
      <c r="H30" s="181"/>
      <c r="I30" s="179"/>
    </row>
    <row r="31" spans="3:9">
      <c r="C31" s="157">
        <v>16</v>
      </c>
      <c r="D31" s="179"/>
      <c r="E31" s="179"/>
      <c r="F31" s="179"/>
      <c r="G31" s="180"/>
      <c r="H31" s="181"/>
      <c r="I31" s="179"/>
    </row>
    <row r="32" spans="3:9">
      <c r="C32" s="157">
        <v>17</v>
      </c>
      <c r="D32" s="179"/>
      <c r="E32" s="179"/>
      <c r="F32" s="179"/>
      <c r="G32" s="180"/>
      <c r="H32" s="181"/>
      <c r="I32" s="179"/>
    </row>
    <row r="33" spans="3:9">
      <c r="C33" s="157">
        <v>18</v>
      </c>
      <c r="D33" s="179"/>
      <c r="E33" s="179"/>
      <c r="F33" s="179"/>
      <c r="G33" s="180"/>
      <c r="H33" s="181"/>
      <c r="I33" s="179"/>
    </row>
    <row r="34" spans="3:9">
      <c r="C34" s="157">
        <v>19</v>
      </c>
      <c r="D34" s="179"/>
      <c r="E34" s="179"/>
      <c r="F34" s="179"/>
      <c r="G34" s="180"/>
      <c r="H34" s="181"/>
      <c r="I34" s="179"/>
    </row>
    <row r="35" spans="3:9">
      <c r="C35" s="157">
        <v>20</v>
      </c>
      <c r="D35" s="179"/>
      <c r="E35" s="179"/>
      <c r="F35" s="179"/>
      <c r="G35" s="180"/>
      <c r="H35" s="181"/>
      <c r="I35" s="179"/>
    </row>
    <row r="36" spans="3:9">
      <c r="C36" s="157">
        <v>21</v>
      </c>
      <c r="D36" s="179"/>
      <c r="E36" s="179"/>
      <c r="F36" s="179"/>
      <c r="G36" s="180"/>
      <c r="H36" s="181"/>
      <c r="I36" s="179"/>
    </row>
    <row r="37" spans="3:9">
      <c r="C37" s="157">
        <v>22</v>
      </c>
      <c r="D37" s="179"/>
      <c r="E37" s="179"/>
      <c r="F37" s="179"/>
      <c r="G37" s="180"/>
      <c r="H37" s="181"/>
      <c r="I37" s="179"/>
    </row>
    <row r="38" spans="3:9">
      <c r="C38" s="157">
        <v>23</v>
      </c>
      <c r="D38" s="179"/>
      <c r="E38" s="179"/>
      <c r="F38" s="179"/>
      <c r="G38" s="180"/>
      <c r="H38" s="181"/>
      <c r="I38" s="179"/>
    </row>
    <row r="39" spans="3:9">
      <c r="C39" s="157">
        <v>24</v>
      </c>
      <c r="D39" s="179"/>
      <c r="E39" s="179"/>
      <c r="F39" s="179"/>
      <c r="G39" s="180"/>
      <c r="H39" s="181"/>
      <c r="I39" s="179"/>
    </row>
    <row r="40" spans="3:9">
      <c r="C40" s="157">
        <v>25</v>
      </c>
      <c r="D40" s="179"/>
      <c r="E40" s="179"/>
      <c r="F40" s="179"/>
      <c r="G40" s="180"/>
      <c r="H40" s="181"/>
      <c r="I40" s="179"/>
    </row>
    <row r="41" spans="3:9">
      <c r="C41" s="157">
        <v>26</v>
      </c>
      <c r="D41" s="179"/>
      <c r="E41" s="179"/>
      <c r="F41" s="179"/>
      <c r="G41" s="180"/>
      <c r="H41" s="181"/>
      <c r="I41" s="179"/>
    </row>
    <row r="42" spans="3:9">
      <c r="C42" s="157">
        <v>27</v>
      </c>
      <c r="D42" s="179"/>
      <c r="E42" s="179"/>
      <c r="F42" s="179"/>
      <c r="G42" s="180"/>
      <c r="H42" s="181"/>
      <c r="I42" s="179"/>
    </row>
    <row r="43" spans="3:9">
      <c r="C43" s="157">
        <v>28</v>
      </c>
      <c r="D43" s="179"/>
      <c r="E43" s="179"/>
      <c r="F43" s="179"/>
      <c r="G43" s="180"/>
      <c r="H43" s="181"/>
      <c r="I43" s="179"/>
    </row>
    <row r="44" spans="3:9">
      <c r="C44" s="157">
        <v>29</v>
      </c>
      <c r="D44" s="179"/>
      <c r="E44" s="179"/>
      <c r="F44" s="179"/>
      <c r="G44" s="180"/>
      <c r="H44" s="181"/>
      <c r="I44" s="179"/>
    </row>
    <row r="45" spans="3:9">
      <c r="C45" s="157">
        <v>30</v>
      </c>
      <c r="D45" s="179"/>
      <c r="E45" s="179"/>
      <c r="F45" s="179"/>
      <c r="G45" s="180"/>
      <c r="H45" s="181"/>
      <c r="I45" s="179"/>
    </row>
    <row r="46" spans="3:9">
      <c r="C46" s="157">
        <v>31</v>
      </c>
      <c r="D46" s="179"/>
      <c r="E46" s="179"/>
      <c r="F46" s="179"/>
      <c r="G46" s="180"/>
      <c r="H46" s="181"/>
      <c r="I46" s="179"/>
    </row>
    <row r="47" spans="3:9">
      <c r="C47" s="157">
        <v>32</v>
      </c>
      <c r="D47" s="179"/>
      <c r="E47" s="179"/>
      <c r="F47" s="179"/>
      <c r="G47" s="180"/>
      <c r="H47" s="181"/>
      <c r="I47" s="179"/>
    </row>
    <row r="48" spans="3:9">
      <c r="C48" s="157">
        <v>33</v>
      </c>
      <c r="D48" s="179"/>
      <c r="E48" s="179"/>
      <c r="F48" s="179"/>
      <c r="G48" s="180"/>
      <c r="H48" s="181"/>
      <c r="I48" s="179"/>
    </row>
    <row r="49" spans="3:9">
      <c r="C49" s="157">
        <v>34</v>
      </c>
      <c r="D49" s="179"/>
      <c r="E49" s="179"/>
      <c r="F49" s="179"/>
      <c r="G49" s="180"/>
      <c r="H49" s="181"/>
      <c r="I49" s="179"/>
    </row>
    <row r="50" spans="3:9">
      <c r="C50" s="157">
        <v>35</v>
      </c>
      <c r="D50" s="179"/>
      <c r="E50" s="179"/>
      <c r="F50" s="179"/>
      <c r="G50" s="180"/>
      <c r="H50" s="181"/>
      <c r="I50" s="179"/>
    </row>
    <row r="51" spans="3:9">
      <c r="C51" s="157">
        <v>36</v>
      </c>
      <c r="D51" s="179"/>
      <c r="E51" s="179"/>
      <c r="F51" s="179"/>
      <c r="G51" s="180"/>
      <c r="H51" s="181"/>
      <c r="I51" s="179"/>
    </row>
    <row r="52" spans="3:9">
      <c r="C52" s="157">
        <v>37</v>
      </c>
      <c r="D52" s="179"/>
      <c r="E52" s="179"/>
      <c r="F52" s="179"/>
      <c r="G52" s="180"/>
      <c r="H52" s="181"/>
      <c r="I52" s="179"/>
    </row>
    <row r="53" spans="3:9">
      <c r="C53" s="157">
        <v>38</v>
      </c>
      <c r="D53" s="179"/>
      <c r="E53" s="179"/>
      <c r="F53" s="179"/>
      <c r="G53" s="180"/>
      <c r="H53" s="181"/>
      <c r="I53" s="179"/>
    </row>
    <row r="54" spans="3:9">
      <c r="C54" s="157">
        <v>39</v>
      </c>
      <c r="D54" s="179"/>
      <c r="E54" s="179"/>
      <c r="F54" s="179"/>
      <c r="G54" s="180"/>
      <c r="H54" s="181"/>
      <c r="I54" s="179"/>
    </row>
    <row r="55" spans="3:9">
      <c r="C55" s="157">
        <v>40</v>
      </c>
      <c r="D55" s="179"/>
      <c r="E55" s="179"/>
      <c r="F55" s="179"/>
      <c r="G55" s="180"/>
      <c r="H55" s="181"/>
      <c r="I55" s="179"/>
    </row>
    <row r="56" spans="3:9">
      <c r="C56" s="157">
        <v>41</v>
      </c>
      <c r="D56" s="179"/>
      <c r="E56" s="179"/>
      <c r="F56" s="179"/>
      <c r="G56" s="180"/>
      <c r="H56" s="181"/>
      <c r="I56" s="179"/>
    </row>
    <row r="57" spans="3:9">
      <c r="C57" s="157">
        <v>42</v>
      </c>
      <c r="D57" s="179"/>
      <c r="E57" s="179"/>
      <c r="F57" s="179"/>
      <c r="G57" s="180"/>
      <c r="H57" s="181"/>
      <c r="I57" s="179"/>
    </row>
    <row r="58" spans="3:9">
      <c r="C58" s="157">
        <v>43</v>
      </c>
      <c r="D58" s="179"/>
      <c r="E58" s="179"/>
      <c r="F58" s="179"/>
      <c r="G58" s="180"/>
      <c r="H58" s="181"/>
      <c r="I58" s="179"/>
    </row>
    <row r="59" spans="3:9">
      <c r="C59" s="157">
        <v>44</v>
      </c>
      <c r="D59" s="179"/>
      <c r="E59" s="179"/>
      <c r="F59" s="179"/>
      <c r="G59" s="180"/>
      <c r="H59" s="181"/>
      <c r="I59" s="179"/>
    </row>
    <row r="60" spans="3:9">
      <c r="C60" s="157">
        <v>45</v>
      </c>
      <c r="D60" s="179"/>
      <c r="E60" s="179"/>
      <c r="F60" s="179"/>
      <c r="G60" s="180"/>
      <c r="H60" s="181"/>
      <c r="I60" s="179"/>
    </row>
    <row r="61" spans="3:9">
      <c r="C61" s="157">
        <v>46</v>
      </c>
      <c r="D61" s="179"/>
      <c r="E61" s="179"/>
      <c r="F61" s="179"/>
      <c r="G61" s="180"/>
      <c r="H61" s="181"/>
      <c r="I61" s="179"/>
    </row>
    <row r="62" spans="3:9">
      <c r="C62" s="157">
        <v>47</v>
      </c>
      <c r="D62" s="179"/>
      <c r="E62" s="179"/>
      <c r="F62" s="179"/>
      <c r="G62" s="180"/>
      <c r="H62" s="181"/>
      <c r="I62" s="179"/>
    </row>
    <row r="63" spans="3:9">
      <c r="C63" s="157">
        <v>48</v>
      </c>
      <c r="D63" s="179"/>
      <c r="E63" s="179"/>
      <c r="F63" s="179"/>
      <c r="G63" s="180"/>
      <c r="H63" s="181"/>
      <c r="I63" s="179"/>
    </row>
    <row r="64" spans="3:9">
      <c r="C64" s="157">
        <v>49</v>
      </c>
      <c r="D64" s="179"/>
      <c r="E64" s="179"/>
      <c r="F64" s="179"/>
      <c r="G64" s="180"/>
      <c r="H64" s="181"/>
      <c r="I64" s="179"/>
    </row>
    <row r="65" spans="3:9">
      <c r="C65" s="157">
        <v>50</v>
      </c>
      <c r="D65" s="179"/>
      <c r="E65" s="179"/>
      <c r="F65" s="179"/>
      <c r="G65" s="180"/>
      <c r="H65" s="181"/>
      <c r="I65" s="179"/>
    </row>
    <row r="66" spans="3:9">
      <c r="C66" s="157">
        <v>51</v>
      </c>
      <c r="D66" s="179"/>
      <c r="E66" s="179"/>
      <c r="F66" s="179"/>
      <c r="G66" s="180"/>
      <c r="H66" s="181"/>
      <c r="I66" s="179"/>
    </row>
    <row r="67" spans="3:9">
      <c r="C67" s="157">
        <v>52</v>
      </c>
      <c r="D67" s="179"/>
      <c r="E67" s="179"/>
      <c r="F67" s="179"/>
      <c r="G67" s="180"/>
      <c r="H67" s="181"/>
      <c r="I67" s="179"/>
    </row>
    <row r="68" spans="3:9">
      <c r="C68" s="157">
        <v>53</v>
      </c>
      <c r="D68" s="179"/>
      <c r="E68" s="179"/>
      <c r="F68" s="179"/>
      <c r="G68" s="180"/>
      <c r="H68" s="181"/>
      <c r="I68" s="179"/>
    </row>
    <row r="69" spans="3:9">
      <c r="C69" s="157">
        <v>54</v>
      </c>
      <c r="D69" s="179"/>
      <c r="E69" s="179"/>
      <c r="F69" s="179"/>
      <c r="G69" s="180"/>
      <c r="H69" s="181"/>
      <c r="I69" s="179"/>
    </row>
    <row r="70" spans="3:9">
      <c r="C70" s="157">
        <v>55</v>
      </c>
      <c r="D70" s="179"/>
      <c r="E70" s="179"/>
      <c r="F70" s="179"/>
      <c r="G70" s="180"/>
      <c r="H70" s="181"/>
      <c r="I70" s="179"/>
    </row>
    <row r="71" spans="3:9">
      <c r="C71" s="157">
        <v>56</v>
      </c>
      <c r="D71" s="179"/>
      <c r="E71" s="179"/>
      <c r="F71" s="179"/>
      <c r="G71" s="180"/>
      <c r="H71" s="181"/>
      <c r="I71" s="179"/>
    </row>
    <row r="72" spans="3:9">
      <c r="C72" s="157">
        <v>57</v>
      </c>
      <c r="D72" s="179"/>
      <c r="E72" s="179"/>
      <c r="F72" s="179"/>
      <c r="G72" s="180"/>
      <c r="H72" s="181"/>
      <c r="I72" s="179"/>
    </row>
    <row r="73" spans="3:9">
      <c r="C73" s="157">
        <v>58</v>
      </c>
      <c r="D73" s="179"/>
      <c r="E73" s="179"/>
      <c r="F73" s="179"/>
      <c r="G73" s="180"/>
      <c r="H73" s="181"/>
      <c r="I73" s="179"/>
    </row>
    <row r="74" spans="3:9">
      <c r="C74" s="157">
        <v>59</v>
      </c>
      <c r="D74" s="179"/>
      <c r="E74" s="179"/>
      <c r="F74" s="179"/>
      <c r="G74" s="180"/>
      <c r="H74" s="181"/>
      <c r="I74" s="179"/>
    </row>
    <row r="75" spans="3:9">
      <c r="C75" s="157">
        <v>60</v>
      </c>
      <c r="D75" s="179"/>
      <c r="E75" s="179"/>
      <c r="F75" s="179"/>
      <c r="G75" s="180"/>
      <c r="H75" s="181"/>
      <c r="I75" s="179"/>
    </row>
  </sheetData>
  <sheetProtection formatCells="0" insertRows="0" insertHyperlinks="0" deleteRows="0" selectLockedCells="1"/>
  <autoFilter ref="C15:I15" xr:uid="{00000000-0009-0000-0000-000009000000}"/>
  <mergeCells count="8">
    <mergeCell ref="B1:I1"/>
    <mergeCell ref="C6:D6"/>
    <mergeCell ref="C7:D7"/>
    <mergeCell ref="G3:I3"/>
    <mergeCell ref="F4:I4"/>
    <mergeCell ref="F5:I5"/>
    <mergeCell ref="C3:E3"/>
    <mergeCell ref="C5:D5"/>
  </mergeCells>
  <dataValidations count="1">
    <dataValidation type="list" allowBlank="1" showInputMessage="1" showErrorMessage="1" sqref="H16:H1048576" xr:uid="{00000000-0002-0000-0900-000000000000}">
      <formula1>$D$9:$D$12</formula1>
    </dataValidation>
  </dataValidations>
  <pageMargins left="0.70866141732283472" right="0.70866141732283472" top="0.86614173228346458" bottom="0.86614173228346458" header="0.23622047244094491" footer="0.23622047244094491"/>
  <pageSetup paperSize="9" scale="52" orientation="portrait" r:id="rId1"/>
  <headerFooter scaleWithDoc="0" alignWithMargins="0">
    <oddHeader>&amp;R&amp;G</oddHeader>
    <oddFooter>&amp;L&amp;8Index: 102
&amp;6Copyright by Brose. Alle Rechte vorbehalten&amp;C&amp;8Page: &amp;P/ &amp;N (&amp;A)&amp;R&amp;8Date saved: &amp;D
&amp;6Template version 2021</oddFooter>
  </headerFooter>
  <drawing r:id="rId2"/>
  <legacyDrawingHF r:id="rId3"/>
  <extLst>
    <ext xmlns:x14="http://schemas.microsoft.com/office/spreadsheetml/2009/9/main" uri="{78C0D931-6437-407d-A8EE-F0AAD7539E65}">
      <x14:conditionalFormattings>
        <x14:conditionalFormatting xmlns:xm="http://schemas.microsoft.com/office/excel/2006/main">
          <x14:cfRule type="containsText" priority="1" operator="containsText" id="{0B97B5A3-B6DE-41A7-8FEA-FA6AB247D214}">
            <xm:f>NOT(ISERROR(SEARCH($D$12,H16)))</xm:f>
            <xm:f>$D$12</xm:f>
            <x14:dxf>
              <fill>
                <patternFill>
                  <bgColor rgb="FFFF0000"/>
                </patternFill>
              </fill>
            </x14:dxf>
          </x14:cfRule>
          <x14:cfRule type="containsText" priority="2" operator="containsText" id="{236E2A22-E14E-4198-B295-E7CC06FF4CAC}">
            <xm:f>NOT(ISERROR(SEARCH($D$11,H16)))</xm:f>
            <xm:f>$D$11</xm:f>
            <x14:dxf>
              <fill>
                <patternFill>
                  <bgColor rgb="FFFFFF00"/>
                </patternFill>
              </fill>
            </x14:dxf>
          </x14:cfRule>
          <x14:cfRule type="containsText" priority="3" operator="containsText" id="{75358643-2381-4DA3-BDCA-284687BC2A47}">
            <xm:f>NOT(ISERROR(SEARCH($D$10,H16)))</xm:f>
            <xm:f>$D$10</xm:f>
            <x14:dxf>
              <fill>
                <patternFill>
                  <bgColor theme="0"/>
                </patternFill>
              </fill>
            </x14:dxf>
          </x14:cfRule>
          <x14:cfRule type="containsText" priority="4" operator="containsText" id="{D51571E9-E5C1-4588-AD6F-5CEF741549C7}">
            <xm:f>NOT(ISERROR(SEARCH($D$9,H16)))</xm:f>
            <xm:f>$D$9</xm:f>
            <x14:dxf>
              <fill>
                <patternFill>
                  <bgColor rgb="FF62E13F"/>
                </patternFill>
              </fill>
            </x14:dxf>
          </x14:cfRule>
          <xm:sqref>H16:H1048576</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8">
    <tabColor rgb="FFFF0000"/>
  </sheetPr>
  <dimension ref="A1:I159"/>
  <sheetViews>
    <sheetView topLeftCell="A97" zoomScale="70" zoomScaleNormal="70" workbookViewId="0">
      <selection activeCell="D131" sqref="D131"/>
    </sheetView>
  </sheetViews>
  <sheetFormatPr baseColWidth="10" defaultColWidth="11" defaultRowHeight="12.75"/>
  <cols>
    <col min="1" max="1" width="14.25" bestFit="1" customWidth="1"/>
    <col min="2" max="2" width="43.75" style="449" customWidth="1"/>
    <col min="3" max="3" width="13.25" customWidth="1"/>
    <col min="4" max="4" width="17.375" customWidth="1"/>
    <col min="5" max="5" width="24.25" customWidth="1"/>
  </cols>
  <sheetData>
    <row r="1" spans="1:9" ht="18.75" customHeight="1" thickBot="1">
      <c r="A1" s="401" t="s">
        <v>522</v>
      </c>
      <c r="B1" s="448"/>
      <c r="C1" s="402"/>
      <c r="D1" s="6"/>
      <c r="H1" s="8"/>
    </row>
    <row r="2" spans="1:9" ht="18.75" customHeight="1" thickBot="1">
      <c r="B2" s="447" t="str">
        <f>VLOOKUP(1016,Languages!$A$5:$C$1006,Languages!A2,FALSE)</f>
        <v>To 8D - Report</v>
      </c>
      <c r="C2" s="8"/>
      <c r="H2" s="8"/>
    </row>
    <row r="3" spans="1:9" ht="18.75" customHeight="1">
      <c r="H3" s="8"/>
    </row>
    <row r="4" spans="1:9" ht="18.75" customHeight="1" thickBot="1">
      <c r="A4" s="401" t="s">
        <v>253</v>
      </c>
      <c r="B4" s="448"/>
      <c r="C4" s="402"/>
      <c r="D4" s="6"/>
      <c r="H4" s="8"/>
    </row>
    <row r="5" spans="1:9" ht="18.75" customHeight="1">
      <c r="A5" s="216" t="s">
        <v>538</v>
      </c>
      <c r="B5" s="450" t="s">
        <v>318</v>
      </c>
      <c r="C5" s="216"/>
      <c r="D5" s="6"/>
      <c r="G5" s="373"/>
      <c r="H5" s="8"/>
    </row>
    <row r="6" spans="1:9" ht="18.75" customHeight="1" thickBot="1">
      <c r="A6" s="8"/>
      <c r="B6" s="451"/>
      <c r="C6" s="8"/>
      <c r="H6" s="8"/>
    </row>
    <row r="7" spans="1:9" ht="18.75" customHeight="1" thickBot="1">
      <c r="A7" s="8"/>
      <c r="B7" s="452"/>
      <c r="C7" s="8"/>
      <c r="H7" s="8"/>
    </row>
    <row r="8" spans="1:9" ht="18.75" customHeight="1">
      <c r="A8" s="216" t="s">
        <v>2</v>
      </c>
      <c r="B8" s="450" t="s">
        <v>49</v>
      </c>
      <c r="C8" s="216"/>
      <c r="H8" s="8"/>
    </row>
    <row r="9" spans="1:9" ht="18.75" customHeight="1">
      <c r="B9" s="453" t="s">
        <v>50</v>
      </c>
      <c r="C9" s="8"/>
    </row>
    <row r="10" spans="1:9" ht="18.75" customHeight="1">
      <c r="A10" s="8"/>
      <c r="B10" s="453" t="s">
        <v>51</v>
      </c>
      <c r="C10" s="8"/>
    </row>
    <row r="11" spans="1:9" ht="18.75" customHeight="1" thickBot="1">
      <c r="A11" s="8"/>
      <c r="B11" s="451"/>
      <c r="C11" s="8"/>
    </row>
    <row r="12" spans="1:9" ht="18.75" customHeight="1" thickBot="1">
      <c r="A12" s="8"/>
      <c r="B12" s="452"/>
      <c r="C12" s="8"/>
      <c r="I12" s="8"/>
    </row>
    <row r="13" spans="1:9" ht="18.75" customHeight="1">
      <c r="A13" s="54" t="s">
        <v>36</v>
      </c>
      <c r="B13" s="450" t="str">
        <f>VLOOKUP(2514,Languages!$A$5:$C$1032,Languages!$A$2,FALSE)</f>
        <v>NO</v>
      </c>
      <c r="C13" s="54"/>
      <c r="I13" s="8"/>
    </row>
    <row r="14" spans="1:9" ht="18.75" customHeight="1" thickBot="1">
      <c r="B14" s="451" t="str">
        <f>VLOOKUP(2515,Languages!$A$5:$C$1032,Languages!$A$2,FALSE)</f>
        <v>YES</v>
      </c>
      <c r="I14" s="8"/>
    </row>
    <row r="15" spans="1:9" ht="18.75" customHeight="1" thickBot="1">
      <c r="I15" s="8"/>
    </row>
    <row r="16" spans="1:9" ht="18.75" customHeight="1">
      <c r="A16" s="54" t="s">
        <v>55</v>
      </c>
      <c r="B16" s="450" t="str">
        <f>VLOOKUP(2812,Languages!$A$5:$C$1032,Languages!$A$2,FALSE)</f>
        <v>Acceptance not yet clarified</v>
      </c>
      <c r="C16" s="54"/>
      <c r="H16" s="8"/>
      <c r="I16" s="8"/>
    </row>
    <row r="17" spans="2:9" ht="18.75" customHeight="1">
      <c r="B17" s="453" t="str">
        <f>VLOOKUP(2813,Languages!$A$5:$C$1032,Languages!$A$2,FALSE)</f>
        <v>Accepted by supplier</v>
      </c>
      <c r="C17" s="8"/>
      <c r="H17" s="8"/>
      <c r="I17" s="8"/>
    </row>
    <row r="18" spans="2:9" ht="18.75" customHeight="1" thickBot="1">
      <c r="B18" s="451" t="str">
        <f>VLOOKUP(2814,Languages!$A$5:$C$1032,Languages!$A$2,FALSE)</f>
        <v>Declined by supplier</v>
      </c>
      <c r="C18" s="8"/>
      <c r="H18" s="8"/>
      <c r="I18" s="8"/>
    </row>
    <row r="19" spans="2:9" ht="18.75" customHeight="1">
      <c r="H19" s="8"/>
      <c r="I19" s="8"/>
    </row>
    <row r="20" spans="2:9" ht="18.75" customHeight="1" thickBot="1">
      <c r="H20" s="8"/>
      <c r="I20" s="8"/>
    </row>
    <row r="21" spans="2:9" ht="18.75" customHeight="1" thickBot="1">
      <c r="B21" s="447" t="str">
        <f>VLOOKUP(2003,Languages!$A$5:$C$1006,Languages!A2,FALSE)</f>
        <v>Is/Is Not</v>
      </c>
      <c r="H21" s="8"/>
      <c r="I21" s="8"/>
    </row>
    <row r="22" spans="2:9" ht="18.75" customHeight="1" thickBot="1">
      <c r="B22" s="447" t="str">
        <f>VLOOKUP(2004,Languages!$A$5:$C$1006,Languages!A2,FALSE)</f>
        <v>Failure development</v>
      </c>
      <c r="H22" s="8"/>
      <c r="I22" s="8"/>
    </row>
    <row r="23" spans="2:9" ht="18.75" customHeight="1" thickBot="1">
      <c r="B23" s="447" t="str">
        <f>VLOOKUP(2005,Languages!$A$5:$C$1006,Languages!A2,FALSE)</f>
        <v>Sorting results</v>
      </c>
      <c r="H23" s="8"/>
      <c r="I23" s="8"/>
    </row>
    <row r="24" spans="2:9" ht="18.75" customHeight="1" thickBot="1">
      <c r="B24" s="447" t="str">
        <f>VLOOKUP(2006,Languages!$A$5:$C$1006,Languages!A2,FALSE)</f>
        <v>Read-Across</v>
      </c>
      <c r="H24" s="8"/>
      <c r="I24" s="8"/>
    </row>
    <row r="25" spans="2:9" ht="18.75" customHeight="1" thickBot="1">
      <c r="B25" s="447" t="str">
        <f>VLOOKUP(2007,Languages!$A$5:$C$1006,Languages!A2,FALSE)</f>
        <v>Ishikawa-Diagram</v>
      </c>
      <c r="H25" s="8"/>
      <c r="I25" s="8"/>
    </row>
    <row r="26" spans="2:9" ht="18.75" customHeight="1" thickBot="1">
      <c r="B26" s="447" t="str">
        <f>VLOOKUP(2008,Languages!$A$5:$C$1006,Languages!A2,FALSE)</f>
        <v>Cause &amp; Effect Matrix</v>
      </c>
      <c r="H26" s="8"/>
      <c r="I26" s="8"/>
    </row>
    <row r="27" spans="2:9" ht="18.75" customHeight="1" thickBot="1">
      <c r="B27" s="447" t="str">
        <f>VLOOKUP(2009,Languages!$A$5:$C$1006,Languages!A2,FALSE)</f>
        <v>Verify influences</v>
      </c>
      <c r="H27" s="8"/>
      <c r="I27" s="8"/>
    </row>
    <row r="28" spans="2:9" ht="18.75" customHeight="1" thickBot="1">
      <c r="B28" s="447" t="str">
        <f>VLOOKUP(2010,Languages!$A$5:$C$1006,Languages!$A$2,FALSE)</f>
        <v>5x Why</v>
      </c>
      <c r="H28" s="8"/>
      <c r="I28" s="8"/>
    </row>
    <row r="29" spans="2:9" ht="18.75" customHeight="1" thickBot="1">
      <c r="B29" s="447" t="str">
        <f>VLOOKUP(2011,Languages!$A$5:$C$1006,Languages!$A$2,FALSE)</f>
        <v>Validation</v>
      </c>
      <c r="H29" s="8"/>
      <c r="I29" s="8"/>
    </row>
    <row r="30" spans="2:9" ht="18.75" customHeight="1" thickBot="1">
      <c r="B30" s="447" t="str">
        <f>VLOOKUP(2012,Languages!$A$5:$C$1006,Languages!$A$2,FALSE)</f>
        <v>Evaluation</v>
      </c>
      <c r="H30" s="8"/>
      <c r="I30" s="8"/>
    </row>
    <row r="31" spans="2:9" ht="18.75" customHeight="1" thickBot="1">
      <c r="B31" s="447" t="str">
        <f>VLOOKUP(2013,Languages!$A$5:$C$1006,Languages!$A$2,FALSE)</f>
        <v>Failure Visualisation</v>
      </c>
      <c r="H31" s="8"/>
      <c r="I31" s="8"/>
    </row>
    <row r="32" spans="2:9" ht="18.75" customHeight="1" thickBot="1">
      <c r="B32" s="447" t="str">
        <f>VLOOKUP(2014,Languages!$A$5:$C$1006,Languages!$A$2,FALSE)</f>
        <v>Internal action plan status list</v>
      </c>
      <c r="H32" s="8"/>
      <c r="I32" s="8"/>
    </row>
    <row r="33" spans="1:9" ht="18.75" customHeight="1">
      <c r="H33" s="8"/>
      <c r="I33" s="8"/>
    </row>
    <row r="34" spans="1:9" ht="18.75" customHeight="1" thickBot="1">
      <c r="A34" s="401" t="s">
        <v>260</v>
      </c>
      <c r="B34" s="448"/>
      <c r="C34" s="402"/>
      <c r="H34" s="8"/>
      <c r="I34" s="8"/>
    </row>
    <row r="35" spans="1:9" ht="18.75" customHeight="1" thickBot="1">
      <c r="B35" s="447" t="str">
        <f>CONCATENATE("'",VLOOKUP(5029,Languages!$A$5:$C$1032,Languages!$A$2,FALSE),"'")</f>
        <v>'Clean point'</v>
      </c>
      <c r="H35" s="8"/>
      <c r="I35" s="8"/>
    </row>
    <row r="36" spans="1:9" ht="18.75" customHeight="1" thickBot="1">
      <c r="B36" s="447" t="str">
        <f>VLOOKUP(5030,Languages!$A$5:$C$1006,Languages!$A$2,FALSE)</f>
        <v>Containments implemented</v>
      </c>
      <c r="H36" s="8"/>
      <c r="I36" s="8"/>
    </row>
    <row r="37" spans="1:9" ht="18.75" customHeight="1" thickBot="1">
      <c r="B37" s="447" t="str">
        <f>VLOOKUP(5031,Languages!$A$5:$C$1006,Languages!$A$2,FALSE)</f>
        <v>Corrective actions implemented</v>
      </c>
      <c r="H37" s="8"/>
      <c r="I37" s="8"/>
    </row>
    <row r="38" spans="1:9" ht="18.75" customHeight="1">
      <c r="H38" s="8"/>
      <c r="I38" s="8"/>
    </row>
    <row r="39" spans="1:9" ht="18.75" customHeight="1" thickBot="1">
      <c r="A39" s="401" t="s">
        <v>52</v>
      </c>
      <c r="B39" s="448"/>
      <c r="C39" s="402"/>
      <c r="H39" s="8"/>
      <c r="I39" s="8"/>
    </row>
    <row r="40" spans="1:9" ht="18.75" customHeight="1" thickBot="1">
      <c r="B40" s="447" t="str">
        <f>VLOOKUP(6004,Languages!$A$5:$C$1006,Languages!A2,FALSE)</f>
        <v>Man</v>
      </c>
      <c r="H40" s="8"/>
      <c r="I40" s="8"/>
    </row>
    <row r="41" spans="1:9" ht="18.75" customHeight="1" thickBot="1">
      <c r="B41" s="447" t="str">
        <f>VLOOKUP(6005,Languages!$A$5:$C$1006,Languages!A2,FALSE)</f>
        <v>Machine</v>
      </c>
      <c r="H41" s="8"/>
      <c r="I41" s="8"/>
    </row>
    <row r="42" spans="1:9" ht="18.75" customHeight="1" thickBot="1">
      <c r="B42" s="447" t="str">
        <f>VLOOKUP(6006,Languages!$A$5:$C$1006,Languages!A2,FALSE)</f>
        <v>Mother Nature</v>
      </c>
      <c r="H42" s="8"/>
      <c r="I42" s="8"/>
    </row>
    <row r="43" spans="1:9" ht="18.75" customHeight="1" thickBot="1">
      <c r="B43" s="447" t="str">
        <f>VLOOKUP(6007,Languages!$A$5:$C$1006,Languages!A2,FALSE)</f>
        <v>Method</v>
      </c>
      <c r="H43" s="8"/>
      <c r="I43" s="8"/>
    </row>
    <row r="44" spans="1:9" ht="18.75" customHeight="1" thickBot="1">
      <c r="B44" s="447" t="str">
        <f>VLOOKUP(6008,Languages!$A$5:$C$1006,Languages!A2,FALSE)</f>
        <v>Material</v>
      </c>
      <c r="H44" s="8"/>
      <c r="I44" s="8"/>
    </row>
    <row r="45" spans="1:9" ht="18.75" customHeight="1">
      <c r="H45" s="8"/>
      <c r="I45" s="8"/>
    </row>
    <row r="46" spans="1:9" ht="18.75" customHeight="1" thickBot="1">
      <c r="A46" s="401" t="s">
        <v>548</v>
      </c>
      <c r="B46" s="448"/>
      <c r="C46" s="402"/>
      <c r="H46" s="8"/>
      <c r="I46" s="8"/>
    </row>
    <row r="47" spans="1:9" ht="18.75" customHeight="1">
      <c r="B47" s="450">
        <v>1</v>
      </c>
      <c r="H47" s="8"/>
      <c r="I47" s="8"/>
    </row>
    <row r="48" spans="1:9" ht="18.75" customHeight="1">
      <c r="B48" s="453">
        <v>4</v>
      </c>
      <c r="H48" s="8"/>
      <c r="I48" s="8"/>
    </row>
    <row r="49" spans="1:9" ht="18.75" customHeight="1">
      <c r="B49" s="453">
        <v>7</v>
      </c>
      <c r="H49" s="8"/>
      <c r="I49" s="8"/>
    </row>
    <row r="50" spans="1:9" ht="18.75" customHeight="1">
      <c r="B50" s="453">
        <v>10</v>
      </c>
      <c r="H50" s="8"/>
      <c r="I50" s="8"/>
    </row>
    <row r="51" spans="1:9" ht="18.75" customHeight="1" thickBot="1">
      <c r="B51" s="451"/>
      <c r="H51" s="8"/>
      <c r="I51" s="8"/>
    </row>
    <row r="52" spans="1:9" ht="18.75" customHeight="1">
      <c r="H52" s="8"/>
      <c r="I52" s="8"/>
    </row>
    <row r="53" spans="1:9" ht="18.75" customHeight="1" thickBot="1">
      <c r="A53" s="401" t="s">
        <v>550</v>
      </c>
      <c r="B53" s="448"/>
      <c r="C53" s="402"/>
      <c r="H53" s="8"/>
      <c r="I53" s="8"/>
    </row>
    <row r="54" spans="1:9" ht="18.75" customHeight="1">
      <c r="B54" s="450" t="str">
        <f>VLOOKUP(9005,Languages!$A$5:$C$1032,Languages!$A$2,FALSE)</f>
        <v>Yes</v>
      </c>
      <c r="H54" s="8"/>
      <c r="I54" s="8"/>
    </row>
    <row r="55" spans="1:9" ht="18.75" customHeight="1">
      <c r="B55" s="453" t="str">
        <f>VLOOKUP(9006,Languages!$A$5:$C$1032,Languages!$A$2,FALSE)</f>
        <v>No</v>
      </c>
      <c r="H55" s="8"/>
      <c r="I55" s="8"/>
    </row>
    <row r="56" spans="1:9" ht="18.75" customHeight="1" thickBot="1">
      <c r="B56" s="451"/>
      <c r="H56" s="8"/>
      <c r="I56" s="8"/>
    </row>
    <row r="57" spans="1:9" ht="18.75" customHeight="1" thickBot="1">
      <c r="H57" s="8"/>
      <c r="I57" s="8"/>
    </row>
    <row r="58" spans="1:9" ht="18.75" customHeight="1">
      <c r="B58" s="450" t="str">
        <f>VLOOKUP(9005,Languages!$A$5:$C$1032,Languages!$A$2,FALSE)</f>
        <v>Yes</v>
      </c>
      <c r="H58" s="8"/>
      <c r="I58" s="8"/>
    </row>
    <row r="59" spans="1:9" ht="18.75" customHeight="1">
      <c r="B59" s="453" t="str">
        <f>VLOOKUP(9006,Languages!$A$5:$C$1032,Languages!$A$2,FALSE)</f>
        <v>No</v>
      </c>
      <c r="H59" s="8"/>
      <c r="I59" s="8"/>
    </row>
    <row r="60" spans="1:9" ht="18.75" customHeight="1">
      <c r="B60" s="453" t="str">
        <f>VLOOKUP(9007,Languages!$A$5:$C$1032,Languages!$A$2,FALSE)</f>
        <v>Unknown</v>
      </c>
      <c r="H60" s="8"/>
      <c r="I60" s="8"/>
    </row>
    <row r="61" spans="1:9" ht="18.75" customHeight="1" thickBot="1">
      <c r="B61" s="451"/>
      <c r="H61" s="8"/>
      <c r="I61" s="8"/>
    </row>
    <row r="62" spans="1:9" ht="18.75" customHeight="1" thickBot="1">
      <c r="H62" s="8"/>
      <c r="I62" s="8"/>
    </row>
    <row r="63" spans="1:9" ht="18.75" customHeight="1" thickBot="1">
      <c r="B63" s="447" t="str">
        <f>VLOOKUP(7030,Languages!$A$5:$C$1006,Languages!$A$2,FALSE)</f>
        <v>5x Why</v>
      </c>
      <c r="H63" s="8"/>
      <c r="I63" s="8"/>
    </row>
    <row r="64" spans="1:9" ht="18.75" customHeight="1" thickBot="1">
      <c r="H64" s="8"/>
      <c r="I64" s="8"/>
    </row>
    <row r="65" spans="2:9" ht="18.75" customHeight="1">
      <c r="B65" s="450" t="str">
        <f>VLOOKUP(7031,Languages!$A$5:$C$1032,Languages!$A$2,FALSE)</f>
        <v>Man</v>
      </c>
      <c r="H65" s="8"/>
      <c r="I65" s="8"/>
    </row>
    <row r="66" spans="2:9" ht="18.75" customHeight="1">
      <c r="B66" s="453" t="str">
        <f>VLOOKUP(7032,Languages!$A$5:$C$1032,Languages!$A$2,FALSE)</f>
        <v>Machine</v>
      </c>
      <c r="H66" s="8"/>
      <c r="I66" s="8"/>
    </row>
    <row r="67" spans="2:9" ht="18.75" customHeight="1">
      <c r="B67" s="453" t="str">
        <f>VLOOKUP(7033,Languages!$A$5:$C$1032,Languages!$A$2,FALSE)</f>
        <v>Mother Nature</v>
      </c>
      <c r="H67" s="8"/>
      <c r="I67" s="8"/>
    </row>
    <row r="68" spans="2:9" ht="18.75" customHeight="1">
      <c r="B68" s="453" t="str">
        <f>VLOOKUP(7034,Languages!$A$5:$C$1032,Languages!$A$2,FALSE)</f>
        <v>Method</v>
      </c>
      <c r="H68" s="8"/>
      <c r="I68" s="8"/>
    </row>
    <row r="69" spans="2:9" ht="18.75" customHeight="1">
      <c r="B69" s="453" t="str">
        <f>VLOOKUP(7035,Languages!$A$5:$C$1032,Languages!$A$2,FALSE)</f>
        <v>Material</v>
      </c>
      <c r="H69" s="8"/>
      <c r="I69" s="8"/>
    </row>
    <row r="70" spans="2:9" ht="18.75" customHeight="1" thickBot="1">
      <c r="B70" s="451"/>
      <c r="H70" s="8"/>
      <c r="I70" s="8"/>
    </row>
    <row r="71" spans="2:9" ht="18.75" customHeight="1" thickBot="1">
      <c r="H71" s="8"/>
      <c r="I71" s="8"/>
    </row>
    <row r="72" spans="2:9" ht="18.75" customHeight="1">
      <c r="B72" s="450" t="str">
        <f>VLOOKUP(7022,Languages!$A$5:$C$1006,Languages!A2,FALSE)</f>
        <v>PCP</v>
      </c>
      <c r="H72" s="8"/>
      <c r="I72" s="8"/>
    </row>
    <row r="73" spans="2:9" ht="18.75" customHeight="1">
      <c r="B73" s="453" t="str">
        <f>VLOOKUP(7023,Languages!$A$5:$C$1006,Languages!A2,FALSE)</f>
        <v>Instructions</v>
      </c>
      <c r="H73" s="8"/>
      <c r="I73" s="8"/>
    </row>
    <row r="74" spans="2:9" ht="18.75" customHeight="1">
      <c r="B74" s="453" t="str">
        <f>VLOOKUP(7024,Languages!$A$5:$C$1006,Languages!A2,FALSE)</f>
        <v>Poka Yoke</v>
      </c>
      <c r="H74" s="8"/>
      <c r="I74" s="8"/>
    </row>
    <row r="75" spans="2:9" ht="18.75" customHeight="1">
      <c r="B75" s="453" t="str">
        <f>VLOOKUP(7025,Languages!$A$5:$C$1006,Languages!A2,FALSE)</f>
        <v>Test benches</v>
      </c>
      <c r="H75" s="8"/>
      <c r="I75" s="8"/>
    </row>
    <row r="76" spans="2:9" ht="18.75" customHeight="1">
      <c r="B76" s="453" t="str">
        <f>VLOOKUP(7026,Languages!$A$5:$C$1006,Languages!A2,FALSE)</f>
        <v>Inspection plan</v>
      </c>
      <c r="H76" s="8"/>
      <c r="I76" s="8"/>
    </row>
    <row r="77" spans="2:9" ht="18.75" customHeight="1">
      <c r="B77" s="453" t="str">
        <f>VLOOKUP(7027,Languages!$A$5:$C$1006,Languages!A2,FALSE)</f>
        <v>Containment</v>
      </c>
      <c r="H77" s="8"/>
      <c r="I77" s="8"/>
    </row>
    <row r="78" spans="2:9" ht="18.75" customHeight="1">
      <c r="B78" s="453" t="str">
        <f>VLOOKUP(7028,Languages!$A$5:$C$1006,Languages!A2,FALSE)</f>
        <v>Plants - Self control</v>
      </c>
      <c r="H78" s="8"/>
      <c r="I78" s="8"/>
    </row>
    <row r="79" spans="2:9" ht="18.75" customHeight="1">
      <c r="B79" s="453" t="str">
        <f>VLOOKUP(7029,Languages!$A$5:$C$1006,Languages!A2,FALSE)</f>
        <v>Re-qualification</v>
      </c>
      <c r="H79" s="8"/>
      <c r="I79" s="8"/>
    </row>
    <row r="80" spans="2:9" ht="18.75" customHeight="1" thickBot="1">
      <c r="B80" s="451"/>
      <c r="H80" s="8"/>
      <c r="I80" s="8"/>
    </row>
    <row r="81" spans="1:9" ht="18.75" customHeight="1">
      <c r="H81" s="8"/>
      <c r="I81" s="8"/>
    </row>
    <row r="82" spans="1:9" ht="18.75" customHeight="1" thickBot="1">
      <c r="A82" s="401" t="s">
        <v>551</v>
      </c>
      <c r="B82" s="448"/>
      <c r="C82" s="402"/>
      <c r="H82" s="8"/>
      <c r="I82" s="8"/>
    </row>
    <row r="83" spans="1:9" ht="18.75" customHeight="1" thickBot="1">
      <c r="B83" s="447" t="str">
        <f>VLOOKUP(8006,Languages!$A$5:$C$1006,Languages!A2,FALSE)</f>
        <v>Why?</v>
      </c>
      <c r="H83" s="8"/>
      <c r="I83" s="8"/>
    </row>
    <row r="84" spans="1:9" ht="18.75" customHeight="1">
      <c r="H84" s="8"/>
      <c r="I84" s="8"/>
    </row>
    <row r="85" spans="1:9" ht="18.75" customHeight="1" thickBot="1">
      <c r="A85" s="401" t="s">
        <v>341</v>
      </c>
      <c r="B85" s="448"/>
      <c r="C85" s="402"/>
      <c r="H85" s="8"/>
      <c r="I85" s="8"/>
    </row>
    <row r="86" spans="1:9" ht="18.75" customHeight="1">
      <c r="B86" s="450" t="s">
        <v>336</v>
      </c>
      <c r="H86" s="8"/>
      <c r="I86" s="8"/>
    </row>
    <row r="87" spans="1:9" ht="18.75" customHeight="1">
      <c r="B87" s="453" t="s">
        <v>318</v>
      </c>
      <c r="H87" s="8"/>
      <c r="I87" s="8"/>
    </row>
    <row r="88" spans="1:9" ht="18.75" customHeight="1">
      <c r="B88" s="453" t="s">
        <v>344</v>
      </c>
      <c r="H88" s="8"/>
      <c r="I88" s="8"/>
    </row>
    <row r="89" spans="1:9" ht="18.75" customHeight="1">
      <c r="B89" s="453" t="s">
        <v>349</v>
      </c>
      <c r="H89" s="8"/>
      <c r="I89" s="8"/>
    </row>
    <row r="90" spans="1:9" ht="18.75" customHeight="1" thickBot="1">
      <c r="B90" s="451"/>
      <c r="H90" s="8"/>
      <c r="I90" s="8"/>
    </row>
    <row r="91" spans="1:9" ht="18.75" customHeight="1" thickBot="1">
      <c r="H91" s="8"/>
      <c r="I91" s="8"/>
    </row>
    <row r="92" spans="1:9" ht="18.75" customHeight="1">
      <c r="B92" s="450" t="str">
        <f>VLOOKUP(10024,Languages!$A$5:$C$1006,Languages!A2,FALSE)</f>
        <v>BLUE</v>
      </c>
      <c r="H92" s="8"/>
      <c r="I92" s="8"/>
    </row>
    <row r="93" spans="1:9" ht="18.75" customHeight="1">
      <c r="B93" s="453" t="str">
        <f>VLOOKUP(10025,Languages!$A$5:$C$1006,Languages!A2,FALSE)</f>
        <v>GREEN</v>
      </c>
      <c r="H93" s="8"/>
      <c r="I93" s="8"/>
    </row>
    <row r="94" spans="1:9" ht="18.75" customHeight="1">
      <c r="B94" s="453" t="str">
        <f>VLOOKUP(10026,Languages!$A$5:$C$1006,Languages!A2,FALSE)</f>
        <v>RED</v>
      </c>
      <c r="H94" s="8"/>
      <c r="I94" s="8"/>
    </row>
    <row r="95" spans="1:9" ht="18.75" customHeight="1">
      <c r="B95" s="453" t="str">
        <f>VLOOKUP(10027,Languages!$A$5:$C$1006,Languages!A2,FALSE)</f>
        <v>N/A</v>
      </c>
      <c r="H95" s="8"/>
      <c r="I95" s="8"/>
    </row>
    <row r="96" spans="1:9" ht="18.75" customHeight="1" thickBot="1">
      <c r="B96" s="451"/>
      <c r="H96" s="8"/>
      <c r="I96" s="8"/>
    </row>
    <row r="97" spans="1:9" ht="18.75" customHeight="1">
      <c r="H97" s="8"/>
      <c r="I97" s="8"/>
    </row>
    <row r="98" spans="1:9" ht="18.75" customHeight="1" thickBot="1">
      <c r="A98" s="401" t="s">
        <v>57</v>
      </c>
      <c r="B98" s="448"/>
      <c r="C98" s="402"/>
      <c r="H98" s="8"/>
      <c r="I98" s="8"/>
    </row>
    <row r="99" spans="1:9" ht="18.75" customHeight="1">
      <c r="B99" s="450" t="str">
        <f>VLOOKUP(14014,Languages!$A$5:$C$1006,Languages!A2,FALSE)</f>
        <v>red</v>
      </c>
      <c r="H99" s="8"/>
      <c r="I99" s="8"/>
    </row>
    <row r="100" spans="1:9" ht="18.75" customHeight="1">
      <c r="B100" s="453" t="str">
        <f>VLOOKUP(14015,Languages!$A$5:$C$1006,Languages!A2,FALSE)</f>
        <v>amber</v>
      </c>
      <c r="H100" s="8"/>
      <c r="I100" s="8"/>
    </row>
    <row r="101" spans="1:9" ht="18.75" customHeight="1">
      <c r="B101" s="453" t="str">
        <f>VLOOKUP(14016,Languages!$A$5:$C$1006,Languages!A2,FALSE)</f>
        <v>green</v>
      </c>
      <c r="H101" s="8"/>
      <c r="I101" s="8"/>
    </row>
    <row r="102" spans="1:9" ht="18.75" customHeight="1">
      <c r="B102" s="453" t="str">
        <f>VLOOKUP(14017,Languages!$A$5:$C$1006,Languages!A2,FALSE)</f>
        <v>N/A</v>
      </c>
      <c r="H102" s="8"/>
      <c r="I102" s="8"/>
    </row>
    <row r="103" spans="1:9" ht="18.75" customHeight="1" thickBot="1">
      <c r="B103" s="451"/>
      <c r="H103" s="8"/>
      <c r="I103" s="8"/>
    </row>
    <row r="104" spans="1:9" ht="18.75" customHeight="1">
      <c r="H104" s="8"/>
      <c r="I104" s="8"/>
    </row>
    <row r="105" spans="1:9" ht="18.75" customHeight="1">
      <c r="A105" s="401" t="s">
        <v>323</v>
      </c>
      <c r="B105" s="448"/>
      <c r="C105" s="402"/>
      <c r="H105" s="8"/>
      <c r="I105" s="8"/>
    </row>
    <row r="106" spans="1:9" ht="18.75" customHeight="1">
      <c r="H106" s="8"/>
      <c r="I106" s="8"/>
    </row>
    <row r="107" spans="1:9" ht="18.75" customHeight="1">
      <c r="H107" s="8"/>
      <c r="I107" s="8"/>
    </row>
    <row r="108" spans="1:9" ht="18.75" customHeight="1">
      <c r="H108" s="8"/>
      <c r="I108" s="8"/>
    </row>
    <row r="109" spans="1:9" ht="18.75" customHeight="1">
      <c r="H109" s="8"/>
      <c r="I109" s="8"/>
    </row>
    <row r="110" spans="1:9" ht="18.75" customHeight="1">
      <c r="H110" s="8"/>
      <c r="I110" s="8"/>
    </row>
    <row r="111" spans="1:9" ht="18.75" customHeight="1" thickBot="1">
      <c r="H111" s="8"/>
      <c r="I111" s="8"/>
    </row>
    <row r="112" spans="1:9" ht="18.75" customHeight="1">
      <c r="A112" s="1443" t="s">
        <v>193</v>
      </c>
      <c r="B112" s="1444"/>
      <c r="C112" s="1445"/>
      <c r="H112" s="8"/>
      <c r="I112" s="8"/>
    </row>
    <row r="113" spans="1:9" ht="18.75" customHeight="1">
      <c r="A113" s="474"/>
      <c r="B113" s="475"/>
      <c r="C113" s="247"/>
      <c r="H113" s="8"/>
      <c r="I113" s="8"/>
    </row>
    <row r="114" spans="1:9" ht="18.75" customHeight="1" thickBot="1">
      <c r="A114" s="1446" t="str">
        <f>CONCATENATE("← ",VLOOKUP(1003,Languages!$A$5:$C$1006,Languages!A2,FALSE))</f>
        <v>← Back</v>
      </c>
      <c r="B114" s="1447"/>
      <c r="C114" s="1448"/>
      <c r="H114" s="8"/>
      <c r="I114" s="8"/>
    </row>
    <row r="115" spans="1:9" ht="18.75" customHeight="1"/>
    <row r="116" spans="1:9" ht="18.75" customHeight="1"/>
    <row r="117" spans="1:9" ht="18.75" customHeight="1"/>
    <row r="118" spans="1:9" ht="18.75" customHeight="1"/>
    <row r="119" spans="1:9" ht="18.75" customHeight="1"/>
    <row r="120" spans="1:9" ht="18.75" customHeight="1"/>
    <row r="121" spans="1:9" ht="18.75" customHeight="1"/>
    <row r="122" spans="1:9" ht="18.75" customHeight="1"/>
    <row r="123" spans="1:9" ht="18.75" customHeight="1"/>
    <row r="124" spans="1:9" ht="18.75" customHeight="1"/>
    <row r="125" spans="1:9" ht="18.75" customHeight="1"/>
    <row r="126" spans="1:9" ht="18.75" customHeight="1"/>
    <row r="127" spans="1:9" ht="18.75" customHeight="1"/>
    <row r="128" spans="1:9" ht="18.75" customHeight="1"/>
    <row r="129" ht="18.75" customHeight="1"/>
    <row r="130" ht="18.75" customHeight="1"/>
    <row r="131" ht="18.75" customHeight="1"/>
    <row r="132" ht="18.75" customHeight="1"/>
    <row r="133" ht="18.75" customHeight="1"/>
    <row r="134" ht="18.75" customHeight="1"/>
    <row r="135" ht="18.75" customHeight="1"/>
    <row r="136" ht="18.75" customHeight="1"/>
    <row r="139" ht="15.75" customHeight="1"/>
    <row r="140" ht="15.75" customHeight="1"/>
    <row r="156" ht="12.75" customHeight="1"/>
    <row r="157" ht="13.5" customHeight="1"/>
    <row r="158" ht="12.75" customHeight="1"/>
    <row r="159" ht="13.5" customHeight="1"/>
  </sheetData>
  <mergeCells count="2">
    <mergeCell ref="A112:C112"/>
    <mergeCell ref="A114:C114"/>
  </mergeCells>
  <pageMargins left="0.70866141732283472" right="0.70866141732283472" top="0.78740157480314965" bottom="0.78740157480314965" header="0.31496062992125984" footer="0.31496062992125984"/>
  <pageSetup paperSize="9" orientation="portrait" r:id="rId1"/>
  <headerFooter scaleWithDoc="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11">
    <tabColor rgb="FFFF0000"/>
  </sheetPr>
  <dimension ref="A1:AP547"/>
  <sheetViews>
    <sheetView zoomScaleNormal="100" workbookViewId="0">
      <pane xSplit="1" ySplit="4" topLeftCell="B22" activePane="bottomRight" state="frozen"/>
      <selection activeCell="C13" sqref="C13"/>
      <selection pane="topRight" activeCell="C13" sqref="C13"/>
      <selection pane="bottomLeft" activeCell="C13" sqref="C13"/>
      <selection pane="bottomRight" activeCell="C27" sqref="C27:F34"/>
    </sheetView>
  </sheetViews>
  <sheetFormatPr baseColWidth="10" defaultColWidth="11" defaultRowHeight="12.75"/>
  <cols>
    <col min="1" max="1" width="6.25" style="444" customWidth="1"/>
    <col min="2" max="3" width="40.625" style="423" customWidth="1"/>
    <col min="4" max="16384" width="11" style="214"/>
  </cols>
  <sheetData>
    <row r="1" spans="1:4" ht="13.5" thickBot="1">
      <c r="A1" s="214"/>
      <c r="B1" s="214"/>
      <c r="C1" s="214"/>
    </row>
    <row r="2" spans="1:4" ht="13.5" thickBot="1">
      <c r="A2" s="417">
        <f>IF('PMP Start'!E4="Deutsch",2,IF('PMP Start'!E4="English",3,IF('PMP Start'!E4="Espanol",4,IF('PMP Start'!E4="Português",5,IF('PMP Start'!E4="Français",6,IF('PMP Start'!E4="Italiano",7,IF('PMP Start'!E4="中国",8,IF('PMP Start'!E4="한국어",9,IF('PMP Start'!E4="Svenska",10,IF('PMP Start'!E4="русский",11,IF('PMP Start'!E4="Slovenský",12,IF('PMP Start'!E4="Český",13,0))))))))))))</f>
        <v>3</v>
      </c>
      <c r="B2" s="214" t="str">
        <f>'PMP Start'!E4</f>
        <v>English</v>
      </c>
      <c r="C2" s="214"/>
    </row>
    <row r="3" spans="1:4" ht="13.5" thickBot="1">
      <c r="A3" s="214"/>
      <c r="B3" s="214"/>
      <c r="C3" s="214"/>
    </row>
    <row r="4" spans="1:4" ht="13.5" thickBot="1">
      <c r="A4" s="418" t="s">
        <v>103</v>
      </c>
      <c r="B4" s="419" t="s">
        <v>106</v>
      </c>
      <c r="C4" s="419" t="s">
        <v>107</v>
      </c>
      <c r="D4" s="420"/>
    </row>
    <row r="5" spans="1:4" ht="30" customHeight="1">
      <c r="A5" s="421">
        <v>1001</v>
      </c>
      <c r="B5" s="87" t="s">
        <v>59</v>
      </c>
      <c r="C5" s="87" t="s">
        <v>104</v>
      </c>
    </row>
    <row r="6" spans="1:4" ht="30" customHeight="1">
      <c r="A6" s="422">
        <v>1002</v>
      </c>
      <c r="B6" s="89" t="s">
        <v>664</v>
      </c>
      <c r="C6" s="89" t="s">
        <v>665</v>
      </c>
    </row>
    <row r="7" spans="1:4" ht="30" customHeight="1">
      <c r="A7" s="422">
        <v>1003</v>
      </c>
      <c r="B7" s="423" t="s">
        <v>333</v>
      </c>
      <c r="C7" s="423" t="s">
        <v>334</v>
      </c>
    </row>
    <row r="8" spans="1:4" ht="30" customHeight="1">
      <c r="A8" s="422">
        <v>1004</v>
      </c>
    </row>
    <row r="9" spans="1:4" ht="30" customHeight="1">
      <c r="A9" s="422">
        <v>1005</v>
      </c>
      <c r="B9" s="89" t="s">
        <v>322</v>
      </c>
      <c r="C9" s="89" t="s">
        <v>323</v>
      </c>
    </row>
    <row r="10" spans="1:4" ht="30" customHeight="1">
      <c r="A10" s="422">
        <v>1006</v>
      </c>
      <c r="B10" s="89" t="s">
        <v>666</v>
      </c>
      <c r="C10" s="89" t="s">
        <v>667</v>
      </c>
    </row>
    <row r="11" spans="1:4" ht="38.25">
      <c r="A11" s="422">
        <v>1007</v>
      </c>
      <c r="B11" s="89" t="s">
        <v>668</v>
      </c>
      <c r="C11" s="89" t="s">
        <v>669</v>
      </c>
    </row>
    <row r="12" spans="1:4" ht="30" customHeight="1">
      <c r="A12" s="422">
        <v>1008</v>
      </c>
      <c r="B12" s="89" t="s">
        <v>371</v>
      </c>
      <c r="C12" s="89" t="s">
        <v>314</v>
      </c>
    </row>
    <row r="13" spans="1:4" ht="90" customHeight="1">
      <c r="A13" s="422">
        <v>1009</v>
      </c>
      <c r="B13" s="424" t="s">
        <v>372</v>
      </c>
      <c r="C13" s="424" t="s">
        <v>369</v>
      </c>
    </row>
    <row r="14" spans="1:4" ht="30" customHeight="1">
      <c r="A14" s="422">
        <v>1010</v>
      </c>
      <c r="B14" s="89" t="s">
        <v>373</v>
      </c>
      <c r="C14" s="89" t="s">
        <v>315</v>
      </c>
    </row>
    <row r="15" spans="1:4" ht="143.25" customHeight="1">
      <c r="A15" s="422">
        <v>1011</v>
      </c>
      <c r="B15" s="424" t="s">
        <v>670</v>
      </c>
      <c r="C15" s="424" t="s">
        <v>671</v>
      </c>
    </row>
    <row r="16" spans="1:4" ht="30" customHeight="1">
      <c r="A16" s="422">
        <v>1012</v>
      </c>
      <c r="B16" s="89" t="s">
        <v>375</v>
      </c>
      <c r="C16" s="89" t="s">
        <v>374</v>
      </c>
    </row>
    <row r="17" spans="1:3" ht="57" customHeight="1">
      <c r="A17" s="422">
        <v>1013</v>
      </c>
      <c r="B17" s="89" t="s">
        <v>376</v>
      </c>
      <c r="C17" s="89" t="s">
        <v>370</v>
      </c>
    </row>
    <row r="18" spans="1:3" ht="30" customHeight="1">
      <c r="A18" s="422">
        <v>1016</v>
      </c>
      <c r="B18" s="89" t="s">
        <v>245</v>
      </c>
      <c r="C18" s="89" t="s">
        <v>246</v>
      </c>
    </row>
    <row r="19" spans="1:3">
      <c r="A19" s="422">
        <v>1017</v>
      </c>
      <c r="B19" s="89" t="s">
        <v>865</v>
      </c>
      <c r="C19" s="89" t="s">
        <v>866</v>
      </c>
    </row>
    <row r="20" spans="1:3" ht="114.75">
      <c r="A20" s="422">
        <v>1018</v>
      </c>
      <c r="B20" s="89" t="s">
        <v>867</v>
      </c>
      <c r="C20" s="89" t="s">
        <v>874</v>
      </c>
    </row>
    <row r="21" spans="1:3" ht="119.25" customHeight="1">
      <c r="A21" s="422">
        <v>1019</v>
      </c>
      <c r="B21" s="89" t="s">
        <v>876</v>
      </c>
      <c r="C21" s="89" t="s">
        <v>875</v>
      </c>
    </row>
    <row r="22" spans="1:3" ht="30" customHeight="1" thickBot="1">
      <c r="A22" s="426"/>
      <c r="B22" s="89"/>
      <c r="C22" s="89"/>
    </row>
    <row r="23" spans="1:3" ht="30" customHeight="1" thickBot="1">
      <c r="A23" s="1449" t="s">
        <v>253</v>
      </c>
      <c r="B23" s="1450"/>
      <c r="C23" s="1450"/>
    </row>
    <row r="24" spans="1:3" s="127" customFormat="1" ht="30" customHeight="1">
      <c r="A24" s="425">
        <v>2000</v>
      </c>
      <c r="B24" s="89" t="s">
        <v>244</v>
      </c>
      <c r="C24" s="89" t="s">
        <v>244</v>
      </c>
    </row>
    <row r="25" spans="1:3" s="127" customFormat="1" ht="30" customHeight="1">
      <c r="A25" s="425">
        <v>2001</v>
      </c>
      <c r="B25" s="89" t="s">
        <v>443</v>
      </c>
      <c r="C25" s="89" t="s">
        <v>444</v>
      </c>
    </row>
    <row r="26" spans="1:3" s="127" customFormat="1" ht="30" customHeight="1">
      <c r="A26" s="425">
        <v>2002</v>
      </c>
      <c r="B26" s="89" t="s">
        <v>257</v>
      </c>
      <c r="C26" s="89" t="s">
        <v>53</v>
      </c>
    </row>
    <row r="27" spans="1:3" s="127" customFormat="1" ht="30" customHeight="1">
      <c r="A27" s="425">
        <v>2003</v>
      </c>
      <c r="B27" s="89" t="s">
        <v>539</v>
      </c>
      <c r="C27" s="89" t="s">
        <v>540</v>
      </c>
    </row>
    <row r="28" spans="1:3" s="127" customFormat="1" ht="30" customHeight="1">
      <c r="A28" s="425">
        <v>2004</v>
      </c>
      <c r="B28" s="240" t="s">
        <v>196</v>
      </c>
      <c r="C28" s="240" t="s">
        <v>256</v>
      </c>
    </row>
    <row r="29" spans="1:3" s="127" customFormat="1" ht="30" customHeight="1">
      <c r="A29" s="425">
        <v>2005</v>
      </c>
      <c r="B29" s="89" t="s">
        <v>20</v>
      </c>
      <c r="C29" s="89" t="s">
        <v>153</v>
      </c>
    </row>
    <row r="30" spans="1:3" s="127" customFormat="1" ht="30" customHeight="1">
      <c r="A30" s="425">
        <v>2006</v>
      </c>
      <c r="B30" s="89" t="s">
        <v>341</v>
      </c>
      <c r="C30" s="89" t="s">
        <v>341</v>
      </c>
    </row>
    <row r="31" spans="1:3" s="127" customFormat="1" ht="30" customHeight="1">
      <c r="A31" s="425">
        <v>2007</v>
      </c>
      <c r="B31" s="240" t="s">
        <v>10</v>
      </c>
      <c r="C31" s="240" t="s">
        <v>158</v>
      </c>
    </row>
    <row r="32" spans="1:3" s="127" customFormat="1" ht="30" customHeight="1">
      <c r="A32" s="425">
        <v>2008</v>
      </c>
      <c r="B32" s="240" t="s">
        <v>262</v>
      </c>
      <c r="C32" s="240" t="s">
        <v>261</v>
      </c>
    </row>
    <row r="33" spans="1:3" s="127" customFormat="1" ht="30" customHeight="1">
      <c r="A33" s="425">
        <v>2009</v>
      </c>
      <c r="B33" s="240" t="s">
        <v>388</v>
      </c>
      <c r="C33" s="240" t="s">
        <v>389</v>
      </c>
    </row>
    <row r="34" spans="1:3" s="127" customFormat="1" ht="30" customHeight="1">
      <c r="A34" s="425">
        <v>2010</v>
      </c>
      <c r="B34" s="240" t="s">
        <v>15</v>
      </c>
      <c r="C34" s="240" t="s">
        <v>194</v>
      </c>
    </row>
    <row r="35" spans="1:3" s="127" customFormat="1" ht="30" customHeight="1">
      <c r="A35" s="425">
        <v>2011</v>
      </c>
      <c r="B35" s="240" t="s">
        <v>91</v>
      </c>
      <c r="C35" s="240" t="s">
        <v>195</v>
      </c>
    </row>
    <row r="36" spans="1:3" s="127" customFormat="1" ht="30" customHeight="1">
      <c r="A36" s="425">
        <v>2012</v>
      </c>
      <c r="B36" s="240" t="s">
        <v>541</v>
      </c>
      <c r="C36" s="240" t="s">
        <v>57</v>
      </c>
    </row>
    <row r="37" spans="1:3" s="127" customFormat="1" ht="30" customHeight="1">
      <c r="A37" s="425">
        <v>2013</v>
      </c>
      <c r="B37" s="240" t="s">
        <v>54</v>
      </c>
      <c r="C37" s="240" t="s">
        <v>239</v>
      </c>
    </row>
    <row r="38" spans="1:3" s="127" customFormat="1" ht="30" customHeight="1">
      <c r="A38" s="425">
        <v>2014</v>
      </c>
      <c r="B38" s="427" t="s">
        <v>313</v>
      </c>
      <c r="C38" s="423" t="s">
        <v>672</v>
      </c>
    </row>
    <row r="39" spans="1:3" s="127" customFormat="1" ht="15" customHeight="1">
      <c r="A39" s="428"/>
      <c r="B39" s="429"/>
      <c r="C39" s="429"/>
    </row>
    <row r="40" spans="1:3" s="127" customFormat="1" ht="30" customHeight="1">
      <c r="A40" s="425">
        <v>2100</v>
      </c>
      <c r="B40" s="89" t="s">
        <v>320</v>
      </c>
      <c r="C40" s="215" t="s">
        <v>319</v>
      </c>
    </row>
    <row r="41" spans="1:3" ht="30" customHeight="1">
      <c r="A41" s="425">
        <v>2101</v>
      </c>
      <c r="B41" s="89" t="s">
        <v>837</v>
      </c>
      <c r="C41" s="89" t="s">
        <v>840</v>
      </c>
    </row>
    <row r="42" spans="1:3" ht="30" customHeight="1">
      <c r="A42" s="425">
        <v>2102</v>
      </c>
      <c r="B42" s="89" t="s">
        <v>838</v>
      </c>
      <c r="C42" s="89" t="s">
        <v>839</v>
      </c>
    </row>
    <row r="43" spans="1:3" s="127" customFormat="1" ht="15" customHeight="1">
      <c r="A43" s="428"/>
      <c r="B43" s="429"/>
      <c r="C43" s="429"/>
    </row>
    <row r="44" spans="1:3" ht="30" customHeight="1">
      <c r="A44" s="425">
        <v>2200</v>
      </c>
      <c r="B44" s="89" t="s">
        <v>445</v>
      </c>
      <c r="C44" s="89" t="s">
        <v>446</v>
      </c>
    </row>
    <row r="45" spans="1:3" ht="30" customHeight="1">
      <c r="A45" s="425">
        <v>2201</v>
      </c>
      <c r="B45" s="89" t="s">
        <v>447</v>
      </c>
      <c r="C45" s="89" t="s">
        <v>448</v>
      </c>
    </row>
    <row r="46" spans="1:3" ht="30" customHeight="1">
      <c r="A46" s="425">
        <v>2202</v>
      </c>
      <c r="B46" s="89" t="s">
        <v>450</v>
      </c>
      <c r="C46" s="89" t="s">
        <v>449</v>
      </c>
    </row>
    <row r="47" spans="1:3" ht="30" customHeight="1">
      <c r="A47" s="425">
        <v>2203</v>
      </c>
      <c r="B47" s="89" t="s">
        <v>451</v>
      </c>
      <c r="C47" s="89" t="s">
        <v>673</v>
      </c>
    </row>
    <row r="48" spans="1:3" ht="30" customHeight="1">
      <c r="A48" s="425">
        <v>2204</v>
      </c>
      <c r="B48" s="89" t="s">
        <v>462</v>
      </c>
      <c r="C48" s="89" t="s">
        <v>674</v>
      </c>
    </row>
    <row r="49" spans="1:3" ht="30" customHeight="1">
      <c r="A49" s="425">
        <v>2205</v>
      </c>
      <c r="B49" s="89" t="s">
        <v>453</v>
      </c>
      <c r="C49" s="89" t="s">
        <v>452</v>
      </c>
    </row>
    <row r="50" spans="1:3" ht="30" customHeight="1">
      <c r="A50" s="425">
        <v>2206</v>
      </c>
      <c r="B50" s="89" t="s">
        <v>731</v>
      </c>
      <c r="C50" s="89" t="s">
        <v>732</v>
      </c>
    </row>
    <row r="51" spans="1:3" ht="30" customHeight="1">
      <c r="A51" s="425">
        <v>2207</v>
      </c>
      <c r="B51" s="89" t="s">
        <v>466</v>
      </c>
      <c r="C51" s="89" t="s">
        <v>463</v>
      </c>
    </row>
    <row r="52" spans="1:3" ht="30" customHeight="1">
      <c r="A52" s="425">
        <v>2208</v>
      </c>
      <c r="B52" s="89" t="s">
        <v>5</v>
      </c>
      <c r="C52" s="89" t="s">
        <v>108</v>
      </c>
    </row>
    <row r="53" spans="1:3" ht="30" customHeight="1">
      <c r="A53" s="425">
        <v>2209</v>
      </c>
      <c r="B53" s="89" t="s">
        <v>454</v>
      </c>
      <c r="C53" s="89" t="s">
        <v>675</v>
      </c>
    </row>
    <row r="54" spans="1:3" ht="30" customHeight="1">
      <c r="A54" s="425">
        <v>2210</v>
      </c>
      <c r="B54" s="89" t="s">
        <v>455</v>
      </c>
      <c r="C54" s="89" t="s">
        <v>676</v>
      </c>
    </row>
    <row r="55" spans="1:3" ht="30" customHeight="1">
      <c r="A55" s="425">
        <v>2211</v>
      </c>
      <c r="B55" s="89" t="s">
        <v>465</v>
      </c>
      <c r="C55" s="89" t="s">
        <v>464</v>
      </c>
    </row>
    <row r="56" spans="1:3" ht="30" customHeight="1">
      <c r="A56" s="425">
        <v>2212</v>
      </c>
      <c r="B56" s="89" t="s">
        <v>45</v>
      </c>
      <c r="C56" s="89" t="s">
        <v>109</v>
      </c>
    </row>
    <row r="57" spans="1:3" ht="30" customHeight="1">
      <c r="A57" s="425">
        <v>2213</v>
      </c>
      <c r="B57" s="89" t="s">
        <v>44</v>
      </c>
      <c r="C57" s="89" t="s">
        <v>110</v>
      </c>
    </row>
    <row r="58" spans="1:3" ht="63.75">
      <c r="A58" s="425">
        <v>2214</v>
      </c>
      <c r="B58" s="89" t="s">
        <v>456</v>
      </c>
      <c r="C58" s="89" t="s">
        <v>677</v>
      </c>
    </row>
    <row r="59" spans="1:3" ht="30.75" customHeight="1">
      <c r="A59" s="425">
        <v>2215</v>
      </c>
      <c r="B59" s="89" t="s">
        <v>8</v>
      </c>
      <c r="C59" s="89" t="s">
        <v>457</v>
      </c>
    </row>
    <row r="60" spans="1:3" ht="30.75" customHeight="1">
      <c r="A60" s="425">
        <v>2216</v>
      </c>
      <c r="B60" s="89" t="s">
        <v>468</v>
      </c>
      <c r="C60" s="89" t="s">
        <v>469</v>
      </c>
    </row>
    <row r="61" spans="1:3" ht="30.75" customHeight="1">
      <c r="A61" s="425">
        <v>2217</v>
      </c>
      <c r="B61" s="89" t="s">
        <v>458</v>
      </c>
      <c r="C61" s="89" t="s">
        <v>459</v>
      </c>
    </row>
    <row r="62" spans="1:3" ht="30.75" customHeight="1">
      <c r="A62" s="425">
        <v>2218</v>
      </c>
      <c r="B62" s="89" t="s">
        <v>90</v>
      </c>
      <c r="C62" s="89" t="s">
        <v>191</v>
      </c>
    </row>
    <row r="63" spans="1:3" ht="30.75" customHeight="1">
      <c r="A63" s="425">
        <v>2219</v>
      </c>
      <c r="B63" s="89" t="s">
        <v>472</v>
      </c>
      <c r="C63" s="89" t="s">
        <v>473</v>
      </c>
    </row>
    <row r="64" spans="1:3" ht="30.75" customHeight="1">
      <c r="A64" s="425">
        <v>2220</v>
      </c>
      <c r="B64" s="89" t="s">
        <v>471</v>
      </c>
      <c r="C64" s="89" t="s">
        <v>470</v>
      </c>
    </row>
    <row r="65" spans="1:3" ht="30.75" customHeight="1">
      <c r="A65" s="425">
        <v>2221</v>
      </c>
      <c r="B65" s="89" t="s">
        <v>460</v>
      </c>
      <c r="C65" s="89" t="s">
        <v>461</v>
      </c>
    </row>
    <row r="66" spans="1:3" ht="30.75" customHeight="1">
      <c r="A66" s="425">
        <v>2222</v>
      </c>
      <c r="B66" s="89" t="s">
        <v>467</v>
      </c>
      <c r="C66" s="89" t="s">
        <v>678</v>
      </c>
    </row>
    <row r="67" spans="1:3" ht="30.75" customHeight="1">
      <c r="A67" s="425">
        <v>2223</v>
      </c>
      <c r="B67" s="89" t="s">
        <v>474</v>
      </c>
      <c r="C67" s="89" t="s">
        <v>475</v>
      </c>
    </row>
    <row r="68" spans="1:3" ht="30.75" customHeight="1">
      <c r="A68" s="425">
        <v>2224</v>
      </c>
      <c r="B68" s="89" t="s">
        <v>841</v>
      </c>
      <c r="C68" s="89" t="s">
        <v>842</v>
      </c>
    </row>
    <row r="69" spans="1:3" ht="30.75" customHeight="1">
      <c r="A69" s="425">
        <v>2225</v>
      </c>
      <c r="B69" s="89" t="s">
        <v>476</v>
      </c>
      <c r="C69" s="89" t="s">
        <v>679</v>
      </c>
    </row>
    <row r="70" spans="1:3" ht="30.75" customHeight="1">
      <c r="A70" s="425">
        <v>2226</v>
      </c>
      <c r="B70" s="89" t="s">
        <v>479</v>
      </c>
      <c r="C70" s="89" t="s">
        <v>733</v>
      </c>
    </row>
    <row r="71" spans="1:3" ht="30.75" customHeight="1">
      <c r="A71" s="425">
        <v>2227</v>
      </c>
      <c r="B71" s="89" t="s">
        <v>477</v>
      </c>
      <c r="C71" s="89" t="s">
        <v>680</v>
      </c>
    </row>
    <row r="72" spans="1:3" ht="30.75" customHeight="1">
      <c r="A72" s="425">
        <v>2228</v>
      </c>
      <c r="B72" s="89" t="s">
        <v>478</v>
      </c>
      <c r="C72" s="89" t="s">
        <v>681</v>
      </c>
    </row>
    <row r="73" spans="1:3" s="127" customFormat="1" ht="15" customHeight="1">
      <c r="A73" s="428"/>
      <c r="B73" s="429"/>
      <c r="C73" s="429"/>
    </row>
    <row r="74" spans="1:3" ht="30" customHeight="1">
      <c r="A74" s="425">
        <v>2300</v>
      </c>
      <c r="B74" s="89" t="s">
        <v>9</v>
      </c>
      <c r="C74" s="89" t="s">
        <v>111</v>
      </c>
    </row>
    <row r="75" spans="1:3" ht="30" customHeight="1">
      <c r="A75" s="425">
        <v>2301</v>
      </c>
      <c r="B75" s="89" t="s">
        <v>410</v>
      </c>
      <c r="C75" s="89" t="s">
        <v>409</v>
      </c>
    </row>
    <row r="76" spans="1:3" ht="30" customHeight="1">
      <c r="A76" s="425">
        <v>2302</v>
      </c>
      <c r="B76" s="89" t="s">
        <v>481</v>
      </c>
      <c r="C76" s="89" t="s">
        <v>480</v>
      </c>
    </row>
    <row r="77" spans="1:3" ht="30" customHeight="1">
      <c r="A77" s="425">
        <v>2303</v>
      </c>
      <c r="B77" s="215" t="s">
        <v>4</v>
      </c>
      <c r="C77" s="89" t="s">
        <v>602</v>
      </c>
    </row>
    <row r="78" spans="1:3" ht="30" customHeight="1">
      <c r="A78" s="425">
        <v>2304</v>
      </c>
      <c r="B78" s="89" t="s">
        <v>416</v>
      </c>
      <c r="C78" s="89" t="s">
        <v>601</v>
      </c>
    </row>
    <row r="79" spans="1:3" ht="38.25">
      <c r="A79" s="425">
        <v>2305</v>
      </c>
      <c r="B79" s="89" t="s">
        <v>482</v>
      </c>
      <c r="C79" s="89" t="s">
        <v>483</v>
      </c>
    </row>
    <row r="80" spans="1:3" ht="30" customHeight="1">
      <c r="A80" s="425">
        <v>2306</v>
      </c>
      <c r="B80" s="215" t="s">
        <v>14</v>
      </c>
      <c r="C80" s="215" t="s">
        <v>117</v>
      </c>
    </row>
    <row r="81" spans="1:3" ht="30" customHeight="1">
      <c r="A81" s="425">
        <v>2307</v>
      </c>
      <c r="B81" s="215" t="s">
        <v>11</v>
      </c>
      <c r="C81" s="215" t="s">
        <v>112</v>
      </c>
    </row>
    <row r="82" spans="1:3" ht="30" customHeight="1">
      <c r="A82" s="425">
        <v>2308</v>
      </c>
      <c r="B82" s="215" t="s">
        <v>12</v>
      </c>
      <c r="C82" s="215" t="s">
        <v>113</v>
      </c>
    </row>
    <row r="83" spans="1:3" ht="30" customHeight="1">
      <c r="A83" s="425">
        <v>2309</v>
      </c>
      <c r="B83" s="215" t="s">
        <v>488</v>
      </c>
      <c r="C83" s="215" t="s">
        <v>489</v>
      </c>
    </row>
    <row r="84" spans="1:3" ht="30" customHeight="1">
      <c r="A84" s="425">
        <v>2310</v>
      </c>
      <c r="B84" s="215" t="s">
        <v>6</v>
      </c>
      <c r="C84" s="215" t="s">
        <v>114</v>
      </c>
    </row>
    <row r="85" spans="1:3" ht="30" customHeight="1">
      <c r="A85" s="425">
        <v>2311</v>
      </c>
      <c r="B85" s="215" t="s">
        <v>7</v>
      </c>
      <c r="C85" s="215" t="s">
        <v>115</v>
      </c>
    </row>
    <row r="86" spans="1:3" ht="30" customHeight="1">
      <c r="A86" s="425">
        <v>2312</v>
      </c>
      <c r="B86" s="215" t="s">
        <v>13</v>
      </c>
      <c r="C86" s="215" t="s">
        <v>116</v>
      </c>
    </row>
    <row r="87" spans="1:3" ht="30" customHeight="1">
      <c r="A87" s="425">
        <v>2313</v>
      </c>
      <c r="B87" s="89" t="s">
        <v>485</v>
      </c>
      <c r="C87" s="89" t="s">
        <v>484</v>
      </c>
    </row>
    <row r="88" spans="1:3" ht="30" customHeight="1">
      <c r="A88" s="425">
        <v>2314</v>
      </c>
      <c r="B88" s="89" t="s">
        <v>486</v>
      </c>
      <c r="C88" s="89" t="s">
        <v>487</v>
      </c>
    </row>
    <row r="89" spans="1:3" ht="30" customHeight="1">
      <c r="A89" s="425">
        <v>2315</v>
      </c>
      <c r="B89" s="89" t="s">
        <v>3</v>
      </c>
      <c r="C89" s="215" t="s">
        <v>118</v>
      </c>
    </row>
    <row r="90" spans="1:3" ht="30" customHeight="1">
      <c r="A90" s="425">
        <v>2316</v>
      </c>
      <c r="B90" s="89" t="s">
        <v>504</v>
      </c>
      <c r="C90" s="89" t="s">
        <v>505</v>
      </c>
    </row>
    <row r="91" spans="1:3" ht="38.25">
      <c r="A91" s="425">
        <v>2317</v>
      </c>
      <c r="B91" s="89" t="s">
        <v>490</v>
      </c>
      <c r="C91" s="89" t="s">
        <v>491</v>
      </c>
    </row>
    <row r="92" spans="1:3" ht="30" customHeight="1">
      <c r="A92" s="425">
        <v>2318</v>
      </c>
      <c r="B92" s="89" t="s">
        <v>496</v>
      </c>
      <c r="C92" s="89" t="s">
        <v>492</v>
      </c>
    </row>
    <row r="93" spans="1:3" ht="30" customHeight="1">
      <c r="A93" s="425">
        <v>2319</v>
      </c>
      <c r="B93" s="89" t="s">
        <v>497</v>
      </c>
      <c r="C93" s="89" t="s">
        <v>493</v>
      </c>
    </row>
    <row r="94" spans="1:3" ht="30" customHeight="1">
      <c r="A94" s="425">
        <v>2320</v>
      </c>
      <c r="B94" s="89" t="s">
        <v>498</v>
      </c>
      <c r="C94" s="89" t="s">
        <v>494</v>
      </c>
    </row>
    <row r="95" spans="1:3" ht="30" customHeight="1">
      <c r="A95" s="425">
        <v>2321</v>
      </c>
      <c r="B95" s="89" t="s">
        <v>499</v>
      </c>
      <c r="C95" s="89" t="s">
        <v>495</v>
      </c>
    </row>
    <row r="96" spans="1:3" ht="30" customHeight="1">
      <c r="A96" s="425">
        <v>2322</v>
      </c>
      <c r="B96" s="89" t="s">
        <v>500</v>
      </c>
      <c r="C96" s="89" t="s">
        <v>597</v>
      </c>
    </row>
    <row r="97" spans="1:3" ht="30" customHeight="1">
      <c r="A97" s="425">
        <v>2323</v>
      </c>
      <c r="B97" s="89" t="s">
        <v>501</v>
      </c>
      <c r="C97" s="89" t="s">
        <v>598</v>
      </c>
    </row>
    <row r="98" spans="1:3" ht="30" customHeight="1">
      <c r="A98" s="425">
        <v>2324</v>
      </c>
      <c r="B98" s="89" t="s">
        <v>502</v>
      </c>
      <c r="C98" s="89" t="s">
        <v>599</v>
      </c>
    </row>
    <row r="99" spans="1:3" ht="30" customHeight="1">
      <c r="A99" s="425">
        <v>2325</v>
      </c>
      <c r="B99" s="89" t="s">
        <v>503</v>
      </c>
      <c r="C99" s="89" t="s">
        <v>600</v>
      </c>
    </row>
    <row r="100" spans="1:3" s="127" customFormat="1" ht="15" customHeight="1">
      <c r="A100" s="428"/>
      <c r="B100" s="429"/>
      <c r="C100" s="429"/>
    </row>
    <row r="101" spans="1:3" ht="30" customHeight="1">
      <c r="A101" s="425">
        <v>2400</v>
      </c>
      <c r="B101" s="148" t="s">
        <v>27</v>
      </c>
      <c r="C101" s="240" t="s">
        <v>119</v>
      </c>
    </row>
    <row r="102" spans="1:3" ht="30" customHeight="1">
      <c r="A102" s="425">
        <v>2401</v>
      </c>
      <c r="B102" s="148" t="s">
        <v>37</v>
      </c>
      <c r="C102" s="240" t="s">
        <v>121</v>
      </c>
    </row>
    <row r="103" spans="1:3" ht="30" customHeight="1">
      <c r="A103" s="425">
        <v>2402</v>
      </c>
      <c r="B103" s="240" t="s">
        <v>254</v>
      </c>
      <c r="C103" s="240" t="s">
        <v>682</v>
      </c>
    </row>
    <row r="104" spans="1:3" ht="30" customHeight="1">
      <c r="A104" s="425">
        <v>2403</v>
      </c>
      <c r="B104" s="215" t="s">
        <v>317</v>
      </c>
      <c r="C104" s="89" t="s">
        <v>683</v>
      </c>
    </row>
    <row r="105" spans="1:3" ht="30" customHeight="1">
      <c r="A105" s="425">
        <v>2404</v>
      </c>
      <c r="B105" s="148" t="s">
        <v>38</v>
      </c>
      <c r="C105" s="240" t="s">
        <v>684</v>
      </c>
    </row>
    <row r="106" spans="1:3" ht="30" customHeight="1">
      <c r="A106" s="425">
        <v>2405</v>
      </c>
      <c r="B106" s="148" t="s">
        <v>251</v>
      </c>
      <c r="C106" s="240" t="s">
        <v>685</v>
      </c>
    </row>
    <row r="107" spans="1:3" ht="30" customHeight="1">
      <c r="A107" s="425">
        <v>2406</v>
      </c>
      <c r="B107" s="240" t="s">
        <v>556</v>
      </c>
      <c r="C107" s="240" t="s">
        <v>557</v>
      </c>
    </row>
    <row r="108" spans="1:3" ht="30" customHeight="1">
      <c r="A108" s="425">
        <v>2407</v>
      </c>
      <c r="B108" s="148" t="s">
        <v>39</v>
      </c>
      <c r="C108" s="240" t="s">
        <v>122</v>
      </c>
    </row>
    <row r="109" spans="1:3" ht="30" customHeight="1">
      <c r="A109" s="425">
        <v>2408</v>
      </c>
      <c r="B109" s="148" t="s">
        <v>40</v>
      </c>
      <c r="C109" s="240" t="s">
        <v>123</v>
      </c>
    </row>
    <row r="110" spans="1:3" ht="30" customHeight="1">
      <c r="A110" s="425">
        <v>2409</v>
      </c>
      <c r="B110" s="148" t="s">
        <v>255</v>
      </c>
      <c r="C110" s="240" t="s">
        <v>506</v>
      </c>
    </row>
    <row r="111" spans="1:3" ht="30" customHeight="1">
      <c r="A111" s="425">
        <v>2410</v>
      </c>
      <c r="B111" s="148" t="s">
        <v>340</v>
      </c>
      <c r="C111" s="240" t="s">
        <v>507</v>
      </c>
    </row>
    <row r="112" spans="1:3" ht="30" customHeight="1">
      <c r="A112" s="425">
        <v>2411</v>
      </c>
      <c r="B112" s="148" t="s">
        <v>41</v>
      </c>
      <c r="C112" s="240" t="s">
        <v>41</v>
      </c>
    </row>
    <row r="113" spans="1:3" ht="30" customHeight="1">
      <c r="A113" s="425">
        <v>2412</v>
      </c>
      <c r="B113" s="148" t="s">
        <v>42</v>
      </c>
      <c r="C113" s="240" t="s">
        <v>124</v>
      </c>
    </row>
    <row r="114" spans="1:3" ht="30" customHeight="1">
      <c r="A114" s="425">
        <v>2413</v>
      </c>
      <c r="B114" s="240" t="s">
        <v>558</v>
      </c>
      <c r="C114" s="240" t="s">
        <v>559</v>
      </c>
    </row>
    <row r="115" spans="1:3" ht="30" customHeight="1">
      <c r="A115" s="425">
        <v>2414</v>
      </c>
      <c r="B115" s="148" t="s">
        <v>39</v>
      </c>
      <c r="C115" s="240" t="s">
        <v>122</v>
      </c>
    </row>
    <row r="116" spans="1:3" ht="30" customHeight="1">
      <c r="A116" s="425">
        <v>2415</v>
      </c>
      <c r="B116" s="148" t="s">
        <v>40</v>
      </c>
      <c r="C116" s="240" t="s">
        <v>123</v>
      </c>
    </row>
    <row r="117" spans="1:3" ht="30" customHeight="1">
      <c r="A117" s="425">
        <v>2416</v>
      </c>
      <c r="B117" s="148" t="s">
        <v>255</v>
      </c>
      <c r="C117" s="240" t="s">
        <v>506</v>
      </c>
    </row>
    <row r="118" spans="1:3" ht="30" customHeight="1">
      <c r="A118" s="425">
        <v>2417</v>
      </c>
      <c r="B118" s="148" t="s">
        <v>340</v>
      </c>
      <c r="C118" s="240" t="s">
        <v>507</v>
      </c>
    </row>
    <row r="119" spans="1:3" ht="30" customHeight="1">
      <c r="A119" s="425">
        <v>2418</v>
      </c>
      <c r="B119" s="148" t="s">
        <v>41</v>
      </c>
      <c r="C119" s="240" t="s">
        <v>41</v>
      </c>
    </row>
    <row r="120" spans="1:3" ht="30" customHeight="1">
      <c r="A120" s="425">
        <v>2419</v>
      </c>
      <c r="B120" s="148" t="s">
        <v>42</v>
      </c>
      <c r="C120" s="240" t="s">
        <v>124</v>
      </c>
    </row>
    <row r="121" spans="1:3" ht="30" customHeight="1">
      <c r="A121" s="425">
        <v>2420</v>
      </c>
      <c r="B121" s="148" t="s">
        <v>508</v>
      </c>
      <c r="C121" s="240" t="s">
        <v>686</v>
      </c>
    </row>
    <row r="122" spans="1:3" ht="30" customHeight="1">
      <c r="A122" s="425">
        <v>2421</v>
      </c>
      <c r="B122" s="148" t="s">
        <v>510</v>
      </c>
      <c r="C122" s="240" t="s">
        <v>511</v>
      </c>
    </row>
    <row r="123" spans="1:3" ht="30" customHeight="1">
      <c r="A123" s="425">
        <v>2422</v>
      </c>
      <c r="B123" s="148" t="s">
        <v>40</v>
      </c>
      <c r="C123" s="240" t="s">
        <v>123</v>
      </c>
    </row>
    <row r="124" spans="1:3" ht="30" customHeight="1">
      <c r="A124" s="425">
        <v>2423</v>
      </c>
      <c r="B124" s="148" t="s">
        <v>512</v>
      </c>
      <c r="C124" s="240" t="s">
        <v>513</v>
      </c>
    </row>
    <row r="125" spans="1:3" ht="30" customHeight="1">
      <c r="A125" s="425">
        <v>2424</v>
      </c>
      <c r="B125" s="148" t="s">
        <v>514</v>
      </c>
      <c r="C125" s="240" t="s">
        <v>515</v>
      </c>
    </row>
    <row r="126" spans="1:3" ht="30" customHeight="1">
      <c r="A126" s="425">
        <v>2425</v>
      </c>
      <c r="B126" s="148" t="s">
        <v>41</v>
      </c>
      <c r="C126" s="240" t="s">
        <v>41</v>
      </c>
    </row>
    <row r="127" spans="1:3" ht="30" customHeight="1">
      <c r="A127" s="425">
        <v>2426</v>
      </c>
      <c r="B127" s="148" t="s">
        <v>516</v>
      </c>
      <c r="C127" s="240" t="s">
        <v>191</v>
      </c>
    </row>
    <row r="128" spans="1:3" s="127" customFormat="1" ht="15" customHeight="1">
      <c r="A128" s="428"/>
      <c r="B128" s="429"/>
      <c r="C128" s="429"/>
    </row>
    <row r="129" spans="1:3" ht="30" customHeight="1">
      <c r="A129" s="425">
        <v>2500</v>
      </c>
      <c r="B129" s="148" t="s">
        <v>125</v>
      </c>
      <c r="C129" s="240" t="s">
        <v>126</v>
      </c>
    </row>
    <row r="130" spans="1:3" ht="30" customHeight="1">
      <c r="A130" s="425">
        <v>2501</v>
      </c>
      <c r="B130" s="148" t="s">
        <v>56</v>
      </c>
      <c r="C130" s="240" t="s">
        <v>120</v>
      </c>
    </row>
    <row r="131" spans="1:3" ht="30" customHeight="1">
      <c r="A131" s="425">
        <v>2502</v>
      </c>
      <c r="B131" s="148" t="s">
        <v>39</v>
      </c>
      <c r="C131" s="240" t="s">
        <v>122</v>
      </c>
    </row>
    <row r="132" spans="1:3" ht="30" customHeight="1">
      <c r="A132" s="425">
        <v>2503</v>
      </c>
      <c r="B132" s="148" t="s">
        <v>40</v>
      </c>
      <c r="C132" s="240" t="s">
        <v>123</v>
      </c>
    </row>
    <row r="133" spans="1:3" ht="30" customHeight="1">
      <c r="A133" s="425">
        <v>2504</v>
      </c>
      <c r="B133" s="240" t="s">
        <v>255</v>
      </c>
      <c r="C133" s="240" t="s">
        <v>506</v>
      </c>
    </row>
    <row r="134" spans="1:3" ht="30" customHeight="1">
      <c r="A134" s="425">
        <v>2505</v>
      </c>
      <c r="B134" s="240" t="s">
        <v>340</v>
      </c>
      <c r="C134" s="240" t="s">
        <v>507</v>
      </c>
    </row>
    <row r="135" spans="1:3" ht="30" customHeight="1">
      <c r="A135" s="425">
        <v>2506</v>
      </c>
      <c r="B135" s="148" t="s">
        <v>41</v>
      </c>
      <c r="C135" s="240" t="s">
        <v>41</v>
      </c>
    </row>
    <row r="136" spans="1:3" ht="30" customHeight="1">
      <c r="A136" s="425">
        <v>2507</v>
      </c>
      <c r="B136" s="148" t="s">
        <v>42</v>
      </c>
      <c r="C136" s="240" t="s">
        <v>124</v>
      </c>
    </row>
    <row r="137" spans="1:3" ht="30" customHeight="1">
      <c r="A137" s="425">
        <v>2508</v>
      </c>
      <c r="B137" s="240" t="s">
        <v>411</v>
      </c>
      <c r="C137" s="240" t="s">
        <v>413</v>
      </c>
    </row>
    <row r="138" spans="1:3" ht="30" customHeight="1">
      <c r="A138" s="425">
        <v>2509</v>
      </c>
      <c r="B138" s="148" t="s">
        <v>134</v>
      </c>
      <c r="C138" s="240" t="s">
        <v>136</v>
      </c>
    </row>
    <row r="139" spans="1:3" ht="30" customHeight="1">
      <c r="A139" s="425">
        <v>2510</v>
      </c>
      <c r="B139" s="240" t="s">
        <v>135</v>
      </c>
      <c r="C139" s="240" t="s">
        <v>687</v>
      </c>
    </row>
    <row r="140" spans="1:3" ht="30" customHeight="1">
      <c r="A140" s="425">
        <v>2511</v>
      </c>
      <c r="B140" s="240" t="s">
        <v>412</v>
      </c>
      <c r="C140" s="240" t="s">
        <v>414</v>
      </c>
    </row>
    <row r="141" spans="1:3" ht="30" customHeight="1">
      <c r="A141" s="425">
        <v>2512</v>
      </c>
      <c r="B141" s="148" t="s">
        <v>134</v>
      </c>
      <c r="C141" s="240" t="s">
        <v>136</v>
      </c>
    </row>
    <row r="142" spans="1:3" ht="30" customHeight="1">
      <c r="A142" s="425">
        <v>2513</v>
      </c>
      <c r="B142" s="240" t="s">
        <v>135</v>
      </c>
      <c r="C142" s="240" t="s">
        <v>687</v>
      </c>
    </row>
    <row r="143" spans="1:3" ht="30" customHeight="1">
      <c r="A143" s="425">
        <v>2514</v>
      </c>
      <c r="B143" s="89" t="s">
        <v>536</v>
      </c>
      <c r="C143" s="89" t="s">
        <v>533</v>
      </c>
    </row>
    <row r="144" spans="1:3" ht="30" customHeight="1">
      <c r="A144" s="425">
        <v>2515</v>
      </c>
      <c r="B144" s="89" t="s">
        <v>535</v>
      </c>
      <c r="C144" s="89" t="s">
        <v>534</v>
      </c>
    </row>
    <row r="145" spans="1:3" s="127" customFormat="1" ht="15" customHeight="1">
      <c r="A145" s="428"/>
      <c r="B145" s="429"/>
      <c r="C145" s="429"/>
    </row>
    <row r="146" spans="1:3" ht="30" customHeight="1">
      <c r="A146" s="425">
        <v>2600</v>
      </c>
      <c r="B146" s="148" t="s">
        <v>127</v>
      </c>
      <c r="C146" s="240" t="s">
        <v>129</v>
      </c>
    </row>
    <row r="147" spans="1:3" ht="38.25">
      <c r="A147" s="425">
        <v>2601</v>
      </c>
      <c r="B147" s="148" t="s">
        <v>517</v>
      </c>
      <c r="C147" s="240" t="s">
        <v>518</v>
      </c>
    </row>
    <row r="148" spans="1:3" ht="30" customHeight="1">
      <c r="A148" s="425">
        <v>2602</v>
      </c>
      <c r="B148" s="148" t="s">
        <v>39</v>
      </c>
      <c r="C148" s="240" t="s">
        <v>122</v>
      </c>
    </row>
    <row r="149" spans="1:3" ht="30" customHeight="1">
      <c r="A149" s="425">
        <v>2603</v>
      </c>
      <c r="B149" s="148" t="s">
        <v>40</v>
      </c>
      <c r="C149" s="240" t="s">
        <v>123</v>
      </c>
    </row>
    <row r="150" spans="1:3" ht="30" customHeight="1">
      <c r="A150" s="425">
        <v>2604</v>
      </c>
      <c r="B150" s="240" t="s">
        <v>255</v>
      </c>
      <c r="C150" s="240" t="s">
        <v>506</v>
      </c>
    </row>
    <row r="151" spans="1:3" ht="30" customHeight="1">
      <c r="A151" s="425">
        <v>2605</v>
      </c>
      <c r="B151" s="240" t="s">
        <v>340</v>
      </c>
      <c r="C151" s="240" t="s">
        <v>507</v>
      </c>
    </row>
    <row r="152" spans="1:3" ht="30" customHeight="1">
      <c r="A152" s="425">
        <v>2606</v>
      </c>
      <c r="B152" s="148" t="s">
        <v>41</v>
      </c>
      <c r="C152" s="240" t="s">
        <v>41</v>
      </c>
    </row>
    <row r="153" spans="1:3" ht="30" customHeight="1">
      <c r="A153" s="425">
        <v>2607</v>
      </c>
      <c r="B153" s="148" t="s">
        <v>42</v>
      </c>
      <c r="C153" s="240" t="s">
        <v>124</v>
      </c>
    </row>
    <row r="154" spans="1:3" ht="30" customHeight="1">
      <c r="A154" s="425">
        <v>2608</v>
      </c>
      <c r="B154" s="148" t="s">
        <v>519</v>
      </c>
      <c r="C154" s="240" t="s">
        <v>520</v>
      </c>
    </row>
    <row r="155" spans="1:3" ht="30" customHeight="1">
      <c r="A155" s="425">
        <v>2609</v>
      </c>
      <c r="B155" s="148" t="s">
        <v>39</v>
      </c>
      <c r="C155" s="240" t="s">
        <v>122</v>
      </c>
    </row>
    <row r="156" spans="1:3" ht="30" customHeight="1">
      <c r="A156" s="425">
        <v>2610</v>
      </c>
      <c r="B156" s="148" t="s">
        <v>40</v>
      </c>
      <c r="C156" s="240" t="s">
        <v>123</v>
      </c>
    </row>
    <row r="157" spans="1:3" ht="30" customHeight="1">
      <c r="A157" s="425">
        <v>2611</v>
      </c>
      <c r="B157" s="240" t="s">
        <v>255</v>
      </c>
      <c r="C157" s="240" t="s">
        <v>506</v>
      </c>
    </row>
    <row r="158" spans="1:3" ht="30" customHeight="1">
      <c r="A158" s="425">
        <v>2612</v>
      </c>
      <c r="B158" s="240" t="s">
        <v>340</v>
      </c>
      <c r="C158" s="240" t="s">
        <v>507</v>
      </c>
    </row>
    <row r="159" spans="1:3" ht="30" customHeight="1">
      <c r="A159" s="425">
        <v>2613</v>
      </c>
      <c r="B159" s="148" t="s">
        <v>41</v>
      </c>
      <c r="C159" s="240" t="s">
        <v>41</v>
      </c>
    </row>
    <row r="160" spans="1:3" ht="30" customHeight="1">
      <c r="A160" s="425">
        <v>2614</v>
      </c>
      <c r="B160" s="148" t="s">
        <v>42</v>
      </c>
      <c r="C160" s="240" t="s">
        <v>124</v>
      </c>
    </row>
    <row r="161" spans="1:3" s="127" customFormat="1" ht="15" customHeight="1">
      <c r="A161" s="428"/>
      <c r="B161" s="429"/>
      <c r="C161" s="429"/>
    </row>
    <row r="162" spans="1:3" ht="30" customHeight="1">
      <c r="A162" s="425">
        <v>2700</v>
      </c>
      <c r="B162" s="148" t="s">
        <v>521</v>
      </c>
      <c r="C162" s="240" t="s">
        <v>521</v>
      </c>
    </row>
    <row r="163" spans="1:3" ht="30" customHeight="1">
      <c r="A163" s="425">
        <v>2701</v>
      </c>
      <c r="B163" s="240" t="s">
        <v>341</v>
      </c>
      <c r="C163" s="240" t="s">
        <v>341</v>
      </c>
    </row>
    <row r="164" spans="1:3" ht="30" customHeight="1">
      <c r="A164" s="425">
        <v>2702</v>
      </c>
      <c r="B164" s="148" t="s">
        <v>39</v>
      </c>
      <c r="C164" s="240" t="s">
        <v>122</v>
      </c>
    </row>
    <row r="165" spans="1:3" ht="30" customHeight="1">
      <c r="A165" s="425">
        <v>2703</v>
      </c>
      <c r="B165" s="148" t="s">
        <v>40</v>
      </c>
      <c r="C165" s="240" t="s">
        <v>123</v>
      </c>
    </row>
    <row r="166" spans="1:3" ht="30" customHeight="1">
      <c r="A166" s="425">
        <v>2704</v>
      </c>
      <c r="B166" s="240" t="s">
        <v>255</v>
      </c>
      <c r="C166" s="240" t="s">
        <v>506</v>
      </c>
    </row>
    <row r="167" spans="1:3" ht="30" customHeight="1">
      <c r="A167" s="425">
        <v>2705</v>
      </c>
      <c r="B167" s="240" t="s">
        <v>340</v>
      </c>
      <c r="C167" s="240" t="s">
        <v>507</v>
      </c>
    </row>
    <row r="168" spans="1:3" ht="30" customHeight="1">
      <c r="A168" s="425">
        <v>2706</v>
      </c>
      <c r="B168" s="148" t="s">
        <v>41</v>
      </c>
      <c r="C168" s="240" t="s">
        <v>41</v>
      </c>
    </row>
    <row r="169" spans="1:3" ht="30" customHeight="1">
      <c r="A169" s="425">
        <v>2707</v>
      </c>
      <c r="B169" s="148" t="s">
        <v>42</v>
      </c>
      <c r="C169" s="240" t="s">
        <v>124</v>
      </c>
    </row>
    <row r="170" spans="1:3" ht="30" customHeight="1">
      <c r="A170" s="425">
        <v>2708</v>
      </c>
      <c r="B170" s="240" t="s">
        <v>342</v>
      </c>
      <c r="C170" s="240" t="s">
        <v>343</v>
      </c>
    </row>
    <row r="171" spans="1:3" ht="30" customHeight="1">
      <c r="A171" s="425">
        <v>2709</v>
      </c>
      <c r="B171" s="240" t="s">
        <v>128</v>
      </c>
      <c r="C171" s="240" t="s">
        <v>128</v>
      </c>
    </row>
    <row r="172" spans="1:3" ht="30" customHeight="1">
      <c r="A172" s="425">
        <v>2710</v>
      </c>
      <c r="B172" s="148" t="s">
        <v>39</v>
      </c>
      <c r="C172" s="240" t="s">
        <v>122</v>
      </c>
    </row>
    <row r="173" spans="1:3" ht="30" customHeight="1">
      <c r="A173" s="425">
        <v>2711</v>
      </c>
      <c r="B173" s="148" t="s">
        <v>40</v>
      </c>
      <c r="C173" s="240" t="s">
        <v>123</v>
      </c>
    </row>
    <row r="174" spans="1:3" ht="30" customHeight="1">
      <c r="A174" s="425">
        <v>2712</v>
      </c>
      <c r="B174" s="240" t="s">
        <v>255</v>
      </c>
      <c r="C174" s="240" t="s">
        <v>506</v>
      </c>
    </row>
    <row r="175" spans="1:3" ht="30" customHeight="1">
      <c r="A175" s="425">
        <v>2713</v>
      </c>
      <c r="B175" s="240" t="s">
        <v>340</v>
      </c>
      <c r="C175" s="240" t="s">
        <v>507</v>
      </c>
    </row>
    <row r="176" spans="1:3" ht="30" customHeight="1">
      <c r="A176" s="425">
        <v>2714</v>
      </c>
      <c r="B176" s="148" t="s">
        <v>41</v>
      </c>
      <c r="C176" s="240" t="s">
        <v>41</v>
      </c>
    </row>
    <row r="177" spans="1:3" ht="30" customHeight="1">
      <c r="A177" s="425">
        <v>2715</v>
      </c>
      <c r="B177" s="148" t="s">
        <v>42</v>
      </c>
      <c r="C177" s="240" t="s">
        <v>124</v>
      </c>
    </row>
    <row r="178" spans="1:3" ht="51">
      <c r="A178" s="425">
        <v>2716</v>
      </c>
      <c r="B178" s="240" t="s">
        <v>523</v>
      </c>
      <c r="C178" s="240" t="s">
        <v>524</v>
      </c>
    </row>
    <row r="179" spans="1:3" s="127" customFormat="1" ht="15" customHeight="1">
      <c r="A179" s="428"/>
      <c r="B179" s="429"/>
      <c r="C179" s="429"/>
    </row>
    <row r="180" spans="1:3" ht="30" customHeight="1">
      <c r="A180" s="425">
        <v>2800</v>
      </c>
      <c r="B180" s="148" t="s">
        <v>131</v>
      </c>
      <c r="C180" s="240" t="s">
        <v>132</v>
      </c>
    </row>
    <row r="181" spans="1:3" ht="30" customHeight="1">
      <c r="A181" s="425">
        <v>2801</v>
      </c>
      <c r="B181" s="148" t="s">
        <v>526</v>
      </c>
      <c r="C181" s="240" t="s">
        <v>525</v>
      </c>
    </row>
    <row r="182" spans="1:3" ht="30" customHeight="1">
      <c r="A182" s="425">
        <v>2802</v>
      </c>
      <c r="B182" s="240" t="s">
        <v>527</v>
      </c>
      <c r="C182" s="240" t="s">
        <v>531</v>
      </c>
    </row>
    <row r="183" spans="1:3" ht="30" customHeight="1">
      <c r="A183" s="425">
        <v>2803</v>
      </c>
      <c r="B183" s="240" t="s">
        <v>100</v>
      </c>
      <c r="C183" s="240" t="s">
        <v>192</v>
      </c>
    </row>
    <row r="184" spans="1:3" ht="30" customHeight="1">
      <c r="A184" s="425">
        <v>2804</v>
      </c>
      <c r="B184" s="215" t="s">
        <v>542</v>
      </c>
      <c r="C184" s="89" t="s">
        <v>543</v>
      </c>
    </row>
    <row r="185" spans="1:3" ht="30" customHeight="1">
      <c r="A185" s="425">
        <v>2805</v>
      </c>
      <c r="B185" s="215" t="s">
        <v>528</v>
      </c>
      <c r="C185" s="89" t="s">
        <v>688</v>
      </c>
    </row>
    <row r="186" spans="1:3" ht="30" customHeight="1">
      <c r="A186" s="425">
        <v>2806</v>
      </c>
      <c r="B186" s="215" t="s">
        <v>529</v>
      </c>
      <c r="C186" s="89" t="s">
        <v>689</v>
      </c>
    </row>
    <row r="187" spans="1:3" ht="30" customHeight="1">
      <c r="A187" s="425">
        <v>2807</v>
      </c>
      <c r="B187" s="215" t="s">
        <v>530</v>
      </c>
      <c r="C187" s="89" t="s">
        <v>690</v>
      </c>
    </row>
    <row r="188" spans="1:3" ht="30" customHeight="1">
      <c r="A188" s="425">
        <v>2808</v>
      </c>
      <c r="B188" s="240" t="s">
        <v>544</v>
      </c>
      <c r="C188" s="240" t="s">
        <v>545</v>
      </c>
    </row>
    <row r="189" spans="1:3" ht="30" customHeight="1">
      <c r="A189" s="425">
        <v>2809</v>
      </c>
      <c r="B189" s="215" t="s">
        <v>528</v>
      </c>
      <c r="C189" s="89" t="s">
        <v>688</v>
      </c>
    </row>
    <row r="190" spans="1:3" ht="30" customHeight="1">
      <c r="A190" s="425">
        <v>2810</v>
      </c>
      <c r="B190" s="215" t="s">
        <v>530</v>
      </c>
      <c r="C190" s="89" t="s">
        <v>690</v>
      </c>
    </row>
    <row r="191" spans="1:3" ht="30" customHeight="1">
      <c r="A191" s="425">
        <v>2811</v>
      </c>
      <c r="B191" s="215" t="s">
        <v>325</v>
      </c>
      <c r="C191" s="89" t="s">
        <v>133</v>
      </c>
    </row>
    <row r="192" spans="1:3" ht="30" customHeight="1">
      <c r="A192" s="425">
        <v>2812</v>
      </c>
      <c r="B192" s="215" t="s">
        <v>537</v>
      </c>
      <c r="C192" s="89" t="s">
        <v>532</v>
      </c>
    </row>
    <row r="193" spans="1:42" ht="30" customHeight="1">
      <c r="A193" s="425">
        <v>2813</v>
      </c>
      <c r="B193" s="89" t="s">
        <v>870</v>
      </c>
      <c r="C193" s="89" t="s">
        <v>868</v>
      </c>
    </row>
    <row r="194" spans="1:42" ht="30" customHeight="1">
      <c r="A194" s="425">
        <v>2814</v>
      </c>
      <c r="B194" s="89" t="s">
        <v>871</v>
      </c>
      <c r="C194" s="89" t="s">
        <v>869</v>
      </c>
    </row>
    <row r="195" spans="1:42" ht="30" customHeight="1">
      <c r="A195" s="425">
        <v>2815</v>
      </c>
      <c r="B195" s="89" t="s">
        <v>872</v>
      </c>
      <c r="C195" s="89" t="s">
        <v>873</v>
      </c>
    </row>
    <row r="196" spans="1:42" ht="30" customHeight="1">
      <c r="A196" s="425"/>
      <c r="B196" s="215"/>
      <c r="C196" s="89"/>
    </row>
    <row r="197" spans="1:42" ht="30" customHeight="1">
      <c r="A197" s="425"/>
      <c r="B197" s="215"/>
      <c r="C197" s="89"/>
    </row>
    <row r="198" spans="1:42" s="127" customFormat="1" ht="30" customHeight="1" thickBot="1">
      <c r="A198" s="430"/>
      <c r="B198" s="424"/>
      <c r="C198" s="424"/>
      <c r="D198" s="214"/>
      <c r="E198" s="214"/>
      <c r="F198" s="214"/>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c r="AN198" s="214"/>
      <c r="AO198" s="214"/>
      <c r="AP198" s="214"/>
    </row>
    <row r="199" spans="1:42" ht="30" customHeight="1" thickBot="1">
      <c r="A199" s="1451" t="s">
        <v>553</v>
      </c>
      <c r="B199" s="1452"/>
      <c r="C199" s="1452"/>
    </row>
    <row r="200" spans="1:42" ht="30" customHeight="1">
      <c r="A200" s="431" t="s">
        <v>552</v>
      </c>
      <c r="B200" s="432"/>
      <c r="C200" s="432"/>
    </row>
    <row r="201" spans="1:42" s="127" customFormat="1" ht="30" customHeight="1" thickBot="1">
      <c r="A201" s="430"/>
      <c r="B201" s="424"/>
      <c r="C201" s="424"/>
      <c r="D201" s="214"/>
      <c r="E201" s="214"/>
      <c r="F201" s="214"/>
      <c r="G201" s="214"/>
      <c r="H201" s="214"/>
      <c r="I201" s="214"/>
      <c r="J201" s="214"/>
      <c r="K201" s="214"/>
      <c r="L201" s="214"/>
      <c r="M201" s="214"/>
      <c r="N201" s="214"/>
      <c r="O201" s="214"/>
      <c r="P201" s="214"/>
      <c r="Q201" s="214"/>
      <c r="R201" s="214"/>
      <c r="S201" s="214"/>
      <c r="T201" s="214"/>
      <c r="U201" s="214"/>
      <c r="V201" s="214"/>
      <c r="W201" s="214"/>
      <c r="X201" s="214"/>
      <c r="Y201" s="214"/>
      <c r="Z201" s="214"/>
      <c r="AA201" s="214"/>
      <c r="AB201" s="214"/>
      <c r="AC201" s="214"/>
      <c r="AD201" s="214"/>
      <c r="AE201" s="214"/>
      <c r="AF201" s="214"/>
      <c r="AG201" s="214"/>
      <c r="AH201" s="214"/>
      <c r="AI201" s="214"/>
      <c r="AJ201" s="214"/>
      <c r="AK201" s="214"/>
      <c r="AL201" s="214"/>
      <c r="AM201" s="214"/>
      <c r="AN201" s="214"/>
      <c r="AO201" s="214"/>
      <c r="AP201" s="214"/>
    </row>
    <row r="202" spans="1:42" ht="30" customHeight="1" thickBot="1">
      <c r="A202" s="1449" t="s">
        <v>16</v>
      </c>
      <c r="B202" s="1450"/>
      <c r="C202" s="1450"/>
    </row>
    <row r="203" spans="1:42" ht="30" customHeight="1">
      <c r="A203" s="421">
        <v>4001</v>
      </c>
      <c r="B203" s="87" t="s">
        <v>16</v>
      </c>
      <c r="C203" s="87" t="s">
        <v>16</v>
      </c>
    </row>
    <row r="204" spans="1:42" ht="30" customHeight="1">
      <c r="A204" s="422">
        <v>4002</v>
      </c>
      <c r="B204" s="89" t="s">
        <v>63</v>
      </c>
      <c r="C204" s="89" t="s">
        <v>137</v>
      </c>
    </row>
    <row r="205" spans="1:42" ht="30" customHeight="1">
      <c r="A205" s="422">
        <v>4003</v>
      </c>
      <c r="B205" s="89" t="s">
        <v>324</v>
      </c>
      <c r="C205" s="240" t="s">
        <v>417</v>
      </c>
    </row>
    <row r="206" spans="1:42" ht="30" customHeight="1">
      <c r="A206" s="422">
        <v>4004</v>
      </c>
      <c r="B206" s="89" t="s">
        <v>386</v>
      </c>
      <c r="C206" s="89" t="s">
        <v>197</v>
      </c>
    </row>
    <row r="207" spans="1:42" ht="30" customHeight="1">
      <c r="A207" s="422">
        <v>4005</v>
      </c>
      <c r="B207" s="89" t="s">
        <v>60</v>
      </c>
      <c r="C207" s="89" t="s">
        <v>141</v>
      </c>
    </row>
    <row r="208" spans="1:42" ht="30" customHeight="1">
      <c r="A208" s="422">
        <v>4006</v>
      </c>
      <c r="B208" s="89" t="s">
        <v>139</v>
      </c>
      <c r="C208" s="89" t="s">
        <v>691</v>
      </c>
    </row>
    <row r="209" spans="1:3" ht="30" customHeight="1">
      <c r="A209" s="422">
        <v>4007</v>
      </c>
      <c r="B209" s="89" t="s">
        <v>138</v>
      </c>
      <c r="C209" s="89" t="s">
        <v>142</v>
      </c>
    </row>
    <row r="210" spans="1:3" ht="30" customHeight="1">
      <c r="A210" s="422">
        <v>4008</v>
      </c>
      <c r="B210" s="89" t="s">
        <v>258</v>
      </c>
      <c r="C210" s="89" t="s">
        <v>693</v>
      </c>
    </row>
    <row r="211" spans="1:3" ht="30" customHeight="1">
      <c r="A211" s="422">
        <v>4009</v>
      </c>
      <c r="B211" s="89" t="s">
        <v>61</v>
      </c>
      <c r="C211" s="89" t="s">
        <v>252</v>
      </c>
    </row>
    <row r="212" spans="1:3" ht="30" customHeight="1">
      <c r="A212" s="422">
        <v>4010</v>
      </c>
      <c r="B212" s="89" t="s">
        <v>62</v>
      </c>
      <c r="C212" s="89" t="s">
        <v>140</v>
      </c>
    </row>
    <row r="213" spans="1:3" ht="30" customHeight="1">
      <c r="A213" s="422">
        <v>4011</v>
      </c>
      <c r="B213" s="89" t="s">
        <v>64</v>
      </c>
      <c r="C213" s="89" t="s">
        <v>143</v>
      </c>
    </row>
    <row r="214" spans="1:3" ht="30" customHeight="1">
      <c r="A214" s="422">
        <v>4012</v>
      </c>
      <c r="B214" s="215" t="s">
        <v>65</v>
      </c>
      <c r="C214" s="89" t="s">
        <v>144</v>
      </c>
    </row>
    <row r="215" spans="1:3" ht="30" customHeight="1">
      <c r="A215" s="422">
        <v>4013</v>
      </c>
      <c r="B215" s="215" t="s">
        <v>66</v>
      </c>
      <c r="C215" s="89" t="s">
        <v>66</v>
      </c>
    </row>
    <row r="216" spans="1:3" ht="30" customHeight="1">
      <c r="A216" s="422">
        <v>4014</v>
      </c>
      <c r="B216" s="89" t="s">
        <v>199</v>
      </c>
      <c r="C216" s="89" t="s">
        <v>395</v>
      </c>
    </row>
    <row r="217" spans="1:3" ht="30" customHeight="1">
      <c r="A217" s="422">
        <v>4015</v>
      </c>
      <c r="B217" s="89" t="s">
        <v>200</v>
      </c>
      <c r="C217" s="89" t="s">
        <v>198</v>
      </c>
    </row>
    <row r="218" spans="1:3" ht="30" customHeight="1">
      <c r="A218" s="422">
        <v>4016</v>
      </c>
      <c r="B218" s="89" t="s">
        <v>202</v>
      </c>
      <c r="C218" s="89" t="s">
        <v>201</v>
      </c>
    </row>
    <row r="219" spans="1:3" ht="30" customHeight="1">
      <c r="A219" s="422">
        <v>4017</v>
      </c>
      <c r="B219" s="89" t="s">
        <v>203</v>
      </c>
      <c r="C219" s="89" t="s">
        <v>232</v>
      </c>
    </row>
    <row r="220" spans="1:3" ht="30" customHeight="1">
      <c r="A220" s="422">
        <v>4018</v>
      </c>
      <c r="B220" s="215" t="s">
        <v>67</v>
      </c>
      <c r="C220" s="89" t="s">
        <v>145</v>
      </c>
    </row>
    <row r="221" spans="1:3" ht="30" customHeight="1">
      <c r="A221" s="422">
        <v>4019</v>
      </c>
      <c r="B221" s="215" t="s">
        <v>68</v>
      </c>
      <c r="C221" s="89" t="s">
        <v>694</v>
      </c>
    </row>
    <row r="222" spans="1:3" ht="30" customHeight="1">
      <c r="A222" s="422">
        <v>4020</v>
      </c>
      <c r="B222" s="215" t="s">
        <v>69</v>
      </c>
      <c r="C222" s="89" t="s">
        <v>695</v>
      </c>
    </row>
    <row r="223" spans="1:3" ht="30" customHeight="1">
      <c r="A223" s="422">
        <v>4021</v>
      </c>
      <c r="B223" s="215" t="s">
        <v>206</v>
      </c>
      <c r="C223" s="89" t="s">
        <v>204</v>
      </c>
    </row>
    <row r="224" spans="1:3" ht="30" customHeight="1">
      <c r="A224" s="422">
        <v>4022</v>
      </c>
      <c r="B224" s="215" t="s">
        <v>207</v>
      </c>
      <c r="C224" s="89" t="s">
        <v>205</v>
      </c>
    </row>
    <row r="225" spans="1:42" ht="30" customHeight="1">
      <c r="A225" s="422">
        <v>4023</v>
      </c>
      <c r="B225" s="215" t="s">
        <v>209</v>
      </c>
      <c r="C225" s="89" t="s">
        <v>208</v>
      </c>
    </row>
    <row r="226" spans="1:42" ht="30" customHeight="1">
      <c r="A226" s="422">
        <v>4024</v>
      </c>
      <c r="B226" s="89" t="s">
        <v>316</v>
      </c>
      <c r="C226" s="89" t="s">
        <v>210</v>
      </c>
    </row>
    <row r="227" spans="1:42" s="433" customFormat="1" ht="30" customHeight="1">
      <c r="A227" s="422">
        <v>4025</v>
      </c>
      <c r="B227" s="215" t="s">
        <v>70</v>
      </c>
      <c r="C227" s="89" t="s">
        <v>146</v>
      </c>
      <c r="D227" s="214"/>
      <c r="E227" s="214"/>
      <c r="F227" s="214"/>
      <c r="G227" s="214"/>
      <c r="H227" s="214"/>
      <c r="I227" s="214"/>
      <c r="J227" s="214"/>
      <c r="K227" s="214"/>
      <c r="L227" s="214"/>
      <c r="M227" s="214"/>
      <c r="N227" s="214"/>
      <c r="O227" s="214"/>
      <c r="P227" s="214"/>
      <c r="Q227" s="214"/>
      <c r="R227" s="214"/>
      <c r="S227" s="214"/>
      <c r="T227" s="214"/>
      <c r="U227" s="214"/>
      <c r="V227" s="214"/>
      <c r="W227" s="214"/>
      <c r="X227" s="214"/>
      <c r="Y227" s="214"/>
      <c r="Z227" s="214"/>
      <c r="AA227" s="214"/>
      <c r="AB227" s="214"/>
      <c r="AC227" s="214"/>
      <c r="AD227" s="214"/>
      <c r="AE227" s="214"/>
      <c r="AF227" s="214"/>
      <c r="AG227" s="214"/>
      <c r="AH227" s="214"/>
      <c r="AI227" s="214"/>
      <c r="AJ227" s="214"/>
      <c r="AK227" s="214"/>
      <c r="AL227" s="214"/>
      <c r="AM227" s="214"/>
      <c r="AN227" s="214"/>
      <c r="AO227" s="214"/>
      <c r="AP227" s="214"/>
    </row>
    <row r="228" spans="1:42" ht="30" customHeight="1">
      <c r="A228" s="422">
        <v>4026</v>
      </c>
      <c r="B228" s="215" t="s">
        <v>71</v>
      </c>
      <c r="C228" s="89" t="s">
        <v>696</v>
      </c>
    </row>
    <row r="229" spans="1:42" ht="30" customHeight="1">
      <c r="A229" s="422">
        <v>4027</v>
      </c>
      <c r="B229" s="215" t="s">
        <v>72</v>
      </c>
      <c r="C229" s="89" t="s">
        <v>697</v>
      </c>
    </row>
    <row r="230" spans="1:42" ht="30" customHeight="1">
      <c r="A230" s="422">
        <v>4028</v>
      </c>
      <c r="B230" s="215" t="s">
        <v>73</v>
      </c>
      <c r="C230" s="89" t="s">
        <v>147</v>
      </c>
    </row>
    <row r="231" spans="1:42" ht="38.25">
      <c r="A231" s="422">
        <v>4029</v>
      </c>
      <c r="B231" s="215" t="s">
        <v>74</v>
      </c>
      <c r="C231" s="89" t="s">
        <v>698</v>
      </c>
    </row>
    <row r="232" spans="1:42" ht="44.25" customHeight="1">
      <c r="A232" s="422">
        <v>4030</v>
      </c>
      <c r="B232" s="215" t="s">
        <v>212</v>
      </c>
      <c r="C232" s="89" t="s">
        <v>211</v>
      </c>
    </row>
    <row r="233" spans="1:42" ht="25.5">
      <c r="A233" s="422">
        <v>4031</v>
      </c>
      <c r="B233" s="240" t="s">
        <v>406</v>
      </c>
      <c r="C233" s="240" t="s">
        <v>692</v>
      </c>
    </row>
    <row r="234" spans="1:42" ht="30" customHeight="1">
      <c r="A234" s="422">
        <v>4032</v>
      </c>
      <c r="B234" s="215" t="s">
        <v>214</v>
      </c>
      <c r="C234" s="89" t="s">
        <v>213</v>
      </c>
    </row>
    <row r="235" spans="1:42" ht="30" customHeight="1">
      <c r="A235" s="422">
        <v>4033</v>
      </c>
      <c r="B235" s="215" t="s">
        <v>216</v>
      </c>
      <c r="C235" s="89" t="s">
        <v>215</v>
      </c>
    </row>
    <row r="236" spans="1:42" ht="38.25">
      <c r="A236" s="422">
        <v>4034</v>
      </c>
      <c r="B236" s="240" t="s">
        <v>407</v>
      </c>
      <c r="C236" s="240" t="s">
        <v>408</v>
      </c>
    </row>
    <row r="237" spans="1:42" ht="30" customHeight="1">
      <c r="A237" s="422">
        <v>4035</v>
      </c>
      <c r="B237" s="215" t="s">
        <v>75</v>
      </c>
      <c r="C237" s="89" t="s">
        <v>148</v>
      </c>
    </row>
    <row r="238" spans="1:42" ht="30" customHeight="1">
      <c r="A238" s="422">
        <v>4036</v>
      </c>
      <c r="B238" s="215" t="s">
        <v>76</v>
      </c>
      <c r="C238" s="89" t="s">
        <v>699</v>
      </c>
    </row>
    <row r="239" spans="1:42" ht="30" customHeight="1">
      <c r="A239" s="422">
        <v>4037</v>
      </c>
      <c r="B239" s="215" t="s">
        <v>234</v>
      </c>
      <c r="C239" s="89" t="s">
        <v>233</v>
      </c>
    </row>
    <row r="240" spans="1:42" ht="30" customHeight="1">
      <c r="A240" s="422">
        <v>4038</v>
      </c>
      <c r="B240" s="215" t="s">
        <v>77</v>
      </c>
      <c r="C240" s="89" t="s">
        <v>396</v>
      </c>
    </row>
    <row r="241" spans="1:42" s="433" customFormat="1" ht="30" customHeight="1">
      <c r="A241" s="422">
        <v>4039</v>
      </c>
      <c r="B241" s="148" t="s">
        <v>218</v>
      </c>
      <c r="C241" s="240" t="s">
        <v>217</v>
      </c>
      <c r="D241" s="214"/>
      <c r="E241" s="214"/>
      <c r="F241" s="214"/>
      <c r="G241" s="214"/>
      <c r="H241" s="214"/>
      <c r="I241" s="214"/>
      <c r="J241" s="214"/>
      <c r="K241" s="214"/>
      <c r="L241" s="214"/>
      <c r="M241" s="214"/>
      <c r="N241" s="214"/>
      <c r="O241" s="214"/>
      <c r="P241" s="214"/>
      <c r="Q241" s="214"/>
      <c r="R241" s="214"/>
      <c r="S241" s="214"/>
      <c r="T241" s="214"/>
      <c r="U241" s="214"/>
      <c r="V241" s="214"/>
      <c r="W241" s="214"/>
      <c r="X241" s="214"/>
      <c r="Y241" s="214"/>
      <c r="Z241" s="214"/>
      <c r="AA241" s="214"/>
      <c r="AB241" s="214"/>
      <c r="AC241" s="214"/>
      <c r="AD241" s="214"/>
      <c r="AE241" s="214"/>
      <c r="AF241" s="214"/>
      <c r="AG241" s="214"/>
      <c r="AH241" s="214"/>
      <c r="AI241" s="214"/>
      <c r="AJ241" s="214"/>
      <c r="AK241" s="214"/>
      <c r="AL241" s="214"/>
      <c r="AM241" s="214"/>
      <c r="AN241" s="214"/>
      <c r="AO241" s="214"/>
      <c r="AP241" s="214"/>
    </row>
    <row r="242" spans="1:42" ht="30" customHeight="1">
      <c r="A242" s="422">
        <v>4040</v>
      </c>
      <c r="B242" s="215" t="s">
        <v>78</v>
      </c>
      <c r="C242" s="89" t="s">
        <v>700</v>
      </c>
    </row>
    <row r="243" spans="1:42" ht="30" customHeight="1">
      <c r="A243" s="422">
        <v>4041</v>
      </c>
      <c r="B243" s="215" t="s">
        <v>79</v>
      </c>
      <c r="C243" s="89" t="s">
        <v>701</v>
      </c>
    </row>
    <row r="244" spans="1:42" ht="30" customHeight="1">
      <c r="A244" s="422">
        <v>4042</v>
      </c>
      <c r="B244" s="215" t="s">
        <v>80</v>
      </c>
      <c r="C244" s="89" t="s">
        <v>418</v>
      </c>
    </row>
    <row r="245" spans="1:42" ht="30" customHeight="1">
      <c r="A245" s="422">
        <v>4043</v>
      </c>
      <c r="B245" s="215" t="s">
        <v>81</v>
      </c>
      <c r="C245" s="89" t="s">
        <v>702</v>
      </c>
    </row>
    <row r="246" spans="1:42" ht="30" customHeight="1">
      <c r="A246" s="422">
        <v>4044</v>
      </c>
      <c r="B246" s="215" t="s">
        <v>222</v>
      </c>
      <c r="C246" s="89" t="s">
        <v>219</v>
      </c>
    </row>
    <row r="247" spans="1:42" ht="30" customHeight="1">
      <c r="A247" s="422">
        <v>4045</v>
      </c>
      <c r="B247" s="215" t="s">
        <v>223</v>
      </c>
      <c r="C247" s="89" t="s">
        <v>220</v>
      </c>
    </row>
    <row r="248" spans="1:42" ht="30" customHeight="1">
      <c r="A248" s="422">
        <v>4046</v>
      </c>
      <c r="B248" s="215" t="s">
        <v>224</v>
      </c>
      <c r="C248" s="89" t="s">
        <v>221</v>
      </c>
    </row>
    <row r="249" spans="1:42" ht="38.25">
      <c r="A249" s="422">
        <v>4047</v>
      </c>
      <c r="B249" s="89" t="s">
        <v>243</v>
      </c>
      <c r="C249" s="89" t="s">
        <v>235</v>
      </c>
    </row>
    <row r="250" spans="1:42" ht="30" customHeight="1">
      <c r="A250" s="422">
        <v>4048</v>
      </c>
      <c r="B250" s="215" t="s">
        <v>226</v>
      </c>
      <c r="C250" s="89" t="s">
        <v>225</v>
      </c>
    </row>
    <row r="251" spans="1:42" ht="30" customHeight="1">
      <c r="A251" s="422">
        <v>4049</v>
      </c>
      <c r="B251" s="215" t="s">
        <v>228</v>
      </c>
      <c r="C251" s="89" t="s">
        <v>227</v>
      </c>
    </row>
    <row r="252" spans="1:42" ht="30" customHeight="1">
      <c r="A252" s="422">
        <v>4050</v>
      </c>
      <c r="B252" s="89" t="s">
        <v>229</v>
      </c>
      <c r="C252" s="89" t="s">
        <v>230</v>
      </c>
    </row>
    <row r="253" spans="1:42" ht="38.25">
      <c r="A253" s="422">
        <v>4051</v>
      </c>
      <c r="B253" s="89" t="s">
        <v>242</v>
      </c>
      <c r="C253" s="89" t="s">
        <v>231</v>
      </c>
    </row>
    <row r="254" spans="1:42" ht="30" customHeight="1">
      <c r="A254" s="422">
        <v>4052</v>
      </c>
      <c r="B254" s="89" t="s">
        <v>82</v>
      </c>
      <c r="C254" s="89" t="s">
        <v>149</v>
      </c>
    </row>
    <row r="255" spans="1:42" ht="30" customHeight="1">
      <c r="A255" s="425">
        <v>4053</v>
      </c>
      <c r="B255" s="89" t="s">
        <v>410</v>
      </c>
      <c r="C255" s="89" t="s">
        <v>409</v>
      </c>
    </row>
    <row r="256" spans="1:42" s="433" customFormat="1" ht="30" customHeight="1" thickBot="1">
      <c r="A256" s="434"/>
      <c r="B256" s="435"/>
      <c r="C256" s="435"/>
      <c r="D256" s="214"/>
      <c r="E256" s="214"/>
      <c r="F256" s="214"/>
      <c r="G256" s="214"/>
      <c r="H256" s="214"/>
      <c r="I256" s="214"/>
      <c r="J256" s="214"/>
      <c r="K256" s="214"/>
      <c r="L256" s="214"/>
      <c r="M256" s="214"/>
      <c r="N256" s="214"/>
      <c r="O256" s="214"/>
      <c r="P256" s="214"/>
      <c r="Q256" s="214"/>
      <c r="R256" s="214"/>
      <c r="S256" s="214"/>
      <c r="T256" s="214"/>
      <c r="U256" s="214"/>
      <c r="V256" s="214"/>
      <c r="W256" s="214"/>
      <c r="X256" s="214"/>
      <c r="Y256" s="214"/>
      <c r="Z256" s="214"/>
      <c r="AA256" s="214"/>
      <c r="AB256" s="214"/>
      <c r="AC256" s="214"/>
      <c r="AD256" s="214"/>
      <c r="AE256" s="214"/>
      <c r="AF256" s="214"/>
      <c r="AG256" s="214"/>
      <c r="AH256" s="214"/>
      <c r="AI256" s="214"/>
      <c r="AJ256" s="214"/>
      <c r="AK256" s="214"/>
      <c r="AL256" s="214"/>
      <c r="AM256" s="214"/>
      <c r="AN256" s="214"/>
      <c r="AO256" s="214"/>
      <c r="AP256" s="214"/>
    </row>
    <row r="257" spans="1:42" ht="30" customHeight="1" thickBot="1">
      <c r="A257" s="1451" t="s">
        <v>259</v>
      </c>
      <c r="B257" s="1452"/>
      <c r="C257" s="1452"/>
    </row>
    <row r="258" spans="1:42" ht="30" customHeight="1">
      <c r="A258" s="421">
        <v>5001</v>
      </c>
      <c r="B258" s="87" t="s">
        <v>259</v>
      </c>
      <c r="C258" s="87" t="s">
        <v>260</v>
      </c>
    </row>
    <row r="259" spans="1:42" ht="30" customHeight="1">
      <c r="A259" s="422">
        <v>5002</v>
      </c>
      <c r="B259" s="89" t="s">
        <v>248</v>
      </c>
      <c r="C259" s="89" t="s">
        <v>247</v>
      </c>
    </row>
    <row r="260" spans="1:42" ht="30" customHeight="1">
      <c r="A260" s="422">
        <v>5003</v>
      </c>
      <c r="B260" s="89" t="s">
        <v>17</v>
      </c>
      <c r="C260" s="89" t="s">
        <v>703</v>
      </c>
    </row>
    <row r="261" spans="1:42" ht="30" customHeight="1">
      <c r="A261" s="422">
        <v>5004</v>
      </c>
      <c r="B261" s="215" t="s">
        <v>290</v>
      </c>
      <c r="C261" s="89" t="s">
        <v>150</v>
      </c>
    </row>
    <row r="262" spans="1:42" ht="30" customHeight="1">
      <c r="A262" s="422">
        <v>5005</v>
      </c>
      <c r="B262" s="215" t="s">
        <v>19</v>
      </c>
      <c r="C262" s="89" t="s">
        <v>105</v>
      </c>
    </row>
    <row r="263" spans="1:42" ht="30" customHeight="1">
      <c r="A263" s="422">
        <v>5006</v>
      </c>
      <c r="B263" s="215" t="s">
        <v>5</v>
      </c>
      <c r="C263" s="89" t="s">
        <v>108</v>
      </c>
    </row>
    <row r="264" spans="1:42" ht="30" customHeight="1">
      <c r="A264" s="422">
        <v>5007</v>
      </c>
      <c r="B264" s="89" t="s">
        <v>249</v>
      </c>
      <c r="C264" s="89" t="s">
        <v>250</v>
      </c>
    </row>
    <row r="265" spans="1:42" s="433" customFormat="1" ht="30" customHeight="1">
      <c r="A265" s="422">
        <v>5008</v>
      </c>
      <c r="B265" s="89" t="s">
        <v>20</v>
      </c>
      <c r="C265" s="89" t="s">
        <v>153</v>
      </c>
      <c r="D265" s="214"/>
      <c r="E265" s="214"/>
      <c r="F265" s="214"/>
      <c r="G265" s="214"/>
      <c r="H265" s="214"/>
      <c r="I265" s="214"/>
      <c r="J265" s="214"/>
      <c r="K265" s="214"/>
      <c r="L265" s="214"/>
      <c r="M265" s="214"/>
      <c r="N265" s="214"/>
      <c r="O265" s="214"/>
      <c r="P265" s="214"/>
      <c r="Q265" s="214"/>
      <c r="R265" s="214"/>
      <c r="S265" s="214"/>
      <c r="T265" s="214"/>
      <c r="U265" s="214"/>
      <c r="V265" s="214"/>
      <c r="W265" s="214"/>
      <c r="X265" s="214"/>
      <c r="Y265" s="214"/>
      <c r="Z265" s="214"/>
      <c r="AA265" s="214"/>
      <c r="AB265" s="214"/>
      <c r="AC265" s="214"/>
      <c r="AD265" s="214"/>
      <c r="AE265" s="214"/>
      <c r="AF265" s="214"/>
      <c r="AG265" s="214"/>
      <c r="AH265" s="214"/>
      <c r="AI265" s="214"/>
      <c r="AJ265" s="214"/>
      <c r="AK265" s="214"/>
      <c r="AL265" s="214"/>
      <c r="AM265" s="214"/>
      <c r="AN265" s="214"/>
      <c r="AO265" s="214"/>
      <c r="AP265" s="214"/>
    </row>
    <row r="266" spans="1:42" ht="30" customHeight="1">
      <c r="A266" s="422">
        <v>5009</v>
      </c>
      <c r="B266" s="215" t="s">
        <v>21</v>
      </c>
      <c r="C266" s="89" t="s">
        <v>151</v>
      </c>
    </row>
    <row r="267" spans="1:42" s="436" customFormat="1" ht="30" customHeight="1">
      <c r="A267" s="422">
        <v>5010</v>
      </c>
      <c r="B267" s="148" t="s">
        <v>22</v>
      </c>
      <c r="C267" s="240" t="s">
        <v>703</v>
      </c>
      <c r="D267" s="214"/>
      <c r="E267" s="214"/>
      <c r="F267" s="214"/>
      <c r="G267" s="214"/>
      <c r="H267" s="214"/>
      <c r="I267" s="214"/>
      <c r="J267" s="214"/>
      <c r="K267" s="214"/>
      <c r="L267" s="214"/>
      <c r="M267" s="214"/>
      <c r="N267" s="214"/>
      <c r="O267" s="214"/>
      <c r="P267" s="214"/>
      <c r="Q267" s="214"/>
      <c r="R267" s="214"/>
      <c r="S267" s="214"/>
      <c r="T267" s="214"/>
      <c r="U267" s="214"/>
      <c r="V267" s="214"/>
      <c r="W267" s="214"/>
      <c r="X267" s="214"/>
      <c r="Y267" s="214"/>
      <c r="Z267" s="214"/>
      <c r="AA267" s="214"/>
      <c r="AB267" s="214"/>
      <c r="AC267" s="214"/>
      <c r="AD267" s="214"/>
      <c r="AE267" s="214"/>
      <c r="AF267" s="214"/>
      <c r="AG267" s="214"/>
      <c r="AH267" s="214"/>
      <c r="AI267" s="214"/>
      <c r="AJ267" s="214"/>
      <c r="AK267" s="214"/>
      <c r="AL267" s="214"/>
      <c r="AM267" s="214"/>
      <c r="AN267" s="214"/>
      <c r="AO267" s="214"/>
      <c r="AP267" s="214"/>
    </row>
    <row r="268" spans="1:42" ht="30" customHeight="1">
      <c r="A268" s="422">
        <v>5011</v>
      </c>
      <c r="B268" s="215" t="s">
        <v>23</v>
      </c>
      <c r="C268" s="89" t="s">
        <v>152</v>
      </c>
    </row>
    <row r="269" spans="1:42" ht="30" customHeight="1">
      <c r="A269" s="422">
        <v>5012</v>
      </c>
      <c r="B269" s="148" t="s">
        <v>267</v>
      </c>
      <c r="C269" s="89" t="s">
        <v>265</v>
      </c>
    </row>
    <row r="270" spans="1:42" ht="30" customHeight="1">
      <c r="A270" s="422">
        <v>5013</v>
      </c>
      <c r="B270" s="240" t="s">
        <v>268</v>
      </c>
      <c r="C270" s="89" t="s">
        <v>266</v>
      </c>
    </row>
    <row r="271" spans="1:42" ht="30" customHeight="1">
      <c r="A271" s="422">
        <v>5014</v>
      </c>
      <c r="B271" s="148" t="s">
        <v>24</v>
      </c>
      <c r="C271" s="89" t="s">
        <v>154</v>
      </c>
    </row>
    <row r="272" spans="1:42" s="433" customFormat="1" ht="30" customHeight="1">
      <c r="A272" s="422">
        <v>5015</v>
      </c>
      <c r="B272" s="148" t="s">
        <v>25</v>
      </c>
      <c r="C272" s="89" t="s">
        <v>155</v>
      </c>
      <c r="D272" s="214"/>
      <c r="E272" s="214"/>
      <c r="F272" s="214"/>
      <c r="G272" s="214"/>
      <c r="H272" s="214"/>
      <c r="I272" s="214"/>
      <c r="J272" s="214"/>
      <c r="K272" s="214"/>
      <c r="L272" s="214"/>
      <c r="M272" s="214"/>
      <c r="N272" s="214"/>
      <c r="O272" s="214"/>
      <c r="P272" s="214"/>
      <c r="Q272" s="214"/>
      <c r="R272" s="214"/>
      <c r="S272" s="214"/>
      <c r="T272" s="214"/>
      <c r="U272" s="214"/>
      <c r="V272" s="214"/>
      <c r="W272" s="214"/>
      <c r="X272" s="214"/>
      <c r="Y272" s="214"/>
      <c r="Z272" s="214"/>
      <c r="AA272" s="214"/>
      <c r="AB272" s="214"/>
      <c r="AC272" s="214"/>
      <c r="AD272" s="214"/>
      <c r="AE272" s="214"/>
      <c r="AF272" s="214"/>
      <c r="AG272" s="214"/>
      <c r="AH272" s="214"/>
      <c r="AI272" s="214"/>
      <c r="AJ272" s="214"/>
      <c r="AK272" s="214"/>
      <c r="AL272" s="214"/>
      <c r="AM272" s="214"/>
      <c r="AN272" s="214"/>
      <c r="AO272" s="214"/>
      <c r="AP272" s="214"/>
    </row>
    <row r="273" spans="1:3" ht="30" customHeight="1">
      <c r="A273" s="422">
        <v>5016</v>
      </c>
      <c r="B273" s="148" t="s">
        <v>562</v>
      </c>
      <c r="C273" s="240" t="s">
        <v>704</v>
      </c>
    </row>
    <row r="274" spans="1:3" ht="30" customHeight="1">
      <c r="A274" s="422">
        <v>5017</v>
      </c>
      <c r="B274" s="148" t="s">
        <v>563</v>
      </c>
      <c r="C274" s="240" t="s">
        <v>705</v>
      </c>
    </row>
    <row r="275" spans="1:3" ht="30" customHeight="1">
      <c r="A275" s="422">
        <v>5018</v>
      </c>
      <c r="B275" s="148" t="s">
        <v>564</v>
      </c>
      <c r="C275" s="240" t="s">
        <v>706</v>
      </c>
    </row>
    <row r="276" spans="1:3" ht="30" customHeight="1">
      <c r="A276" s="422">
        <v>5019</v>
      </c>
      <c r="B276" s="437" t="s">
        <v>565</v>
      </c>
      <c r="C276" s="438" t="s">
        <v>570</v>
      </c>
    </row>
    <row r="277" spans="1:3" ht="30" customHeight="1">
      <c r="A277" s="422">
        <v>5020</v>
      </c>
      <c r="B277" s="437" t="s">
        <v>566</v>
      </c>
      <c r="C277" s="438" t="s">
        <v>571</v>
      </c>
    </row>
    <row r="278" spans="1:3" ht="30" customHeight="1">
      <c r="A278" s="422">
        <v>5021</v>
      </c>
      <c r="B278" s="437" t="s">
        <v>567</v>
      </c>
      <c r="C278" s="438" t="s">
        <v>581</v>
      </c>
    </row>
    <row r="279" spans="1:3" ht="30" customHeight="1">
      <c r="A279" s="422">
        <v>5022</v>
      </c>
      <c r="B279" s="437" t="s">
        <v>572</v>
      </c>
      <c r="C279" s="438" t="s">
        <v>575</v>
      </c>
    </row>
    <row r="280" spans="1:3" ht="30" customHeight="1">
      <c r="A280" s="422">
        <v>5023</v>
      </c>
      <c r="B280" s="437" t="s">
        <v>573</v>
      </c>
      <c r="C280" s="438" t="s">
        <v>576</v>
      </c>
    </row>
    <row r="281" spans="1:3" ht="30" customHeight="1">
      <c r="A281" s="422">
        <v>5024</v>
      </c>
      <c r="B281" s="437" t="s">
        <v>574</v>
      </c>
      <c r="C281" s="438" t="s">
        <v>577</v>
      </c>
    </row>
    <row r="282" spans="1:3" ht="30" customHeight="1">
      <c r="A282" s="422">
        <v>5025</v>
      </c>
      <c r="B282" s="433" t="s">
        <v>403</v>
      </c>
      <c r="C282" s="456" t="s">
        <v>578</v>
      </c>
    </row>
    <row r="283" spans="1:3" ht="30" customHeight="1">
      <c r="A283" s="422">
        <v>5026</v>
      </c>
      <c r="B283" s="433" t="s">
        <v>404</v>
      </c>
      <c r="C283" s="456" t="s">
        <v>579</v>
      </c>
    </row>
    <row r="284" spans="1:3" ht="30" customHeight="1">
      <c r="A284" s="422">
        <v>5027</v>
      </c>
      <c r="B284" s="433" t="s">
        <v>568</v>
      </c>
      <c r="C284" s="456" t="s">
        <v>582</v>
      </c>
    </row>
    <row r="285" spans="1:3" ht="30" customHeight="1">
      <c r="A285" s="422">
        <v>5028</v>
      </c>
      <c r="B285" s="437" t="s">
        <v>569</v>
      </c>
      <c r="C285" s="427" t="s">
        <v>580</v>
      </c>
    </row>
    <row r="286" spans="1:3" ht="30" customHeight="1">
      <c r="A286" s="422">
        <v>5029</v>
      </c>
      <c r="B286" s="240" t="s">
        <v>289</v>
      </c>
      <c r="C286" s="240" t="s">
        <v>289</v>
      </c>
    </row>
    <row r="287" spans="1:3" ht="30" customHeight="1">
      <c r="A287" s="422">
        <v>5030</v>
      </c>
      <c r="B287" s="423" t="s">
        <v>546</v>
      </c>
      <c r="C287" s="427" t="s">
        <v>402</v>
      </c>
    </row>
    <row r="288" spans="1:3" ht="30" customHeight="1">
      <c r="A288" s="422">
        <v>5031</v>
      </c>
      <c r="B288" s="423" t="s">
        <v>547</v>
      </c>
      <c r="C288" s="427" t="s">
        <v>401</v>
      </c>
    </row>
    <row r="289" spans="1:3" ht="30" customHeight="1">
      <c r="A289" s="422">
        <v>5032</v>
      </c>
    </row>
    <row r="290" spans="1:3" ht="30" customHeight="1" thickBot="1">
      <c r="A290" s="430"/>
      <c r="B290" s="439"/>
      <c r="C290" s="440"/>
    </row>
    <row r="291" spans="1:3" ht="30" customHeight="1" thickBot="1">
      <c r="A291" s="1451" t="s">
        <v>52</v>
      </c>
      <c r="B291" s="1452"/>
      <c r="C291" s="1452"/>
    </row>
    <row r="292" spans="1:3" ht="30" customHeight="1">
      <c r="A292" s="421">
        <v>6001</v>
      </c>
      <c r="B292" s="87" t="s">
        <v>10</v>
      </c>
      <c r="C292" s="87" t="s">
        <v>158</v>
      </c>
    </row>
    <row r="293" spans="1:3" ht="30" customHeight="1">
      <c r="A293" s="422">
        <v>6002</v>
      </c>
      <c r="B293" s="215" t="s">
        <v>321</v>
      </c>
      <c r="C293" s="89" t="s">
        <v>398</v>
      </c>
    </row>
    <row r="294" spans="1:3" ht="30" customHeight="1">
      <c r="A294" s="422">
        <v>6003</v>
      </c>
      <c r="B294" s="89" t="s">
        <v>399</v>
      </c>
      <c r="C294" s="215" t="s">
        <v>400</v>
      </c>
    </row>
    <row r="295" spans="1:3" ht="30" customHeight="1">
      <c r="A295" s="422">
        <v>6004</v>
      </c>
      <c r="B295" s="89" t="s">
        <v>156</v>
      </c>
      <c r="C295" s="89" t="s">
        <v>159</v>
      </c>
    </row>
    <row r="296" spans="1:3" ht="30" customHeight="1">
      <c r="A296" s="422">
        <v>6005</v>
      </c>
      <c r="B296" s="89" t="s">
        <v>46</v>
      </c>
      <c r="C296" s="89" t="s">
        <v>160</v>
      </c>
    </row>
    <row r="297" spans="1:3" ht="30" customHeight="1">
      <c r="A297" s="422">
        <v>6006</v>
      </c>
      <c r="B297" s="240" t="s">
        <v>48</v>
      </c>
      <c r="C297" s="240" t="s">
        <v>405</v>
      </c>
    </row>
    <row r="298" spans="1:3" ht="30" customHeight="1">
      <c r="A298" s="422">
        <v>6007</v>
      </c>
      <c r="B298" s="89" t="s">
        <v>47</v>
      </c>
      <c r="C298" s="89" t="s">
        <v>161</v>
      </c>
    </row>
    <row r="299" spans="1:3" ht="30" customHeight="1">
      <c r="A299" s="422">
        <v>6008</v>
      </c>
      <c r="B299" s="89" t="s">
        <v>157</v>
      </c>
      <c r="C299" s="89" t="s">
        <v>157</v>
      </c>
    </row>
    <row r="300" spans="1:3" ht="30" customHeight="1">
      <c r="A300" s="422">
        <v>6009</v>
      </c>
      <c r="B300" s="89" t="s">
        <v>58</v>
      </c>
      <c r="C300" s="89" t="s">
        <v>163</v>
      </c>
    </row>
    <row r="301" spans="1:3" ht="30" customHeight="1">
      <c r="A301" s="422">
        <v>6010</v>
      </c>
      <c r="B301" s="89" t="s">
        <v>83</v>
      </c>
      <c r="C301" s="89" t="s">
        <v>164</v>
      </c>
    </row>
    <row r="302" spans="1:3" ht="30" customHeight="1">
      <c r="A302" s="422">
        <v>6011</v>
      </c>
      <c r="B302" s="89" t="s">
        <v>84</v>
      </c>
      <c r="C302" s="89" t="s">
        <v>165</v>
      </c>
    </row>
    <row r="303" spans="1:3" ht="30" customHeight="1">
      <c r="A303" s="422">
        <v>6012</v>
      </c>
      <c r="B303" s="215" t="s">
        <v>87</v>
      </c>
      <c r="C303" s="89" t="s">
        <v>167</v>
      </c>
    </row>
    <row r="304" spans="1:3" ht="30" customHeight="1">
      <c r="A304" s="422">
        <v>6013</v>
      </c>
      <c r="B304" s="215" t="s">
        <v>86</v>
      </c>
      <c r="C304" s="89" t="s">
        <v>166</v>
      </c>
    </row>
    <row r="305" spans="1:3" ht="30" customHeight="1">
      <c r="A305" s="422">
        <v>6014</v>
      </c>
      <c r="B305" s="215" t="s">
        <v>85</v>
      </c>
      <c r="C305" s="215" t="s">
        <v>162</v>
      </c>
    </row>
    <row r="306" spans="1:3" ht="30" customHeight="1">
      <c r="A306" s="422">
        <v>6015</v>
      </c>
      <c r="B306" s="89" t="s">
        <v>63</v>
      </c>
      <c r="C306" s="89" t="s">
        <v>137</v>
      </c>
    </row>
    <row r="307" spans="1:3" ht="30" customHeight="1" thickBot="1">
      <c r="A307" s="430"/>
      <c r="B307" s="439"/>
      <c r="C307" s="439"/>
    </row>
    <row r="308" spans="1:3" ht="30" customHeight="1" thickBot="1">
      <c r="A308" s="1451" t="s">
        <v>415</v>
      </c>
      <c r="B308" s="1452"/>
      <c r="C308" s="1452"/>
    </row>
    <row r="309" spans="1:3" ht="30" customHeight="1">
      <c r="A309" s="441">
        <v>7001</v>
      </c>
      <c r="B309" s="87" t="s">
        <v>387</v>
      </c>
      <c r="C309" s="87" t="s">
        <v>397</v>
      </c>
    </row>
    <row r="310" spans="1:3" ht="30" customHeight="1">
      <c r="A310" s="425">
        <v>7002</v>
      </c>
      <c r="B310" s="215" t="s">
        <v>98</v>
      </c>
      <c r="C310" s="89" t="s">
        <v>172</v>
      </c>
    </row>
    <row r="311" spans="1:3" ht="30" customHeight="1">
      <c r="A311" s="425">
        <v>7003</v>
      </c>
      <c r="B311" s="215" t="s">
        <v>28</v>
      </c>
      <c r="C311" s="89" t="s">
        <v>168</v>
      </c>
    </row>
    <row r="312" spans="1:3" ht="30" customHeight="1">
      <c r="A312" s="425">
        <v>7004</v>
      </c>
      <c r="B312" s="89" t="s">
        <v>392</v>
      </c>
      <c r="C312" s="89" t="s">
        <v>391</v>
      </c>
    </row>
    <row r="313" spans="1:3" ht="30" customHeight="1">
      <c r="A313" s="425">
        <v>7005</v>
      </c>
      <c r="B313" s="215" t="s">
        <v>29</v>
      </c>
      <c r="C313" s="89" t="s">
        <v>707</v>
      </c>
    </row>
    <row r="314" spans="1:3" ht="30" customHeight="1">
      <c r="A314" s="425">
        <v>7006</v>
      </c>
      <c r="B314" s="215" t="s">
        <v>30</v>
      </c>
      <c r="C314" s="89" t="s">
        <v>169</v>
      </c>
    </row>
    <row r="315" spans="1:3" ht="30" customHeight="1">
      <c r="A315" s="425">
        <v>7007</v>
      </c>
      <c r="B315" s="215" t="s">
        <v>31</v>
      </c>
      <c r="C315" s="89" t="s">
        <v>708</v>
      </c>
    </row>
    <row r="316" spans="1:3" ht="30" customHeight="1">
      <c r="A316" s="425">
        <v>7008</v>
      </c>
      <c r="B316" s="215" t="s">
        <v>1</v>
      </c>
      <c r="C316" s="89" t="s">
        <v>709</v>
      </c>
    </row>
    <row r="317" spans="1:3" ht="30" customHeight="1">
      <c r="A317" s="425">
        <v>7009</v>
      </c>
      <c r="B317" s="89" t="s">
        <v>326</v>
      </c>
      <c r="C317" s="89" t="s">
        <v>339</v>
      </c>
    </row>
    <row r="318" spans="1:3" ht="30" customHeight="1">
      <c r="A318" s="425">
        <v>7010</v>
      </c>
      <c r="B318" s="89" t="s">
        <v>367</v>
      </c>
      <c r="C318" s="89" t="s">
        <v>368</v>
      </c>
    </row>
    <row r="319" spans="1:3" ht="30" customHeight="1">
      <c r="A319" s="425">
        <v>7011</v>
      </c>
      <c r="B319" s="215" t="s">
        <v>32</v>
      </c>
      <c r="C319" s="89" t="s">
        <v>170</v>
      </c>
    </row>
    <row r="320" spans="1:3" ht="30" customHeight="1">
      <c r="A320" s="425">
        <v>7012</v>
      </c>
      <c r="B320" s="215" t="s">
        <v>33</v>
      </c>
      <c r="C320" s="89" t="s">
        <v>171</v>
      </c>
    </row>
    <row r="321" spans="1:42" ht="30" customHeight="1">
      <c r="A321" s="425">
        <v>7013</v>
      </c>
      <c r="B321" s="215" t="s">
        <v>34</v>
      </c>
      <c r="C321" s="89" t="s">
        <v>173</v>
      </c>
    </row>
    <row r="322" spans="1:42" ht="102">
      <c r="A322" s="425">
        <v>7014</v>
      </c>
      <c r="B322" s="89" t="s">
        <v>338</v>
      </c>
      <c r="C322" s="89" t="s">
        <v>394</v>
      </c>
    </row>
    <row r="323" spans="1:42" ht="30.75" customHeight="1">
      <c r="A323" s="425">
        <v>7015</v>
      </c>
      <c r="B323" s="215" t="s">
        <v>88</v>
      </c>
      <c r="C323" s="89" t="s">
        <v>174</v>
      </c>
    </row>
    <row r="324" spans="1:42" s="433" customFormat="1" ht="30" customHeight="1">
      <c r="A324" s="425">
        <v>7016</v>
      </c>
      <c r="B324" s="89" t="s">
        <v>327</v>
      </c>
      <c r="C324" s="89" t="s">
        <v>175</v>
      </c>
      <c r="D324" s="214"/>
      <c r="E324" s="214"/>
      <c r="F324" s="214"/>
      <c r="G324" s="214"/>
      <c r="H324" s="214"/>
      <c r="I324" s="214"/>
      <c r="J324" s="214"/>
      <c r="K324" s="214"/>
      <c r="L324" s="214"/>
      <c r="M324" s="214"/>
      <c r="N324" s="214"/>
      <c r="O324" s="214"/>
      <c r="P324" s="214"/>
      <c r="Q324" s="214"/>
      <c r="R324" s="214"/>
      <c r="S324" s="214"/>
      <c r="T324" s="214"/>
      <c r="U324" s="214"/>
      <c r="V324" s="214"/>
      <c r="W324" s="214"/>
      <c r="X324" s="214"/>
      <c r="Y324" s="214"/>
      <c r="Z324" s="214"/>
      <c r="AA324" s="214"/>
      <c r="AB324" s="214"/>
      <c r="AC324" s="214"/>
      <c r="AD324" s="214"/>
      <c r="AE324" s="214"/>
      <c r="AF324" s="214"/>
      <c r="AG324" s="214"/>
      <c r="AH324" s="214"/>
      <c r="AI324" s="214"/>
      <c r="AJ324" s="214"/>
      <c r="AK324" s="214"/>
      <c r="AL324" s="214"/>
      <c r="AM324" s="214"/>
      <c r="AN324" s="214"/>
      <c r="AO324" s="214"/>
      <c r="AP324" s="214"/>
    </row>
    <row r="325" spans="1:42" ht="30" customHeight="1">
      <c r="A325" s="425">
        <v>7017</v>
      </c>
      <c r="B325" s="89" t="s">
        <v>328</v>
      </c>
      <c r="C325" s="89" t="s">
        <v>176</v>
      </c>
    </row>
    <row r="326" spans="1:42" ht="30" customHeight="1">
      <c r="A326" s="425">
        <v>7018</v>
      </c>
      <c r="B326" s="89" t="s">
        <v>329</v>
      </c>
      <c r="C326" s="89" t="s">
        <v>177</v>
      </c>
    </row>
    <row r="327" spans="1:42" ht="30" customHeight="1">
      <c r="A327" s="425">
        <v>7019</v>
      </c>
      <c r="B327" s="215" t="s">
        <v>93</v>
      </c>
      <c r="C327" s="89" t="s">
        <v>178</v>
      </c>
    </row>
    <row r="328" spans="1:42" ht="30" customHeight="1">
      <c r="A328" s="425">
        <v>7020</v>
      </c>
      <c r="B328" s="89" t="s">
        <v>330</v>
      </c>
      <c r="C328" s="89" t="s">
        <v>710</v>
      </c>
    </row>
    <row r="329" spans="1:42" ht="30" customHeight="1">
      <c r="A329" s="425">
        <v>7021</v>
      </c>
      <c r="B329" s="215" t="s">
        <v>35</v>
      </c>
      <c r="C329" s="89" t="s">
        <v>130</v>
      </c>
    </row>
    <row r="330" spans="1:42" ht="30" customHeight="1">
      <c r="A330" s="425">
        <v>7022</v>
      </c>
      <c r="B330" s="215" t="s">
        <v>94</v>
      </c>
      <c r="C330" s="89" t="s">
        <v>179</v>
      </c>
    </row>
    <row r="331" spans="1:42" ht="30" customHeight="1">
      <c r="A331" s="425">
        <v>7023</v>
      </c>
      <c r="B331" s="215" t="s">
        <v>95</v>
      </c>
      <c r="C331" s="89" t="s">
        <v>180</v>
      </c>
    </row>
    <row r="332" spans="1:42" ht="30" customHeight="1">
      <c r="A332" s="425">
        <v>7024</v>
      </c>
      <c r="B332" s="215" t="s">
        <v>92</v>
      </c>
      <c r="C332" s="89" t="s">
        <v>92</v>
      </c>
    </row>
    <row r="333" spans="1:42" ht="30" customHeight="1">
      <c r="A333" s="425">
        <v>7025</v>
      </c>
      <c r="B333" s="89" t="s">
        <v>331</v>
      </c>
      <c r="C333" s="89" t="s">
        <v>181</v>
      </c>
    </row>
    <row r="334" spans="1:42" ht="30" customHeight="1">
      <c r="A334" s="425">
        <v>7026</v>
      </c>
      <c r="B334" s="89" t="s">
        <v>332</v>
      </c>
      <c r="C334" s="89" t="s">
        <v>182</v>
      </c>
    </row>
    <row r="335" spans="1:42" ht="30" customHeight="1">
      <c r="A335" s="425">
        <v>7027</v>
      </c>
      <c r="B335" s="215" t="s">
        <v>96</v>
      </c>
      <c r="C335" s="89" t="s">
        <v>96</v>
      </c>
    </row>
    <row r="336" spans="1:42" ht="30" customHeight="1">
      <c r="A336" s="425">
        <v>7028</v>
      </c>
      <c r="B336" s="215" t="s">
        <v>185</v>
      </c>
      <c r="C336" s="89" t="s">
        <v>183</v>
      </c>
    </row>
    <row r="337" spans="1:3" ht="30" customHeight="1">
      <c r="A337" s="425">
        <v>7029</v>
      </c>
      <c r="B337" s="215" t="s">
        <v>97</v>
      </c>
      <c r="C337" s="89" t="s">
        <v>184</v>
      </c>
    </row>
    <row r="338" spans="1:3" ht="30" customHeight="1">
      <c r="A338" s="425">
        <v>7030</v>
      </c>
      <c r="B338" s="240" t="s">
        <v>15</v>
      </c>
      <c r="C338" s="240" t="s">
        <v>194</v>
      </c>
    </row>
    <row r="339" spans="1:3" ht="30" customHeight="1">
      <c r="A339" s="425">
        <v>7031</v>
      </c>
      <c r="B339" s="89" t="s">
        <v>156</v>
      </c>
      <c r="C339" s="89" t="s">
        <v>159</v>
      </c>
    </row>
    <row r="340" spans="1:3" ht="30" customHeight="1">
      <c r="A340" s="425">
        <v>7032</v>
      </c>
      <c r="B340" s="89" t="s">
        <v>46</v>
      </c>
      <c r="C340" s="89" t="s">
        <v>160</v>
      </c>
    </row>
    <row r="341" spans="1:3" ht="30" customHeight="1">
      <c r="A341" s="425">
        <v>7033</v>
      </c>
      <c r="B341" s="240" t="s">
        <v>48</v>
      </c>
      <c r="C341" s="240" t="s">
        <v>405</v>
      </c>
    </row>
    <row r="342" spans="1:3" ht="30" customHeight="1">
      <c r="A342" s="425">
        <v>7034</v>
      </c>
      <c r="B342" s="89" t="s">
        <v>47</v>
      </c>
      <c r="C342" s="89" t="s">
        <v>161</v>
      </c>
    </row>
    <row r="343" spans="1:3" ht="30" customHeight="1">
      <c r="A343" s="425">
        <v>7035</v>
      </c>
      <c r="B343" s="89" t="s">
        <v>157</v>
      </c>
      <c r="C343" s="89" t="s">
        <v>157</v>
      </c>
    </row>
    <row r="344" spans="1:3" ht="30" customHeight="1">
      <c r="A344" s="425">
        <v>7036</v>
      </c>
      <c r="B344" s="240"/>
      <c r="C344" s="240"/>
    </row>
    <row r="345" spans="1:3" ht="30" customHeight="1" thickBot="1">
      <c r="A345" s="430"/>
      <c r="B345" s="439"/>
      <c r="C345" s="439"/>
    </row>
    <row r="346" spans="1:3" ht="30" customHeight="1" thickBot="1">
      <c r="A346" s="1451" t="s">
        <v>174</v>
      </c>
      <c r="B346" s="1452"/>
      <c r="C346" s="1452"/>
    </row>
    <row r="347" spans="1:3" ht="30.75" customHeight="1">
      <c r="A347" s="421">
        <v>8001</v>
      </c>
      <c r="B347" s="87" t="s">
        <v>58</v>
      </c>
      <c r="C347" s="87" t="s">
        <v>163</v>
      </c>
    </row>
    <row r="348" spans="1:3" ht="30" customHeight="1">
      <c r="A348" s="422">
        <v>8002</v>
      </c>
      <c r="B348" s="215" t="s">
        <v>28</v>
      </c>
      <c r="C348" s="89" t="s">
        <v>168</v>
      </c>
    </row>
    <row r="349" spans="1:3" ht="30" customHeight="1">
      <c r="A349" s="422">
        <v>8003</v>
      </c>
      <c r="B349" s="215" t="s">
        <v>34</v>
      </c>
      <c r="C349" s="89" t="s">
        <v>173</v>
      </c>
    </row>
    <row r="350" spans="1:3" ht="30" customHeight="1">
      <c r="A350" s="422">
        <v>8004</v>
      </c>
      <c r="B350" s="215" t="s">
        <v>237</v>
      </c>
      <c r="C350" s="89" t="s">
        <v>236</v>
      </c>
    </row>
    <row r="351" spans="1:3" ht="30" customHeight="1">
      <c r="A351" s="422">
        <v>8005</v>
      </c>
      <c r="B351" s="215" t="s">
        <v>99</v>
      </c>
      <c r="C351" s="89" t="s">
        <v>186</v>
      </c>
    </row>
    <row r="352" spans="1:3" ht="30" customHeight="1">
      <c r="A352" s="422">
        <v>8006</v>
      </c>
      <c r="B352" s="215" t="s">
        <v>102</v>
      </c>
      <c r="C352" s="89" t="s">
        <v>188</v>
      </c>
    </row>
    <row r="353" spans="1:3" ht="30" customHeight="1">
      <c r="A353" s="422">
        <v>8007</v>
      </c>
      <c r="B353" s="215" t="s">
        <v>187</v>
      </c>
      <c r="C353" s="89" t="s">
        <v>190</v>
      </c>
    </row>
    <row r="354" spans="1:3" ht="38.25">
      <c r="A354" s="422">
        <v>8008</v>
      </c>
      <c r="B354" s="89" t="s">
        <v>379</v>
      </c>
      <c r="C354" s="89" t="s">
        <v>711</v>
      </c>
    </row>
    <row r="355" spans="1:3" ht="30" customHeight="1">
      <c r="A355" s="422">
        <v>8009</v>
      </c>
      <c r="B355" s="89" t="s">
        <v>380</v>
      </c>
      <c r="C355" s="89" t="s">
        <v>377</v>
      </c>
    </row>
    <row r="356" spans="1:3" ht="38.25">
      <c r="A356" s="422">
        <v>8010</v>
      </c>
      <c r="B356" s="89" t="s">
        <v>381</v>
      </c>
      <c r="C356" s="89" t="s">
        <v>378</v>
      </c>
    </row>
    <row r="357" spans="1:3" ht="30" customHeight="1" thickBot="1">
      <c r="A357" s="430"/>
      <c r="B357" s="439"/>
      <c r="C357" s="439"/>
    </row>
    <row r="358" spans="1:3" ht="30" customHeight="1" thickBot="1">
      <c r="A358" s="1451" t="s">
        <v>337</v>
      </c>
      <c r="B358" s="1452"/>
      <c r="C358" s="1452"/>
    </row>
    <row r="359" spans="1:3" ht="30" customHeight="1">
      <c r="A359" s="421">
        <v>9001</v>
      </c>
      <c r="B359" s="432" t="s">
        <v>264</v>
      </c>
      <c r="C359" s="87" t="s">
        <v>263</v>
      </c>
    </row>
    <row r="360" spans="1:3" ht="30.75" customHeight="1">
      <c r="A360" s="422">
        <v>9002</v>
      </c>
      <c r="B360" s="215" t="s">
        <v>240</v>
      </c>
      <c r="C360" s="89" t="s">
        <v>241</v>
      </c>
    </row>
    <row r="361" spans="1:3" ht="30" customHeight="1">
      <c r="A361" s="422">
        <v>9003</v>
      </c>
      <c r="B361" s="215" t="s">
        <v>89</v>
      </c>
      <c r="C361" s="89" t="s">
        <v>189</v>
      </c>
    </row>
    <row r="362" spans="1:3" ht="30" customHeight="1">
      <c r="A362" s="422">
        <v>9004</v>
      </c>
      <c r="B362" s="215" t="s">
        <v>90</v>
      </c>
      <c r="C362" s="89" t="s">
        <v>191</v>
      </c>
    </row>
    <row r="363" spans="1:3" ht="30" customHeight="1">
      <c r="A363" s="422">
        <v>9005</v>
      </c>
      <c r="B363" s="427" t="s">
        <v>45</v>
      </c>
      <c r="C363" s="427" t="s">
        <v>109</v>
      </c>
    </row>
    <row r="364" spans="1:3" ht="30" customHeight="1">
      <c r="A364" s="422">
        <v>9006</v>
      </c>
      <c r="B364" s="427" t="s">
        <v>44</v>
      </c>
      <c r="C364" s="427" t="s">
        <v>110</v>
      </c>
    </row>
    <row r="365" spans="1:3" ht="30" customHeight="1">
      <c r="A365" s="422">
        <v>9007</v>
      </c>
      <c r="B365" s="427" t="s">
        <v>549</v>
      </c>
      <c r="C365" s="427" t="s">
        <v>712</v>
      </c>
    </row>
    <row r="366" spans="1:3" ht="30" customHeight="1" thickBot="1">
      <c r="A366" s="430"/>
      <c r="B366" s="439"/>
      <c r="C366" s="439"/>
    </row>
    <row r="367" spans="1:3" ht="30" customHeight="1" thickBot="1">
      <c r="A367" s="1451" t="s">
        <v>341</v>
      </c>
      <c r="B367" s="1452"/>
      <c r="C367" s="1452"/>
    </row>
    <row r="368" spans="1:3" ht="30" customHeight="1">
      <c r="A368" s="442">
        <v>10000</v>
      </c>
      <c r="B368" s="148" t="s">
        <v>341</v>
      </c>
      <c r="C368" s="89" t="s">
        <v>341</v>
      </c>
    </row>
    <row r="369" spans="1:6" ht="30" customHeight="1">
      <c r="A369" s="442">
        <v>10001</v>
      </c>
      <c r="B369" s="89" t="s">
        <v>37</v>
      </c>
      <c r="C369" s="89" t="s">
        <v>121</v>
      </c>
    </row>
    <row r="370" spans="1:6" ht="30" customHeight="1">
      <c r="A370" s="442">
        <v>10002</v>
      </c>
      <c r="B370" s="148" t="s">
        <v>362</v>
      </c>
      <c r="C370" s="89" t="s">
        <v>346</v>
      </c>
    </row>
    <row r="371" spans="1:6" ht="30" customHeight="1">
      <c r="A371" s="442">
        <v>10003</v>
      </c>
      <c r="B371" s="148" t="s">
        <v>361</v>
      </c>
      <c r="C371" s="89" t="s">
        <v>347</v>
      </c>
    </row>
    <row r="372" spans="1:6" ht="30" customHeight="1">
      <c r="A372" s="442">
        <v>10004</v>
      </c>
      <c r="B372" s="148" t="s">
        <v>364</v>
      </c>
      <c r="C372" s="89" t="s">
        <v>348</v>
      </c>
    </row>
    <row r="373" spans="1:6" ht="30" customHeight="1">
      <c r="A373" s="442">
        <v>10005</v>
      </c>
      <c r="B373" s="148" t="s">
        <v>366</v>
      </c>
      <c r="C373" s="89" t="s">
        <v>350</v>
      </c>
    </row>
    <row r="374" spans="1:6" ht="30" customHeight="1">
      <c r="A374" s="442">
        <v>10006</v>
      </c>
      <c r="B374" s="148" t="s">
        <v>419</v>
      </c>
      <c r="C374" s="89" t="s">
        <v>420</v>
      </c>
      <c r="E374" s="1454"/>
      <c r="F374" s="1454"/>
    </row>
    <row r="375" spans="1:6" ht="30" customHeight="1">
      <c r="A375" s="442">
        <v>10007</v>
      </c>
      <c r="B375" s="148" t="s">
        <v>421</v>
      </c>
      <c r="C375" s="89" t="s">
        <v>422</v>
      </c>
      <c r="E375" s="1453"/>
      <c r="F375" s="1453"/>
    </row>
    <row r="376" spans="1:6" ht="30" customHeight="1">
      <c r="A376" s="442">
        <v>10008</v>
      </c>
      <c r="B376" s="148" t="s">
        <v>365</v>
      </c>
      <c r="C376" s="89" t="s">
        <v>353</v>
      </c>
    </row>
    <row r="377" spans="1:6" ht="30" customHeight="1">
      <c r="A377" s="442">
        <v>10009</v>
      </c>
      <c r="B377" s="148" t="s">
        <v>364</v>
      </c>
      <c r="C377" s="89" t="s">
        <v>348</v>
      </c>
    </row>
    <row r="378" spans="1:6" ht="30" customHeight="1">
      <c r="A378" s="442">
        <v>10010</v>
      </c>
      <c r="B378" s="148" t="s">
        <v>363</v>
      </c>
      <c r="C378" s="89" t="s">
        <v>355</v>
      </c>
    </row>
    <row r="379" spans="1:6" ht="30" customHeight="1">
      <c r="A379" s="442">
        <v>10011</v>
      </c>
      <c r="B379" s="215" t="s">
        <v>382</v>
      </c>
      <c r="C379" s="89" t="s">
        <v>384</v>
      </c>
    </row>
    <row r="380" spans="1:6" ht="30" customHeight="1">
      <c r="A380" s="442">
        <v>10012</v>
      </c>
      <c r="B380" s="215" t="s">
        <v>383</v>
      </c>
      <c r="C380" s="89" t="s">
        <v>385</v>
      </c>
    </row>
    <row r="381" spans="1:6" ht="30.75" customHeight="1">
      <c r="A381" s="442">
        <v>10013</v>
      </c>
      <c r="B381" s="215" t="s">
        <v>356</v>
      </c>
      <c r="C381" s="89" t="s">
        <v>358</v>
      </c>
    </row>
    <row r="382" spans="1:6" ht="30.75" customHeight="1">
      <c r="A382" s="442">
        <v>10014</v>
      </c>
      <c r="B382" s="89" t="s">
        <v>554</v>
      </c>
      <c r="C382" s="89" t="s">
        <v>555</v>
      </c>
    </row>
    <row r="383" spans="1:6" ht="30.75" customHeight="1">
      <c r="A383" s="442">
        <v>10015</v>
      </c>
      <c r="B383" s="89" t="s">
        <v>354</v>
      </c>
      <c r="C383" s="89" t="s">
        <v>357</v>
      </c>
    </row>
    <row r="384" spans="1:6" ht="30.75" customHeight="1">
      <c r="A384" s="442">
        <v>10016</v>
      </c>
      <c r="B384" s="148" t="s">
        <v>27</v>
      </c>
      <c r="C384" s="240" t="s">
        <v>119</v>
      </c>
    </row>
    <row r="385" spans="1:3" ht="30" customHeight="1">
      <c r="A385" s="442">
        <v>10017</v>
      </c>
      <c r="B385" s="240" t="s">
        <v>556</v>
      </c>
      <c r="C385" s="240" t="s">
        <v>557</v>
      </c>
    </row>
    <row r="386" spans="1:3" ht="33.75" customHeight="1">
      <c r="A386" s="442">
        <v>10018</v>
      </c>
      <c r="B386" s="240" t="s">
        <v>558</v>
      </c>
      <c r="C386" s="240" t="s">
        <v>559</v>
      </c>
    </row>
    <row r="387" spans="1:3" ht="33.75" customHeight="1">
      <c r="A387" s="442">
        <v>10019</v>
      </c>
      <c r="B387" s="148" t="s">
        <v>508</v>
      </c>
      <c r="C387" s="240" t="s">
        <v>509</v>
      </c>
    </row>
    <row r="388" spans="1:3" ht="33.75" customHeight="1">
      <c r="A388" s="442">
        <v>10020</v>
      </c>
      <c r="B388" s="148" t="s">
        <v>127</v>
      </c>
      <c r="C388" s="240" t="s">
        <v>129</v>
      </c>
    </row>
    <row r="389" spans="1:3" ht="38.25">
      <c r="A389" s="442">
        <v>10021</v>
      </c>
      <c r="B389" s="148" t="s">
        <v>517</v>
      </c>
      <c r="C389" s="240" t="s">
        <v>518</v>
      </c>
    </row>
    <row r="390" spans="1:3" ht="25.5">
      <c r="A390" s="442">
        <v>10022</v>
      </c>
      <c r="B390" s="148" t="s">
        <v>519</v>
      </c>
      <c r="C390" s="240" t="s">
        <v>520</v>
      </c>
    </row>
    <row r="391" spans="1:3" ht="33.75" customHeight="1">
      <c r="A391" s="442">
        <v>10023</v>
      </c>
      <c r="B391" s="89" t="s">
        <v>360</v>
      </c>
      <c r="C391" s="89" t="s">
        <v>359</v>
      </c>
    </row>
    <row r="392" spans="1:3" ht="33.75" customHeight="1">
      <c r="A392" s="442">
        <v>10024</v>
      </c>
      <c r="B392" s="89" t="s">
        <v>812</v>
      </c>
      <c r="C392" s="89" t="s">
        <v>351</v>
      </c>
    </row>
    <row r="393" spans="1:3" ht="33.75" customHeight="1">
      <c r="A393" s="442">
        <v>10025</v>
      </c>
      <c r="B393" s="89" t="s">
        <v>813</v>
      </c>
      <c r="C393" s="89" t="s">
        <v>345</v>
      </c>
    </row>
    <row r="394" spans="1:3" ht="33.75" customHeight="1">
      <c r="A394" s="442">
        <v>10026</v>
      </c>
      <c r="B394" s="89" t="s">
        <v>814</v>
      </c>
      <c r="C394" s="89" t="s">
        <v>352</v>
      </c>
    </row>
    <row r="395" spans="1:3" ht="33.75" customHeight="1">
      <c r="A395" s="442">
        <v>10027</v>
      </c>
      <c r="B395" s="89" t="s">
        <v>441</v>
      </c>
      <c r="C395" s="89" t="s">
        <v>441</v>
      </c>
    </row>
    <row r="396" spans="1:3" ht="30" customHeight="1" thickBot="1">
      <c r="A396" s="426"/>
      <c r="B396" s="89"/>
      <c r="C396" s="89"/>
    </row>
    <row r="397" spans="1:3" ht="30" customHeight="1" thickBot="1">
      <c r="A397" s="1451" t="s">
        <v>553</v>
      </c>
      <c r="B397" s="1452"/>
      <c r="C397" s="1452"/>
    </row>
    <row r="398" spans="1:3" ht="30" customHeight="1">
      <c r="A398" s="421" t="s">
        <v>560</v>
      </c>
      <c r="B398" s="432"/>
      <c r="C398" s="432"/>
    </row>
    <row r="399" spans="1:3" ht="30" customHeight="1" thickBot="1">
      <c r="A399" s="430"/>
      <c r="B399" s="439"/>
      <c r="C399" s="439"/>
    </row>
    <row r="400" spans="1:3" ht="30" customHeight="1" thickBot="1">
      <c r="A400" s="1451" t="s">
        <v>291</v>
      </c>
      <c r="B400" s="1452"/>
      <c r="C400" s="1452"/>
    </row>
    <row r="401" spans="1:3" ht="30" customHeight="1">
      <c r="A401" s="421">
        <v>12001</v>
      </c>
      <c r="B401" s="87" t="s">
        <v>292</v>
      </c>
      <c r="C401" s="432" t="s">
        <v>269</v>
      </c>
    </row>
    <row r="402" spans="1:3" ht="30" customHeight="1">
      <c r="A402" s="422">
        <v>12002</v>
      </c>
      <c r="B402" s="89" t="s">
        <v>293</v>
      </c>
      <c r="C402" s="215" t="s">
        <v>270</v>
      </c>
    </row>
    <row r="403" spans="1:3" ht="30" customHeight="1">
      <c r="A403" s="443">
        <v>12003</v>
      </c>
      <c r="B403" s="89" t="s">
        <v>294</v>
      </c>
      <c r="C403" s="215" t="s">
        <v>271</v>
      </c>
    </row>
    <row r="404" spans="1:3" ht="30" customHeight="1">
      <c r="A404" s="443">
        <v>12004</v>
      </c>
      <c r="B404" s="89" t="s">
        <v>295</v>
      </c>
      <c r="C404" s="215" t="s">
        <v>272</v>
      </c>
    </row>
    <row r="405" spans="1:3" ht="30" customHeight="1">
      <c r="A405" s="422">
        <v>12005</v>
      </c>
      <c r="B405" s="89" t="s">
        <v>296</v>
      </c>
      <c r="C405" s="215" t="s">
        <v>41</v>
      </c>
    </row>
    <row r="406" spans="1:3" ht="30" customHeight="1">
      <c r="A406" s="422">
        <v>12006</v>
      </c>
      <c r="B406" s="89" t="s">
        <v>297</v>
      </c>
      <c r="C406" s="215" t="s">
        <v>273</v>
      </c>
    </row>
    <row r="407" spans="1:3" ht="30" customHeight="1">
      <c r="A407" s="422">
        <v>12007</v>
      </c>
      <c r="B407" s="89" t="s">
        <v>298</v>
      </c>
      <c r="C407" s="215" t="s">
        <v>275</v>
      </c>
    </row>
    <row r="408" spans="1:3" ht="30" customHeight="1">
      <c r="A408" s="422">
        <v>12008</v>
      </c>
      <c r="B408" s="89" t="s">
        <v>299</v>
      </c>
      <c r="C408" s="215" t="s">
        <v>277</v>
      </c>
    </row>
    <row r="409" spans="1:3" ht="30" customHeight="1">
      <c r="A409" s="422">
        <v>12009</v>
      </c>
      <c r="B409" s="89" t="s">
        <v>300</v>
      </c>
      <c r="C409" s="215" t="s">
        <v>279</v>
      </c>
    </row>
    <row r="410" spans="1:3" ht="30" customHeight="1">
      <c r="A410" s="422">
        <v>12010</v>
      </c>
      <c r="B410" s="89" t="s">
        <v>301</v>
      </c>
      <c r="C410" s="215" t="s">
        <v>281</v>
      </c>
    </row>
    <row r="411" spans="1:3" ht="30" customHeight="1">
      <c r="A411" s="422">
        <v>12011</v>
      </c>
      <c r="B411" s="89" t="s">
        <v>302</v>
      </c>
      <c r="C411" s="215" t="s">
        <v>274</v>
      </c>
    </row>
    <row r="412" spans="1:3" ht="30" customHeight="1">
      <c r="A412" s="422">
        <v>12012</v>
      </c>
      <c r="B412" s="89" t="s">
        <v>303</v>
      </c>
      <c r="C412" s="215" t="s">
        <v>276</v>
      </c>
    </row>
    <row r="413" spans="1:3" ht="30" customHeight="1">
      <c r="A413" s="422">
        <v>12013</v>
      </c>
      <c r="B413" s="89" t="s">
        <v>304</v>
      </c>
      <c r="C413" s="215" t="s">
        <v>278</v>
      </c>
    </row>
    <row r="414" spans="1:3" ht="30" customHeight="1">
      <c r="A414" s="422">
        <v>12014</v>
      </c>
      <c r="B414" s="89" t="s">
        <v>305</v>
      </c>
      <c r="C414" s="215" t="s">
        <v>280</v>
      </c>
    </row>
    <row r="415" spans="1:3" ht="30" customHeight="1">
      <c r="A415" s="422">
        <v>12015</v>
      </c>
      <c r="B415" s="89" t="s">
        <v>306</v>
      </c>
      <c r="C415" s="215" t="s">
        <v>282</v>
      </c>
    </row>
    <row r="416" spans="1:3" ht="30" customHeight="1">
      <c r="A416" s="422">
        <v>12016</v>
      </c>
      <c r="B416" s="89" t="s">
        <v>307</v>
      </c>
      <c r="C416" s="215" t="s">
        <v>283</v>
      </c>
    </row>
    <row r="417" spans="1:3" ht="30" customHeight="1">
      <c r="A417" s="422">
        <v>12017</v>
      </c>
      <c r="B417" s="89" t="s">
        <v>308</v>
      </c>
      <c r="C417" s="215" t="s">
        <v>284</v>
      </c>
    </row>
    <row r="418" spans="1:3" ht="30" customHeight="1">
      <c r="A418" s="422">
        <v>12018</v>
      </c>
      <c r="B418" s="89" t="s">
        <v>309</v>
      </c>
      <c r="C418" s="215" t="s">
        <v>285</v>
      </c>
    </row>
    <row r="419" spans="1:3" ht="30" customHeight="1">
      <c r="A419" s="422">
        <v>12019</v>
      </c>
      <c r="B419" s="89" t="s">
        <v>310</v>
      </c>
      <c r="C419" s="215" t="s">
        <v>286</v>
      </c>
    </row>
    <row r="420" spans="1:3" ht="30" customHeight="1">
      <c r="A420" s="422">
        <v>12020</v>
      </c>
      <c r="B420" s="89" t="s">
        <v>311</v>
      </c>
      <c r="C420" s="215" t="s">
        <v>287</v>
      </c>
    </row>
    <row r="421" spans="1:3" ht="30" customHeight="1">
      <c r="A421" s="422">
        <v>12021</v>
      </c>
      <c r="B421" s="89" t="s">
        <v>238</v>
      </c>
      <c r="C421" s="215" t="s">
        <v>41</v>
      </c>
    </row>
    <row r="422" spans="1:3" ht="30" customHeight="1">
      <c r="A422" s="422">
        <v>12022</v>
      </c>
      <c r="B422" s="89" t="s">
        <v>312</v>
      </c>
      <c r="C422" s="215" t="s">
        <v>288</v>
      </c>
    </row>
    <row r="423" spans="1:3" ht="30" customHeight="1">
      <c r="A423" s="426">
        <v>12023</v>
      </c>
      <c r="B423" s="89"/>
      <c r="C423" s="215"/>
    </row>
    <row r="424" spans="1:3" ht="30" customHeight="1" thickBot="1">
      <c r="A424" s="430"/>
      <c r="B424" s="439"/>
      <c r="C424" s="439"/>
    </row>
    <row r="425" spans="1:3" ht="30" customHeight="1" thickBot="1">
      <c r="A425" s="1451" t="s">
        <v>323</v>
      </c>
      <c r="B425" s="1452"/>
      <c r="C425" s="1452"/>
    </row>
    <row r="426" spans="1:3" ht="30" customHeight="1">
      <c r="A426" s="422">
        <v>13000</v>
      </c>
      <c r="B426" s="89" t="s">
        <v>322</v>
      </c>
      <c r="C426" s="215" t="s">
        <v>323</v>
      </c>
    </row>
    <row r="427" spans="1:3" ht="30" customHeight="1">
      <c r="A427" s="422">
        <v>13001</v>
      </c>
      <c r="B427" s="89" t="s">
        <v>244</v>
      </c>
      <c r="C427" s="89" t="s">
        <v>244</v>
      </c>
    </row>
    <row r="428" spans="1:3" ht="229.5">
      <c r="A428" s="422">
        <v>13002</v>
      </c>
      <c r="B428" s="89" t="s">
        <v>631</v>
      </c>
      <c r="C428" s="89" t="s">
        <v>713</v>
      </c>
    </row>
    <row r="429" spans="1:3" ht="30" customHeight="1">
      <c r="A429" s="422">
        <v>13003</v>
      </c>
      <c r="B429" s="89" t="s">
        <v>320</v>
      </c>
      <c r="C429" s="215" t="s">
        <v>319</v>
      </c>
    </row>
    <row r="430" spans="1:3" ht="204">
      <c r="A430" s="422">
        <v>13004</v>
      </c>
      <c r="B430" s="89" t="s">
        <v>638</v>
      </c>
      <c r="C430" s="89" t="s">
        <v>714</v>
      </c>
    </row>
    <row r="431" spans="1:3" ht="30" customHeight="1">
      <c r="A431" s="422">
        <v>13005</v>
      </c>
      <c r="B431" s="89" t="s">
        <v>445</v>
      </c>
      <c r="C431" s="215" t="s">
        <v>446</v>
      </c>
    </row>
    <row r="432" spans="1:3" ht="81.75" customHeight="1">
      <c r="A432" s="422">
        <v>13006</v>
      </c>
      <c r="B432" s="423" t="s">
        <v>629</v>
      </c>
      <c r="C432" s="423" t="s">
        <v>590</v>
      </c>
    </row>
    <row r="433" spans="1:3" ht="40.5" customHeight="1">
      <c r="A433" s="422">
        <v>13007</v>
      </c>
      <c r="B433" s="89" t="s">
        <v>592</v>
      </c>
      <c r="C433" s="215" t="s">
        <v>656</v>
      </c>
    </row>
    <row r="434" spans="1:3" ht="30.75" customHeight="1">
      <c r="A434" s="422">
        <v>13008</v>
      </c>
      <c r="B434" s="89" t="s">
        <v>593</v>
      </c>
      <c r="C434" s="215" t="s">
        <v>591</v>
      </c>
    </row>
    <row r="435" spans="1:3" ht="30.75" customHeight="1">
      <c r="A435" s="422">
        <v>13009</v>
      </c>
      <c r="B435" s="89" t="s">
        <v>9</v>
      </c>
      <c r="C435" s="215" t="s">
        <v>111</v>
      </c>
    </row>
    <row r="436" spans="1:3" ht="216.75">
      <c r="A436" s="422">
        <v>13010</v>
      </c>
      <c r="B436" s="89" t="s">
        <v>639</v>
      </c>
      <c r="C436" s="89" t="s">
        <v>715</v>
      </c>
    </row>
    <row r="437" spans="1:3" ht="30.75" customHeight="1">
      <c r="A437" s="422">
        <v>13011</v>
      </c>
      <c r="B437" s="423" t="s">
        <v>561</v>
      </c>
      <c r="C437" s="427" t="s">
        <v>594</v>
      </c>
    </row>
    <row r="438" spans="1:3" ht="318.75">
      <c r="A438" s="422">
        <v>13012</v>
      </c>
      <c r="B438" s="89" t="s">
        <v>640</v>
      </c>
      <c r="C438" s="89" t="s">
        <v>716</v>
      </c>
    </row>
    <row r="439" spans="1:3" ht="30" customHeight="1">
      <c r="A439" s="422">
        <v>13013</v>
      </c>
      <c r="B439" s="89" t="s">
        <v>595</v>
      </c>
      <c r="C439" s="89" t="s">
        <v>596</v>
      </c>
    </row>
    <row r="440" spans="1:3" ht="76.5">
      <c r="A440" s="422">
        <v>13014</v>
      </c>
      <c r="B440" s="89" t="s">
        <v>616</v>
      </c>
      <c r="C440" s="89" t="s">
        <v>617</v>
      </c>
    </row>
    <row r="441" spans="1:3" ht="30" customHeight="1">
      <c r="A441" s="422">
        <v>13015</v>
      </c>
      <c r="B441" s="89" t="s">
        <v>603</v>
      </c>
      <c r="C441" s="89" t="s">
        <v>604</v>
      </c>
    </row>
    <row r="442" spans="1:3" ht="89.25">
      <c r="A442" s="422">
        <v>13016</v>
      </c>
      <c r="B442" s="89" t="s">
        <v>618</v>
      </c>
      <c r="C442" s="89" t="s">
        <v>619</v>
      </c>
    </row>
    <row r="443" spans="1:3" ht="30" customHeight="1">
      <c r="A443" s="422">
        <v>13017</v>
      </c>
      <c r="B443" s="240" t="s">
        <v>605</v>
      </c>
      <c r="C443" s="240" t="s">
        <v>606</v>
      </c>
    </row>
    <row r="444" spans="1:3" ht="76.5">
      <c r="A444" s="422">
        <v>13018</v>
      </c>
      <c r="B444" s="89" t="s">
        <v>641</v>
      </c>
      <c r="C444" s="89" t="s">
        <v>717</v>
      </c>
    </row>
    <row r="445" spans="1:3" ht="30" customHeight="1">
      <c r="A445" s="422">
        <v>13019</v>
      </c>
      <c r="B445" s="148" t="s">
        <v>27</v>
      </c>
      <c r="C445" s="240" t="s">
        <v>119</v>
      </c>
    </row>
    <row r="446" spans="1:3" ht="171.75" customHeight="1">
      <c r="A446" s="422">
        <v>13020</v>
      </c>
      <c r="B446" s="240" t="s">
        <v>620</v>
      </c>
      <c r="C446" s="240" t="s">
        <v>718</v>
      </c>
    </row>
    <row r="447" spans="1:3" ht="30" customHeight="1">
      <c r="A447" s="422">
        <v>13021</v>
      </c>
      <c r="B447" s="240" t="s">
        <v>607</v>
      </c>
      <c r="C447" s="240" t="s">
        <v>608</v>
      </c>
    </row>
    <row r="448" spans="1:3" ht="135" customHeight="1">
      <c r="A448" s="422">
        <v>13022</v>
      </c>
      <c r="B448" s="89" t="s">
        <v>653</v>
      </c>
      <c r="C448" s="240" t="s">
        <v>642</v>
      </c>
    </row>
    <row r="449" spans="1:3" ht="30" customHeight="1">
      <c r="A449" s="422">
        <v>13023</v>
      </c>
      <c r="B449" s="240" t="s">
        <v>609</v>
      </c>
      <c r="C449" s="240" t="s">
        <v>615</v>
      </c>
    </row>
    <row r="450" spans="1:3" ht="79.5" customHeight="1">
      <c r="A450" s="422">
        <v>13024</v>
      </c>
      <c r="B450" s="89" t="s">
        <v>626</v>
      </c>
      <c r="C450" s="89" t="s">
        <v>719</v>
      </c>
    </row>
    <row r="451" spans="1:3" ht="30" customHeight="1">
      <c r="A451" s="422">
        <v>13025</v>
      </c>
      <c r="B451" s="148" t="s">
        <v>125</v>
      </c>
      <c r="C451" s="240" t="s">
        <v>126</v>
      </c>
    </row>
    <row r="452" spans="1:3" ht="210" customHeight="1">
      <c r="A452" s="422">
        <v>13026</v>
      </c>
      <c r="B452" s="240" t="s">
        <v>643</v>
      </c>
      <c r="C452" s="240" t="s">
        <v>720</v>
      </c>
    </row>
    <row r="453" spans="1:3" ht="30" customHeight="1">
      <c r="A453" s="422">
        <v>13027</v>
      </c>
      <c r="B453" s="240" t="s">
        <v>610</v>
      </c>
      <c r="C453" s="240" t="s">
        <v>612</v>
      </c>
    </row>
    <row r="454" spans="1:3" ht="186.75" customHeight="1">
      <c r="A454" s="422">
        <v>13028</v>
      </c>
      <c r="B454" s="89" t="s">
        <v>644</v>
      </c>
      <c r="C454" s="89" t="s">
        <v>721</v>
      </c>
    </row>
    <row r="455" spans="1:3" ht="30" customHeight="1">
      <c r="A455" s="422">
        <v>13029</v>
      </c>
      <c r="B455" s="240" t="s">
        <v>611</v>
      </c>
      <c r="C455" s="240" t="s">
        <v>613</v>
      </c>
    </row>
    <row r="456" spans="1:3" ht="187.5" customHeight="1">
      <c r="A456" s="422">
        <v>13030</v>
      </c>
      <c r="B456" s="215" t="s">
        <v>621</v>
      </c>
      <c r="C456" s="89" t="s">
        <v>722</v>
      </c>
    </row>
    <row r="457" spans="1:3" ht="30" customHeight="1">
      <c r="A457" s="422">
        <v>13031</v>
      </c>
      <c r="B457" s="240" t="s">
        <v>645</v>
      </c>
      <c r="C457" s="240" t="s">
        <v>614</v>
      </c>
    </row>
    <row r="458" spans="1:3" ht="171.75" customHeight="1">
      <c r="A458" s="422">
        <v>13032</v>
      </c>
      <c r="B458" s="215" t="s">
        <v>646</v>
      </c>
      <c r="C458" s="89" t="s">
        <v>723</v>
      </c>
    </row>
    <row r="459" spans="1:3" ht="30" customHeight="1">
      <c r="A459" s="422">
        <v>13033</v>
      </c>
      <c r="B459" s="240" t="s">
        <v>647</v>
      </c>
      <c r="C459" s="240" t="s">
        <v>648</v>
      </c>
    </row>
    <row r="460" spans="1:3" ht="162" customHeight="1">
      <c r="A460" s="422">
        <v>13034</v>
      </c>
      <c r="B460" s="240" t="s">
        <v>649</v>
      </c>
      <c r="C460" s="240" t="s">
        <v>650</v>
      </c>
    </row>
    <row r="461" spans="1:3" ht="30" customHeight="1">
      <c r="A461" s="422">
        <v>13035</v>
      </c>
      <c r="B461" s="148" t="s">
        <v>127</v>
      </c>
      <c r="C461" s="148" t="s">
        <v>129</v>
      </c>
    </row>
    <row r="462" spans="1:3" ht="182.25" customHeight="1">
      <c r="A462" s="422">
        <v>13036</v>
      </c>
      <c r="B462" s="240" t="s">
        <v>628</v>
      </c>
      <c r="C462" s="240" t="s">
        <v>724</v>
      </c>
    </row>
    <row r="463" spans="1:3" ht="30" customHeight="1">
      <c r="A463" s="422">
        <v>13037</v>
      </c>
      <c r="B463" s="240" t="s">
        <v>622</v>
      </c>
      <c r="C463" s="240" t="s">
        <v>627</v>
      </c>
    </row>
    <row r="464" spans="1:3" ht="108" customHeight="1">
      <c r="A464" s="422">
        <v>13038</v>
      </c>
      <c r="B464" s="240" t="s">
        <v>651</v>
      </c>
      <c r="C464" s="240" t="s">
        <v>725</v>
      </c>
    </row>
    <row r="465" spans="1:3" ht="30" customHeight="1">
      <c r="A465" s="422">
        <v>13039</v>
      </c>
      <c r="B465" s="240" t="s">
        <v>607</v>
      </c>
      <c r="C465" s="240" t="s">
        <v>608</v>
      </c>
    </row>
    <row r="466" spans="1:3" ht="135" customHeight="1">
      <c r="A466" s="422">
        <v>13040</v>
      </c>
      <c r="B466" s="89" t="s">
        <v>652</v>
      </c>
      <c r="C466" s="89" t="s">
        <v>657</v>
      </c>
    </row>
    <row r="467" spans="1:3" ht="30" customHeight="1">
      <c r="A467" s="422">
        <v>13041</v>
      </c>
      <c r="B467" s="427" t="s">
        <v>521</v>
      </c>
      <c r="C467" s="427" t="s">
        <v>521</v>
      </c>
    </row>
    <row r="468" spans="1:3" ht="142.5" customHeight="1">
      <c r="A468" s="422">
        <v>13042</v>
      </c>
      <c r="B468" s="215" t="s">
        <v>659</v>
      </c>
      <c r="C468" s="89" t="s">
        <v>727</v>
      </c>
    </row>
    <row r="469" spans="1:3" ht="28.5" customHeight="1">
      <c r="A469" s="422">
        <v>13043</v>
      </c>
      <c r="B469" s="240" t="s">
        <v>607</v>
      </c>
      <c r="C469" s="240" t="s">
        <v>608</v>
      </c>
    </row>
    <row r="470" spans="1:3" ht="71.25" customHeight="1">
      <c r="A470" s="422">
        <v>13044</v>
      </c>
      <c r="B470" s="215" t="s">
        <v>632</v>
      </c>
      <c r="C470" s="89" t="s">
        <v>728</v>
      </c>
    </row>
    <row r="471" spans="1:3" ht="21" customHeight="1">
      <c r="A471" s="422">
        <v>13045</v>
      </c>
      <c r="B471" s="89" t="s">
        <v>131</v>
      </c>
      <c r="C471" s="89" t="s">
        <v>630</v>
      </c>
    </row>
    <row r="472" spans="1:3" ht="84" customHeight="1">
      <c r="A472" s="422">
        <v>13046</v>
      </c>
      <c r="B472" s="240" t="s">
        <v>660</v>
      </c>
      <c r="C472" s="240" t="s">
        <v>726</v>
      </c>
    </row>
    <row r="473" spans="1:3" ht="29.25" customHeight="1">
      <c r="A473" s="422">
        <v>13047</v>
      </c>
      <c r="B473" s="215" t="s">
        <v>542</v>
      </c>
      <c r="C473" s="89" t="s">
        <v>543</v>
      </c>
    </row>
    <row r="474" spans="1:3" ht="114.75">
      <c r="A474" s="422">
        <v>13048</v>
      </c>
      <c r="B474" s="423" t="s">
        <v>663</v>
      </c>
      <c r="C474" s="427" t="s">
        <v>729</v>
      </c>
    </row>
    <row r="475" spans="1:3" ht="29.25" customHeight="1">
      <c r="A475" s="422">
        <v>13049</v>
      </c>
      <c r="B475" s="240" t="s">
        <v>544</v>
      </c>
      <c r="C475" s="240" t="s">
        <v>545</v>
      </c>
    </row>
    <row r="476" spans="1:3" ht="50.25" customHeight="1">
      <c r="A476" s="422">
        <v>13050</v>
      </c>
      <c r="B476" s="423" t="s">
        <v>661</v>
      </c>
      <c r="C476" s="423" t="s">
        <v>662</v>
      </c>
    </row>
    <row r="477" spans="1:3" ht="30.75" customHeight="1">
      <c r="A477" s="422">
        <v>13051</v>
      </c>
      <c r="B477" s="240" t="s">
        <v>623</v>
      </c>
      <c r="C477" s="240" t="s">
        <v>633</v>
      </c>
    </row>
    <row r="478" spans="1:3" ht="100.5" customHeight="1">
      <c r="A478" s="422">
        <v>13052</v>
      </c>
      <c r="B478" s="240" t="s">
        <v>634</v>
      </c>
      <c r="C478" s="240" t="s">
        <v>730</v>
      </c>
    </row>
    <row r="479" spans="1:3" ht="26.25" customHeight="1">
      <c r="A479" s="422">
        <v>13053</v>
      </c>
      <c r="B479" s="240" t="s">
        <v>624</v>
      </c>
      <c r="C479" s="240" t="s">
        <v>658</v>
      </c>
    </row>
    <row r="480" spans="1:3" ht="114.75">
      <c r="A480" s="422">
        <v>13054</v>
      </c>
      <c r="B480" s="148" t="s">
        <v>654</v>
      </c>
      <c r="C480" s="148" t="s">
        <v>635</v>
      </c>
    </row>
    <row r="481" spans="1:3" ht="30" customHeight="1">
      <c r="A481" s="422">
        <v>13055</v>
      </c>
      <c r="B481" s="240" t="s">
        <v>625</v>
      </c>
      <c r="C481" s="148" t="s">
        <v>637</v>
      </c>
    </row>
    <row r="482" spans="1:3" ht="89.25">
      <c r="A482" s="422">
        <v>13056</v>
      </c>
      <c r="B482" s="148" t="s">
        <v>655</v>
      </c>
      <c r="C482" s="148" t="s">
        <v>636</v>
      </c>
    </row>
    <row r="483" spans="1:3" ht="30.75" customHeight="1" thickBot="1"/>
    <row r="484" spans="1:3" ht="30" customHeight="1" thickBot="1">
      <c r="A484" s="1451" t="s">
        <v>57</v>
      </c>
      <c r="B484" s="1452"/>
      <c r="C484" s="1452"/>
    </row>
    <row r="485" spans="1:3" ht="30.75" customHeight="1">
      <c r="A485" s="457">
        <v>14001</v>
      </c>
      <c r="B485" s="423" t="s">
        <v>541</v>
      </c>
      <c r="C485" s="423" t="s">
        <v>57</v>
      </c>
    </row>
    <row r="486" spans="1:3" ht="30.75" customHeight="1">
      <c r="A486" s="457">
        <v>14002</v>
      </c>
      <c r="B486" s="423" t="s">
        <v>751</v>
      </c>
      <c r="C486" s="423" t="s">
        <v>753</v>
      </c>
    </row>
    <row r="487" spans="1:3" ht="30.75" customHeight="1">
      <c r="A487" s="457">
        <v>14003</v>
      </c>
      <c r="B487" s="423" t="s">
        <v>752</v>
      </c>
      <c r="C487" s="423" t="s">
        <v>754</v>
      </c>
    </row>
    <row r="488" spans="1:3" ht="30.75" customHeight="1">
      <c r="A488" s="457">
        <v>14004</v>
      </c>
      <c r="B488" s="423" t="s">
        <v>100</v>
      </c>
      <c r="C488" s="423" t="s">
        <v>192</v>
      </c>
    </row>
    <row r="489" spans="1:3" ht="30.75" customHeight="1">
      <c r="A489" s="457">
        <v>14005</v>
      </c>
      <c r="B489" s="423" t="s">
        <v>738</v>
      </c>
      <c r="C489" s="423" t="s">
        <v>335</v>
      </c>
    </row>
    <row r="490" spans="1:3" ht="30.75" customHeight="1">
      <c r="A490" s="457">
        <v>14006</v>
      </c>
      <c r="B490" s="423" t="s">
        <v>737</v>
      </c>
      <c r="C490" s="423" t="s">
        <v>583</v>
      </c>
    </row>
    <row r="491" spans="1:3" ht="30.75" customHeight="1">
      <c r="A491" s="457">
        <v>14007</v>
      </c>
      <c r="B491" s="423" t="s">
        <v>739</v>
      </c>
      <c r="C491" s="423" t="s">
        <v>440</v>
      </c>
    </row>
    <row r="492" spans="1:3" ht="30.75" customHeight="1">
      <c r="A492" s="457">
        <v>14008</v>
      </c>
      <c r="B492" s="423" t="s">
        <v>740</v>
      </c>
      <c r="C492" s="423" t="s">
        <v>423</v>
      </c>
    </row>
    <row r="493" spans="1:3" ht="30.75" customHeight="1">
      <c r="A493" s="457">
        <v>14009</v>
      </c>
      <c r="B493" s="423" t="s">
        <v>741</v>
      </c>
      <c r="C493" s="423" t="s">
        <v>424</v>
      </c>
    </row>
    <row r="494" spans="1:3" ht="30.75" customHeight="1">
      <c r="A494" s="457">
        <v>14010</v>
      </c>
      <c r="B494" s="423" t="s">
        <v>89</v>
      </c>
      <c r="C494" s="423" t="s">
        <v>425</v>
      </c>
    </row>
    <row r="495" spans="1:3" ht="30.75" customHeight="1">
      <c r="A495" s="457">
        <v>14011</v>
      </c>
      <c r="B495" s="423" t="s">
        <v>742</v>
      </c>
      <c r="C495" s="423" t="s">
        <v>426</v>
      </c>
    </row>
    <row r="496" spans="1:3" ht="30.75" customHeight="1">
      <c r="A496" s="457">
        <v>14012</v>
      </c>
      <c r="B496" s="423" t="s">
        <v>808</v>
      </c>
      <c r="C496" s="423" t="s">
        <v>807</v>
      </c>
    </row>
    <row r="497" spans="1:3" ht="30.75" customHeight="1">
      <c r="A497" s="457">
        <v>14013</v>
      </c>
      <c r="B497" s="423" t="s">
        <v>809</v>
      </c>
      <c r="C497" s="423" t="s">
        <v>810</v>
      </c>
    </row>
    <row r="498" spans="1:3" ht="30.75" customHeight="1">
      <c r="A498" s="457">
        <v>14014</v>
      </c>
      <c r="B498" s="423" t="s">
        <v>301</v>
      </c>
      <c r="C498" s="423" t="s">
        <v>281</v>
      </c>
    </row>
    <row r="499" spans="1:3" ht="30.75" customHeight="1">
      <c r="A499" s="457">
        <v>14015</v>
      </c>
      <c r="B499" s="423" t="s">
        <v>300</v>
      </c>
      <c r="C499" s="423" t="s">
        <v>811</v>
      </c>
    </row>
    <row r="500" spans="1:3" ht="30.75" customHeight="1">
      <c r="A500" s="457">
        <v>14016</v>
      </c>
      <c r="B500" s="423" t="s">
        <v>298</v>
      </c>
      <c r="C500" s="423" t="s">
        <v>275</v>
      </c>
    </row>
    <row r="501" spans="1:3" ht="30.75" customHeight="1">
      <c r="A501" s="457">
        <v>14017</v>
      </c>
      <c r="B501" s="423" t="s">
        <v>441</v>
      </c>
      <c r="C501" s="423" t="s">
        <v>441</v>
      </c>
    </row>
    <row r="502" spans="1:3" ht="30" customHeight="1">
      <c r="A502" s="436">
        <v>14100</v>
      </c>
      <c r="B502" s="458" t="s">
        <v>743</v>
      </c>
      <c r="C502" s="458" t="s">
        <v>734</v>
      </c>
    </row>
    <row r="503" spans="1:3" ht="30" customHeight="1">
      <c r="A503" s="457">
        <v>14101</v>
      </c>
      <c r="B503" s="423" t="s">
        <v>747</v>
      </c>
      <c r="C503" s="423" t="s">
        <v>427</v>
      </c>
    </row>
    <row r="504" spans="1:3" ht="30" customHeight="1">
      <c r="A504" s="436">
        <v>14200</v>
      </c>
      <c r="B504" s="458" t="s">
        <v>744</v>
      </c>
      <c r="C504" s="458" t="s">
        <v>735</v>
      </c>
    </row>
    <row r="505" spans="1:3" ht="30" customHeight="1">
      <c r="A505" s="457">
        <v>14201</v>
      </c>
      <c r="B505" s="423" t="s">
        <v>748</v>
      </c>
      <c r="C505" s="423" t="s">
        <v>584</v>
      </c>
    </row>
    <row r="506" spans="1:3" ht="30" customHeight="1">
      <c r="A506" s="457">
        <v>14202</v>
      </c>
      <c r="B506" s="423" t="s">
        <v>749</v>
      </c>
      <c r="C506" s="423" t="s">
        <v>428</v>
      </c>
    </row>
    <row r="507" spans="1:3" ht="30" customHeight="1">
      <c r="A507" s="457">
        <v>14203</v>
      </c>
      <c r="B507" s="423" t="s">
        <v>750</v>
      </c>
      <c r="C507" s="423" t="s">
        <v>429</v>
      </c>
    </row>
    <row r="508" spans="1:3" ht="30" customHeight="1">
      <c r="A508" s="436">
        <v>14300</v>
      </c>
      <c r="B508" s="458" t="s">
        <v>745</v>
      </c>
      <c r="C508" s="458" t="s">
        <v>736</v>
      </c>
    </row>
    <row r="509" spans="1:3" ht="30" customHeight="1">
      <c r="A509" s="457">
        <v>14301</v>
      </c>
      <c r="B509" s="423" t="s">
        <v>755</v>
      </c>
      <c r="C509" s="423" t="s">
        <v>585</v>
      </c>
    </row>
    <row r="510" spans="1:3" ht="30" customHeight="1">
      <c r="A510" s="457">
        <v>14302</v>
      </c>
      <c r="B510" s="423" t="s">
        <v>756</v>
      </c>
      <c r="C510" s="423" t="s">
        <v>586</v>
      </c>
    </row>
    <row r="511" spans="1:3" ht="51">
      <c r="A511" s="457">
        <v>14303</v>
      </c>
      <c r="B511" s="423" t="s">
        <v>757</v>
      </c>
      <c r="C511" s="423" t="s">
        <v>430</v>
      </c>
    </row>
    <row r="512" spans="1:3" ht="30" customHeight="1">
      <c r="A512" s="457">
        <v>14304</v>
      </c>
      <c r="B512" s="423" t="s">
        <v>760</v>
      </c>
      <c r="C512" s="423" t="s">
        <v>431</v>
      </c>
    </row>
    <row r="513" spans="1:3" ht="38.25">
      <c r="A513" s="457">
        <v>14305</v>
      </c>
      <c r="B513" s="423" t="s">
        <v>759</v>
      </c>
      <c r="C513" s="423" t="s">
        <v>758</v>
      </c>
    </row>
    <row r="514" spans="1:3" ht="30" customHeight="1">
      <c r="A514" s="457">
        <v>14306</v>
      </c>
      <c r="B514" s="423" t="s">
        <v>761</v>
      </c>
      <c r="C514" s="423" t="s">
        <v>588</v>
      </c>
    </row>
    <row r="515" spans="1:3" ht="30" customHeight="1">
      <c r="A515" s="436">
        <v>14400</v>
      </c>
      <c r="B515" s="458" t="s">
        <v>762</v>
      </c>
      <c r="C515" s="458" t="s">
        <v>746</v>
      </c>
    </row>
    <row r="516" spans="1:3" ht="30" customHeight="1">
      <c r="A516" s="457">
        <v>14401</v>
      </c>
      <c r="B516" s="423" t="s">
        <v>763</v>
      </c>
      <c r="C516" s="423" t="s">
        <v>587</v>
      </c>
    </row>
    <row r="517" spans="1:3" ht="30" customHeight="1">
      <c r="A517" s="457">
        <v>14402</v>
      </c>
      <c r="B517" s="423" t="s">
        <v>764</v>
      </c>
      <c r="C517" s="423" t="s">
        <v>765</v>
      </c>
    </row>
    <row r="518" spans="1:3" ht="45" customHeight="1">
      <c r="A518" s="457">
        <v>14403</v>
      </c>
      <c r="B518" s="423" t="s">
        <v>766</v>
      </c>
      <c r="C518" s="423" t="s">
        <v>767</v>
      </c>
    </row>
    <row r="519" spans="1:3" ht="38.25">
      <c r="A519" s="457">
        <v>14404</v>
      </c>
      <c r="B519" s="423" t="s">
        <v>768</v>
      </c>
      <c r="C519" s="423" t="s">
        <v>769</v>
      </c>
    </row>
    <row r="520" spans="1:3" ht="30" customHeight="1">
      <c r="A520" s="457">
        <v>14405</v>
      </c>
      <c r="B520" s="423" t="s">
        <v>785</v>
      </c>
      <c r="C520" s="423" t="s">
        <v>770</v>
      </c>
    </row>
    <row r="521" spans="1:3" ht="30" customHeight="1">
      <c r="A521" s="436">
        <v>14500</v>
      </c>
      <c r="B521" s="458" t="s">
        <v>771</v>
      </c>
      <c r="C521" s="458" t="s">
        <v>772</v>
      </c>
    </row>
    <row r="522" spans="1:3" ht="30" customHeight="1">
      <c r="A522" s="457">
        <v>14501</v>
      </c>
      <c r="B522" s="423" t="s">
        <v>773</v>
      </c>
      <c r="C522" s="423" t="s">
        <v>774</v>
      </c>
    </row>
    <row r="523" spans="1:3" ht="30" customHeight="1">
      <c r="A523" s="457">
        <v>14502</v>
      </c>
      <c r="B523" s="423" t="s">
        <v>776</v>
      </c>
      <c r="C523" s="423" t="s">
        <v>775</v>
      </c>
    </row>
    <row r="524" spans="1:3" ht="38.25">
      <c r="A524" s="457">
        <v>14503</v>
      </c>
      <c r="B524" s="423" t="s">
        <v>777</v>
      </c>
      <c r="C524" s="423" t="s">
        <v>789</v>
      </c>
    </row>
    <row r="525" spans="1:3" ht="30" customHeight="1">
      <c r="A525" s="457">
        <v>14504</v>
      </c>
      <c r="B525" s="423" t="s">
        <v>778</v>
      </c>
      <c r="C525" s="423" t="s">
        <v>781</v>
      </c>
    </row>
    <row r="526" spans="1:3" ht="30" customHeight="1">
      <c r="A526" s="457">
        <v>14505</v>
      </c>
      <c r="B526" s="423" t="s">
        <v>779</v>
      </c>
      <c r="C526" s="423" t="s">
        <v>780</v>
      </c>
    </row>
    <row r="527" spans="1:3" ht="38.25">
      <c r="A527" s="457">
        <v>14506</v>
      </c>
      <c r="B527" s="423" t="s">
        <v>782</v>
      </c>
      <c r="C527" s="423" t="s">
        <v>783</v>
      </c>
    </row>
    <row r="528" spans="1:3" ht="30" customHeight="1">
      <c r="A528" s="457">
        <v>14507</v>
      </c>
      <c r="B528" s="423" t="s">
        <v>784</v>
      </c>
      <c r="C528" s="423" t="s">
        <v>788</v>
      </c>
    </row>
    <row r="529" spans="1:3" ht="25.5">
      <c r="A529" s="457">
        <v>14508</v>
      </c>
      <c r="B529" s="423" t="s">
        <v>786</v>
      </c>
      <c r="C529" s="423" t="s">
        <v>787</v>
      </c>
    </row>
    <row r="530" spans="1:3" ht="30" customHeight="1">
      <c r="A530" s="436">
        <v>14600</v>
      </c>
      <c r="B530" s="458" t="s">
        <v>797</v>
      </c>
      <c r="C530" s="458" t="s">
        <v>798</v>
      </c>
    </row>
    <row r="531" spans="1:3" ht="38.25">
      <c r="A531" s="457">
        <v>14601</v>
      </c>
      <c r="B531" s="423" t="s">
        <v>790</v>
      </c>
      <c r="C531" s="423" t="s">
        <v>432</v>
      </c>
    </row>
    <row r="532" spans="1:3" ht="51">
      <c r="A532" s="457">
        <v>14602</v>
      </c>
      <c r="B532" s="423" t="s">
        <v>791</v>
      </c>
      <c r="C532" s="423" t="s">
        <v>433</v>
      </c>
    </row>
    <row r="533" spans="1:3" ht="38.25">
      <c r="A533" s="457">
        <v>14603</v>
      </c>
      <c r="B533" s="423" t="s">
        <v>790</v>
      </c>
      <c r="C533" s="423" t="s">
        <v>589</v>
      </c>
    </row>
    <row r="534" spans="1:3" ht="38.25">
      <c r="A534" s="457">
        <v>14604</v>
      </c>
      <c r="B534" s="423" t="s">
        <v>792</v>
      </c>
      <c r="C534" s="423" t="s">
        <v>793</v>
      </c>
    </row>
    <row r="535" spans="1:3" ht="63.75">
      <c r="A535" s="457">
        <v>14605</v>
      </c>
      <c r="B535" s="423" t="s">
        <v>794</v>
      </c>
      <c r="C535" s="423" t="s">
        <v>795</v>
      </c>
    </row>
    <row r="536" spans="1:3" ht="25.5">
      <c r="A536" s="457">
        <v>14606</v>
      </c>
      <c r="B536" s="423" t="s">
        <v>796</v>
      </c>
      <c r="C536" s="423" t="s">
        <v>434</v>
      </c>
    </row>
    <row r="537" spans="1:3" ht="30" customHeight="1">
      <c r="A537" s="436">
        <v>14700</v>
      </c>
      <c r="B537" s="458" t="s">
        <v>435</v>
      </c>
      <c r="C537" s="458" t="s">
        <v>435</v>
      </c>
    </row>
    <row r="538" spans="1:3" ht="51">
      <c r="A538" s="457">
        <v>14701</v>
      </c>
      <c r="B538" s="423" t="s">
        <v>801</v>
      </c>
      <c r="C538" s="423" t="s">
        <v>436</v>
      </c>
    </row>
    <row r="539" spans="1:3" ht="25.5">
      <c r="A539" s="457">
        <v>14702</v>
      </c>
      <c r="B539" s="423" t="s">
        <v>800</v>
      </c>
      <c r="C539" s="423" t="s">
        <v>437</v>
      </c>
    </row>
    <row r="540" spans="1:3" ht="25.5">
      <c r="A540" s="457">
        <v>14703</v>
      </c>
      <c r="B540" s="423" t="s">
        <v>805</v>
      </c>
      <c r="C540" s="423" t="s">
        <v>806</v>
      </c>
    </row>
    <row r="541" spans="1:3" ht="30" customHeight="1">
      <c r="A541" s="436">
        <v>14800</v>
      </c>
      <c r="B541" s="458" t="s">
        <v>799</v>
      </c>
      <c r="C541" s="458" t="s">
        <v>438</v>
      </c>
    </row>
    <row r="542" spans="1:3" ht="38.25">
      <c r="A542" s="457">
        <v>14801</v>
      </c>
      <c r="B542" s="423" t="s">
        <v>802</v>
      </c>
      <c r="C542" s="423" t="s">
        <v>439</v>
      </c>
    </row>
    <row r="543" spans="1:3" ht="25.5">
      <c r="A543" s="457">
        <v>14802</v>
      </c>
      <c r="B543" s="423" t="s">
        <v>803</v>
      </c>
      <c r="C543" s="423" t="s">
        <v>804</v>
      </c>
    </row>
    <row r="544" spans="1:3" ht="13.5" thickBot="1"/>
    <row r="545" spans="1:3" ht="30" customHeight="1" thickBot="1">
      <c r="A545" s="1451" t="s">
        <v>878</v>
      </c>
      <c r="B545" s="1452"/>
      <c r="C545" s="1452"/>
    </row>
    <row r="546" spans="1:3" ht="30" customHeight="1">
      <c r="A546" s="422">
        <v>15001</v>
      </c>
      <c r="B546" s="89" t="s">
        <v>879</v>
      </c>
      <c r="C546" s="215" t="s">
        <v>878</v>
      </c>
    </row>
    <row r="547" spans="1:3" ht="30" customHeight="1">
      <c r="A547" s="422">
        <v>15002</v>
      </c>
      <c r="B547" s="89" t="s">
        <v>880</v>
      </c>
      <c r="C547" s="215" t="s">
        <v>881</v>
      </c>
    </row>
  </sheetData>
  <mergeCells count="16">
    <mergeCell ref="A545:C545"/>
    <mergeCell ref="A484:C484"/>
    <mergeCell ref="A400:C400"/>
    <mergeCell ref="A397:C397"/>
    <mergeCell ref="A425:C425"/>
    <mergeCell ref="E375:F375"/>
    <mergeCell ref="E374:F374"/>
    <mergeCell ref="A358:C358"/>
    <mergeCell ref="A199:C199"/>
    <mergeCell ref="A367:C367"/>
    <mergeCell ref="A23:C23"/>
    <mergeCell ref="A202:C202"/>
    <mergeCell ref="A257:C257"/>
    <mergeCell ref="A291:C291"/>
    <mergeCell ref="A346:C346"/>
    <mergeCell ref="A308:C308"/>
  </mergeCells>
  <pageMargins left="0.70866141732283472" right="0.70866141732283472" top="0.78740157480314965" bottom="0.78740157480314965" header="0.31496062992125984" footer="0.31496062992125984"/>
  <pageSetup paperSize="9" orientation="portrait" r:id="rId1"/>
  <headerFooter scaleWithDoc="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7">
    <tabColor theme="4" tint="0.39997558519241921"/>
    <pageSetUpPr fitToPage="1"/>
  </sheetPr>
  <dimension ref="A1:CY71"/>
  <sheetViews>
    <sheetView tabSelected="1" zoomScaleNormal="100" zoomScaleSheetLayoutView="85" workbookViewId="0">
      <pane ySplit="1" topLeftCell="A2" activePane="bottomLeft" state="frozen"/>
      <selection activeCell="D3" sqref="D3"/>
      <selection pane="bottomLeft" activeCell="D3" sqref="D3"/>
    </sheetView>
  </sheetViews>
  <sheetFormatPr baseColWidth="10" defaultColWidth="1.875" defaultRowHeight="11.25" customHeight="1"/>
  <cols>
    <col min="1" max="1" width="1.875" style="410"/>
    <col min="2" max="6" width="1.875" style="153"/>
    <col min="7" max="7" width="1.875" style="153" customWidth="1"/>
    <col min="8" max="78" width="1.875" style="153"/>
    <col min="79" max="80" width="1.875" style="153" customWidth="1"/>
    <col min="81" max="82" width="1.875" style="153"/>
    <col min="83" max="83" width="1.875" style="153" customWidth="1"/>
    <col min="84" max="96" width="1.875" style="153"/>
    <col min="97" max="97" width="4.875" style="153" bestFit="1" customWidth="1"/>
    <col min="98" max="98" width="2.875" style="153" bestFit="1" customWidth="1"/>
    <col min="99" max="114" width="1.875" style="153"/>
    <col min="115" max="115" width="1.5" style="153" customWidth="1"/>
    <col min="116" max="16384" width="1.875" style="153"/>
  </cols>
  <sheetData>
    <row r="1" spans="1:82" s="35" customFormat="1" ht="33.75" customHeight="1">
      <c r="B1" s="1073" t="s">
        <v>844</v>
      </c>
      <c r="C1" s="1073"/>
      <c r="D1" s="1073"/>
      <c r="E1" s="1073"/>
      <c r="F1" s="1073"/>
      <c r="G1" s="1073"/>
      <c r="H1" s="1073"/>
      <c r="I1" s="1073"/>
      <c r="J1" s="1073"/>
      <c r="K1" s="1073"/>
      <c r="L1" s="1073"/>
      <c r="M1" s="1073"/>
      <c r="N1" s="1073"/>
      <c r="O1" s="1073"/>
      <c r="P1" s="1073"/>
      <c r="Q1" s="1073"/>
      <c r="R1" s="1073"/>
      <c r="S1" s="1073"/>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c r="AP1" s="1073"/>
      <c r="AQ1" s="1073"/>
      <c r="AR1" s="1073"/>
      <c r="AS1" s="1073"/>
      <c r="AT1" s="1073"/>
      <c r="AU1" s="1073"/>
      <c r="AV1" s="1073"/>
      <c r="AW1" s="1073"/>
      <c r="AX1" s="1073"/>
      <c r="AY1" s="1073"/>
      <c r="AZ1" s="1073"/>
      <c r="BA1" s="1073"/>
      <c r="BB1" s="1073"/>
      <c r="BC1" s="1073"/>
      <c r="BD1" s="1073"/>
      <c r="BE1" s="1073"/>
      <c r="BF1" s="1073"/>
      <c r="BG1" s="1073"/>
      <c r="BH1" s="1073"/>
      <c r="BI1" s="1073"/>
      <c r="BJ1" s="1073"/>
      <c r="BK1" s="1073"/>
      <c r="BL1" s="1073"/>
      <c r="BM1" s="1073"/>
      <c r="BN1" s="1073"/>
      <c r="BO1" s="1073"/>
      <c r="BP1" s="1073"/>
      <c r="BQ1" s="1073"/>
      <c r="BR1" s="1073"/>
      <c r="BS1" s="1073"/>
      <c r="BT1" s="1073"/>
      <c r="BU1" s="1073"/>
      <c r="BV1" s="1073"/>
      <c r="BW1" s="1073"/>
      <c r="BX1" s="1073"/>
      <c r="BY1" s="1073"/>
      <c r="BZ1" s="1073"/>
      <c r="CA1" s="1073"/>
    </row>
    <row r="2" spans="1:82" s="211" customFormat="1" ht="11.25" customHeight="1">
      <c r="A2" s="465"/>
      <c r="B2" s="255"/>
      <c r="C2" s="210"/>
      <c r="D2" s="210"/>
      <c r="E2" s="210"/>
      <c r="F2" s="210"/>
      <c r="G2" s="210"/>
      <c r="H2" s="210"/>
      <c r="I2" s="210"/>
      <c r="J2" s="210"/>
      <c r="K2" s="210"/>
      <c r="L2" s="210"/>
      <c r="M2" s="210"/>
      <c r="N2" s="210"/>
      <c r="O2" s="210"/>
      <c r="P2" s="39"/>
      <c r="Q2" s="39"/>
      <c r="R2" s="39"/>
      <c r="S2" s="39"/>
      <c r="AR2" s="377"/>
      <c r="BA2" s="376"/>
      <c r="BC2" s="376"/>
      <c r="BD2" s="376"/>
      <c r="BE2" s="376"/>
      <c r="BH2" s="376"/>
      <c r="BI2" s="376"/>
      <c r="BJ2" s="376"/>
      <c r="BP2" s="378"/>
      <c r="BQ2" s="378"/>
    </row>
    <row r="3" spans="1:82" s="264" customFormat="1" ht="11.25" customHeight="1" thickBot="1">
      <c r="C3" s="265"/>
    </row>
    <row r="4" spans="1:82" ht="11.25" customHeight="1">
      <c r="B4" s="410"/>
      <c r="C4" s="1455" t="s">
        <v>843</v>
      </c>
      <c r="D4" s="1456"/>
      <c r="E4" s="1456"/>
      <c r="F4" s="1456"/>
      <c r="G4" s="1456"/>
      <c r="H4" s="1456"/>
      <c r="I4" s="1456"/>
      <c r="J4" s="1456"/>
      <c r="K4" s="1456"/>
      <c r="L4" s="1456"/>
      <c r="M4" s="1456"/>
      <c r="N4" s="1456"/>
      <c r="O4" s="1465" t="s">
        <v>863</v>
      </c>
      <c r="P4" s="1465"/>
      <c r="Q4" s="1465"/>
      <c r="R4" s="1465"/>
      <c r="S4" s="1465"/>
      <c r="T4" s="1465"/>
      <c r="U4" s="1465"/>
      <c r="V4" s="1465"/>
      <c r="W4" s="1465"/>
      <c r="X4" s="1465"/>
      <c r="Y4" s="1465"/>
      <c r="Z4" s="1465"/>
      <c r="AA4" s="1465"/>
      <c r="AB4" s="1465"/>
      <c r="AC4" s="1465"/>
      <c r="AD4" s="1465"/>
      <c r="AE4" s="1465"/>
      <c r="AF4" s="1465"/>
      <c r="AG4" s="1465"/>
      <c r="AH4" s="1465"/>
      <c r="AI4" s="1465"/>
      <c r="AJ4" s="1465"/>
      <c r="AK4" s="1465"/>
      <c r="AL4" s="1465"/>
      <c r="AM4" s="1465"/>
      <c r="AN4" s="1465"/>
      <c r="AO4" s="1466"/>
      <c r="AP4" s="1579" t="s">
        <v>192</v>
      </c>
      <c r="AQ4" s="1580"/>
      <c r="AR4" s="1580"/>
      <c r="AS4" s="1580"/>
      <c r="AT4" s="1580"/>
      <c r="AU4" s="1580"/>
      <c r="AV4" s="1580"/>
      <c r="AW4" s="1580"/>
      <c r="AX4" s="1580"/>
      <c r="AY4" s="1580"/>
      <c r="AZ4" s="1580"/>
      <c r="BA4" s="1580"/>
      <c r="BB4" s="1475"/>
      <c r="BC4" s="1475"/>
      <c r="BD4" s="1475"/>
      <c r="BE4" s="1475"/>
      <c r="BF4" s="1475"/>
      <c r="BG4" s="1475"/>
      <c r="BH4" s="1475"/>
      <c r="BI4" s="1475"/>
      <c r="BJ4" s="1475"/>
      <c r="BK4" s="1475"/>
      <c r="BL4" s="1475"/>
      <c r="BM4" s="1475"/>
      <c r="BN4" s="1475"/>
      <c r="BO4" s="1475"/>
      <c r="BP4" s="1475"/>
      <c r="BQ4" s="1475"/>
      <c r="BR4" s="1475"/>
      <c r="BS4" s="1475"/>
      <c r="BT4" s="1475"/>
      <c r="BU4" s="1475"/>
      <c r="BV4" s="1475"/>
      <c r="BW4" s="1475"/>
      <c r="BX4" s="1475"/>
      <c r="BY4" s="1475"/>
      <c r="BZ4" s="1475"/>
      <c r="CA4" s="1475"/>
      <c r="CB4" s="1476"/>
    </row>
    <row r="5" spans="1:82" ht="11.25" customHeight="1">
      <c r="B5" s="410"/>
      <c r="C5" s="1457"/>
      <c r="D5" s="1458"/>
      <c r="E5" s="1458"/>
      <c r="F5" s="1458"/>
      <c r="G5" s="1458"/>
      <c r="H5" s="1458"/>
      <c r="I5" s="1458"/>
      <c r="J5" s="1458"/>
      <c r="K5" s="1458"/>
      <c r="L5" s="1458"/>
      <c r="M5" s="1458"/>
      <c r="N5" s="1458"/>
      <c r="O5" s="1461"/>
      <c r="P5" s="1461"/>
      <c r="Q5" s="1461"/>
      <c r="R5" s="1461"/>
      <c r="S5" s="1461"/>
      <c r="T5" s="1461"/>
      <c r="U5" s="1461"/>
      <c r="V5" s="1461"/>
      <c r="W5" s="1461"/>
      <c r="X5" s="1461"/>
      <c r="Y5" s="1461"/>
      <c r="Z5" s="1461"/>
      <c r="AA5" s="1461"/>
      <c r="AB5" s="1461"/>
      <c r="AC5" s="1461"/>
      <c r="AD5" s="1461"/>
      <c r="AE5" s="1461"/>
      <c r="AF5" s="1461"/>
      <c r="AG5" s="1461"/>
      <c r="AH5" s="1461"/>
      <c r="AI5" s="1461"/>
      <c r="AJ5" s="1461"/>
      <c r="AK5" s="1461"/>
      <c r="AL5" s="1461"/>
      <c r="AM5" s="1461"/>
      <c r="AN5" s="1461"/>
      <c r="AO5" s="1462"/>
      <c r="AP5" s="1581"/>
      <c r="AQ5" s="1429"/>
      <c r="AR5" s="1429"/>
      <c r="AS5" s="1429"/>
      <c r="AT5" s="1429"/>
      <c r="AU5" s="1429"/>
      <c r="AV5" s="1429"/>
      <c r="AW5" s="1429"/>
      <c r="AX5" s="1429"/>
      <c r="AY5" s="1429"/>
      <c r="AZ5" s="1429"/>
      <c r="BA5" s="1429"/>
      <c r="BB5" s="1469"/>
      <c r="BC5" s="1469"/>
      <c r="BD5" s="1469"/>
      <c r="BE5" s="1469"/>
      <c r="BF5" s="1469"/>
      <c r="BG5" s="1469"/>
      <c r="BH5" s="1469"/>
      <c r="BI5" s="1469"/>
      <c r="BJ5" s="1469"/>
      <c r="BK5" s="1469"/>
      <c r="BL5" s="1469"/>
      <c r="BM5" s="1469"/>
      <c r="BN5" s="1469"/>
      <c r="BO5" s="1469"/>
      <c r="BP5" s="1469"/>
      <c r="BQ5" s="1469"/>
      <c r="BR5" s="1469"/>
      <c r="BS5" s="1469"/>
      <c r="BT5" s="1469"/>
      <c r="BU5" s="1469"/>
      <c r="BV5" s="1469"/>
      <c r="BW5" s="1469"/>
      <c r="BX5" s="1469"/>
      <c r="BY5" s="1469"/>
      <c r="BZ5" s="1469"/>
      <c r="CA5" s="1469"/>
      <c r="CB5" s="1470"/>
    </row>
    <row r="6" spans="1:82" ht="11.25" customHeight="1">
      <c r="B6" s="410"/>
      <c r="C6" s="1459"/>
      <c r="D6" s="1460"/>
      <c r="E6" s="1460"/>
      <c r="F6" s="1460"/>
      <c r="G6" s="1460"/>
      <c r="H6" s="1460"/>
      <c r="I6" s="1460"/>
      <c r="J6" s="1460"/>
      <c r="K6" s="1460"/>
      <c r="L6" s="1460"/>
      <c r="M6" s="1460"/>
      <c r="N6" s="1460"/>
      <c r="O6" s="1461"/>
      <c r="P6" s="1461"/>
      <c r="Q6" s="1461"/>
      <c r="R6" s="1461"/>
      <c r="S6" s="1461"/>
      <c r="T6" s="1461"/>
      <c r="U6" s="1461"/>
      <c r="V6" s="1461"/>
      <c r="W6" s="1461"/>
      <c r="X6" s="1461"/>
      <c r="Y6" s="1461"/>
      <c r="Z6" s="1461"/>
      <c r="AA6" s="1461"/>
      <c r="AB6" s="1461"/>
      <c r="AC6" s="1461"/>
      <c r="AD6" s="1461"/>
      <c r="AE6" s="1461"/>
      <c r="AF6" s="1461"/>
      <c r="AG6" s="1461"/>
      <c r="AH6" s="1461"/>
      <c r="AI6" s="1461"/>
      <c r="AJ6" s="1461"/>
      <c r="AK6" s="1461"/>
      <c r="AL6" s="1461"/>
      <c r="AM6" s="1461"/>
      <c r="AN6" s="1461"/>
      <c r="AO6" s="1462"/>
      <c r="AP6" s="1582"/>
      <c r="AQ6" s="1430"/>
      <c r="AR6" s="1430"/>
      <c r="AS6" s="1430"/>
      <c r="AT6" s="1430"/>
      <c r="AU6" s="1430"/>
      <c r="AV6" s="1430"/>
      <c r="AW6" s="1430"/>
      <c r="AX6" s="1430"/>
      <c r="AY6" s="1430"/>
      <c r="AZ6" s="1430"/>
      <c r="BA6" s="1430"/>
      <c r="BB6" s="1473"/>
      <c r="BC6" s="1473"/>
      <c r="BD6" s="1473"/>
      <c r="BE6" s="1473"/>
      <c r="BF6" s="1473"/>
      <c r="BG6" s="1473"/>
      <c r="BH6" s="1473"/>
      <c r="BI6" s="1473"/>
      <c r="BJ6" s="1473"/>
      <c r="BK6" s="1473"/>
      <c r="BL6" s="1473"/>
      <c r="BM6" s="1473"/>
      <c r="BN6" s="1473"/>
      <c r="BO6" s="1473"/>
      <c r="BP6" s="1473"/>
      <c r="BQ6" s="1473"/>
      <c r="BR6" s="1473"/>
      <c r="BS6" s="1473"/>
      <c r="BT6" s="1473"/>
      <c r="BU6" s="1473"/>
      <c r="BV6" s="1473"/>
      <c r="BW6" s="1473"/>
      <c r="BX6" s="1473"/>
      <c r="BY6" s="1473"/>
      <c r="BZ6" s="1473"/>
      <c r="CA6" s="1473"/>
      <c r="CB6" s="1474"/>
    </row>
    <row r="7" spans="1:82" ht="11.25" customHeight="1">
      <c r="B7" s="410"/>
      <c r="C7" s="1526" t="s">
        <v>840</v>
      </c>
      <c r="D7" s="1527"/>
      <c r="E7" s="1527"/>
      <c r="F7" s="1527"/>
      <c r="G7" s="1527"/>
      <c r="H7" s="1527"/>
      <c r="I7" s="1527"/>
      <c r="J7" s="1527"/>
      <c r="K7" s="1527"/>
      <c r="L7" s="1527"/>
      <c r="M7" s="1527"/>
      <c r="N7" s="1527"/>
      <c r="O7" s="1461" t="s">
        <v>863</v>
      </c>
      <c r="P7" s="1461"/>
      <c r="Q7" s="1461"/>
      <c r="R7" s="1461"/>
      <c r="S7" s="1461"/>
      <c r="T7" s="1461"/>
      <c r="U7" s="1461"/>
      <c r="V7" s="1461"/>
      <c r="W7" s="1461"/>
      <c r="X7" s="1461"/>
      <c r="Y7" s="1461"/>
      <c r="Z7" s="1461"/>
      <c r="AA7" s="1461"/>
      <c r="AB7" s="1461"/>
      <c r="AC7" s="1461"/>
      <c r="AD7" s="1461"/>
      <c r="AE7" s="1461"/>
      <c r="AF7" s="1461"/>
      <c r="AG7" s="1461"/>
      <c r="AH7" s="1461"/>
      <c r="AI7" s="1461"/>
      <c r="AJ7" s="1461"/>
      <c r="AK7" s="1461"/>
      <c r="AL7" s="1461"/>
      <c r="AM7" s="1461"/>
      <c r="AN7" s="1461"/>
      <c r="AO7" s="1462"/>
      <c r="AP7" s="1583" t="s">
        <v>335</v>
      </c>
      <c r="AQ7" s="1527"/>
      <c r="AR7" s="1527"/>
      <c r="AS7" s="1527"/>
      <c r="AT7" s="1527"/>
      <c r="AU7" s="1527"/>
      <c r="AV7" s="1527"/>
      <c r="AW7" s="1527"/>
      <c r="AX7" s="1527"/>
      <c r="AY7" s="1527"/>
      <c r="AZ7" s="1527"/>
      <c r="BA7" s="1527"/>
      <c r="BB7" s="1467"/>
      <c r="BC7" s="1467"/>
      <c r="BD7" s="1467"/>
      <c r="BE7" s="1467"/>
      <c r="BF7" s="1467"/>
      <c r="BG7" s="1467"/>
      <c r="BH7" s="1467"/>
      <c r="BI7" s="1467"/>
      <c r="BJ7" s="1467"/>
      <c r="BK7" s="1467"/>
      <c r="BL7" s="1467"/>
      <c r="BM7" s="1467"/>
      <c r="BN7" s="1467"/>
      <c r="BO7" s="1467"/>
      <c r="BP7" s="1467"/>
      <c r="BQ7" s="1467"/>
      <c r="BR7" s="1467"/>
      <c r="BS7" s="1467"/>
      <c r="BT7" s="1467"/>
      <c r="BU7" s="1467"/>
      <c r="BV7" s="1467"/>
      <c r="BW7" s="1467"/>
      <c r="BX7" s="1467"/>
      <c r="BY7" s="1467"/>
      <c r="BZ7" s="1467"/>
      <c r="CA7" s="1467"/>
      <c r="CB7" s="1468"/>
    </row>
    <row r="8" spans="1:82" ht="11.25" customHeight="1">
      <c r="B8" s="410"/>
      <c r="C8" s="1528"/>
      <c r="D8" s="1429"/>
      <c r="E8" s="1429"/>
      <c r="F8" s="1429"/>
      <c r="G8" s="1429"/>
      <c r="H8" s="1429"/>
      <c r="I8" s="1429"/>
      <c r="J8" s="1429"/>
      <c r="K8" s="1429"/>
      <c r="L8" s="1429"/>
      <c r="M8" s="1429"/>
      <c r="N8" s="1429"/>
      <c r="O8" s="1461"/>
      <c r="P8" s="1461"/>
      <c r="Q8" s="1461"/>
      <c r="R8" s="1461"/>
      <c r="S8" s="1461"/>
      <c r="T8" s="1461"/>
      <c r="U8" s="1461"/>
      <c r="V8" s="1461"/>
      <c r="W8" s="1461"/>
      <c r="X8" s="1461"/>
      <c r="Y8" s="1461"/>
      <c r="Z8" s="1461"/>
      <c r="AA8" s="1461"/>
      <c r="AB8" s="1461"/>
      <c r="AC8" s="1461"/>
      <c r="AD8" s="1461"/>
      <c r="AE8" s="1461"/>
      <c r="AF8" s="1461"/>
      <c r="AG8" s="1461"/>
      <c r="AH8" s="1461"/>
      <c r="AI8" s="1461"/>
      <c r="AJ8" s="1461"/>
      <c r="AK8" s="1461"/>
      <c r="AL8" s="1461"/>
      <c r="AM8" s="1461"/>
      <c r="AN8" s="1461"/>
      <c r="AO8" s="1462"/>
      <c r="AP8" s="1581"/>
      <c r="AQ8" s="1429"/>
      <c r="AR8" s="1429"/>
      <c r="AS8" s="1429"/>
      <c r="AT8" s="1429"/>
      <c r="AU8" s="1429"/>
      <c r="AV8" s="1429"/>
      <c r="AW8" s="1429"/>
      <c r="AX8" s="1429"/>
      <c r="AY8" s="1429"/>
      <c r="AZ8" s="1429"/>
      <c r="BA8" s="1429"/>
      <c r="BB8" s="1469"/>
      <c r="BC8" s="1469"/>
      <c r="BD8" s="1469"/>
      <c r="BE8" s="1469"/>
      <c r="BF8" s="1469"/>
      <c r="BG8" s="1469"/>
      <c r="BH8" s="1469"/>
      <c r="BI8" s="1469"/>
      <c r="BJ8" s="1469"/>
      <c r="BK8" s="1469"/>
      <c r="BL8" s="1469"/>
      <c r="BM8" s="1469"/>
      <c r="BN8" s="1469"/>
      <c r="BO8" s="1469"/>
      <c r="BP8" s="1469"/>
      <c r="BQ8" s="1469"/>
      <c r="BR8" s="1469"/>
      <c r="BS8" s="1469"/>
      <c r="BT8" s="1469"/>
      <c r="BU8" s="1469"/>
      <c r="BV8" s="1469"/>
      <c r="BW8" s="1469"/>
      <c r="BX8" s="1469"/>
      <c r="BY8" s="1469"/>
      <c r="BZ8" s="1469"/>
      <c r="CA8" s="1469"/>
      <c r="CB8" s="1470"/>
    </row>
    <row r="9" spans="1:82" ht="11.25" customHeight="1">
      <c r="B9" s="410"/>
      <c r="C9" s="1528"/>
      <c r="D9" s="1429"/>
      <c r="E9" s="1429"/>
      <c r="F9" s="1429"/>
      <c r="G9" s="1429"/>
      <c r="H9" s="1429"/>
      <c r="I9" s="1429"/>
      <c r="J9" s="1429"/>
      <c r="K9" s="1429"/>
      <c r="L9" s="1429"/>
      <c r="M9" s="1429"/>
      <c r="N9" s="1429"/>
      <c r="O9" s="1461"/>
      <c r="P9" s="1461"/>
      <c r="Q9" s="1461"/>
      <c r="R9" s="1461"/>
      <c r="S9" s="1461"/>
      <c r="T9" s="1461"/>
      <c r="U9" s="1461"/>
      <c r="V9" s="1461"/>
      <c r="W9" s="1461"/>
      <c r="X9" s="1461"/>
      <c r="Y9" s="1461"/>
      <c r="Z9" s="1461"/>
      <c r="AA9" s="1461"/>
      <c r="AB9" s="1461"/>
      <c r="AC9" s="1461"/>
      <c r="AD9" s="1461"/>
      <c r="AE9" s="1461"/>
      <c r="AF9" s="1461"/>
      <c r="AG9" s="1461"/>
      <c r="AH9" s="1461"/>
      <c r="AI9" s="1461"/>
      <c r="AJ9" s="1461"/>
      <c r="AK9" s="1461"/>
      <c r="AL9" s="1461"/>
      <c r="AM9" s="1461"/>
      <c r="AN9" s="1461"/>
      <c r="AO9" s="1462"/>
      <c r="AP9" s="1582"/>
      <c r="AQ9" s="1430"/>
      <c r="AR9" s="1430"/>
      <c r="AS9" s="1430"/>
      <c r="AT9" s="1430"/>
      <c r="AU9" s="1430"/>
      <c r="AV9" s="1430"/>
      <c r="AW9" s="1430"/>
      <c r="AX9" s="1430"/>
      <c r="AY9" s="1430"/>
      <c r="AZ9" s="1430"/>
      <c r="BA9" s="1430"/>
      <c r="BB9" s="1473"/>
      <c r="BC9" s="1473"/>
      <c r="BD9" s="1473"/>
      <c r="BE9" s="1473"/>
      <c r="BF9" s="1473"/>
      <c r="BG9" s="1473"/>
      <c r="BH9" s="1473"/>
      <c r="BI9" s="1473"/>
      <c r="BJ9" s="1473"/>
      <c r="BK9" s="1473"/>
      <c r="BL9" s="1473"/>
      <c r="BM9" s="1473"/>
      <c r="BN9" s="1473"/>
      <c r="BO9" s="1473"/>
      <c r="BP9" s="1473"/>
      <c r="BQ9" s="1473"/>
      <c r="BR9" s="1473"/>
      <c r="BS9" s="1473"/>
      <c r="BT9" s="1473"/>
      <c r="BU9" s="1473"/>
      <c r="BV9" s="1473"/>
      <c r="BW9" s="1473"/>
      <c r="BX9" s="1473"/>
      <c r="BY9" s="1473"/>
      <c r="BZ9" s="1473"/>
      <c r="CA9" s="1473"/>
      <c r="CB9" s="1474"/>
    </row>
    <row r="10" spans="1:82" ht="11.25" customHeight="1">
      <c r="B10" s="410"/>
      <c r="C10" s="1528"/>
      <c r="D10" s="1429"/>
      <c r="E10" s="1429"/>
      <c r="F10" s="1429"/>
      <c r="G10" s="1429"/>
      <c r="H10" s="1429"/>
      <c r="I10" s="1429"/>
      <c r="J10" s="1429"/>
      <c r="K10" s="1429"/>
      <c r="L10" s="1429"/>
      <c r="M10" s="1429"/>
      <c r="N10" s="1429"/>
      <c r="O10" s="1461"/>
      <c r="P10" s="1461"/>
      <c r="Q10" s="1461"/>
      <c r="R10" s="1461"/>
      <c r="S10" s="1461"/>
      <c r="T10" s="1461"/>
      <c r="U10" s="1461"/>
      <c r="V10" s="1461"/>
      <c r="W10" s="1461"/>
      <c r="X10" s="1461"/>
      <c r="Y10" s="1461"/>
      <c r="Z10" s="1461"/>
      <c r="AA10" s="1461"/>
      <c r="AB10" s="1461"/>
      <c r="AC10" s="1461"/>
      <c r="AD10" s="1461"/>
      <c r="AE10" s="1461"/>
      <c r="AF10" s="1461"/>
      <c r="AG10" s="1461"/>
      <c r="AH10" s="1461"/>
      <c r="AI10" s="1461"/>
      <c r="AJ10" s="1461"/>
      <c r="AK10" s="1461"/>
      <c r="AL10" s="1461"/>
      <c r="AM10" s="1461"/>
      <c r="AN10" s="1461"/>
      <c r="AO10" s="1462"/>
      <c r="AP10" s="1584" t="s">
        <v>288</v>
      </c>
      <c r="AQ10" s="1585"/>
      <c r="AR10" s="1585"/>
      <c r="AS10" s="1585"/>
      <c r="AT10" s="1585"/>
      <c r="AU10" s="1585"/>
      <c r="AV10" s="1585"/>
      <c r="AW10" s="1585"/>
      <c r="AX10" s="1585"/>
      <c r="AY10" s="1585"/>
      <c r="AZ10" s="1585"/>
      <c r="BA10" s="1585"/>
      <c r="BB10" s="1467"/>
      <c r="BC10" s="1467"/>
      <c r="BD10" s="1467"/>
      <c r="BE10" s="1467"/>
      <c r="BF10" s="1467"/>
      <c r="BG10" s="1467"/>
      <c r="BH10" s="1467"/>
      <c r="BI10" s="1467"/>
      <c r="BJ10" s="1467"/>
      <c r="BK10" s="1467"/>
      <c r="BL10" s="1467"/>
      <c r="BM10" s="1467"/>
      <c r="BN10" s="1467"/>
      <c r="BO10" s="1467"/>
      <c r="BP10" s="1467"/>
      <c r="BQ10" s="1467"/>
      <c r="BR10" s="1467"/>
      <c r="BS10" s="1467"/>
      <c r="BT10" s="1467"/>
      <c r="BU10" s="1467"/>
      <c r="BV10" s="1467"/>
      <c r="BW10" s="1467"/>
      <c r="BX10" s="1467"/>
      <c r="BY10" s="1467"/>
      <c r="BZ10" s="1467"/>
      <c r="CA10" s="1467"/>
      <c r="CB10" s="1468"/>
    </row>
    <row r="11" spans="1:82" ht="11.25" customHeight="1">
      <c r="B11" s="410"/>
      <c r="C11" s="1528"/>
      <c r="D11" s="1429"/>
      <c r="E11" s="1429"/>
      <c r="F11" s="1429"/>
      <c r="G11" s="1429"/>
      <c r="H11" s="1429"/>
      <c r="I11" s="1429"/>
      <c r="J11" s="1429"/>
      <c r="K11" s="1429"/>
      <c r="L11" s="1429"/>
      <c r="M11" s="1429"/>
      <c r="N11" s="1429"/>
      <c r="O11" s="1461"/>
      <c r="P11" s="1461"/>
      <c r="Q11" s="1461"/>
      <c r="R11" s="1461"/>
      <c r="S11" s="1461"/>
      <c r="T11" s="1461"/>
      <c r="U11" s="1461"/>
      <c r="V11" s="1461"/>
      <c r="W11" s="1461"/>
      <c r="X11" s="1461"/>
      <c r="Y11" s="1461"/>
      <c r="Z11" s="1461"/>
      <c r="AA11" s="1461"/>
      <c r="AB11" s="1461"/>
      <c r="AC11" s="1461"/>
      <c r="AD11" s="1461"/>
      <c r="AE11" s="1461"/>
      <c r="AF11" s="1461"/>
      <c r="AG11" s="1461"/>
      <c r="AH11" s="1461"/>
      <c r="AI11" s="1461"/>
      <c r="AJ11" s="1461"/>
      <c r="AK11" s="1461"/>
      <c r="AL11" s="1461"/>
      <c r="AM11" s="1461"/>
      <c r="AN11" s="1461"/>
      <c r="AO11" s="1462"/>
      <c r="AP11" s="1586"/>
      <c r="AQ11" s="1458"/>
      <c r="AR11" s="1458"/>
      <c r="AS11" s="1458"/>
      <c r="AT11" s="1458"/>
      <c r="AU11" s="1458"/>
      <c r="AV11" s="1458"/>
      <c r="AW11" s="1458"/>
      <c r="AX11" s="1458"/>
      <c r="AY11" s="1458"/>
      <c r="AZ11" s="1458"/>
      <c r="BA11" s="1458"/>
      <c r="BB11" s="1469"/>
      <c r="BC11" s="1469"/>
      <c r="BD11" s="1469"/>
      <c r="BE11" s="1469"/>
      <c r="BF11" s="1469"/>
      <c r="BG11" s="1469"/>
      <c r="BH11" s="1469"/>
      <c r="BI11" s="1469"/>
      <c r="BJ11" s="1469"/>
      <c r="BK11" s="1469"/>
      <c r="BL11" s="1469"/>
      <c r="BM11" s="1469"/>
      <c r="BN11" s="1469"/>
      <c r="BO11" s="1469"/>
      <c r="BP11" s="1469"/>
      <c r="BQ11" s="1469"/>
      <c r="BR11" s="1469"/>
      <c r="BS11" s="1469"/>
      <c r="BT11" s="1469"/>
      <c r="BU11" s="1469"/>
      <c r="BV11" s="1469"/>
      <c r="BW11" s="1469"/>
      <c r="BX11" s="1469"/>
      <c r="BY11" s="1469"/>
      <c r="BZ11" s="1469"/>
      <c r="CA11" s="1469"/>
      <c r="CB11" s="1470"/>
    </row>
    <row r="12" spans="1:82" ht="11.25" customHeight="1">
      <c r="B12" s="410"/>
      <c r="C12" s="1528"/>
      <c r="D12" s="1429"/>
      <c r="E12" s="1429"/>
      <c r="F12" s="1429"/>
      <c r="G12" s="1429"/>
      <c r="H12" s="1429"/>
      <c r="I12" s="1429"/>
      <c r="J12" s="1429"/>
      <c r="K12" s="1429"/>
      <c r="L12" s="1429"/>
      <c r="M12" s="1429"/>
      <c r="N12" s="1429"/>
      <c r="O12" s="1461"/>
      <c r="P12" s="1461"/>
      <c r="Q12" s="1461"/>
      <c r="R12" s="1461"/>
      <c r="S12" s="1461"/>
      <c r="T12" s="1461"/>
      <c r="U12" s="1461"/>
      <c r="V12" s="1461"/>
      <c r="W12" s="1461"/>
      <c r="X12" s="1461"/>
      <c r="Y12" s="1461"/>
      <c r="Z12" s="1461"/>
      <c r="AA12" s="1461"/>
      <c r="AB12" s="1461"/>
      <c r="AC12" s="1461"/>
      <c r="AD12" s="1461"/>
      <c r="AE12" s="1461"/>
      <c r="AF12" s="1461"/>
      <c r="AG12" s="1461"/>
      <c r="AH12" s="1461"/>
      <c r="AI12" s="1461"/>
      <c r="AJ12" s="1461"/>
      <c r="AK12" s="1461"/>
      <c r="AL12" s="1461"/>
      <c r="AM12" s="1461"/>
      <c r="AN12" s="1461"/>
      <c r="AO12" s="1462"/>
      <c r="AP12" s="1586"/>
      <c r="AQ12" s="1458"/>
      <c r="AR12" s="1458"/>
      <c r="AS12" s="1458"/>
      <c r="AT12" s="1458"/>
      <c r="AU12" s="1458"/>
      <c r="AV12" s="1458"/>
      <c r="AW12" s="1458"/>
      <c r="AX12" s="1458"/>
      <c r="AY12" s="1458"/>
      <c r="AZ12" s="1458"/>
      <c r="BA12" s="1458"/>
      <c r="BB12" s="1469"/>
      <c r="BC12" s="1469"/>
      <c r="BD12" s="1469"/>
      <c r="BE12" s="1469"/>
      <c r="BF12" s="1469"/>
      <c r="BG12" s="1469"/>
      <c r="BH12" s="1469"/>
      <c r="BI12" s="1469"/>
      <c r="BJ12" s="1469"/>
      <c r="BK12" s="1469"/>
      <c r="BL12" s="1469"/>
      <c r="BM12" s="1469"/>
      <c r="BN12" s="1469"/>
      <c r="BO12" s="1469"/>
      <c r="BP12" s="1469"/>
      <c r="BQ12" s="1469"/>
      <c r="BR12" s="1469"/>
      <c r="BS12" s="1469"/>
      <c r="BT12" s="1469"/>
      <c r="BU12" s="1469"/>
      <c r="BV12" s="1469"/>
      <c r="BW12" s="1469"/>
      <c r="BX12" s="1469"/>
      <c r="BY12" s="1469"/>
      <c r="BZ12" s="1469"/>
      <c r="CA12" s="1469"/>
      <c r="CB12" s="1470"/>
    </row>
    <row r="13" spans="1:82" ht="11.25" customHeight="1">
      <c r="B13" s="410"/>
      <c r="C13" s="1528"/>
      <c r="D13" s="1429"/>
      <c r="E13" s="1429"/>
      <c r="F13" s="1429"/>
      <c r="G13" s="1429"/>
      <c r="H13" s="1429"/>
      <c r="I13" s="1429"/>
      <c r="J13" s="1429"/>
      <c r="K13" s="1429"/>
      <c r="L13" s="1429"/>
      <c r="M13" s="1429"/>
      <c r="N13" s="1429"/>
      <c r="O13" s="1461"/>
      <c r="P13" s="1461"/>
      <c r="Q13" s="1461"/>
      <c r="R13" s="1461"/>
      <c r="S13" s="1461"/>
      <c r="T13" s="1461"/>
      <c r="U13" s="1461"/>
      <c r="V13" s="1461"/>
      <c r="W13" s="1461"/>
      <c r="X13" s="1461"/>
      <c r="Y13" s="1461"/>
      <c r="Z13" s="1461"/>
      <c r="AA13" s="1461"/>
      <c r="AB13" s="1461"/>
      <c r="AC13" s="1461"/>
      <c r="AD13" s="1461"/>
      <c r="AE13" s="1461"/>
      <c r="AF13" s="1461"/>
      <c r="AG13" s="1461"/>
      <c r="AH13" s="1461"/>
      <c r="AI13" s="1461"/>
      <c r="AJ13" s="1461"/>
      <c r="AK13" s="1461"/>
      <c r="AL13" s="1461"/>
      <c r="AM13" s="1461"/>
      <c r="AN13" s="1461"/>
      <c r="AO13" s="1462"/>
      <c r="AP13" s="1586"/>
      <c r="AQ13" s="1458"/>
      <c r="AR13" s="1458"/>
      <c r="AS13" s="1458"/>
      <c r="AT13" s="1458"/>
      <c r="AU13" s="1458"/>
      <c r="AV13" s="1458"/>
      <c r="AW13" s="1458"/>
      <c r="AX13" s="1458"/>
      <c r="AY13" s="1458"/>
      <c r="AZ13" s="1458"/>
      <c r="BA13" s="1458"/>
      <c r="BB13" s="1469"/>
      <c r="BC13" s="1469"/>
      <c r="BD13" s="1469"/>
      <c r="BE13" s="1469"/>
      <c r="BF13" s="1469"/>
      <c r="BG13" s="1469"/>
      <c r="BH13" s="1469"/>
      <c r="BI13" s="1469"/>
      <c r="BJ13" s="1469"/>
      <c r="BK13" s="1469"/>
      <c r="BL13" s="1469"/>
      <c r="BM13" s="1469"/>
      <c r="BN13" s="1469"/>
      <c r="BO13" s="1469"/>
      <c r="BP13" s="1469"/>
      <c r="BQ13" s="1469"/>
      <c r="BR13" s="1469"/>
      <c r="BS13" s="1469"/>
      <c r="BT13" s="1469"/>
      <c r="BU13" s="1469"/>
      <c r="BV13" s="1469"/>
      <c r="BW13" s="1469"/>
      <c r="BX13" s="1469"/>
      <c r="BY13" s="1469"/>
      <c r="BZ13" s="1469"/>
      <c r="CA13" s="1469"/>
      <c r="CB13" s="1470"/>
    </row>
    <row r="14" spans="1:82" ht="11.25" customHeight="1">
      <c r="B14" s="410"/>
      <c r="C14" s="1528"/>
      <c r="D14" s="1429"/>
      <c r="E14" s="1429"/>
      <c r="F14" s="1429"/>
      <c r="G14" s="1429"/>
      <c r="H14" s="1429"/>
      <c r="I14" s="1429"/>
      <c r="J14" s="1429"/>
      <c r="K14" s="1429"/>
      <c r="L14" s="1429"/>
      <c r="M14" s="1429"/>
      <c r="N14" s="1429"/>
      <c r="O14" s="1461"/>
      <c r="P14" s="1461"/>
      <c r="Q14" s="1461"/>
      <c r="R14" s="1461"/>
      <c r="S14" s="1461"/>
      <c r="T14" s="1461"/>
      <c r="U14" s="1461"/>
      <c r="V14" s="1461"/>
      <c r="W14" s="1461"/>
      <c r="X14" s="1461"/>
      <c r="Y14" s="1461"/>
      <c r="Z14" s="1461"/>
      <c r="AA14" s="1461"/>
      <c r="AB14" s="1461"/>
      <c r="AC14" s="1461"/>
      <c r="AD14" s="1461"/>
      <c r="AE14" s="1461"/>
      <c r="AF14" s="1461"/>
      <c r="AG14" s="1461"/>
      <c r="AH14" s="1461"/>
      <c r="AI14" s="1461"/>
      <c r="AJ14" s="1461"/>
      <c r="AK14" s="1461"/>
      <c r="AL14" s="1461"/>
      <c r="AM14" s="1461"/>
      <c r="AN14" s="1461"/>
      <c r="AO14" s="1462"/>
      <c r="AP14" s="1586"/>
      <c r="AQ14" s="1458"/>
      <c r="AR14" s="1458"/>
      <c r="AS14" s="1458"/>
      <c r="AT14" s="1458"/>
      <c r="AU14" s="1458"/>
      <c r="AV14" s="1458"/>
      <c r="AW14" s="1458"/>
      <c r="AX14" s="1458"/>
      <c r="AY14" s="1458"/>
      <c r="AZ14" s="1458"/>
      <c r="BA14" s="1458"/>
      <c r="BB14" s="1469"/>
      <c r="BC14" s="1469"/>
      <c r="BD14" s="1469"/>
      <c r="BE14" s="1469"/>
      <c r="BF14" s="1469"/>
      <c r="BG14" s="1469"/>
      <c r="BH14" s="1469"/>
      <c r="BI14" s="1469"/>
      <c r="BJ14" s="1469"/>
      <c r="BK14" s="1469"/>
      <c r="BL14" s="1469"/>
      <c r="BM14" s="1469"/>
      <c r="BN14" s="1469"/>
      <c r="BO14" s="1469"/>
      <c r="BP14" s="1469"/>
      <c r="BQ14" s="1469"/>
      <c r="BR14" s="1469"/>
      <c r="BS14" s="1469"/>
      <c r="BT14" s="1469"/>
      <c r="BU14" s="1469"/>
      <c r="BV14" s="1469"/>
      <c r="BW14" s="1469"/>
      <c r="BX14" s="1469"/>
      <c r="BY14" s="1469"/>
      <c r="BZ14" s="1469"/>
      <c r="CA14" s="1469"/>
      <c r="CB14" s="1470"/>
    </row>
    <row r="15" spans="1:82" ht="11.25" customHeight="1" thickBot="1">
      <c r="B15" s="410"/>
      <c r="C15" s="1529"/>
      <c r="D15" s="1530"/>
      <c r="E15" s="1530"/>
      <c r="F15" s="1530"/>
      <c r="G15" s="1530"/>
      <c r="H15" s="1530"/>
      <c r="I15" s="1530"/>
      <c r="J15" s="1530"/>
      <c r="K15" s="1530"/>
      <c r="L15" s="1530"/>
      <c r="M15" s="1530"/>
      <c r="N15" s="1530"/>
      <c r="O15" s="1463"/>
      <c r="P15" s="1463"/>
      <c r="Q15" s="1463"/>
      <c r="R15" s="1463"/>
      <c r="S15" s="1463"/>
      <c r="T15" s="1463"/>
      <c r="U15" s="1463"/>
      <c r="V15" s="1463"/>
      <c r="W15" s="1463"/>
      <c r="X15" s="1463"/>
      <c r="Y15" s="1463"/>
      <c r="Z15" s="1463"/>
      <c r="AA15" s="1463"/>
      <c r="AB15" s="1463"/>
      <c r="AC15" s="1463"/>
      <c r="AD15" s="1463"/>
      <c r="AE15" s="1463"/>
      <c r="AF15" s="1463"/>
      <c r="AG15" s="1463"/>
      <c r="AH15" s="1463"/>
      <c r="AI15" s="1463"/>
      <c r="AJ15" s="1463"/>
      <c r="AK15" s="1463"/>
      <c r="AL15" s="1463"/>
      <c r="AM15" s="1463"/>
      <c r="AN15" s="1463"/>
      <c r="AO15" s="1464"/>
      <c r="AP15" s="1587"/>
      <c r="AQ15" s="1588"/>
      <c r="AR15" s="1588"/>
      <c r="AS15" s="1588"/>
      <c r="AT15" s="1588"/>
      <c r="AU15" s="1588"/>
      <c r="AV15" s="1588"/>
      <c r="AW15" s="1588"/>
      <c r="AX15" s="1588"/>
      <c r="AY15" s="1588"/>
      <c r="AZ15" s="1588"/>
      <c r="BA15" s="1588"/>
      <c r="BB15" s="1471"/>
      <c r="BC15" s="1471"/>
      <c r="BD15" s="1471"/>
      <c r="BE15" s="1471"/>
      <c r="BF15" s="1471"/>
      <c r="BG15" s="1471"/>
      <c r="BH15" s="1471"/>
      <c r="BI15" s="1471"/>
      <c r="BJ15" s="1471"/>
      <c r="BK15" s="1471"/>
      <c r="BL15" s="1471"/>
      <c r="BM15" s="1471"/>
      <c r="BN15" s="1471"/>
      <c r="BO15" s="1471"/>
      <c r="BP15" s="1471"/>
      <c r="BQ15" s="1471"/>
      <c r="BR15" s="1471"/>
      <c r="BS15" s="1471"/>
      <c r="BT15" s="1471"/>
      <c r="BU15" s="1471"/>
      <c r="BV15" s="1471"/>
      <c r="BW15" s="1471"/>
      <c r="BX15" s="1471"/>
      <c r="BY15" s="1471"/>
      <c r="BZ15" s="1471"/>
      <c r="CA15" s="1471"/>
      <c r="CB15" s="1472"/>
    </row>
    <row r="16" spans="1:82" ht="11.25" customHeight="1" thickBot="1">
      <c r="B16" s="410"/>
      <c r="C16" s="410"/>
      <c r="D16" s="410"/>
      <c r="E16" s="410"/>
      <c r="F16" s="410"/>
      <c r="G16" s="410"/>
      <c r="H16" s="410"/>
      <c r="I16" s="410"/>
      <c r="J16" s="410"/>
      <c r="K16" s="410"/>
      <c r="L16" s="410"/>
      <c r="M16" s="410"/>
      <c r="N16" s="410"/>
      <c r="O16" s="410"/>
      <c r="P16" s="410"/>
      <c r="Q16" s="410"/>
      <c r="R16" s="410"/>
      <c r="S16" s="410"/>
      <c r="T16" s="410"/>
      <c r="U16" s="410"/>
      <c r="V16" s="410"/>
      <c r="W16" s="410"/>
      <c r="X16" s="410"/>
      <c r="Y16" s="410"/>
      <c r="Z16" s="410"/>
      <c r="AA16" s="410"/>
      <c r="AB16" s="410"/>
      <c r="AC16" s="410"/>
      <c r="AD16" s="410"/>
      <c r="AE16" s="410"/>
      <c r="AF16" s="410"/>
      <c r="AG16" s="410"/>
      <c r="AH16" s="410"/>
      <c r="AI16" s="410"/>
      <c r="AJ16" s="410"/>
      <c r="AK16" s="410"/>
      <c r="AL16" s="410"/>
      <c r="AM16" s="410"/>
      <c r="AN16" s="410"/>
      <c r="AO16" s="410"/>
      <c r="AP16" s="410"/>
      <c r="AQ16" s="410"/>
      <c r="AR16" s="410"/>
      <c r="AS16" s="410"/>
      <c r="AT16" s="410"/>
      <c r="AU16" s="410"/>
      <c r="AV16" s="410"/>
      <c r="AW16" s="410"/>
      <c r="AX16" s="410"/>
      <c r="AY16" s="410"/>
      <c r="AZ16" s="410"/>
      <c r="BA16" s="410"/>
      <c r="BB16" s="410"/>
      <c r="BC16" s="410"/>
      <c r="BD16" s="410"/>
      <c r="BE16" s="410"/>
      <c r="BF16" s="410"/>
      <c r="BG16" s="410"/>
      <c r="BH16" s="410"/>
      <c r="BI16" s="410"/>
      <c r="BJ16" s="410"/>
      <c r="BK16" s="410"/>
      <c r="BL16" s="410"/>
      <c r="BM16" s="410"/>
      <c r="BN16" s="410"/>
      <c r="BO16" s="410"/>
      <c r="BP16" s="410"/>
      <c r="BQ16" s="410"/>
      <c r="BR16" s="410"/>
      <c r="BS16" s="410"/>
      <c r="BT16" s="410"/>
      <c r="BU16" s="410"/>
      <c r="BV16" s="410"/>
      <c r="BW16" s="410"/>
      <c r="BX16" s="410"/>
      <c r="BY16" s="410"/>
      <c r="BZ16" s="410"/>
      <c r="CA16" s="410"/>
      <c r="CB16" s="410"/>
      <c r="CC16" s="410"/>
      <c r="CD16" s="410"/>
    </row>
    <row r="17" spans="2:92" ht="11.25" customHeight="1">
      <c r="B17" s="410"/>
      <c r="C17" s="223"/>
      <c r="D17" s="1610" t="s">
        <v>821</v>
      </c>
      <c r="E17" s="1611"/>
      <c r="F17" s="1611"/>
      <c r="G17" s="1611"/>
      <c r="H17" s="1611"/>
      <c r="I17" s="1611"/>
      <c r="J17" s="1611"/>
      <c r="K17" s="1611"/>
      <c r="L17" s="1611"/>
      <c r="M17" s="1611"/>
      <c r="N17" s="1611"/>
      <c r="O17" s="1611"/>
      <c r="P17" s="1611"/>
      <c r="Q17" s="1611"/>
      <c r="R17" s="1611"/>
      <c r="S17" s="1611"/>
      <c r="T17" s="1611"/>
      <c r="U17" s="1611"/>
      <c r="V17" s="1611"/>
      <c r="W17" s="1611"/>
      <c r="X17" s="1611"/>
      <c r="Y17" s="1611"/>
      <c r="Z17" s="1611"/>
      <c r="AA17" s="1611"/>
      <c r="AB17" s="1611"/>
      <c r="AC17" s="1611"/>
      <c r="AD17" s="1611"/>
      <c r="AE17" s="1611"/>
      <c r="AF17" s="1611"/>
      <c r="AG17" s="1611"/>
      <c r="AH17" s="1611"/>
      <c r="AI17" s="1611"/>
      <c r="AJ17" s="1611"/>
      <c r="AK17" s="1611"/>
      <c r="AL17" s="1611"/>
      <c r="AM17" s="1611"/>
      <c r="AN17" s="1611"/>
      <c r="AO17" s="1611"/>
      <c r="AP17" s="1611"/>
      <c r="AQ17" s="1611"/>
      <c r="AR17" s="1611"/>
      <c r="AS17" s="1611"/>
      <c r="AT17" s="1611"/>
      <c r="AU17" s="1611"/>
      <c r="AV17" s="1611"/>
      <c r="AW17" s="1611"/>
      <c r="AX17" s="1611"/>
      <c r="AY17" s="1611"/>
      <c r="AZ17" s="1611"/>
      <c r="BA17" s="1611"/>
      <c r="BB17" s="1611"/>
      <c r="BC17" s="1611"/>
      <c r="BD17" s="1611"/>
      <c r="BE17" s="1611"/>
      <c r="BF17" s="1611"/>
      <c r="BG17" s="1611"/>
      <c r="BH17" s="1611"/>
      <c r="BI17" s="1611"/>
      <c r="BJ17" s="1611"/>
      <c r="BK17" s="1611"/>
      <c r="BL17" s="1611"/>
      <c r="BM17" s="1611"/>
      <c r="BN17" s="1611"/>
      <c r="BO17" s="1611"/>
      <c r="BP17" s="1611"/>
      <c r="BQ17" s="1611"/>
      <c r="BR17" s="1611"/>
      <c r="BS17" s="1611"/>
      <c r="BT17" s="1611"/>
      <c r="BU17" s="1611"/>
      <c r="BV17" s="1611"/>
      <c r="BW17" s="1611"/>
      <c r="BX17" s="1611"/>
      <c r="BY17" s="1611"/>
      <c r="BZ17" s="1611"/>
      <c r="CA17" s="1612"/>
      <c r="CB17" s="410"/>
      <c r="CC17" s="410"/>
    </row>
    <row r="18" spans="2:92" ht="11.25" customHeight="1">
      <c r="B18" s="410"/>
      <c r="C18" s="223"/>
      <c r="D18" s="1613"/>
      <c r="E18" s="1614"/>
      <c r="F18" s="1614"/>
      <c r="G18" s="1614"/>
      <c r="H18" s="1614"/>
      <c r="I18" s="1614"/>
      <c r="J18" s="1614"/>
      <c r="K18" s="1614"/>
      <c r="L18" s="1614"/>
      <c r="M18" s="1614"/>
      <c r="N18" s="1614"/>
      <c r="O18" s="1614"/>
      <c r="P18" s="1614"/>
      <c r="Q18" s="1614"/>
      <c r="R18" s="1614"/>
      <c r="S18" s="1614"/>
      <c r="T18" s="1614"/>
      <c r="U18" s="1614"/>
      <c r="V18" s="1614"/>
      <c r="W18" s="1614"/>
      <c r="X18" s="1614"/>
      <c r="Y18" s="1614"/>
      <c r="Z18" s="1614"/>
      <c r="AA18" s="1614"/>
      <c r="AB18" s="1614"/>
      <c r="AC18" s="1614"/>
      <c r="AD18" s="1614"/>
      <c r="AE18" s="1614"/>
      <c r="AF18" s="1614"/>
      <c r="AG18" s="1614"/>
      <c r="AH18" s="1614"/>
      <c r="AI18" s="1614"/>
      <c r="AJ18" s="1614"/>
      <c r="AK18" s="1614"/>
      <c r="AL18" s="1614"/>
      <c r="AM18" s="1614"/>
      <c r="AN18" s="1614"/>
      <c r="AO18" s="1614"/>
      <c r="AP18" s="1614"/>
      <c r="AQ18" s="1614"/>
      <c r="AR18" s="1614"/>
      <c r="AS18" s="1614"/>
      <c r="AT18" s="1614"/>
      <c r="AU18" s="1614"/>
      <c r="AV18" s="1614"/>
      <c r="AW18" s="1614"/>
      <c r="AX18" s="1614"/>
      <c r="AY18" s="1614"/>
      <c r="AZ18" s="1614"/>
      <c r="BA18" s="1614"/>
      <c r="BB18" s="1614"/>
      <c r="BC18" s="1614"/>
      <c r="BD18" s="1614"/>
      <c r="BE18" s="1614"/>
      <c r="BF18" s="1614"/>
      <c r="BG18" s="1614"/>
      <c r="BH18" s="1614"/>
      <c r="BI18" s="1614"/>
      <c r="BJ18" s="1614"/>
      <c r="BK18" s="1614"/>
      <c r="BL18" s="1614"/>
      <c r="BM18" s="1614"/>
      <c r="BN18" s="1614"/>
      <c r="BO18" s="1614"/>
      <c r="BP18" s="1614"/>
      <c r="BQ18" s="1614"/>
      <c r="BR18" s="1614"/>
      <c r="BS18" s="1614"/>
      <c r="BT18" s="1614"/>
      <c r="BU18" s="1614"/>
      <c r="BV18" s="1614"/>
      <c r="BW18" s="1614"/>
      <c r="BX18" s="1614"/>
      <c r="BY18" s="1614"/>
      <c r="BZ18" s="1614"/>
      <c r="CA18" s="1615"/>
      <c r="CB18" s="410"/>
      <c r="CC18" s="410"/>
    </row>
    <row r="19" spans="2:92" ht="11.25" customHeight="1">
      <c r="B19" s="410"/>
      <c r="C19" s="223"/>
      <c r="D19" s="1537" t="s">
        <v>822</v>
      </c>
      <c r="E19" s="1538"/>
      <c r="F19" s="1538"/>
      <c r="G19" s="1538"/>
      <c r="H19" s="1538"/>
      <c r="I19" s="1538"/>
      <c r="J19" s="1538"/>
      <c r="K19" s="1538"/>
      <c r="L19" s="1538"/>
      <c r="M19" s="1538"/>
      <c r="N19" s="1538"/>
      <c r="O19" s="1538"/>
      <c r="P19" s="1538"/>
      <c r="Q19" s="1538"/>
      <c r="R19" s="1538"/>
      <c r="S19" s="1538"/>
      <c r="T19" s="1538"/>
      <c r="U19" s="1538"/>
      <c r="V19" s="1538"/>
      <c r="W19" s="1538"/>
      <c r="X19" s="1538"/>
      <c r="Y19" s="1538"/>
      <c r="Z19" s="1538"/>
      <c r="AA19" s="1538"/>
      <c r="AB19" s="1538"/>
      <c r="AC19" s="1538"/>
      <c r="AD19" s="1538"/>
      <c r="AE19" s="1538"/>
      <c r="AF19" s="1538"/>
      <c r="AG19" s="1538"/>
      <c r="AH19" s="1538"/>
      <c r="AI19" s="1538"/>
      <c r="AJ19" s="1538"/>
      <c r="AK19" s="1538"/>
      <c r="AL19" s="1538"/>
      <c r="AM19" s="1538"/>
      <c r="AN19" s="1538"/>
      <c r="AO19" s="1539"/>
      <c r="AP19" s="1477" t="s">
        <v>823</v>
      </c>
      <c r="AQ19" s="1478"/>
      <c r="AR19" s="1478"/>
      <c r="AS19" s="1478"/>
      <c r="AT19" s="1478"/>
      <c r="AU19" s="1478"/>
      <c r="AV19" s="1478"/>
      <c r="AW19" s="1478"/>
      <c r="AX19" s="1478"/>
      <c r="AY19" s="1478"/>
      <c r="AZ19" s="1478"/>
      <c r="BA19" s="1478"/>
      <c r="BB19" s="1478"/>
      <c r="BC19" s="1478"/>
      <c r="BD19" s="1478"/>
      <c r="BE19" s="1478"/>
      <c r="BF19" s="1478"/>
      <c r="BG19" s="1478"/>
      <c r="BH19" s="1478"/>
      <c r="BI19" s="1478"/>
      <c r="BJ19" s="1478"/>
      <c r="BK19" s="1478"/>
      <c r="BL19" s="1478"/>
      <c r="BM19" s="1478"/>
      <c r="BN19" s="1478"/>
      <c r="BO19" s="1478"/>
      <c r="BP19" s="1478"/>
      <c r="BQ19" s="1478"/>
      <c r="BR19" s="1478"/>
      <c r="BS19" s="1478"/>
      <c r="BT19" s="1478"/>
      <c r="BU19" s="1478"/>
      <c r="BV19" s="1478"/>
      <c r="BW19" s="1478"/>
      <c r="BX19" s="1478"/>
      <c r="BY19" s="1478"/>
      <c r="BZ19" s="1478"/>
      <c r="CA19" s="1479"/>
      <c r="CB19" s="410"/>
      <c r="CC19" s="410"/>
    </row>
    <row r="20" spans="2:92" s="410" customFormat="1" ht="11.25" customHeight="1">
      <c r="C20" s="223"/>
      <c r="D20" s="1537"/>
      <c r="E20" s="1538"/>
      <c r="F20" s="1538"/>
      <c r="G20" s="1538"/>
      <c r="H20" s="1538"/>
      <c r="I20" s="1538"/>
      <c r="J20" s="1538"/>
      <c r="K20" s="1538"/>
      <c r="L20" s="1538"/>
      <c r="M20" s="1538"/>
      <c r="N20" s="1538"/>
      <c r="O20" s="1538"/>
      <c r="P20" s="1538"/>
      <c r="Q20" s="1538"/>
      <c r="R20" s="1538"/>
      <c r="S20" s="1538"/>
      <c r="T20" s="1538"/>
      <c r="U20" s="1538"/>
      <c r="V20" s="1538"/>
      <c r="W20" s="1538"/>
      <c r="X20" s="1538"/>
      <c r="Y20" s="1538"/>
      <c r="Z20" s="1538"/>
      <c r="AA20" s="1538"/>
      <c r="AB20" s="1538"/>
      <c r="AC20" s="1538"/>
      <c r="AD20" s="1538"/>
      <c r="AE20" s="1538"/>
      <c r="AF20" s="1538"/>
      <c r="AG20" s="1538"/>
      <c r="AH20" s="1538"/>
      <c r="AI20" s="1538"/>
      <c r="AJ20" s="1538"/>
      <c r="AK20" s="1538"/>
      <c r="AL20" s="1538"/>
      <c r="AM20" s="1538"/>
      <c r="AN20" s="1538"/>
      <c r="AO20" s="1539"/>
      <c r="AP20" s="1480"/>
      <c r="AQ20" s="1481"/>
      <c r="AR20" s="1481"/>
      <c r="AS20" s="1481"/>
      <c r="AT20" s="1481"/>
      <c r="AU20" s="1481"/>
      <c r="AV20" s="1481"/>
      <c r="AW20" s="1481"/>
      <c r="AX20" s="1481"/>
      <c r="AY20" s="1481"/>
      <c r="AZ20" s="1481"/>
      <c r="BA20" s="1481"/>
      <c r="BB20" s="1481"/>
      <c r="BC20" s="1481"/>
      <c r="BD20" s="1481"/>
      <c r="BE20" s="1481"/>
      <c r="BF20" s="1481"/>
      <c r="BG20" s="1481"/>
      <c r="BH20" s="1481"/>
      <c r="BI20" s="1481"/>
      <c r="BJ20" s="1481"/>
      <c r="BK20" s="1481"/>
      <c r="BL20" s="1481"/>
      <c r="BM20" s="1481"/>
      <c r="BN20" s="1481"/>
      <c r="BO20" s="1481"/>
      <c r="BP20" s="1481"/>
      <c r="BQ20" s="1481"/>
      <c r="BR20" s="1481"/>
      <c r="BS20" s="1481"/>
      <c r="BT20" s="1481"/>
      <c r="BU20" s="1481"/>
      <c r="BV20" s="1481"/>
      <c r="BW20" s="1481"/>
      <c r="BX20" s="1481"/>
      <c r="BY20" s="1481"/>
      <c r="BZ20" s="1481"/>
      <c r="CA20" s="1482"/>
    </row>
    <row r="21" spans="2:92" ht="11.25" customHeight="1">
      <c r="B21" s="410"/>
      <c r="C21" s="223"/>
      <c r="D21" s="1537"/>
      <c r="E21" s="1538"/>
      <c r="F21" s="1538"/>
      <c r="G21" s="1538"/>
      <c r="H21" s="1538"/>
      <c r="I21" s="1538"/>
      <c r="J21" s="1538"/>
      <c r="K21" s="1538"/>
      <c r="L21" s="1538"/>
      <c r="M21" s="1538"/>
      <c r="N21" s="1538"/>
      <c r="O21" s="1538"/>
      <c r="P21" s="1538"/>
      <c r="Q21" s="1538"/>
      <c r="R21" s="1538"/>
      <c r="S21" s="1538"/>
      <c r="T21" s="1538"/>
      <c r="U21" s="1538"/>
      <c r="V21" s="1538"/>
      <c r="W21" s="1538"/>
      <c r="X21" s="1538"/>
      <c r="Y21" s="1538"/>
      <c r="Z21" s="1538"/>
      <c r="AA21" s="1538"/>
      <c r="AB21" s="1538"/>
      <c r="AC21" s="1538"/>
      <c r="AD21" s="1538"/>
      <c r="AE21" s="1538"/>
      <c r="AF21" s="1538"/>
      <c r="AG21" s="1538"/>
      <c r="AH21" s="1538"/>
      <c r="AI21" s="1538"/>
      <c r="AJ21" s="1538"/>
      <c r="AK21" s="1538"/>
      <c r="AL21" s="1538"/>
      <c r="AM21" s="1538"/>
      <c r="AN21" s="1538"/>
      <c r="AO21" s="1539"/>
      <c r="AP21" s="1483"/>
      <c r="AQ21" s="1481"/>
      <c r="AR21" s="1481"/>
      <c r="AS21" s="1481"/>
      <c r="AT21" s="1481"/>
      <c r="AU21" s="1481"/>
      <c r="AV21" s="1481"/>
      <c r="AW21" s="1481"/>
      <c r="AX21" s="1481"/>
      <c r="AY21" s="1481"/>
      <c r="AZ21" s="1481"/>
      <c r="BA21" s="1481"/>
      <c r="BB21" s="1481"/>
      <c r="BC21" s="1481"/>
      <c r="BD21" s="1481"/>
      <c r="BE21" s="1481"/>
      <c r="BF21" s="1481"/>
      <c r="BG21" s="1481"/>
      <c r="BH21" s="1481"/>
      <c r="BI21" s="1481"/>
      <c r="BJ21" s="1481"/>
      <c r="BK21" s="1481"/>
      <c r="BL21" s="1481"/>
      <c r="BM21" s="1481"/>
      <c r="BN21" s="1481"/>
      <c r="BO21" s="1481"/>
      <c r="BP21" s="1481"/>
      <c r="BQ21" s="1481"/>
      <c r="BR21" s="1481"/>
      <c r="BS21" s="1481"/>
      <c r="BT21" s="1481"/>
      <c r="BU21" s="1481"/>
      <c r="BV21" s="1481"/>
      <c r="BW21" s="1481"/>
      <c r="BX21" s="1481"/>
      <c r="BY21" s="1481"/>
      <c r="BZ21" s="1481"/>
      <c r="CA21" s="1482"/>
      <c r="CB21" s="410"/>
      <c r="CC21" s="410"/>
    </row>
    <row r="22" spans="2:92" ht="11.25" customHeight="1">
      <c r="B22" s="410"/>
      <c r="C22" s="223"/>
      <c r="D22" s="1537"/>
      <c r="E22" s="1538"/>
      <c r="F22" s="1538"/>
      <c r="G22" s="1538"/>
      <c r="H22" s="1538"/>
      <c r="I22" s="1538"/>
      <c r="J22" s="1538"/>
      <c r="K22" s="1538"/>
      <c r="L22" s="1538"/>
      <c r="M22" s="1538"/>
      <c r="N22" s="1538"/>
      <c r="O22" s="1538"/>
      <c r="P22" s="1538"/>
      <c r="Q22" s="1538"/>
      <c r="R22" s="1538"/>
      <c r="S22" s="1538"/>
      <c r="T22" s="1538"/>
      <c r="U22" s="1538"/>
      <c r="V22" s="1538"/>
      <c r="W22" s="1538"/>
      <c r="X22" s="1538"/>
      <c r="Y22" s="1538"/>
      <c r="Z22" s="1538"/>
      <c r="AA22" s="1538"/>
      <c r="AB22" s="1538"/>
      <c r="AC22" s="1538"/>
      <c r="AD22" s="1538"/>
      <c r="AE22" s="1538"/>
      <c r="AF22" s="1538"/>
      <c r="AG22" s="1538"/>
      <c r="AH22" s="1538"/>
      <c r="AI22" s="1538"/>
      <c r="AJ22" s="1538"/>
      <c r="AK22" s="1538"/>
      <c r="AL22" s="1538"/>
      <c r="AM22" s="1538"/>
      <c r="AN22" s="1538"/>
      <c r="AO22" s="1539"/>
      <c r="AP22" s="1483"/>
      <c r="AQ22" s="1481"/>
      <c r="AR22" s="1481"/>
      <c r="AS22" s="1481"/>
      <c r="AT22" s="1481"/>
      <c r="AU22" s="1481"/>
      <c r="AV22" s="1481"/>
      <c r="AW22" s="1481"/>
      <c r="AX22" s="1481"/>
      <c r="AY22" s="1481"/>
      <c r="AZ22" s="1481"/>
      <c r="BA22" s="1481"/>
      <c r="BB22" s="1481"/>
      <c r="BC22" s="1481"/>
      <c r="BD22" s="1481"/>
      <c r="BE22" s="1481"/>
      <c r="BF22" s="1481"/>
      <c r="BG22" s="1481"/>
      <c r="BH22" s="1481"/>
      <c r="BI22" s="1481"/>
      <c r="BJ22" s="1481"/>
      <c r="BK22" s="1481"/>
      <c r="BL22" s="1481"/>
      <c r="BM22" s="1481"/>
      <c r="BN22" s="1481"/>
      <c r="BO22" s="1481"/>
      <c r="BP22" s="1481"/>
      <c r="BQ22" s="1481"/>
      <c r="BR22" s="1481"/>
      <c r="BS22" s="1481"/>
      <c r="BT22" s="1481"/>
      <c r="BU22" s="1481"/>
      <c r="BV22" s="1481"/>
      <c r="BW22" s="1481"/>
      <c r="BX22" s="1481"/>
      <c r="BY22" s="1481"/>
      <c r="BZ22" s="1481"/>
      <c r="CA22" s="1482"/>
      <c r="CB22" s="410"/>
      <c r="CC22" s="410"/>
    </row>
    <row r="23" spans="2:92" ht="11.25" customHeight="1">
      <c r="B23" s="410"/>
      <c r="C23" s="223"/>
      <c r="D23" s="1537"/>
      <c r="E23" s="1538"/>
      <c r="F23" s="1538"/>
      <c r="G23" s="1538"/>
      <c r="H23" s="1538"/>
      <c r="I23" s="1538"/>
      <c r="J23" s="1538"/>
      <c r="K23" s="1538"/>
      <c r="L23" s="1538"/>
      <c r="M23" s="1538"/>
      <c r="N23" s="1538"/>
      <c r="O23" s="1538"/>
      <c r="P23" s="1538"/>
      <c r="Q23" s="1538"/>
      <c r="R23" s="1538"/>
      <c r="S23" s="1538"/>
      <c r="T23" s="1538"/>
      <c r="U23" s="1538"/>
      <c r="V23" s="1538"/>
      <c r="W23" s="1538"/>
      <c r="X23" s="1538"/>
      <c r="Y23" s="1538"/>
      <c r="Z23" s="1538"/>
      <c r="AA23" s="1538"/>
      <c r="AB23" s="1538"/>
      <c r="AC23" s="1538"/>
      <c r="AD23" s="1538"/>
      <c r="AE23" s="1538"/>
      <c r="AF23" s="1538"/>
      <c r="AG23" s="1538"/>
      <c r="AH23" s="1538"/>
      <c r="AI23" s="1538"/>
      <c r="AJ23" s="1538"/>
      <c r="AK23" s="1538"/>
      <c r="AL23" s="1538"/>
      <c r="AM23" s="1538"/>
      <c r="AN23" s="1538"/>
      <c r="AO23" s="1539"/>
      <c r="AP23" s="1484"/>
      <c r="AQ23" s="1485"/>
      <c r="AR23" s="1485"/>
      <c r="AS23" s="1485"/>
      <c r="AT23" s="1485"/>
      <c r="AU23" s="1485"/>
      <c r="AV23" s="1485"/>
      <c r="AW23" s="1485"/>
      <c r="AX23" s="1485"/>
      <c r="AY23" s="1485"/>
      <c r="AZ23" s="1485"/>
      <c r="BA23" s="1485"/>
      <c r="BB23" s="1485"/>
      <c r="BC23" s="1485"/>
      <c r="BD23" s="1485"/>
      <c r="BE23" s="1485"/>
      <c r="BF23" s="1485"/>
      <c r="BG23" s="1485"/>
      <c r="BH23" s="1485"/>
      <c r="BI23" s="1485"/>
      <c r="BJ23" s="1485"/>
      <c r="BK23" s="1485"/>
      <c r="BL23" s="1485"/>
      <c r="BM23" s="1485"/>
      <c r="BN23" s="1485"/>
      <c r="BO23" s="1485"/>
      <c r="BP23" s="1485"/>
      <c r="BQ23" s="1485"/>
      <c r="BR23" s="1485"/>
      <c r="BS23" s="1485"/>
      <c r="BT23" s="1485"/>
      <c r="BU23" s="1485"/>
      <c r="BV23" s="1485"/>
      <c r="BW23" s="1485"/>
      <c r="BX23" s="1485"/>
      <c r="BY23" s="1485"/>
      <c r="BZ23" s="1485"/>
      <c r="CA23" s="1486"/>
      <c r="CB23" s="410"/>
      <c r="CC23" s="410"/>
    </row>
    <row r="24" spans="2:92" ht="11.25" customHeight="1">
      <c r="B24" s="410"/>
      <c r="C24" s="223"/>
      <c r="D24" s="1519" t="s">
        <v>824</v>
      </c>
      <c r="E24" s="1520"/>
      <c r="F24" s="1520"/>
      <c r="G24" s="1520"/>
      <c r="H24" s="1520"/>
      <c r="I24" s="1520"/>
      <c r="J24" s="1520"/>
      <c r="K24" s="1520"/>
      <c r="L24" s="1520"/>
      <c r="M24" s="1520"/>
      <c r="N24" s="1520"/>
      <c r="O24" s="1520"/>
      <c r="P24" s="1520"/>
      <c r="Q24" s="1520"/>
      <c r="R24" s="1520"/>
      <c r="S24" s="1520"/>
      <c r="T24" s="1520"/>
      <c r="U24" s="1520"/>
      <c r="V24" s="1520"/>
      <c r="W24" s="1520"/>
      <c r="X24" s="1520"/>
      <c r="Y24" s="1520"/>
      <c r="Z24" s="1520"/>
      <c r="AA24" s="1520"/>
      <c r="AB24" s="1520"/>
      <c r="AC24" s="1520"/>
      <c r="AD24" s="1520"/>
      <c r="AE24" s="1520"/>
      <c r="AF24" s="1520"/>
      <c r="AG24" s="1520"/>
      <c r="AH24" s="1520"/>
      <c r="AI24" s="1520"/>
      <c r="AJ24" s="1520"/>
      <c r="AK24" s="1520"/>
      <c r="AL24" s="1520"/>
      <c r="AM24" s="1520"/>
      <c r="AN24" s="1520"/>
      <c r="AO24" s="1521"/>
      <c r="AP24" s="1487" t="s">
        <v>825</v>
      </c>
      <c r="AQ24" s="1488"/>
      <c r="AR24" s="1488"/>
      <c r="AS24" s="1488"/>
      <c r="AT24" s="1488"/>
      <c r="AU24" s="1488"/>
      <c r="AV24" s="1488"/>
      <c r="AW24" s="1488"/>
      <c r="AX24" s="1488"/>
      <c r="AY24" s="1488"/>
      <c r="AZ24" s="1488"/>
      <c r="BA24" s="1488"/>
      <c r="BB24" s="1488"/>
      <c r="BC24" s="1488"/>
      <c r="BD24" s="1488"/>
      <c r="BE24" s="1488"/>
      <c r="BF24" s="1488"/>
      <c r="BG24" s="1488"/>
      <c r="BH24" s="1488"/>
      <c r="BI24" s="1488"/>
      <c r="BJ24" s="1488"/>
      <c r="BK24" s="1488"/>
      <c r="BL24" s="1488"/>
      <c r="BM24" s="1488"/>
      <c r="BN24" s="1488"/>
      <c r="BO24" s="1488"/>
      <c r="BP24" s="1488"/>
      <c r="BQ24" s="1488"/>
      <c r="BR24" s="1488"/>
      <c r="BS24" s="1488"/>
      <c r="BT24" s="1488"/>
      <c r="BU24" s="1488"/>
      <c r="BV24" s="1488"/>
      <c r="BW24" s="1488"/>
      <c r="BX24" s="1488"/>
      <c r="BY24" s="1488"/>
      <c r="BZ24" s="1488"/>
      <c r="CA24" s="1489"/>
      <c r="CB24" s="410"/>
      <c r="CC24" s="410"/>
    </row>
    <row r="25" spans="2:92" s="410" customFormat="1" ht="11.25" customHeight="1">
      <c r="C25" s="223"/>
      <c r="D25" s="1519"/>
      <c r="E25" s="1520"/>
      <c r="F25" s="1520"/>
      <c r="G25" s="1520"/>
      <c r="H25" s="1520"/>
      <c r="I25" s="1520"/>
      <c r="J25" s="1520"/>
      <c r="K25" s="1520"/>
      <c r="L25" s="1520"/>
      <c r="M25" s="1520"/>
      <c r="N25" s="1520"/>
      <c r="O25" s="1520"/>
      <c r="P25" s="1520"/>
      <c r="Q25" s="1520"/>
      <c r="R25" s="1520"/>
      <c r="S25" s="1520"/>
      <c r="T25" s="1520"/>
      <c r="U25" s="1520"/>
      <c r="V25" s="1520"/>
      <c r="W25" s="1520"/>
      <c r="X25" s="1520"/>
      <c r="Y25" s="1520"/>
      <c r="Z25" s="1520"/>
      <c r="AA25" s="1520"/>
      <c r="AB25" s="1520"/>
      <c r="AC25" s="1520"/>
      <c r="AD25" s="1520"/>
      <c r="AE25" s="1520"/>
      <c r="AF25" s="1520"/>
      <c r="AG25" s="1520"/>
      <c r="AH25" s="1520"/>
      <c r="AI25" s="1520"/>
      <c r="AJ25" s="1520"/>
      <c r="AK25" s="1520"/>
      <c r="AL25" s="1520"/>
      <c r="AM25" s="1520"/>
      <c r="AN25" s="1520"/>
      <c r="AO25" s="1521"/>
      <c r="AP25" s="1490"/>
      <c r="AQ25" s="1491"/>
      <c r="AR25" s="1491"/>
      <c r="AS25" s="1491"/>
      <c r="AT25" s="1491"/>
      <c r="AU25" s="1491"/>
      <c r="AV25" s="1491"/>
      <c r="AW25" s="1491"/>
      <c r="AX25" s="1491"/>
      <c r="AY25" s="1491"/>
      <c r="AZ25" s="1491"/>
      <c r="BA25" s="1491"/>
      <c r="BB25" s="1491"/>
      <c r="BC25" s="1491"/>
      <c r="BD25" s="1491"/>
      <c r="BE25" s="1491"/>
      <c r="BF25" s="1491"/>
      <c r="BG25" s="1491"/>
      <c r="BH25" s="1491"/>
      <c r="BI25" s="1491"/>
      <c r="BJ25" s="1491"/>
      <c r="BK25" s="1491"/>
      <c r="BL25" s="1491"/>
      <c r="BM25" s="1491"/>
      <c r="BN25" s="1491"/>
      <c r="BO25" s="1491"/>
      <c r="BP25" s="1491"/>
      <c r="BQ25" s="1491"/>
      <c r="BR25" s="1491"/>
      <c r="BS25" s="1491"/>
      <c r="BT25" s="1491"/>
      <c r="BU25" s="1491"/>
      <c r="BV25" s="1491"/>
      <c r="BW25" s="1491"/>
      <c r="BX25" s="1491"/>
      <c r="BY25" s="1491"/>
      <c r="BZ25" s="1491"/>
      <c r="CA25" s="1492"/>
    </row>
    <row r="26" spans="2:92" ht="11.25" customHeight="1">
      <c r="B26" s="410"/>
      <c r="C26" s="223"/>
      <c r="D26" s="1519"/>
      <c r="E26" s="1520"/>
      <c r="F26" s="1520"/>
      <c r="G26" s="1520"/>
      <c r="H26" s="1520"/>
      <c r="I26" s="1520"/>
      <c r="J26" s="1520"/>
      <c r="K26" s="1520"/>
      <c r="L26" s="1520"/>
      <c r="M26" s="1520"/>
      <c r="N26" s="1520"/>
      <c r="O26" s="1520"/>
      <c r="P26" s="1520"/>
      <c r="Q26" s="1520"/>
      <c r="R26" s="1520"/>
      <c r="S26" s="1520"/>
      <c r="T26" s="1520"/>
      <c r="U26" s="1520"/>
      <c r="V26" s="1520"/>
      <c r="W26" s="1520"/>
      <c r="X26" s="1520"/>
      <c r="Y26" s="1520"/>
      <c r="Z26" s="1520"/>
      <c r="AA26" s="1520"/>
      <c r="AB26" s="1520"/>
      <c r="AC26" s="1520"/>
      <c r="AD26" s="1520"/>
      <c r="AE26" s="1520"/>
      <c r="AF26" s="1520"/>
      <c r="AG26" s="1520"/>
      <c r="AH26" s="1520"/>
      <c r="AI26" s="1520"/>
      <c r="AJ26" s="1520"/>
      <c r="AK26" s="1520"/>
      <c r="AL26" s="1520"/>
      <c r="AM26" s="1520"/>
      <c r="AN26" s="1520"/>
      <c r="AO26" s="1521"/>
      <c r="AP26" s="1493"/>
      <c r="AQ26" s="1491"/>
      <c r="AR26" s="1491"/>
      <c r="AS26" s="1491"/>
      <c r="AT26" s="1491"/>
      <c r="AU26" s="1491"/>
      <c r="AV26" s="1491"/>
      <c r="AW26" s="1491"/>
      <c r="AX26" s="1491"/>
      <c r="AY26" s="1491"/>
      <c r="AZ26" s="1491"/>
      <c r="BA26" s="1491"/>
      <c r="BB26" s="1491"/>
      <c r="BC26" s="1491"/>
      <c r="BD26" s="1491"/>
      <c r="BE26" s="1491"/>
      <c r="BF26" s="1491"/>
      <c r="BG26" s="1491"/>
      <c r="BH26" s="1491"/>
      <c r="BI26" s="1491"/>
      <c r="BJ26" s="1491"/>
      <c r="BK26" s="1491"/>
      <c r="BL26" s="1491"/>
      <c r="BM26" s="1491"/>
      <c r="BN26" s="1491"/>
      <c r="BO26" s="1491"/>
      <c r="BP26" s="1491"/>
      <c r="BQ26" s="1491"/>
      <c r="BR26" s="1491"/>
      <c r="BS26" s="1491"/>
      <c r="BT26" s="1491"/>
      <c r="BU26" s="1491"/>
      <c r="BV26" s="1491"/>
      <c r="BW26" s="1491"/>
      <c r="BX26" s="1491"/>
      <c r="BY26" s="1491"/>
      <c r="BZ26" s="1491"/>
      <c r="CA26" s="1492"/>
      <c r="CB26" s="410"/>
      <c r="CC26" s="410"/>
    </row>
    <row r="27" spans="2:92" ht="11.25" customHeight="1">
      <c r="B27" s="410"/>
      <c r="C27" s="223"/>
      <c r="D27" s="1519"/>
      <c r="E27" s="1520"/>
      <c r="F27" s="1520"/>
      <c r="G27" s="1520"/>
      <c r="H27" s="1520"/>
      <c r="I27" s="1520"/>
      <c r="J27" s="1520"/>
      <c r="K27" s="1520"/>
      <c r="L27" s="1520"/>
      <c r="M27" s="1520"/>
      <c r="N27" s="1520"/>
      <c r="O27" s="1520"/>
      <c r="P27" s="1520"/>
      <c r="Q27" s="1520"/>
      <c r="R27" s="1520"/>
      <c r="S27" s="1520"/>
      <c r="T27" s="1520"/>
      <c r="U27" s="1520"/>
      <c r="V27" s="1520"/>
      <c r="W27" s="1520"/>
      <c r="X27" s="1520"/>
      <c r="Y27" s="1520"/>
      <c r="Z27" s="1520"/>
      <c r="AA27" s="1520"/>
      <c r="AB27" s="1520"/>
      <c r="AC27" s="1520"/>
      <c r="AD27" s="1520"/>
      <c r="AE27" s="1520"/>
      <c r="AF27" s="1520"/>
      <c r="AG27" s="1520"/>
      <c r="AH27" s="1520"/>
      <c r="AI27" s="1520"/>
      <c r="AJ27" s="1520"/>
      <c r="AK27" s="1520"/>
      <c r="AL27" s="1520"/>
      <c r="AM27" s="1520"/>
      <c r="AN27" s="1520"/>
      <c r="AO27" s="1521"/>
      <c r="AP27" s="1493"/>
      <c r="AQ27" s="1491"/>
      <c r="AR27" s="1491"/>
      <c r="AS27" s="1491"/>
      <c r="AT27" s="1491"/>
      <c r="AU27" s="1491"/>
      <c r="AV27" s="1491"/>
      <c r="AW27" s="1491"/>
      <c r="AX27" s="1491"/>
      <c r="AY27" s="1491"/>
      <c r="AZ27" s="1491"/>
      <c r="BA27" s="1491"/>
      <c r="BB27" s="1491"/>
      <c r="BC27" s="1491"/>
      <c r="BD27" s="1491"/>
      <c r="BE27" s="1491"/>
      <c r="BF27" s="1491"/>
      <c r="BG27" s="1491"/>
      <c r="BH27" s="1491"/>
      <c r="BI27" s="1491"/>
      <c r="BJ27" s="1491"/>
      <c r="BK27" s="1491"/>
      <c r="BL27" s="1491"/>
      <c r="BM27" s="1491"/>
      <c r="BN27" s="1491"/>
      <c r="BO27" s="1491"/>
      <c r="BP27" s="1491"/>
      <c r="BQ27" s="1491"/>
      <c r="BR27" s="1491"/>
      <c r="BS27" s="1491"/>
      <c r="BT27" s="1491"/>
      <c r="BU27" s="1491"/>
      <c r="BV27" s="1491"/>
      <c r="BW27" s="1491"/>
      <c r="BX27" s="1491"/>
      <c r="BY27" s="1491"/>
      <c r="BZ27" s="1491"/>
      <c r="CA27" s="1492"/>
      <c r="CB27" s="410"/>
      <c r="CC27" s="410"/>
    </row>
    <row r="28" spans="2:92" ht="11.25" customHeight="1" thickBot="1">
      <c r="B28" s="410"/>
      <c r="C28" s="223"/>
      <c r="D28" s="1519"/>
      <c r="E28" s="1520"/>
      <c r="F28" s="1520"/>
      <c r="G28" s="1520"/>
      <c r="H28" s="1520"/>
      <c r="I28" s="1520"/>
      <c r="J28" s="1520"/>
      <c r="K28" s="1520"/>
      <c r="L28" s="1520"/>
      <c r="M28" s="1520"/>
      <c r="N28" s="1520"/>
      <c r="O28" s="1520"/>
      <c r="P28" s="1520"/>
      <c r="Q28" s="1520"/>
      <c r="R28" s="1520"/>
      <c r="S28" s="1520"/>
      <c r="T28" s="1520"/>
      <c r="U28" s="1520"/>
      <c r="V28" s="1520"/>
      <c r="W28" s="1520"/>
      <c r="X28" s="1520"/>
      <c r="Y28" s="1520"/>
      <c r="Z28" s="1520"/>
      <c r="AA28" s="1520"/>
      <c r="AB28" s="1520"/>
      <c r="AC28" s="1520"/>
      <c r="AD28" s="1520"/>
      <c r="AE28" s="1520"/>
      <c r="AF28" s="1520"/>
      <c r="AG28" s="1520"/>
      <c r="AH28" s="1520"/>
      <c r="AI28" s="1520"/>
      <c r="AJ28" s="1520"/>
      <c r="AK28" s="1520"/>
      <c r="AL28" s="1520"/>
      <c r="AM28" s="1520"/>
      <c r="AN28" s="1520"/>
      <c r="AO28" s="1521"/>
      <c r="AP28" s="1494"/>
      <c r="AQ28" s="1495"/>
      <c r="AR28" s="1495"/>
      <c r="AS28" s="1495"/>
      <c r="AT28" s="1495"/>
      <c r="AU28" s="1495"/>
      <c r="AV28" s="1495"/>
      <c r="AW28" s="1495"/>
      <c r="AX28" s="1495"/>
      <c r="AY28" s="1495"/>
      <c r="AZ28" s="1495"/>
      <c r="BA28" s="1495"/>
      <c r="BB28" s="1495"/>
      <c r="BC28" s="1495"/>
      <c r="BD28" s="1495"/>
      <c r="BE28" s="1495"/>
      <c r="BF28" s="1495"/>
      <c r="BG28" s="1495"/>
      <c r="BH28" s="1495"/>
      <c r="BI28" s="1495"/>
      <c r="BJ28" s="1495"/>
      <c r="BK28" s="1495"/>
      <c r="BL28" s="1495"/>
      <c r="BM28" s="1495"/>
      <c r="BN28" s="1495"/>
      <c r="BO28" s="1495"/>
      <c r="BP28" s="1495"/>
      <c r="BQ28" s="1495"/>
      <c r="BR28" s="1495"/>
      <c r="BS28" s="1495"/>
      <c r="BT28" s="1495"/>
      <c r="BU28" s="1495"/>
      <c r="BV28" s="1495"/>
      <c r="BW28" s="1495"/>
      <c r="BX28" s="1495"/>
      <c r="BY28" s="1495"/>
      <c r="BZ28" s="1495"/>
      <c r="CA28" s="1496"/>
      <c r="CB28" s="410"/>
      <c r="CC28" s="410"/>
    </row>
    <row r="29" spans="2:92" ht="11.25" customHeight="1">
      <c r="B29" s="410"/>
      <c r="C29" s="411"/>
      <c r="D29" s="1519" t="s">
        <v>862</v>
      </c>
      <c r="E29" s="1520"/>
      <c r="F29" s="1520"/>
      <c r="G29" s="1520"/>
      <c r="H29" s="1520"/>
      <c r="I29" s="1520"/>
      <c r="J29" s="1520"/>
      <c r="K29" s="1520"/>
      <c r="L29" s="1520"/>
      <c r="M29" s="1520"/>
      <c r="N29" s="1520"/>
      <c r="O29" s="1520"/>
      <c r="P29" s="1520"/>
      <c r="Q29" s="1520"/>
      <c r="R29" s="1520"/>
      <c r="S29" s="1520"/>
      <c r="T29" s="1520"/>
      <c r="U29" s="1520"/>
      <c r="V29" s="1520"/>
      <c r="W29" s="1520"/>
      <c r="X29" s="1520"/>
      <c r="Y29" s="1520"/>
      <c r="Z29" s="1520"/>
      <c r="AA29" s="1520"/>
      <c r="AB29" s="1520"/>
      <c r="AC29" s="1520"/>
      <c r="AD29" s="1520"/>
      <c r="AE29" s="1520"/>
      <c r="AF29" s="1520"/>
      <c r="AG29" s="1520"/>
      <c r="AH29" s="1520"/>
      <c r="AI29" s="1520"/>
      <c r="AJ29" s="1520"/>
      <c r="AK29" s="1520"/>
      <c r="AL29" s="1520"/>
      <c r="AM29" s="1520"/>
      <c r="AN29" s="1520"/>
      <c r="AO29" s="1521"/>
      <c r="AP29" s="1497" t="s">
        <v>826</v>
      </c>
      <c r="AQ29" s="1498"/>
      <c r="AR29" s="1498"/>
      <c r="AS29" s="1498"/>
      <c r="AT29" s="1498"/>
      <c r="AU29" s="1498"/>
      <c r="AV29" s="1498"/>
      <c r="AW29" s="1498"/>
      <c r="AX29" s="1498"/>
      <c r="AY29" s="1498"/>
      <c r="AZ29" s="1498"/>
      <c r="BA29" s="1498"/>
      <c r="BB29" s="1498"/>
      <c r="BC29" s="1498"/>
      <c r="BD29" s="1498"/>
      <c r="BE29" s="1498"/>
      <c r="BF29" s="1498"/>
      <c r="BG29" s="1498"/>
      <c r="BH29" s="1498"/>
      <c r="BI29" s="1498"/>
      <c r="BJ29" s="1498"/>
      <c r="BK29" s="1498"/>
      <c r="BL29" s="1498"/>
      <c r="BM29" s="1498"/>
      <c r="BN29" s="1498"/>
      <c r="BO29" s="1498"/>
      <c r="BP29" s="1498"/>
      <c r="BQ29" s="1498"/>
      <c r="BR29" s="1498"/>
      <c r="BS29" s="1498"/>
      <c r="BT29" s="1498"/>
      <c r="BU29" s="1498"/>
      <c r="BV29" s="1498"/>
      <c r="BW29" s="1498"/>
      <c r="BX29" s="1498"/>
      <c r="BY29" s="1498"/>
      <c r="BZ29" s="1498"/>
      <c r="CA29" s="1499"/>
      <c r="CB29" s="410"/>
      <c r="CC29" s="1601" t="s">
        <v>860</v>
      </c>
      <c r="CD29" s="1602"/>
      <c r="CE29" s="1602"/>
      <c r="CF29" s="1602"/>
      <c r="CG29" s="1602"/>
      <c r="CH29" s="1602"/>
      <c r="CI29" s="1602"/>
      <c r="CJ29" s="1602"/>
      <c r="CK29" s="1602"/>
      <c r="CL29" s="1602"/>
      <c r="CM29" s="1602"/>
      <c r="CN29" s="1603"/>
    </row>
    <row r="30" spans="2:92" ht="11.25" customHeight="1">
      <c r="B30" s="410"/>
      <c r="C30" s="459"/>
      <c r="D30" s="1519"/>
      <c r="E30" s="1520"/>
      <c r="F30" s="1520"/>
      <c r="G30" s="1520"/>
      <c r="H30" s="1520"/>
      <c r="I30" s="1520"/>
      <c r="J30" s="1520"/>
      <c r="K30" s="1520"/>
      <c r="L30" s="1520"/>
      <c r="M30" s="1520"/>
      <c r="N30" s="1520"/>
      <c r="O30" s="1520"/>
      <c r="P30" s="1520"/>
      <c r="Q30" s="1520"/>
      <c r="R30" s="1520"/>
      <c r="S30" s="1520"/>
      <c r="T30" s="1520"/>
      <c r="U30" s="1520"/>
      <c r="V30" s="1520"/>
      <c r="W30" s="1520"/>
      <c r="X30" s="1520"/>
      <c r="Y30" s="1520"/>
      <c r="Z30" s="1520"/>
      <c r="AA30" s="1520"/>
      <c r="AB30" s="1520"/>
      <c r="AC30" s="1520"/>
      <c r="AD30" s="1520"/>
      <c r="AE30" s="1520"/>
      <c r="AF30" s="1520"/>
      <c r="AG30" s="1520"/>
      <c r="AH30" s="1520"/>
      <c r="AI30" s="1520"/>
      <c r="AJ30" s="1520"/>
      <c r="AK30" s="1520"/>
      <c r="AL30" s="1520"/>
      <c r="AM30" s="1520"/>
      <c r="AN30" s="1520"/>
      <c r="AO30" s="1521"/>
      <c r="AP30" s="1500"/>
      <c r="AQ30" s="1501"/>
      <c r="AR30" s="1501"/>
      <c r="AS30" s="1501"/>
      <c r="AT30" s="1501"/>
      <c r="AU30" s="1501"/>
      <c r="AV30" s="1501"/>
      <c r="AW30" s="1501"/>
      <c r="AX30" s="1501"/>
      <c r="AY30" s="1501"/>
      <c r="AZ30" s="1501"/>
      <c r="BA30" s="1501"/>
      <c r="BB30" s="1501"/>
      <c r="BC30" s="1501"/>
      <c r="BD30" s="1501"/>
      <c r="BE30" s="1501"/>
      <c r="BF30" s="1501"/>
      <c r="BG30" s="1501"/>
      <c r="BH30" s="1501"/>
      <c r="BI30" s="1501"/>
      <c r="BJ30" s="1501"/>
      <c r="BK30" s="1501"/>
      <c r="BL30" s="1501"/>
      <c r="BM30" s="1501"/>
      <c r="BN30" s="1501"/>
      <c r="BO30" s="1501"/>
      <c r="BP30" s="1501"/>
      <c r="BQ30" s="1501"/>
      <c r="BR30" s="1501"/>
      <c r="BS30" s="1501"/>
      <c r="BT30" s="1501"/>
      <c r="BU30" s="1501"/>
      <c r="BV30" s="1501"/>
      <c r="BW30" s="1501"/>
      <c r="BX30" s="1501"/>
      <c r="BY30" s="1501"/>
      <c r="BZ30" s="1501"/>
      <c r="CA30" s="1502"/>
      <c r="CB30" s="410"/>
      <c r="CC30" s="1604"/>
      <c r="CD30" s="1605"/>
      <c r="CE30" s="1605"/>
      <c r="CF30" s="1605"/>
      <c r="CG30" s="1605"/>
      <c r="CH30" s="1605"/>
      <c r="CI30" s="1605"/>
      <c r="CJ30" s="1605"/>
      <c r="CK30" s="1605"/>
      <c r="CL30" s="1605"/>
      <c r="CM30" s="1605"/>
      <c r="CN30" s="1606"/>
    </row>
    <row r="31" spans="2:92" s="410" customFormat="1" ht="11.25" customHeight="1">
      <c r="C31" s="459"/>
      <c r="D31" s="1519"/>
      <c r="E31" s="1520"/>
      <c r="F31" s="1520"/>
      <c r="G31" s="1520"/>
      <c r="H31" s="1520"/>
      <c r="I31" s="1520"/>
      <c r="J31" s="1520"/>
      <c r="K31" s="1520"/>
      <c r="L31" s="1520"/>
      <c r="M31" s="1520"/>
      <c r="N31" s="1520"/>
      <c r="O31" s="1520"/>
      <c r="P31" s="1520"/>
      <c r="Q31" s="1520"/>
      <c r="R31" s="1520"/>
      <c r="S31" s="1520"/>
      <c r="T31" s="1520"/>
      <c r="U31" s="1520"/>
      <c r="V31" s="1520"/>
      <c r="W31" s="1520"/>
      <c r="X31" s="1520"/>
      <c r="Y31" s="1520"/>
      <c r="Z31" s="1520"/>
      <c r="AA31" s="1520"/>
      <c r="AB31" s="1520"/>
      <c r="AC31" s="1520"/>
      <c r="AD31" s="1520"/>
      <c r="AE31" s="1520"/>
      <c r="AF31" s="1520"/>
      <c r="AG31" s="1520"/>
      <c r="AH31" s="1520"/>
      <c r="AI31" s="1520"/>
      <c r="AJ31" s="1520"/>
      <c r="AK31" s="1520"/>
      <c r="AL31" s="1520"/>
      <c r="AM31" s="1520"/>
      <c r="AN31" s="1520"/>
      <c r="AO31" s="1521"/>
      <c r="AP31" s="1500"/>
      <c r="AQ31" s="1501"/>
      <c r="AR31" s="1501"/>
      <c r="AS31" s="1501"/>
      <c r="AT31" s="1501"/>
      <c r="AU31" s="1501"/>
      <c r="AV31" s="1501"/>
      <c r="AW31" s="1501"/>
      <c r="AX31" s="1501"/>
      <c r="AY31" s="1501"/>
      <c r="AZ31" s="1501"/>
      <c r="BA31" s="1501"/>
      <c r="BB31" s="1501"/>
      <c r="BC31" s="1501"/>
      <c r="BD31" s="1501"/>
      <c r="BE31" s="1501"/>
      <c r="BF31" s="1501"/>
      <c r="BG31" s="1501"/>
      <c r="BH31" s="1501"/>
      <c r="BI31" s="1501"/>
      <c r="BJ31" s="1501"/>
      <c r="BK31" s="1501"/>
      <c r="BL31" s="1501"/>
      <c r="BM31" s="1501"/>
      <c r="BN31" s="1501"/>
      <c r="BO31" s="1501"/>
      <c r="BP31" s="1501"/>
      <c r="BQ31" s="1501"/>
      <c r="BR31" s="1501"/>
      <c r="BS31" s="1501"/>
      <c r="BT31" s="1501"/>
      <c r="BU31" s="1501"/>
      <c r="BV31" s="1501"/>
      <c r="BW31" s="1501"/>
      <c r="BX31" s="1501"/>
      <c r="BY31" s="1501"/>
      <c r="BZ31" s="1501"/>
      <c r="CA31" s="1502"/>
      <c r="CC31" s="1604"/>
      <c r="CD31" s="1605"/>
      <c r="CE31" s="1605"/>
      <c r="CF31" s="1605"/>
      <c r="CG31" s="1605"/>
      <c r="CH31" s="1605"/>
      <c r="CI31" s="1605"/>
      <c r="CJ31" s="1605"/>
      <c r="CK31" s="1605"/>
      <c r="CL31" s="1605"/>
      <c r="CM31" s="1605"/>
      <c r="CN31" s="1606"/>
    </row>
    <row r="32" spans="2:92" ht="11.25" customHeight="1">
      <c r="B32" s="410"/>
      <c r="C32" s="459"/>
      <c r="D32" s="1519"/>
      <c r="E32" s="1520"/>
      <c r="F32" s="1520"/>
      <c r="G32" s="1520"/>
      <c r="H32" s="1520"/>
      <c r="I32" s="1520"/>
      <c r="J32" s="1520"/>
      <c r="K32" s="1520"/>
      <c r="L32" s="1520"/>
      <c r="M32" s="1520"/>
      <c r="N32" s="1520"/>
      <c r="O32" s="1520"/>
      <c r="P32" s="1520"/>
      <c r="Q32" s="1520"/>
      <c r="R32" s="1520"/>
      <c r="S32" s="1520"/>
      <c r="T32" s="1520"/>
      <c r="U32" s="1520"/>
      <c r="V32" s="1520"/>
      <c r="W32" s="1520"/>
      <c r="X32" s="1520"/>
      <c r="Y32" s="1520"/>
      <c r="Z32" s="1520"/>
      <c r="AA32" s="1520"/>
      <c r="AB32" s="1520"/>
      <c r="AC32" s="1520"/>
      <c r="AD32" s="1520"/>
      <c r="AE32" s="1520"/>
      <c r="AF32" s="1520"/>
      <c r="AG32" s="1520"/>
      <c r="AH32" s="1520"/>
      <c r="AI32" s="1520"/>
      <c r="AJ32" s="1520"/>
      <c r="AK32" s="1520"/>
      <c r="AL32" s="1520"/>
      <c r="AM32" s="1520"/>
      <c r="AN32" s="1520"/>
      <c r="AO32" s="1521"/>
      <c r="AP32" s="1500"/>
      <c r="AQ32" s="1501"/>
      <c r="AR32" s="1501"/>
      <c r="AS32" s="1501"/>
      <c r="AT32" s="1501"/>
      <c r="AU32" s="1501"/>
      <c r="AV32" s="1501"/>
      <c r="AW32" s="1501"/>
      <c r="AX32" s="1501"/>
      <c r="AY32" s="1501"/>
      <c r="AZ32" s="1501"/>
      <c r="BA32" s="1501"/>
      <c r="BB32" s="1501"/>
      <c r="BC32" s="1501"/>
      <c r="BD32" s="1501"/>
      <c r="BE32" s="1501"/>
      <c r="BF32" s="1501"/>
      <c r="BG32" s="1501"/>
      <c r="BH32" s="1501"/>
      <c r="BI32" s="1501"/>
      <c r="BJ32" s="1501"/>
      <c r="BK32" s="1501"/>
      <c r="BL32" s="1501"/>
      <c r="BM32" s="1501"/>
      <c r="BN32" s="1501"/>
      <c r="BO32" s="1501"/>
      <c r="BP32" s="1501"/>
      <c r="BQ32" s="1501"/>
      <c r="BR32" s="1501"/>
      <c r="BS32" s="1501"/>
      <c r="BT32" s="1501"/>
      <c r="BU32" s="1501"/>
      <c r="BV32" s="1501"/>
      <c r="BW32" s="1501"/>
      <c r="BX32" s="1501"/>
      <c r="BY32" s="1501"/>
      <c r="BZ32" s="1501"/>
      <c r="CA32" s="1502"/>
      <c r="CB32" s="410"/>
      <c r="CC32" s="1604"/>
      <c r="CD32" s="1605"/>
      <c r="CE32" s="1605"/>
      <c r="CF32" s="1605"/>
      <c r="CG32" s="1605"/>
      <c r="CH32" s="1605"/>
      <c r="CI32" s="1605"/>
      <c r="CJ32" s="1605"/>
      <c r="CK32" s="1605"/>
      <c r="CL32" s="1605"/>
      <c r="CM32" s="1605"/>
      <c r="CN32" s="1606"/>
    </row>
    <row r="33" spans="2:103" ht="11.25" customHeight="1" thickBot="1">
      <c r="B33" s="410"/>
      <c r="C33" s="411"/>
      <c r="D33" s="1522"/>
      <c r="E33" s="1523"/>
      <c r="F33" s="1523"/>
      <c r="G33" s="1523"/>
      <c r="H33" s="1523"/>
      <c r="I33" s="1523"/>
      <c r="J33" s="1523"/>
      <c r="K33" s="1523"/>
      <c r="L33" s="1523"/>
      <c r="M33" s="1523"/>
      <c r="N33" s="1523"/>
      <c r="O33" s="1523"/>
      <c r="P33" s="1523"/>
      <c r="Q33" s="1523"/>
      <c r="R33" s="1523"/>
      <c r="S33" s="1523"/>
      <c r="T33" s="1523"/>
      <c r="U33" s="1523"/>
      <c r="V33" s="1523"/>
      <c r="W33" s="1523"/>
      <c r="X33" s="1523"/>
      <c r="Y33" s="1523"/>
      <c r="Z33" s="1523"/>
      <c r="AA33" s="1523"/>
      <c r="AB33" s="1523"/>
      <c r="AC33" s="1523"/>
      <c r="AD33" s="1523"/>
      <c r="AE33" s="1523"/>
      <c r="AF33" s="1523"/>
      <c r="AG33" s="1523"/>
      <c r="AH33" s="1523"/>
      <c r="AI33" s="1523"/>
      <c r="AJ33" s="1523"/>
      <c r="AK33" s="1523"/>
      <c r="AL33" s="1523"/>
      <c r="AM33" s="1523"/>
      <c r="AN33" s="1523"/>
      <c r="AO33" s="1524"/>
      <c r="AP33" s="1503"/>
      <c r="AQ33" s="1504"/>
      <c r="AR33" s="1504"/>
      <c r="AS33" s="1504"/>
      <c r="AT33" s="1504"/>
      <c r="AU33" s="1504"/>
      <c r="AV33" s="1504"/>
      <c r="AW33" s="1504"/>
      <c r="AX33" s="1504"/>
      <c r="AY33" s="1504"/>
      <c r="AZ33" s="1504"/>
      <c r="BA33" s="1504"/>
      <c r="BB33" s="1504"/>
      <c r="BC33" s="1504"/>
      <c r="BD33" s="1504"/>
      <c r="BE33" s="1504"/>
      <c r="BF33" s="1504"/>
      <c r="BG33" s="1504"/>
      <c r="BH33" s="1504"/>
      <c r="BI33" s="1504"/>
      <c r="BJ33" s="1504"/>
      <c r="BK33" s="1504"/>
      <c r="BL33" s="1504"/>
      <c r="BM33" s="1504"/>
      <c r="BN33" s="1504"/>
      <c r="BO33" s="1504"/>
      <c r="BP33" s="1504"/>
      <c r="BQ33" s="1504"/>
      <c r="BR33" s="1504"/>
      <c r="BS33" s="1504"/>
      <c r="BT33" s="1504"/>
      <c r="BU33" s="1504"/>
      <c r="BV33" s="1504"/>
      <c r="BW33" s="1504"/>
      <c r="BX33" s="1504"/>
      <c r="BY33" s="1504"/>
      <c r="BZ33" s="1504"/>
      <c r="CA33" s="1505"/>
      <c r="CB33" s="410"/>
      <c r="CC33" s="1604"/>
      <c r="CD33" s="1605"/>
      <c r="CE33" s="1605"/>
      <c r="CF33" s="1605"/>
      <c r="CG33" s="1605"/>
      <c r="CH33" s="1605"/>
      <c r="CI33" s="1605"/>
      <c r="CJ33" s="1605"/>
      <c r="CK33" s="1605"/>
      <c r="CL33" s="1605"/>
      <c r="CM33" s="1605"/>
      <c r="CN33" s="1606"/>
    </row>
    <row r="34" spans="2:103" ht="11.25" customHeight="1" thickBot="1">
      <c r="B34" s="410"/>
      <c r="C34" s="1506"/>
      <c r="D34" s="1506"/>
      <c r="E34" s="1506"/>
      <c r="F34" s="1506"/>
      <c r="G34" s="1506"/>
      <c r="H34" s="1506"/>
      <c r="I34" s="1506"/>
      <c r="J34" s="1506"/>
      <c r="K34" s="1506"/>
      <c r="L34" s="1506"/>
      <c r="M34" s="1506"/>
      <c r="N34" s="1506"/>
      <c r="O34" s="1506"/>
      <c r="P34" s="1506"/>
      <c r="Q34" s="1506"/>
      <c r="R34" s="1506"/>
      <c r="S34" s="1506"/>
      <c r="T34" s="1506"/>
      <c r="U34" s="1506"/>
      <c r="V34" s="1506"/>
      <c r="W34" s="1506"/>
      <c r="X34" s="1506"/>
      <c r="Y34" s="1506"/>
      <c r="Z34" s="1506"/>
      <c r="AA34" s="1506"/>
      <c r="AB34" s="1506"/>
      <c r="AC34" s="1506"/>
      <c r="AD34" s="1506"/>
      <c r="AE34" s="1506"/>
      <c r="AF34" s="1506"/>
      <c r="AG34" s="1506"/>
      <c r="AH34" s="1506"/>
      <c r="AI34" s="1506"/>
      <c r="AJ34" s="1506"/>
      <c r="AK34" s="1506"/>
      <c r="AL34" s="1506"/>
      <c r="AM34" s="1506"/>
      <c r="AN34" s="1506"/>
      <c r="AO34" s="1506"/>
      <c r="AP34" s="1506"/>
      <c r="AQ34" s="1506"/>
      <c r="AR34" s="1506"/>
      <c r="AS34" s="1506"/>
      <c r="AT34" s="1506"/>
      <c r="AU34" s="1506"/>
      <c r="AV34" s="1506"/>
      <c r="AW34" s="1506"/>
      <c r="AX34" s="1506"/>
      <c r="AY34" s="1506"/>
      <c r="AZ34" s="1506"/>
      <c r="BA34" s="1506"/>
      <c r="BB34" s="1506"/>
      <c r="BC34" s="1506"/>
      <c r="BD34" s="1506"/>
      <c r="BE34" s="1506"/>
      <c r="BF34" s="1506"/>
      <c r="BG34" s="1506"/>
      <c r="BH34" s="1506"/>
      <c r="BI34" s="1506"/>
      <c r="BJ34" s="1506"/>
      <c r="BK34" s="1506"/>
      <c r="BL34" s="1506"/>
      <c r="BM34" s="1506"/>
      <c r="BN34" s="1506"/>
      <c r="BO34" s="1506"/>
      <c r="BP34" s="1506"/>
      <c r="BQ34" s="1506"/>
      <c r="BR34" s="1506"/>
      <c r="BS34" s="1506"/>
      <c r="BT34" s="1506"/>
      <c r="BU34" s="1506"/>
      <c r="BV34" s="1506"/>
      <c r="BW34" s="1506"/>
      <c r="BX34" s="1506"/>
      <c r="BY34" s="1506"/>
      <c r="BZ34" s="1506"/>
      <c r="CA34" s="1506"/>
      <c r="CB34" s="410"/>
      <c r="CC34" s="1607"/>
      <c r="CD34" s="1608"/>
      <c r="CE34" s="1608"/>
      <c r="CF34" s="1608"/>
      <c r="CG34" s="1608"/>
      <c r="CH34" s="1608"/>
      <c r="CI34" s="1608"/>
      <c r="CJ34" s="1608"/>
      <c r="CK34" s="1608"/>
      <c r="CL34" s="1608"/>
      <c r="CM34" s="1608"/>
      <c r="CN34" s="1609"/>
    </row>
    <row r="35" spans="2:103" ht="11.25" customHeight="1">
      <c r="B35" s="410"/>
      <c r="C35" s="143"/>
      <c r="D35" s="1242"/>
      <c r="E35" s="1242"/>
      <c r="F35" s="1242"/>
      <c r="G35" s="1242"/>
      <c r="H35" s="1507"/>
      <c r="I35" s="1510" t="s">
        <v>423</v>
      </c>
      <c r="J35" s="1511"/>
      <c r="K35" s="1511"/>
      <c r="L35" s="1511"/>
      <c r="M35" s="1511"/>
      <c r="N35" s="1511"/>
      <c r="O35" s="1511"/>
      <c r="P35" s="1511"/>
      <c r="Q35" s="1511"/>
      <c r="R35" s="1511"/>
      <c r="S35" s="1511"/>
      <c r="T35" s="1511"/>
      <c r="U35" s="1511"/>
      <c r="V35" s="1511"/>
      <c r="W35" s="1511"/>
      <c r="X35" s="1511"/>
      <c r="Y35" s="1511"/>
      <c r="Z35" s="1511"/>
      <c r="AA35" s="1511"/>
      <c r="AB35" s="1511"/>
      <c r="AC35" s="1511"/>
      <c r="AD35" s="1511"/>
      <c r="AE35" s="1511"/>
      <c r="AF35" s="1511"/>
      <c r="AG35" s="1511"/>
      <c r="AH35" s="1511"/>
      <c r="AI35" s="1511"/>
      <c r="AJ35" s="1511"/>
      <c r="AK35" s="1511"/>
      <c r="AL35" s="1511"/>
      <c r="AM35" s="1511"/>
      <c r="AN35" s="1511"/>
      <c r="AO35" s="1511"/>
      <c r="AP35" s="1511"/>
      <c r="AQ35" s="1512"/>
      <c r="AR35" s="1595"/>
      <c r="AS35" s="1597" t="s">
        <v>424</v>
      </c>
      <c r="AT35" s="1511"/>
      <c r="AU35" s="1511"/>
      <c r="AV35" s="1511"/>
      <c r="AW35" s="1511"/>
      <c r="AX35" s="1511"/>
      <c r="AY35" s="1511"/>
      <c r="AZ35" s="1511"/>
      <c r="BA35" s="1540" t="s">
        <v>425</v>
      </c>
      <c r="BB35" s="1511"/>
      <c r="BC35" s="1511"/>
      <c r="BD35" s="1598"/>
      <c r="BE35" s="1540" t="s">
        <v>426</v>
      </c>
      <c r="BF35" s="1511"/>
      <c r="BG35" s="1511"/>
      <c r="BH35" s="1511"/>
      <c r="BI35" s="1511"/>
      <c r="BJ35" s="1511"/>
      <c r="BK35" s="1511"/>
      <c r="BL35" s="1511"/>
      <c r="BM35" s="1511"/>
      <c r="BN35" s="1511"/>
      <c r="BO35" s="1511"/>
      <c r="BP35" s="1511"/>
      <c r="BQ35" s="1511"/>
      <c r="BR35" s="1511"/>
      <c r="BS35" s="1511"/>
      <c r="BT35" s="1511"/>
      <c r="BU35" s="1511"/>
      <c r="BV35" s="1511"/>
      <c r="BW35" s="1511"/>
      <c r="BX35" s="1511"/>
      <c r="BY35" s="1511"/>
      <c r="BZ35" s="1511"/>
      <c r="CA35" s="1512"/>
      <c r="CB35" s="410"/>
      <c r="CC35" s="1168" t="s">
        <v>859</v>
      </c>
      <c r="CD35" s="1638"/>
      <c r="CE35" s="1638"/>
      <c r="CF35" s="1639"/>
      <c r="CG35" s="1168" t="s">
        <v>858</v>
      </c>
      <c r="CH35" s="1638"/>
      <c r="CI35" s="1638"/>
      <c r="CJ35" s="1639"/>
      <c r="CK35" s="1168" t="s">
        <v>857</v>
      </c>
      <c r="CL35" s="1638"/>
      <c r="CM35" s="1638"/>
      <c r="CN35" s="1639"/>
    </row>
    <row r="36" spans="2:103" s="410" customFormat="1" ht="11.25" customHeight="1">
      <c r="C36" s="143"/>
      <c r="D36" s="1242"/>
      <c r="E36" s="1242"/>
      <c r="F36" s="1242"/>
      <c r="G36" s="1242"/>
      <c r="H36" s="1507"/>
      <c r="I36" s="1513"/>
      <c r="J36" s="1514"/>
      <c r="K36" s="1514"/>
      <c r="L36" s="1514"/>
      <c r="M36" s="1514"/>
      <c r="N36" s="1514"/>
      <c r="O36" s="1514"/>
      <c r="P36" s="1514"/>
      <c r="Q36" s="1514"/>
      <c r="R36" s="1514"/>
      <c r="S36" s="1514"/>
      <c r="T36" s="1514"/>
      <c r="U36" s="1514"/>
      <c r="V36" s="1514"/>
      <c r="W36" s="1514"/>
      <c r="X36" s="1514"/>
      <c r="Y36" s="1514"/>
      <c r="Z36" s="1514"/>
      <c r="AA36" s="1514"/>
      <c r="AB36" s="1514"/>
      <c r="AC36" s="1514"/>
      <c r="AD36" s="1514"/>
      <c r="AE36" s="1514"/>
      <c r="AF36" s="1514"/>
      <c r="AG36" s="1514"/>
      <c r="AH36" s="1514"/>
      <c r="AI36" s="1514"/>
      <c r="AJ36" s="1514"/>
      <c r="AK36" s="1514"/>
      <c r="AL36" s="1514"/>
      <c r="AM36" s="1514"/>
      <c r="AN36" s="1514"/>
      <c r="AO36" s="1514"/>
      <c r="AP36" s="1514"/>
      <c r="AQ36" s="1515"/>
      <c r="AR36" s="1595"/>
      <c r="AS36" s="1168"/>
      <c r="AT36" s="1514"/>
      <c r="AU36" s="1514"/>
      <c r="AV36" s="1514"/>
      <c r="AW36" s="1514"/>
      <c r="AX36" s="1514"/>
      <c r="AY36" s="1514"/>
      <c r="AZ36" s="1514"/>
      <c r="BA36" s="1541"/>
      <c r="BB36" s="1514"/>
      <c r="BC36" s="1514"/>
      <c r="BD36" s="1599"/>
      <c r="BE36" s="1541"/>
      <c r="BF36" s="1514"/>
      <c r="BG36" s="1514"/>
      <c r="BH36" s="1514"/>
      <c r="BI36" s="1514"/>
      <c r="BJ36" s="1514"/>
      <c r="BK36" s="1514"/>
      <c r="BL36" s="1514"/>
      <c r="BM36" s="1514"/>
      <c r="BN36" s="1514"/>
      <c r="BO36" s="1514"/>
      <c r="BP36" s="1514"/>
      <c r="BQ36" s="1514"/>
      <c r="BR36" s="1514"/>
      <c r="BS36" s="1514"/>
      <c r="BT36" s="1514"/>
      <c r="BU36" s="1514"/>
      <c r="BV36" s="1514"/>
      <c r="BW36" s="1514"/>
      <c r="BX36" s="1514"/>
      <c r="BY36" s="1514"/>
      <c r="BZ36" s="1514"/>
      <c r="CA36" s="1515"/>
      <c r="CC36" s="1640"/>
      <c r="CD36" s="1638"/>
      <c r="CE36" s="1638"/>
      <c r="CF36" s="1639"/>
      <c r="CG36" s="1640"/>
      <c r="CH36" s="1638"/>
      <c r="CI36" s="1638"/>
      <c r="CJ36" s="1639"/>
      <c r="CK36" s="1640"/>
      <c r="CL36" s="1638"/>
      <c r="CM36" s="1638"/>
      <c r="CN36" s="1639"/>
    </row>
    <row r="37" spans="2:103" ht="11.25" customHeight="1">
      <c r="B37" s="410"/>
      <c r="C37" s="143"/>
      <c r="D37" s="1242"/>
      <c r="E37" s="1242"/>
      <c r="F37" s="1242"/>
      <c r="G37" s="1242"/>
      <c r="H37" s="1507"/>
      <c r="I37" s="1513"/>
      <c r="J37" s="1514"/>
      <c r="K37" s="1514"/>
      <c r="L37" s="1514"/>
      <c r="M37" s="1514"/>
      <c r="N37" s="1514"/>
      <c r="O37" s="1514"/>
      <c r="P37" s="1514"/>
      <c r="Q37" s="1514"/>
      <c r="R37" s="1514"/>
      <c r="S37" s="1514"/>
      <c r="T37" s="1514"/>
      <c r="U37" s="1514"/>
      <c r="V37" s="1514"/>
      <c r="W37" s="1514"/>
      <c r="X37" s="1514"/>
      <c r="Y37" s="1514"/>
      <c r="Z37" s="1514"/>
      <c r="AA37" s="1514"/>
      <c r="AB37" s="1514"/>
      <c r="AC37" s="1514"/>
      <c r="AD37" s="1514"/>
      <c r="AE37" s="1514"/>
      <c r="AF37" s="1514"/>
      <c r="AG37" s="1514"/>
      <c r="AH37" s="1514"/>
      <c r="AI37" s="1514"/>
      <c r="AJ37" s="1514"/>
      <c r="AK37" s="1514"/>
      <c r="AL37" s="1514"/>
      <c r="AM37" s="1514"/>
      <c r="AN37" s="1514"/>
      <c r="AO37" s="1514"/>
      <c r="AP37" s="1514"/>
      <c r="AQ37" s="1515"/>
      <c r="AR37" s="1595"/>
      <c r="AS37" s="1513"/>
      <c r="AT37" s="1514"/>
      <c r="AU37" s="1514"/>
      <c r="AV37" s="1514"/>
      <c r="AW37" s="1514"/>
      <c r="AX37" s="1514"/>
      <c r="AY37" s="1514"/>
      <c r="AZ37" s="1514"/>
      <c r="BA37" s="1541"/>
      <c r="BB37" s="1514"/>
      <c r="BC37" s="1514"/>
      <c r="BD37" s="1599"/>
      <c r="BE37" s="1541"/>
      <c r="BF37" s="1514"/>
      <c r="BG37" s="1514"/>
      <c r="BH37" s="1514"/>
      <c r="BI37" s="1514"/>
      <c r="BJ37" s="1514"/>
      <c r="BK37" s="1514"/>
      <c r="BL37" s="1514"/>
      <c r="BM37" s="1514"/>
      <c r="BN37" s="1514"/>
      <c r="BO37" s="1514"/>
      <c r="BP37" s="1514"/>
      <c r="BQ37" s="1514"/>
      <c r="BR37" s="1514"/>
      <c r="BS37" s="1514"/>
      <c r="BT37" s="1514"/>
      <c r="BU37" s="1514"/>
      <c r="BV37" s="1514"/>
      <c r="BW37" s="1514"/>
      <c r="BX37" s="1514"/>
      <c r="BY37" s="1514"/>
      <c r="BZ37" s="1514"/>
      <c r="CA37" s="1515"/>
      <c r="CB37" s="410"/>
      <c r="CC37" s="1640"/>
      <c r="CD37" s="1638"/>
      <c r="CE37" s="1638"/>
      <c r="CF37" s="1639"/>
      <c r="CG37" s="1640"/>
      <c r="CH37" s="1638"/>
      <c r="CI37" s="1638"/>
      <c r="CJ37" s="1639"/>
      <c r="CK37" s="1640"/>
      <c r="CL37" s="1638"/>
      <c r="CM37" s="1638"/>
      <c r="CN37" s="1639"/>
    </row>
    <row r="38" spans="2:103" ht="11.25" customHeight="1" thickBot="1">
      <c r="B38" s="410"/>
      <c r="C38" s="143"/>
      <c r="D38" s="1508"/>
      <c r="E38" s="1508"/>
      <c r="F38" s="1508"/>
      <c r="G38" s="1508"/>
      <c r="H38" s="1509"/>
      <c r="I38" s="1516"/>
      <c r="J38" s="1517"/>
      <c r="K38" s="1517"/>
      <c r="L38" s="1517"/>
      <c r="M38" s="1517"/>
      <c r="N38" s="1517"/>
      <c r="O38" s="1517"/>
      <c r="P38" s="1517"/>
      <c r="Q38" s="1517"/>
      <c r="R38" s="1517"/>
      <c r="S38" s="1517"/>
      <c r="T38" s="1517"/>
      <c r="U38" s="1517"/>
      <c r="V38" s="1517"/>
      <c r="W38" s="1517"/>
      <c r="X38" s="1517"/>
      <c r="Y38" s="1517"/>
      <c r="Z38" s="1517"/>
      <c r="AA38" s="1517"/>
      <c r="AB38" s="1517"/>
      <c r="AC38" s="1517"/>
      <c r="AD38" s="1517"/>
      <c r="AE38" s="1517"/>
      <c r="AF38" s="1517"/>
      <c r="AG38" s="1517"/>
      <c r="AH38" s="1517"/>
      <c r="AI38" s="1517"/>
      <c r="AJ38" s="1517"/>
      <c r="AK38" s="1517"/>
      <c r="AL38" s="1517"/>
      <c r="AM38" s="1517"/>
      <c r="AN38" s="1517"/>
      <c r="AO38" s="1517"/>
      <c r="AP38" s="1517"/>
      <c r="AQ38" s="1518"/>
      <c r="AR38" s="1596"/>
      <c r="AS38" s="1516"/>
      <c r="AT38" s="1517"/>
      <c r="AU38" s="1517"/>
      <c r="AV38" s="1517"/>
      <c r="AW38" s="1517"/>
      <c r="AX38" s="1517"/>
      <c r="AY38" s="1517"/>
      <c r="AZ38" s="1517"/>
      <c r="BA38" s="1542"/>
      <c r="BB38" s="1517"/>
      <c r="BC38" s="1517"/>
      <c r="BD38" s="1600"/>
      <c r="BE38" s="1542"/>
      <c r="BF38" s="1517"/>
      <c r="BG38" s="1517"/>
      <c r="BH38" s="1517"/>
      <c r="BI38" s="1517"/>
      <c r="BJ38" s="1517"/>
      <c r="BK38" s="1517"/>
      <c r="BL38" s="1517"/>
      <c r="BM38" s="1517"/>
      <c r="BN38" s="1517"/>
      <c r="BO38" s="1517"/>
      <c r="BP38" s="1517"/>
      <c r="BQ38" s="1517"/>
      <c r="BR38" s="1517"/>
      <c r="BS38" s="1517"/>
      <c r="BT38" s="1517"/>
      <c r="BU38" s="1517"/>
      <c r="BV38" s="1517"/>
      <c r="BW38" s="1517"/>
      <c r="BX38" s="1517"/>
      <c r="BY38" s="1517"/>
      <c r="BZ38" s="1517"/>
      <c r="CA38" s="1518"/>
      <c r="CB38" s="410"/>
      <c r="CC38" s="1641"/>
      <c r="CD38" s="1642"/>
      <c r="CE38" s="1642"/>
      <c r="CF38" s="1643"/>
      <c r="CG38" s="1641"/>
      <c r="CH38" s="1642"/>
      <c r="CI38" s="1642"/>
      <c r="CJ38" s="1643"/>
      <c r="CK38" s="1641"/>
      <c r="CL38" s="1642"/>
      <c r="CM38" s="1642"/>
      <c r="CN38" s="1643"/>
    </row>
    <row r="39" spans="2:103" s="410" customFormat="1" ht="78.75" customHeight="1" thickBot="1">
      <c r="C39" s="143"/>
      <c r="D39" s="1552" t="s">
        <v>827</v>
      </c>
      <c r="E39" s="1553"/>
      <c r="F39" s="1553"/>
      <c r="G39" s="1553"/>
      <c r="H39" s="1554"/>
      <c r="I39" s="1594" t="s">
        <v>828</v>
      </c>
      <c r="J39" s="1594"/>
      <c r="K39" s="1594"/>
      <c r="L39" s="1594"/>
      <c r="M39" s="1594"/>
      <c r="N39" s="1594"/>
      <c r="O39" s="1594"/>
      <c r="P39" s="1594"/>
      <c r="Q39" s="1594"/>
      <c r="R39" s="1594"/>
      <c r="S39" s="1594"/>
      <c r="T39" s="1594"/>
      <c r="U39" s="1594"/>
      <c r="V39" s="1594"/>
      <c r="W39" s="1594"/>
      <c r="X39" s="1594"/>
      <c r="Y39" s="1594"/>
      <c r="Z39" s="1594"/>
      <c r="AA39" s="1594"/>
      <c r="AB39" s="1594"/>
      <c r="AC39" s="1594"/>
      <c r="AD39" s="1594"/>
      <c r="AE39" s="1594"/>
      <c r="AF39" s="1594"/>
      <c r="AG39" s="1594"/>
      <c r="AH39" s="1594"/>
      <c r="AI39" s="1594"/>
      <c r="AJ39" s="1594"/>
      <c r="AK39" s="1594"/>
      <c r="AL39" s="1594"/>
      <c r="AM39" s="1594"/>
      <c r="AN39" s="1594"/>
      <c r="AO39" s="1594"/>
      <c r="AP39" s="1594"/>
      <c r="AQ39" s="1594"/>
      <c r="AR39" s="466"/>
      <c r="AS39" s="1592"/>
      <c r="AT39" s="1592"/>
      <c r="AU39" s="1592"/>
      <c r="AV39" s="1592"/>
      <c r="AW39" s="1592"/>
      <c r="AX39" s="1592"/>
      <c r="AY39" s="1592"/>
      <c r="AZ39" s="1593"/>
      <c r="BA39" s="1589">
        <f>IF(AS39="g",2,0)</f>
        <v>0</v>
      </c>
      <c r="BB39" s="1590"/>
      <c r="BC39" s="1590"/>
      <c r="BD39" s="1591"/>
      <c r="BE39" s="1543"/>
      <c r="BF39" s="1544"/>
      <c r="BG39" s="1544"/>
      <c r="BH39" s="1544"/>
      <c r="BI39" s="1544"/>
      <c r="BJ39" s="1544"/>
      <c r="BK39" s="1544"/>
      <c r="BL39" s="1544"/>
      <c r="BM39" s="1544"/>
      <c r="BN39" s="1544"/>
      <c r="BO39" s="1544"/>
      <c r="BP39" s="1544"/>
      <c r="BQ39" s="1544"/>
      <c r="BR39" s="1544"/>
      <c r="BS39" s="1544"/>
      <c r="BT39" s="1544"/>
      <c r="BU39" s="1544"/>
      <c r="BV39" s="1544"/>
      <c r="BW39" s="1544"/>
      <c r="BX39" s="1544"/>
      <c r="BY39" s="1544"/>
      <c r="BZ39" s="1544"/>
      <c r="CA39" s="1545"/>
      <c r="CC39" s="1622" t="str">
        <f>IF(LEN(AS39&amp;AS40&amp;AS41&amp;AS42)&lt;4,"not finished",IF(OR(PRODUCT(BA39:BD42)=0,SUM(BA39:BD42)/42&lt;0.5),"Bad",IF(SUM(BA39:BD42)/42&lt;0.85,"Acceptable","Excellent")))</f>
        <v>not finished</v>
      </c>
      <c r="CD39" s="1623"/>
      <c r="CE39" s="1623"/>
      <c r="CF39" s="1624"/>
      <c r="CG39" s="1622" t="str">
        <f>IF(LEN(AS39&amp;AS40&amp;AS41&amp;AS42&amp;AS43&amp;AS44)&lt;6,"not finished",IF(OR(PRODUCT(BA39:BD44)=0,SUM(BA39:BD44)/72&lt;0.5),"Bad",IF(OR(SUM(BA39:BD44)/72&lt;0.85,SUM(BA43:BD44)/30&lt;0.85),"Acceptable","Excellent")))</f>
        <v>not finished</v>
      </c>
      <c r="CH39" s="1623"/>
      <c r="CI39" s="1623"/>
      <c r="CJ39" s="1624"/>
      <c r="CK39" s="1622" t="str">
        <f>IF(LEN(AS39&amp;AS40&amp;AS41&amp;AS42&amp;AS43&amp;AS44&amp;AS45&amp;AS46)&lt;8,"not finished",IF(OR(PRODUCT(BA39:BD46)=0,SUM(BA39:BD46)/100&lt;0.5),"Bad",IF(OR(SUM(BA39:BD46)/100&lt;0.85,SUM(BA45:BD46)/28&lt;0.85),"Acceptable","Excellent")))</f>
        <v>not finished</v>
      </c>
      <c r="CL39" s="1623"/>
      <c r="CM39" s="1623"/>
      <c r="CN39" s="1624"/>
    </row>
    <row r="40" spans="2:103" s="410" customFormat="1" ht="57" customHeight="1" thickTop="1" thickBot="1">
      <c r="C40" s="143"/>
      <c r="D40" s="1531" t="s">
        <v>829</v>
      </c>
      <c r="E40" s="1532"/>
      <c r="F40" s="1532"/>
      <c r="G40" s="1532"/>
      <c r="H40" s="1533"/>
      <c r="I40" s="1561" t="s">
        <v>845</v>
      </c>
      <c r="J40" s="1562"/>
      <c r="K40" s="1562"/>
      <c r="L40" s="1562"/>
      <c r="M40" s="1562"/>
      <c r="N40" s="1562"/>
      <c r="O40" s="1562"/>
      <c r="P40" s="1562"/>
      <c r="Q40" s="1562"/>
      <c r="R40" s="1562"/>
      <c r="S40" s="1562"/>
      <c r="T40" s="1562"/>
      <c r="U40" s="1562"/>
      <c r="V40" s="1562"/>
      <c r="W40" s="1562"/>
      <c r="X40" s="1562"/>
      <c r="Y40" s="1562"/>
      <c r="Z40" s="1562"/>
      <c r="AA40" s="1562"/>
      <c r="AB40" s="1562"/>
      <c r="AC40" s="1562"/>
      <c r="AD40" s="1562"/>
      <c r="AE40" s="1562"/>
      <c r="AF40" s="1562"/>
      <c r="AG40" s="1562"/>
      <c r="AH40" s="1562"/>
      <c r="AI40" s="1562"/>
      <c r="AJ40" s="1562"/>
      <c r="AK40" s="1562"/>
      <c r="AL40" s="1562"/>
      <c r="AM40" s="1562"/>
      <c r="AN40" s="1562"/>
      <c r="AO40" s="1562"/>
      <c r="AP40" s="1562"/>
      <c r="AQ40" s="1563"/>
      <c r="AR40" s="467"/>
      <c r="AS40" s="1558"/>
      <c r="AT40" s="1559"/>
      <c r="AU40" s="1559"/>
      <c r="AV40" s="1559"/>
      <c r="AW40" s="1559"/>
      <c r="AX40" s="1559"/>
      <c r="AY40" s="1559"/>
      <c r="AZ40" s="1560"/>
      <c r="BA40" s="1555">
        <f>IF(AS40="g",5,0)</f>
        <v>0</v>
      </c>
      <c r="BB40" s="1556"/>
      <c r="BC40" s="1556"/>
      <c r="BD40" s="1557"/>
      <c r="BE40" s="1534"/>
      <c r="BF40" s="1535"/>
      <c r="BG40" s="1535"/>
      <c r="BH40" s="1535"/>
      <c r="BI40" s="1535"/>
      <c r="BJ40" s="1535"/>
      <c r="BK40" s="1535"/>
      <c r="BL40" s="1535"/>
      <c r="BM40" s="1535"/>
      <c r="BN40" s="1535"/>
      <c r="BO40" s="1535"/>
      <c r="BP40" s="1535"/>
      <c r="BQ40" s="1535"/>
      <c r="BR40" s="1535"/>
      <c r="BS40" s="1535"/>
      <c r="BT40" s="1535"/>
      <c r="BU40" s="1535"/>
      <c r="BV40" s="1535"/>
      <c r="BW40" s="1535"/>
      <c r="BX40" s="1535"/>
      <c r="BY40" s="1535"/>
      <c r="BZ40" s="1535"/>
      <c r="CA40" s="1536"/>
      <c r="CC40" s="1625"/>
      <c r="CD40" s="1626"/>
      <c r="CE40" s="1626"/>
      <c r="CF40" s="1627"/>
      <c r="CG40" s="1625"/>
      <c r="CH40" s="1626"/>
      <c r="CI40" s="1626"/>
      <c r="CJ40" s="1627"/>
      <c r="CK40" s="1625"/>
      <c r="CL40" s="1626"/>
      <c r="CM40" s="1626"/>
      <c r="CN40" s="1627"/>
      <c r="CT40" s="1525"/>
      <c r="CU40" s="1525"/>
      <c r="CV40" s="1525"/>
      <c r="CW40" s="1525"/>
      <c r="CX40" s="1525"/>
      <c r="CY40" s="1525"/>
    </row>
    <row r="41" spans="2:103" s="410" customFormat="1" ht="83.25" customHeight="1" thickTop="1" thickBot="1">
      <c r="C41" s="143"/>
      <c r="D41" s="1531" t="s">
        <v>830</v>
      </c>
      <c r="E41" s="1532"/>
      <c r="F41" s="1532"/>
      <c r="G41" s="1532"/>
      <c r="H41" s="1533"/>
      <c r="I41" s="1565" t="s">
        <v>846</v>
      </c>
      <c r="J41" s="1564"/>
      <c r="K41" s="1564"/>
      <c r="L41" s="1564"/>
      <c r="M41" s="1564"/>
      <c r="N41" s="1564"/>
      <c r="O41" s="1564"/>
      <c r="P41" s="1564"/>
      <c r="Q41" s="1564"/>
      <c r="R41" s="1564"/>
      <c r="S41" s="1564"/>
      <c r="T41" s="1564"/>
      <c r="U41" s="1564"/>
      <c r="V41" s="1564"/>
      <c r="W41" s="1564"/>
      <c r="X41" s="1564"/>
      <c r="Y41" s="1562" t="s">
        <v>847</v>
      </c>
      <c r="Z41" s="1562"/>
      <c r="AA41" s="1562"/>
      <c r="AB41" s="1562"/>
      <c r="AC41" s="1562"/>
      <c r="AD41" s="1562"/>
      <c r="AE41" s="1562"/>
      <c r="AF41" s="1562"/>
      <c r="AG41" s="1562"/>
      <c r="AH41" s="1562"/>
      <c r="AI41" s="1562"/>
      <c r="AJ41" s="1562"/>
      <c r="AK41" s="1562"/>
      <c r="AL41" s="1562"/>
      <c r="AM41" s="1562"/>
      <c r="AN41" s="1562"/>
      <c r="AO41" s="1562"/>
      <c r="AP41" s="1562"/>
      <c r="AQ41" s="1563"/>
      <c r="AR41" s="469"/>
      <c r="AS41" s="1549"/>
      <c r="AT41" s="1550"/>
      <c r="AU41" s="1550"/>
      <c r="AV41" s="1550"/>
      <c r="AW41" s="1550"/>
      <c r="AX41" s="1550"/>
      <c r="AY41" s="1550"/>
      <c r="AZ41" s="1551"/>
      <c r="BA41" s="1546">
        <f>IF(AS41="g",20,IF(AS41="a",10,0))</f>
        <v>0</v>
      </c>
      <c r="BB41" s="1547"/>
      <c r="BC41" s="1547"/>
      <c r="BD41" s="1548"/>
      <c r="BE41" s="1534"/>
      <c r="BF41" s="1535"/>
      <c r="BG41" s="1535"/>
      <c r="BH41" s="1535"/>
      <c r="BI41" s="1535"/>
      <c r="BJ41" s="1535"/>
      <c r="BK41" s="1535"/>
      <c r="BL41" s="1535"/>
      <c r="BM41" s="1535"/>
      <c r="BN41" s="1535"/>
      <c r="BO41" s="1535"/>
      <c r="BP41" s="1535"/>
      <c r="BQ41" s="1535"/>
      <c r="BR41" s="1535"/>
      <c r="BS41" s="1535"/>
      <c r="BT41" s="1535"/>
      <c r="BU41" s="1535"/>
      <c r="BV41" s="1535"/>
      <c r="BW41" s="1535"/>
      <c r="BX41" s="1535"/>
      <c r="BY41" s="1535"/>
      <c r="BZ41" s="1535"/>
      <c r="CA41" s="1536"/>
      <c r="CC41" s="1625"/>
      <c r="CD41" s="1626"/>
      <c r="CE41" s="1626"/>
      <c r="CF41" s="1627"/>
      <c r="CG41" s="1625"/>
      <c r="CH41" s="1626"/>
      <c r="CI41" s="1626"/>
      <c r="CJ41" s="1627"/>
      <c r="CK41" s="1625"/>
      <c r="CL41" s="1626"/>
      <c r="CM41" s="1626"/>
      <c r="CN41" s="1627"/>
    </row>
    <row r="42" spans="2:103" s="410" customFormat="1" ht="165" customHeight="1" thickTop="1" thickBot="1">
      <c r="C42" s="143"/>
      <c r="D42" s="1531" t="s">
        <v>831</v>
      </c>
      <c r="E42" s="1532"/>
      <c r="F42" s="1532"/>
      <c r="G42" s="1532"/>
      <c r="H42" s="1533"/>
      <c r="I42" s="1565" t="s">
        <v>848</v>
      </c>
      <c r="J42" s="1564"/>
      <c r="K42" s="1564"/>
      <c r="L42" s="1564"/>
      <c r="M42" s="1564"/>
      <c r="N42" s="1564"/>
      <c r="O42" s="1564"/>
      <c r="P42" s="1564"/>
      <c r="Q42" s="1564"/>
      <c r="R42" s="1564"/>
      <c r="S42" s="1564"/>
      <c r="T42" s="1564"/>
      <c r="U42" s="1564"/>
      <c r="V42" s="1564"/>
      <c r="W42" s="1564"/>
      <c r="X42" s="1564"/>
      <c r="Y42" s="1562" t="s">
        <v>849</v>
      </c>
      <c r="Z42" s="1562"/>
      <c r="AA42" s="1562"/>
      <c r="AB42" s="1562"/>
      <c r="AC42" s="1562"/>
      <c r="AD42" s="1562"/>
      <c r="AE42" s="1562"/>
      <c r="AF42" s="1562"/>
      <c r="AG42" s="1562"/>
      <c r="AH42" s="1562"/>
      <c r="AI42" s="1562"/>
      <c r="AJ42" s="1562"/>
      <c r="AK42" s="1562"/>
      <c r="AL42" s="1562"/>
      <c r="AM42" s="1562"/>
      <c r="AN42" s="1562"/>
      <c r="AO42" s="1562"/>
      <c r="AP42" s="1562"/>
      <c r="AQ42" s="1563"/>
      <c r="AR42" s="470"/>
      <c r="AS42" s="1549"/>
      <c r="AT42" s="1550"/>
      <c r="AU42" s="1550"/>
      <c r="AV42" s="1550"/>
      <c r="AW42" s="1550"/>
      <c r="AX42" s="1550"/>
      <c r="AY42" s="1550"/>
      <c r="AZ42" s="1551"/>
      <c r="BA42" s="1546">
        <f>IF(AS42="g",15,IF(AS42="a",10,0))</f>
        <v>0</v>
      </c>
      <c r="BB42" s="1547"/>
      <c r="BC42" s="1547"/>
      <c r="BD42" s="1548"/>
      <c r="BE42" s="1534"/>
      <c r="BF42" s="1535"/>
      <c r="BG42" s="1535"/>
      <c r="BH42" s="1535"/>
      <c r="BI42" s="1535"/>
      <c r="BJ42" s="1535"/>
      <c r="BK42" s="1535"/>
      <c r="BL42" s="1535"/>
      <c r="BM42" s="1535"/>
      <c r="BN42" s="1535"/>
      <c r="BO42" s="1535"/>
      <c r="BP42" s="1535"/>
      <c r="BQ42" s="1535"/>
      <c r="BR42" s="1535"/>
      <c r="BS42" s="1535"/>
      <c r="BT42" s="1535"/>
      <c r="BU42" s="1535"/>
      <c r="BV42" s="1535"/>
      <c r="BW42" s="1535"/>
      <c r="BX42" s="1535"/>
      <c r="BY42" s="1535"/>
      <c r="BZ42" s="1535"/>
      <c r="CA42" s="1536"/>
      <c r="CC42" s="1628"/>
      <c r="CD42" s="1629"/>
      <c r="CE42" s="1629"/>
      <c r="CF42" s="1630"/>
      <c r="CG42" s="1625"/>
      <c r="CH42" s="1626"/>
      <c r="CI42" s="1626"/>
      <c r="CJ42" s="1627"/>
      <c r="CK42" s="1625"/>
      <c r="CL42" s="1626"/>
      <c r="CM42" s="1626"/>
      <c r="CN42" s="1627"/>
    </row>
    <row r="43" spans="2:103" ht="73.5" customHeight="1" thickTop="1" thickBot="1">
      <c r="B43" s="410"/>
      <c r="C43" s="143"/>
      <c r="D43" s="1531" t="s">
        <v>832</v>
      </c>
      <c r="E43" s="1532"/>
      <c r="F43" s="1532"/>
      <c r="G43" s="1532"/>
      <c r="H43" s="1533"/>
      <c r="I43" s="1564" t="s">
        <v>850</v>
      </c>
      <c r="J43" s="1564"/>
      <c r="K43" s="1564"/>
      <c r="L43" s="1564"/>
      <c r="M43" s="1564"/>
      <c r="N43" s="1564"/>
      <c r="O43" s="1564"/>
      <c r="P43" s="1564"/>
      <c r="Q43" s="1564"/>
      <c r="R43" s="1564"/>
      <c r="S43" s="1564"/>
      <c r="T43" s="1564"/>
      <c r="U43" s="1564"/>
      <c r="V43" s="1564"/>
      <c r="W43" s="1564"/>
      <c r="X43" s="1564"/>
      <c r="Y43" s="1562" t="s">
        <v>851</v>
      </c>
      <c r="Z43" s="1562"/>
      <c r="AA43" s="1562"/>
      <c r="AB43" s="1562"/>
      <c r="AC43" s="1562"/>
      <c r="AD43" s="1562"/>
      <c r="AE43" s="1562"/>
      <c r="AF43" s="1562"/>
      <c r="AG43" s="1562"/>
      <c r="AH43" s="1562"/>
      <c r="AI43" s="1562"/>
      <c r="AJ43" s="1562"/>
      <c r="AK43" s="1562"/>
      <c r="AL43" s="1562"/>
      <c r="AM43" s="1562"/>
      <c r="AN43" s="1562"/>
      <c r="AO43" s="1562"/>
      <c r="AP43" s="1562"/>
      <c r="AQ43" s="1562"/>
      <c r="AR43" s="469"/>
      <c r="AS43" s="1550"/>
      <c r="AT43" s="1550"/>
      <c r="AU43" s="1550"/>
      <c r="AV43" s="1550"/>
      <c r="AW43" s="1550"/>
      <c r="AX43" s="1550"/>
      <c r="AY43" s="1550"/>
      <c r="AZ43" s="1551"/>
      <c r="BA43" s="1566">
        <f>IF(AS43="g",15,IF(AS43="a",10,0))</f>
        <v>0</v>
      </c>
      <c r="BB43" s="1567"/>
      <c r="BC43" s="1567"/>
      <c r="BD43" s="1568"/>
      <c r="BE43" s="1534"/>
      <c r="BF43" s="1535"/>
      <c r="BG43" s="1535"/>
      <c r="BH43" s="1535"/>
      <c r="BI43" s="1535"/>
      <c r="BJ43" s="1535"/>
      <c r="BK43" s="1535"/>
      <c r="BL43" s="1535"/>
      <c r="BM43" s="1535"/>
      <c r="BN43" s="1535"/>
      <c r="BO43" s="1535"/>
      <c r="BP43" s="1535"/>
      <c r="BQ43" s="1535"/>
      <c r="BR43" s="1535"/>
      <c r="BS43" s="1535"/>
      <c r="BT43" s="1535"/>
      <c r="BU43" s="1535"/>
      <c r="BV43" s="1535"/>
      <c r="BW43" s="1535"/>
      <c r="BX43" s="1535"/>
      <c r="BY43" s="1535"/>
      <c r="BZ43" s="1535"/>
      <c r="CA43" s="1536"/>
      <c r="CB43" s="410"/>
      <c r="CG43" s="1625"/>
      <c r="CH43" s="1626"/>
      <c r="CI43" s="1626"/>
      <c r="CJ43" s="1627"/>
      <c r="CK43" s="1625"/>
      <c r="CL43" s="1626"/>
      <c r="CM43" s="1626"/>
      <c r="CN43" s="1627"/>
    </row>
    <row r="44" spans="2:103" ht="161.25" customHeight="1" thickTop="1" thickBot="1">
      <c r="B44" s="410"/>
      <c r="C44" s="143"/>
      <c r="D44" s="1531" t="s">
        <v>833</v>
      </c>
      <c r="E44" s="1532"/>
      <c r="F44" s="1532"/>
      <c r="G44" s="1532"/>
      <c r="H44" s="1533"/>
      <c r="I44" s="1564" t="s">
        <v>852</v>
      </c>
      <c r="J44" s="1564"/>
      <c r="K44" s="1564"/>
      <c r="L44" s="1564"/>
      <c r="M44" s="1564"/>
      <c r="N44" s="1564"/>
      <c r="O44" s="1564"/>
      <c r="P44" s="1564"/>
      <c r="Q44" s="1564"/>
      <c r="R44" s="1564"/>
      <c r="S44" s="1564"/>
      <c r="T44" s="1564"/>
      <c r="U44" s="1564"/>
      <c r="V44" s="1564"/>
      <c r="W44" s="1564"/>
      <c r="X44" s="1564"/>
      <c r="Y44" s="1562" t="s">
        <v>853</v>
      </c>
      <c r="Z44" s="1562"/>
      <c r="AA44" s="1562"/>
      <c r="AB44" s="1562"/>
      <c r="AC44" s="1562"/>
      <c r="AD44" s="1562"/>
      <c r="AE44" s="1562"/>
      <c r="AF44" s="1562"/>
      <c r="AG44" s="1562"/>
      <c r="AH44" s="1562"/>
      <c r="AI44" s="1562"/>
      <c r="AJ44" s="1562"/>
      <c r="AK44" s="1562"/>
      <c r="AL44" s="1562"/>
      <c r="AM44" s="1562"/>
      <c r="AN44" s="1562"/>
      <c r="AO44" s="1562"/>
      <c r="AP44" s="1562"/>
      <c r="AQ44" s="1562"/>
      <c r="AR44" s="469"/>
      <c r="AS44" s="1550"/>
      <c r="AT44" s="1550"/>
      <c r="AU44" s="1550"/>
      <c r="AV44" s="1550"/>
      <c r="AW44" s="1550"/>
      <c r="AX44" s="1550"/>
      <c r="AY44" s="1550"/>
      <c r="AZ44" s="1551"/>
      <c r="BA44" s="1566">
        <f>IF(AS44="g",15,IF(AS44="a",10,0))</f>
        <v>0</v>
      </c>
      <c r="BB44" s="1567"/>
      <c r="BC44" s="1567"/>
      <c r="BD44" s="1568"/>
      <c r="BE44" s="1534"/>
      <c r="BF44" s="1535"/>
      <c r="BG44" s="1535"/>
      <c r="BH44" s="1535"/>
      <c r="BI44" s="1535"/>
      <c r="BJ44" s="1535"/>
      <c r="BK44" s="1535"/>
      <c r="BL44" s="1535"/>
      <c r="BM44" s="1535"/>
      <c r="BN44" s="1535"/>
      <c r="BO44" s="1535"/>
      <c r="BP44" s="1535"/>
      <c r="BQ44" s="1535"/>
      <c r="BR44" s="1535"/>
      <c r="BS44" s="1535"/>
      <c r="BT44" s="1535"/>
      <c r="BU44" s="1535"/>
      <c r="BV44" s="1535"/>
      <c r="BW44" s="1535"/>
      <c r="BX44" s="1535"/>
      <c r="BY44" s="1535"/>
      <c r="BZ44" s="1535"/>
      <c r="CA44" s="1536"/>
      <c r="CB44" s="410"/>
      <c r="CG44" s="1628"/>
      <c r="CH44" s="1629"/>
      <c r="CI44" s="1629"/>
      <c r="CJ44" s="1630"/>
      <c r="CK44" s="1625"/>
      <c r="CL44" s="1626"/>
      <c r="CM44" s="1626"/>
      <c r="CN44" s="1627"/>
    </row>
    <row r="45" spans="2:103" ht="99.75" customHeight="1" thickTop="1" thickBot="1">
      <c r="B45" s="410"/>
      <c r="C45" s="410"/>
      <c r="D45" s="1531" t="s">
        <v>834</v>
      </c>
      <c r="E45" s="1532"/>
      <c r="F45" s="1532"/>
      <c r="G45" s="1532"/>
      <c r="H45" s="1533"/>
      <c r="I45" s="1564" t="s">
        <v>854</v>
      </c>
      <c r="J45" s="1564"/>
      <c r="K45" s="1564"/>
      <c r="L45" s="1564"/>
      <c r="M45" s="1564"/>
      <c r="N45" s="1564"/>
      <c r="O45" s="1564"/>
      <c r="P45" s="1564"/>
      <c r="Q45" s="1564"/>
      <c r="R45" s="1564"/>
      <c r="S45" s="1564"/>
      <c r="T45" s="1564"/>
      <c r="U45" s="1564"/>
      <c r="V45" s="1564"/>
      <c r="W45" s="1564"/>
      <c r="X45" s="1564"/>
      <c r="Y45" s="1562" t="s">
        <v>855</v>
      </c>
      <c r="Z45" s="1562"/>
      <c r="AA45" s="1562"/>
      <c r="AB45" s="1562"/>
      <c r="AC45" s="1562"/>
      <c r="AD45" s="1562"/>
      <c r="AE45" s="1562"/>
      <c r="AF45" s="1562"/>
      <c r="AG45" s="1562"/>
      <c r="AH45" s="1562"/>
      <c r="AI45" s="1562"/>
      <c r="AJ45" s="1562"/>
      <c r="AK45" s="1562"/>
      <c r="AL45" s="1562"/>
      <c r="AM45" s="1562"/>
      <c r="AN45" s="1562"/>
      <c r="AO45" s="1562"/>
      <c r="AP45" s="1562"/>
      <c r="AQ45" s="1562"/>
      <c r="AR45" s="469"/>
      <c r="AS45" s="1550"/>
      <c r="AT45" s="1550"/>
      <c r="AU45" s="1550"/>
      <c r="AV45" s="1550"/>
      <c r="AW45" s="1550"/>
      <c r="AX45" s="1550"/>
      <c r="AY45" s="1550"/>
      <c r="AZ45" s="1551"/>
      <c r="BA45" s="1566">
        <f>IF(AS45="g",15,IF(AS45="a",10,0))</f>
        <v>0</v>
      </c>
      <c r="BB45" s="1567"/>
      <c r="BC45" s="1567"/>
      <c r="BD45" s="1568"/>
      <c r="BE45" s="1534"/>
      <c r="BF45" s="1535"/>
      <c r="BG45" s="1535"/>
      <c r="BH45" s="1535"/>
      <c r="BI45" s="1535"/>
      <c r="BJ45" s="1535"/>
      <c r="BK45" s="1535"/>
      <c r="BL45" s="1535"/>
      <c r="BM45" s="1535"/>
      <c r="BN45" s="1535"/>
      <c r="BO45" s="1535"/>
      <c r="BP45" s="1535"/>
      <c r="BQ45" s="1535"/>
      <c r="BR45" s="1535"/>
      <c r="BS45" s="1535"/>
      <c r="BT45" s="1535"/>
      <c r="BU45" s="1535"/>
      <c r="BV45" s="1535"/>
      <c r="BW45" s="1535"/>
      <c r="BX45" s="1535"/>
      <c r="BY45" s="1535"/>
      <c r="BZ45" s="1535"/>
      <c r="CA45" s="1536"/>
      <c r="CB45" s="410"/>
      <c r="CC45" s="410"/>
      <c r="CD45" s="410"/>
      <c r="CE45" s="410"/>
      <c r="CF45" s="410"/>
      <c r="CK45" s="1625"/>
      <c r="CL45" s="1626"/>
      <c r="CM45" s="1626"/>
      <c r="CN45" s="1627"/>
    </row>
    <row r="46" spans="2:103" ht="86.25" customHeight="1" thickTop="1" thickBot="1">
      <c r="B46" s="410"/>
      <c r="C46" s="410"/>
      <c r="D46" s="1616" t="s">
        <v>835</v>
      </c>
      <c r="E46" s="1617"/>
      <c r="F46" s="1617"/>
      <c r="G46" s="1617"/>
      <c r="H46" s="1618"/>
      <c r="I46" s="1637" t="s">
        <v>856</v>
      </c>
      <c r="J46" s="1637"/>
      <c r="K46" s="1637"/>
      <c r="L46" s="1637"/>
      <c r="M46" s="1637"/>
      <c r="N46" s="1637"/>
      <c r="O46" s="1637"/>
      <c r="P46" s="1637"/>
      <c r="Q46" s="1637"/>
      <c r="R46" s="1637"/>
      <c r="S46" s="1637"/>
      <c r="T46" s="1637"/>
      <c r="U46" s="1637"/>
      <c r="V46" s="1637"/>
      <c r="W46" s="1637"/>
      <c r="X46" s="1637"/>
      <c r="Y46" s="1636" t="s">
        <v>836</v>
      </c>
      <c r="Z46" s="1636"/>
      <c r="AA46" s="1636"/>
      <c r="AB46" s="1636"/>
      <c r="AC46" s="1636"/>
      <c r="AD46" s="1636"/>
      <c r="AE46" s="1636"/>
      <c r="AF46" s="1636"/>
      <c r="AG46" s="1636"/>
      <c r="AH46" s="1636"/>
      <c r="AI46" s="1636"/>
      <c r="AJ46" s="1636"/>
      <c r="AK46" s="1636"/>
      <c r="AL46" s="1636"/>
      <c r="AM46" s="1636"/>
      <c r="AN46" s="1636"/>
      <c r="AO46" s="1636"/>
      <c r="AP46" s="1636"/>
      <c r="AQ46" s="1636"/>
      <c r="AR46" s="468"/>
      <c r="AS46" s="1634"/>
      <c r="AT46" s="1634"/>
      <c r="AU46" s="1634"/>
      <c r="AV46" s="1634"/>
      <c r="AW46" s="1634"/>
      <c r="AX46" s="1634"/>
      <c r="AY46" s="1634"/>
      <c r="AZ46" s="1635"/>
      <c r="BA46" s="1631">
        <f>IF(AS46="g",13,IF(AS46="a",5,0))</f>
        <v>0</v>
      </c>
      <c r="BB46" s="1632"/>
      <c r="BC46" s="1632"/>
      <c r="BD46" s="1633"/>
      <c r="BE46" s="1619"/>
      <c r="BF46" s="1620"/>
      <c r="BG46" s="1620"/>
      <c r="BH46" s="1620"/>
      <c r="BI46" s="1620"/>
      <c r="BJ46" s="1620"/>
      <c r="BK46" s="1620"/>
      <c r="BL46" s="1620"/>
      <c r="BM46" s="1620"/>
      <c r="BN46" s="1620"/>
      <c r="BO46" s="1620"/>
      <c r="BP46" s="1620"/>
      <c r="BQ46" s="1620"/>
      <c r="BR46" s="1620"/>
      <c r="BS46" s="1620"/>
      <c r="BT46" s="1620"/>
      <c r="BU46" s="1620"/>
      <c r="BV46" s="1620"/>
      <c r="BW46" s="1620"/>
      <c r="BX46" s="1620"/>
      <c r="BY46" s="1620"/>
      <c r="BZ46" s="1620"/>
      <c r="CA46" s="1621"/>
      <c r="CB46" s="410"/>
      <c r="CC46" s="410"/>
      <c r="CD46" s="410"/>
      <c r="CE46" s="410"/>
      <c r="CF46" s="410"/>
      <c r="CK46" s="1628"/>
      <c r="CL46" s="1629"/>
      <c r="CM46" s="1629"/>
      <c r="CN46" s="1630"/>
    </row>
    <row r="47" spans="2:103" ht="11.25" customHeight="1" thickBot="1">
      <c r="B47" s="410"/>
      <c r="C47" s="410"/>
      <c r="D47" s="411"/>
      <c r="E47" s="411"/>
      <c r="F47" s="411"/>
      <c r="G47" s="411"/>
      <c r="H47" s="411"/>
      <c r="I47" s="411"/>
      <c r="J47" s="411"/>
      <c r="K47" s="411"/>
      <c r="L47" s="411"/>
      <c r="M47" s="411"/>
      <c r="N47" s="411"/>
      <c r="O47" s="411"/>
      <c r="P47" s="411"/>
      <c r="Q47" s="411"/>
      <c r="R47" s="411"/>
      <c r="S47" s="411"/>
      <c r="T47" s="411"/>
      <c r="U47" s="411"/>
      <c r="V47" s="411"/>
      <c r="W47" s="411"/>
      <c r="X47" s="411"/>
      <c r="Y47" s="411"/>
      <c r="Z47" s="411"/>
      <c r="AA47" s="411"/>
      <c r="AB47" s="411"/>
      <c r="AC47" s="411"/>
      <c r="AD47" s="411"/>
      <c r="AE47" s="411"/>
      <c r="AF47" s="411"/>
      <c r="AG47" s="411"/>
      <c r="AH47" s="411"/>
      <c r="AI47" s="411"/>
      <c r="AJ47" s="411"/>
      <c r="AK47" s="411"/>
      <c r="AL47" s="411"/>
      <c r="AM47" s="411"/>
      <c r="AN47" s="411"/>
      <c r="AO47" s="411"/>
      <c r="AP47" s="411"/>
      <c r="AQ47" s="411"/>
      <c r="AR47" s="411"/>
      <c r="AS47" s="411"/>
      <c r="AT47" s="411"/>
      <c r="AU47" s="411"/>
      <c r="AV47" s="411"/>
      <c r="AW47" s="411"/>
      <c r="AX47" s="411"/>
      <c r="AY47" s="411"/>
      <c r="AZ47" s="411"/>
      <c r="BA47" s="411"/>
      <c r="BB47" s="411"/>
      <c r="BC47" s="411"/>
      <c r="BD47" s="411"/>
      <c r="BE47" s="411"/>
      <c r="BF47" s="411"/>
      <c r="BG47" s="411"/>
      <c r="BH47" s="411"/>
      <c r="BI47" s="411"/>
      <c r="BJ47" s="411"/>
      <c r="BK47" s="411"/>
      <c r="BL47" s="411"/>
      <c r="BM47" s="411"/>
      <c r="BN47" s="411"/>
      <c r="BO47" s="411"/>
      <c r="BP47" s="411"/>
      <c r="BQ47" s="411"/>
      <c r="BR47" s="411"/>
      <c r="BS47" s="411"/>
      <c r="BT47" s="411"/>
      <c r="BU47" s="410"/>
      <c r="BV47" s="410"/>
      <c r="BW47" s="410"/>
      <c r="BX47" s="410"/>
      <c r="BY47" s="410"/>
      <c r="BZ47" s="410"/>
      <c r="CA47" s="410"/>
      <c r="CB47" s="410"/>
      <c r="CC47" s="410"/>
      <c r="CD47" s="410"/>
      <c r="CE47" s="410"/>
      <c r="CF47" s="410"/>
    </row>
    <row r="48" spans="2:103" ht="11.25" customHeight="1">
      <c r="B48" s="410"/>
      <c r="C48" s="410"/>
      <c r="E48" s="471"/>
      <c r="F48" s="471"/>
      <c r="G48" s="471"/>
      <c r="H48" s="471"/>
      <c r="I48" s="471"/>
      <c r="J48" s="471"/>
      <c r="K48" s="471"/>
      <c r="L48" s="471"/>
      <c r="M48" s="471"/>
      <c r="N48" s="471"/>
      <c r="O48" s="471"/>
      <c r="P48" s="471"/>
      <c r="Q48" s="471"/>
      <c r="R48" s="471"/>
      <c r="S48" s="471"/>
      <c r="T48" s="471"/>
      <c r="U48" s="471"/>
      <c r="V48" s="471"/>
      <c r="W48" s="471"/>
      <c r="X48" s="471"/>
      <c r="Y48" s="471"/>
      <c r="Z48" s="471"/>
      <c r="AA48" s="471"/>
      <c r="AB48" s="471"/>
      <c r="AC48" s="471"/>
      <c r="AD48" s="471"/>
      <c r="AE48" s="471"/>
      <c r="AF48" s="471"/>
      <c r="AG48" s="471"/>
      <c r="AH48" s="471"/>
      <c r="AI48" s="471"/>
      <c r="AJ48" s="471"/>
      <c r="AK48" s="471"/>
      <c r="AL48" s="471"/>
      <c r="AM48" s="471"/>
      <c r="AN48" s="471"/>
      <c r="AO48" s="471"/>
      <c r="AP48" s="471"/>
      <c r="AQ48" s="471"/>
      <c r="AR48" s="471"/>
      <c r="AS48" s="471"/>
      <c r="AT48" s="471"/>
      <c r="AU48" s="471"/>
      <c r="AV48" s="471"/>
      <c r="AW48" s="471"/>
      <c r="AX48" s="471"/>
      <c r="AY48" s="471"/>
      <c r="AZ48" s="471"/>
      <c r="BA48" s="471"/>
      <c r="BB48" s="471"/>
      <c r="BC48" s="471"/>
      <c r="BD48" s="471"/>
      <c r="BE48" s="1578" t="str">
        <f>IF(CC48=0,"Not all fields evaluated or minimum requirements (partially) not fulfilled.","")</f>
        <v>Not all fields evaluated or minimum requirements (partially) not fulfilled.</v>
      </c>
      <c r="BF48" s="1578"/>
      <c r="BG48" s="1578"/>
      <c r="BH48" s="1578"/>
      <c r="BI48" s="1578"/>
      <c r="BJ48" s="1578"/>
      <c r="BK48" s="1578"/>
      <c r="BL48" s="1578"/>
      <c r="BM48" s="1578"/>
      <c r="BN48" s="1578"/>
      <c r="BO48" s="1578"/>
      <c r="BP48" s="1578"/>
      <c r="BQ48" s="1578"/>
      <c r="BR48" s="1578"/>
      <c r="BS48" s="1578"/>
      <c r="BT48" s="1578"/>
      <c r="BU48" s="1578"/>
      <c r="BV48" s="1578"/>
      <c r="BW48" s="1578"/>
      <c r="BX48" s="1578"/>
      <c r="BY48" s="1578"/>
      <c r="BZ48" s="1578"/>
      <c r="CA48" s="1578"/>
      <c r="CB48" s="410"/>
      <c r="CC48" s="1569">
        <f>IF(PRODUCT(BA39:BD46)=0,0,SUM(BA39:BD46)/100)</f>
        <v>0</v>
      </c>
      <c r="CD48" s="1570"/>
      <c r="CE48" s="1570"/>
      <c r="CF48" s="1570"/>
      <c r="CG48" s="1570"/>
      <c r="CH48" s="1570"/>
      <c r="CI48" s="1570"/>
      <c r="CJ48" s="1570"/>
      <c r="CK48" s="1570"/>
      <c r="CL48" s="1570"/>
      <c r="CM48" s="1570"/>
      <c r="CN48" s="1571"/>
    </row>
    <row r="49" spans="2:92" ht="11.25" customHeight="1">
      <c r="B49" s="410"/>
      <c r="C49" s="410"/>
      <c r="D49" s="471"/>
      <c r="E49" s="471"/>
      <c r="F49" s="471"/>
      <c r="G49" s="471"/>
      <c r="H49" s="471"/>
      <c r="I49" s="471"/>
      <c r="J49" s="471"/>
      <c r="K49" s="471"/>
      <c r="L49" s="471"/>
      <c r="M49" s="471"/>
      <c r="N49" s="471"/>
      <c r="O49" s="471"/>
      <c r="P49" s="471"/>
      <c r="Q49" s="471"/>
      <c r="R49" s="471"/>
      <c r="S49" s="471"/>
      <c r="T49" s="471"/>
      <c r="U49" s="471"/>
      <c r="V49" s="471"/>
      <c r="W49" s="471"/>
      <c r="X49" s="471"/>
      <c r="Y49" s="471"/>
      <c r="Z49" s="471"/>
      <c r="AA49" s="471"/>
      <c r="AB49" s="471"/>
      <c r="AC49" s="471"/>
      <c r="AD49" s="471"/>
      <c r="AE49" s="471"/>
      <c r="AF49" s="471"/>
      <c r="AG49" s="471"/>
      <c r="AH49" s="471"/>
      <c r="AI49" s="471"/>
      <c r="AJ49" s="471"/>
      <c r="AK49" s="471"/>
      <c r="AL49" s="471"/>
      <c r="AM49" s="471"/>
      <c r="AN49" s="471"/>
      <c r="AO49" s="471"/>
      <c r="AP49" s="471"/>
      <c r="AQ49" s="471"/>
      <c r="AR49" s="471"/>
      <c r="AS49" s="471"/>
      <c r="AT49" s="471"/>
      <c r="AU49" s="471"/>
      <c r="AV49" s="471"/>
      <c r="AW49" s="471"/>
      <c r="AX49" s="471"/>
      <c r="AY49" s="471"/>
      <c r="AZ49" s="471"/>
      <c r="BA49" s="471"/>
      <c r="BB49" s="471"/>
      <c r="BC49" s="471"/>
      <c r="BD49" s="471"/>
      <c r="BE49" s="1578"/>
      <c r="BF49" s="1578"/>
      <c r="BG49" s="1578"/>
      <c r="BH49" s="1578"/>
      <c r="BI49" s="1578"/>
      <c r="BJ49" s="1578"/>
      <c r="BK49" s="1578"/>
      <c r="BL49" s="1578"/>
      <c r="BM49" s="1578"/>
      <c r="BN49" s="1578"/>
      <c r="BO49" s="1578"/>
      <c r="BP49" s="1578"/>
      <c r="BQ49" s="1578"/>
      <c r="BR49" s="1578"/>
      <c r="BS49" s="1578"/>
      <c r="BT49" s="1578"/>
      <c r="BU49" s="1578"/>
      <c r="BV49" s="1578"/>
      <c r="BW49" s="1578"/>
      <c r="BX49" s="1578"/>
      <c r="BY49" s="1578"/>
      <c r="BZ49" s="1578"/>
      <c r="CA49" s="1578"/>
      <c r="CB49" s="410"/>
      <c r="CC49" s="1572"/>
      <c r="CD49" s="1573"/>
      <c r="CE49" s="1573"/>
      <c r="CF49" s="1573"/>
      <c r="CG49" s="1573"/>
      <c r="CH49" s="1573"/>
      <c r="CI49" s="1573"/>
      <c r="CJ49" s="1573"/>
      <c r="CK49" s="1573"/>
      <c r="CL49" s="1573"/>
      <c r="CM49" s="1573"/>
      <c r="CN49" s="1574"/>
    </row>
    <row r="50" spans="2:92" ht="11.25" customHeight="1" thickBot="1">
      <c r="B50" s="410"/>
      <c r="C50" s="410"/>
      <c r="D50" s="471"/>
      <c r="E50" s="471"/>
      <c r="F50" s="471"/>
      <c r="G50" s="471"/>
      <c r="H50" s="471"/>
      <c r="I50" s="471"/>
      <c r="J50" s="471"/>
      <c r="K50" s="471"/>
      <c r="L50" s="471"/>
      <c r="M50" s="471"/>
      <c r="N50" s="471"/>
      <c r="O50" s="471"/>
      <c r="P50" s="471"/>
      <c r="Q50" s="471"/>
      <c r="R50" s="471"/>
      <c r="S50" s="471"/>
      <c r="T50" s="471"/>
      <c r="U50" s="471"/>
      <c r="V50" s="471"/>
      <c r="W50" s="471"/>
      <c r="X50" s="471"/>
      <c r="Y50" s="471"/>
      <c r="Z50" s="471"/>
      <c r="AA50" s="471"/>
      <c r="AB50" s="471"/>
      <c r="AC50" s="471"/>
      <c r="AD50" s="471"/>
      <c r="AE50" s="471"/>
      <c r="AF50" s="471"/>
      <c r="AG50" s="471"/>
      <c r="AH50" s="471"/>
      <c r="AI50" s="471"/>
      <c r="AJ50" s="471"/>
      <c r="AK50" s="471"/>
      <c r="AL50" s="471"/>
      <c r="AM50" s="471"/>
      <c r="AN50" s="471"/>
      <c r="AO50" s="471"/>
      <c r="AP50" s="471"/>
      <c r="AQ50" s="471"/>
      <c r="AR50" s="471"/>
      <c r="AS50" s="471"/>
      <c r="AT50" s="471"/>
      <c r="AU50" s="471"/>
      <c r="AV50" s="471"/>
      <c r="AW50" s="471"/>
      <c r="AX50" s="471"/>
      <c r="AY50" s="471"/>
      <c r="AZ50" s="471"/>
      <c r="BA50" s="471"/>
      <c r="BB50" s="471"/>
      <c r="BC50" s="471"/>
      <c r="BD50" s="471"/>
      <c r="BE50" s="1578"/>
      <c r="BF50" s="1578"/>
      <c r="BG50" s="1578"/>
      <c r="BH50" s="1578"/>
      <c r="BI50" s="1578"/>
      <c r="BJ50" s="1578"/>
      <c r="BK50" s="1578"/>
      <c r="BL50" s="1578"/>
      <c r="BM50" s="1578"/>
      <c r="BN50" s="1578"/>
      <c r="BO50" s="1578"/>
      <c r="BP50" s="1578"/>
      <c r="BQ50" s="1578"/>
      <c r="BR50" s="1578"/>
      <c r="BS50" s="1578"/>
      <c r="BT50" s="1578"/>
      <c r="BU50" s="1578"/>
      <c r="BV50" s="1578"/>
      <c r="BW50" s="1578"/>
      <c r="BX50" s="1578"/>
      <c r="BY50" s="1578"/>
      <c r="BZ50" s="1578"/>
      <c r="CA50" s="1578"/>
      <c r="CB50" s="410"/>
      <c r="CC50" s="1575"/>
      <c r="CD50" s="1576"/>
      <c r="CE50" s="1576"/>
      <c r="CF50" s="1576"/>
      <c r="CG50" s="1576"/>
      <c r="CH50" s="1576"/>
      <c r="CI50" s="1576"/>
      <c r="CJ50" s="1576"/>
      <c r="CK50" s="1576"/>
      <c r="CL50" s="1576"/>
      <c r="CM50" s="1576"/>
      <c r="CN50" s="1577"/>
    </row>
    <row r="51" spans="2:92" ht="11.25" customHeight="1">
      <c r="B51" s="410"/>
      <c r="C51" s="410"/>
      <c r="D51" s="410"/>
      <c r="E51" s="410"/>
      <c r="F51" s="410"/>
      <c r="G51" s="410"/>
      <c r="H51" s="410"/>
      <c r="I51" s="410"/>
      <c r="J51" s="410"/>
      <c r="K51" s="410"/>
      <c r="L51" s="410"/>
      <c r="M51" s="410"/>
      <c r="N51" s="410"/>
      <c r="O51" s="410"/>
      <c r="P51" s="410"/>
      <c r="Q51" s="410"/>
      <c r="R51" s="410"/>
      <c r="S51" s="410"/>
      <c r="T51" s="410"/>
      <c r="U51" s="410"/>
      <c r="V51" s="410"/>
      <c r="W51" s="410"/>
      <c r="X51" s="410"/>
      <c r="Y51" s="410"/>
      <c r="Z51" s="410"/>
      <c r="AA51" s="410"/>
      <c r="AB51" s="410"/>
      <c r="AC51" s="410"/>
      <c r="AD51" s="410"/>
      <c r="AE51" s="410"/>
      <c r="AF51" s="410"/>
      <c r="AG51" s="410"/>
      <c r="AH51" s="410"/>
      <c r="AI51" s="410"/>
      <c r="AJ51" s="410"/>
      <c r="AK51" s="410"/>
      <c r="AL51" s="410"/>
      <c r="AM51" s="410"/>
      <c r="AN51" s="410"/>
      <c r="AO51" s="410"/>
      <c r="AP51" s="410"/>
      <c r="AQ51" s="410"/>
      <c r="AR51" s="410"/>
      <c r="AS51" s="410"/>
      <c r="AT51" s="410"/>
      <c r="AU51" s="410"/>
      <c r="AV51" s="410"/>
      <c r="AW51" s="410"/>
      <c r="AX51" s="410"/>
      <c r="AY51" s="410"/>
      <c r="AZ51" s="410"/>
      <c r="BA51" s="410"/>
      <c r="BB51" s="410"/>
      <c r="BC51" s="410"/>
      <c r="BD51" s="410"/>
      <c r="BE51" s="410"/>
      <c r="BF51" s="410"/>
      <c r="BG51" s="410"/>
      <c r="BH51" s="410"/>
      <c r="BI51" s="410"/>
      <c r="BJ51" s="410"/>
      <c r="BK51" s="410"/>
      <c r="BL51" s="410"/>
      <c r="BM51" s="410"/>
      <c r="BN51" s="410"/>
      <c r="BO51" s="410"/>
      <c r="BP51" s="410"/>
      <c r="BQ51" s="410"/>
      <c r="BR51" s="410"/>
      <c r="BS51" s="410"/>
      <c r="BT51" s="410"/>
      <c r="BU51" s="410"/>
      <c r="BV51" s="410"/>
      <c r="BW51" s="410"/>
      <c r="BX51" s="410"/>
      <c r="BY51" s="410"/>
      <c r="BZ51" s="410"/>
      <c r="CA51" s="410"/>
      <c r="CB51" s="410"/>
    </row>
    <row r="52" spans="2:92" ht="11.25" customHeight="1">
      <c r="B52" s="410"/>
      <c r="C52" s="410"/>
      <c r="D52" s="410"/>
      <c r="E52" s="410"/>
      <c r="F52" s="410"/>
      <c r="G52" s="410"/>
      <c r="H52" s="410"/>
      <c r="I52" s="410"/>
      <c r="J52" s="410"/>
      <c r="K52" s="410"/>
      <c r="L52" s="410"/>
      <c r="M52" s="410"/>
      <c r="N52" s="410"/>
      <c r="O52" s="410"/>
      <c r="P52" s="410"/>
      <c r="Q52" s="410"/>
      <c r="R52" s="410"/>
      <c r="S52" s="410"/>
      <c r="T52" s="410"/>
      <c r="U52" s="410"/>
      <c r="V52" s="410"/>
      <c r="W52" s="410"/>
      <c r="X52" s="410"/>
      <c r="Y52" s="410"/>
      <c r="Z52" s="410"/>
      <c r="AA52" s="410"/>
      <c r="AB52" s="410"/>
      <c r="AC52" s="410"/>
      <c r="AD52" s="410"/>
      <c r="AE52" s="410"/>
      <c r="AF52" s="410"/>
      <c r="AG52" s="410"/>
      <c r="AH52" s="410"/>
      <c r="AI52" s="410"/>
      <c r="AJ52" s="410"/>
      <c r="AK52" s="410"/>
      <c r="AL52" s="410"/>
      <c r="AM52" s="410"/>
      <c r="AN52" s="410"/>
      <c r="AO52" s="410"/>
      <c r="AP52" s="410"/>
      <c r="AQ52" s="410"/>
      <c r="AR52" s="410"/>
      <c r="AS52" s="410"/>
      <c r="AT52" s="410"/>
      <c r="AU52" s="410"/>
      <c r="AV52" s="410"/>
      <c r="AW52" s="410"/>
      <c r="AX52" s="410"/>
      <c r="AY52" s="410"/>
      <c r="AZ52" s="410"/>
      <c r="BA52" s="410"/>
      <c r="BB52" s="410"/>
      <c r="BC52" s="410"/>
      <c r="BD52" s="410"/>
      <c r="BE52" s="410"/>
      <c r="BF52" s="410"/>
      <c r="BG52" s="410"/>
      <c r="BH52" s="410"/>
      <c r="BI52" s="410"/>
      <c r="BJ52" s="410"/>
      <c r="BK52" s="410"/>
      <c r="BL52" s="410"/>
      <c r="BM52" s="410"/>
      <c r="BN52" s="410"/>
      <c r="BO52" s="410"/>
      <c r="BP52" s="410"/>
      <c r="BQ52" s="410"/>
      <c r="BR52" s="410"/>
      <c r="BS52" s="410"/>
      <c r="BT52" s="410"/>
      <c r="BU52" s="410"/>
      <c r="BV52" s="410"/>
      <c r="BW52" s="410"/>
      <c r="BX52" s="410"/>
      <c r="BY52" s="410"/>
      <c r="BZ52" s="410"/>
      <c r="CA52" s="410"/>
      <c r="CB52" s="410"/>
    </row>
    <row r="53" spans="2:92" ht="11.25" customHeight="1">
      <c r="B53" s="410"/>
      <c r="C53" s="410"/>
      <c r="D53" s="410"/>
      <c r="E53" s="410"/>
      <c r="F53" s="410"/>
      <c r="G53" s="410"/>
      <c r="H53" s="410"/>
      <c r="I53" s="410"/>
      <c r="J53" s="410"/>
      <c r="K53" s="410"/>
      <c r="L53" s="410"/>
      <c r="M53" s="410"/>
      <c r="N53" s="410"/>
      <c r="O53" s="410"/>
      <c r="P53" s="410"/>
      <c r="Q53" s="410"/>
      <c r="R53" s="410"/>
      <c r="S53" s="410"/>
      <c r="T53" s="410"/>
      <c r="U53" s="410"/>
      <c r="V53" s="410"/>
      <c r="W53" s="410"/>
      <c r="X53" s="410"/>
      <c r="Y53" s="410"/>
      <c r="Z53" s="410"/>
      <c r="AA53" s="410"/>
      <c r="AB53" s="410"/>
      <c r="AC53" s="410"/>
      <c r="AD53" s="410"/>
      <c r="AE53" s="410"/>
      <c r="AF53" s="410"/>
      <c r="AG53" s="410"/>
      <c r="AH53" s="410"/>
      <c r="AI53" s="410"/>
      <c r="AJ53" s="410"/>
      <c r="AK53" s="410"/>
      <c r="AL53" s="410"/>
      <c r="AM53" s="410"/>
      <c r="AN53" s="410"/>
      <c r="AO53" s="410"/>
      <c r="AP53" s="410"/>
      <c r="AQ53" s="410"/>
      <c r="AR53" s="410"/>
      <c r="AS53" s="410"/>
      <c r="AT53" s="410"/>
      <c r="AU53" s="410"/>
      <c r="AV53" s="410"/>
      <c r="AW53" s="410"/>
      <c r="AX53" s="410"/>
      <c r="AY53" s="410"/>
      <c r="AZ53" s="410"/>
      <c r="BA53" s="410"/>
      <c r="BB53" s="410"/>
      <c r="BC53" s="410"/>
      <c r="BD53" s="410"/>
      <c r="BE53" s="410"/>
      <c r="CB53" s="410"/>
    </row>
    <row r="54" spans="2:92" ht="11.25" customHeight="1">
      <c r="B54" s="410"/>
      <c r="C54" s="410"/>
      <c r="D54" s="410"/>
      <c r="E54" s="410"/>
      <c r="F54" s="410"/>
      <c r="G54" s="410"/>
      <c r="H54" s="410"/>
      <c r="I54" s="410"/>
      <c r="J54" s="410"/>
      <c r="K54" s="410"/>
      <c r="L54" s="410"/>
      <c r="M54" s="410"/>
      <c r="N54" s="410"/>
      <c r="O54" s="410"/>
      <c r="P54" s="410"/>
      <c r="Q54" s="410"/>
      <c r="R54" s="410"/>
      <c r="S54" s="410"/>
      <c r="T54" s="410"/>
      <c r="U54" s="410"/>
      <c r="V54" s="410"/>
      <c r="W54" s="410"/>
      <c r="X54" s="410"/>
      <c r="Y54" s="410"/>
      <c r="Z54" s="410"/>
      <c r="AA54" s="410"/>
      <c r="AB54" s="410"/>
      <c r="AC54" s="410"/>
      <c r="AD54" s="410"/>
      <c r="AE54" s="410"/>
      <c r="AF54" s="410"/>
      <c r="AG54" s="410"/>
      <c r="AH54" s="410"/>
      <c r="AI54" s="410"/>
      <c r="AJ54" s="410"/>
      <c r="AK54" s="410"/>
      <c r="AL54" s="410"/>
      <c r="AM54" s="410"/>
      <c r="AN54" s="410"/>
      <c r="AO54" s="410"/>
      <c r="AP54" s="410"/>
      <c r="AQ54" s="410"/>
      <c r="AR54" s="410"/>
      <c r="AS54" s="410"/>
      <c r="AT54" s="410"/>
      <c r="AU54" s="410"/>
      <c r="AV54" s="410"/>
      <c r="AW54" s="410"/>
      <c r="AX54" s="410"/>
      <c r="AY54" s="410"/>
      <c r="AZ54" s="410"/>
      <c r="BA54" s="410"/>
      <c r="BB54" s="410"/>
      <c r="BC54" s="410"/>
      <c r="BD54" s="410"/>
      <c r="BE54" s="410"/>
      <c r="CB54" s="410"/>
    </row>
    <row r="55" spans="2:92" ht="45" customHeight="1">
      <c r="B55" s="410"/>
      <c r="C55" s="410"/>
      <c r="D55" s="410"/>
      <c r="E55" s="410"/>
      <c r="F55" s="410"/>
      <c r="G55" s="410"/>
      <c r="H55" s="410"/>
      <c r="I55" s="410"/>
      <c r="J55" s="410"/>
      <c r="K55" s="410"/>
      <c r="L55" s="410"/>
      <c r="M55" s="410"/>
      <c r="N55" s="410"/>
      <c r="O55" s="410"/>
      <c r="P55" s="410"/>
      <c r="Q55" s="410"/>
      <c r="R55" s="410"/>
      <c r="S55" s="410"/>
      <c r="T55" s="410"/>
      <c r="U55" s="410"/>
      <c r="V55" s="410"/>
      <c r="W55" s="410"/>
      <c r="X55" s="410"/>
      <c r="Y55" s="410"/>
      <c r="Z55" s="410"/>
      <c r="AA55" s="410"/>
      <c r="AB55" s="410"/>
      <c r="AC55" s="410"/>
      <c r="AD55" s="410"/>
      <c r="AE55" s="410"/>
      <c r="AF55" s="410"/>
      <c r="AG55" s="410"/>
      <c r="AH55" s="410"/>
      <c r="AI55" s="410"/>
      <c r="AJ55" s="410"/>
      <c r="AK55" s="410"/>
      <c r="AL55" s="410"/>
      <c r="AM55" s="410"/>
      <c r="AN55" s="410"/>
      <c r="AO55" s="410"/>
      <c r="AP55" s="410"/>
      <c r="AQ55" s="410"/>
      <c r="AR55" s="410"/>
      <c r="AS55" s="410"/>
      <c r="AT55" s="410"/>
      <c r="AU55" s="410"/>
      <c r="AV55" s="410"/>
      <c r="AW55" s="410"/>
      <c r="AX55" s="410"/>
      <c r="AY55" s="410"/>
      <c r="AZ55" s="410"/>
      <c r="BA55" s="410"/>
      <c r="BB55" s="410"/>
      <c r="BC55" s="410"/>
      <c r="BD55" s="410"/>
      <c r="BE55" s="410"/>
      <c r="CB55" s="410"/>
    </row>
    <row r="56" spans="2:92" ht="30" customHeight="1">
      <c r="B56" s="410"/>
      <c r="C56" s="410"/>
      <c r="D56" s="410"/>
      <c r="E56" s="410"/>
      <c r="F56" s="410"/>
      <c r="G56" s="410"/>
      <c r="H56" s="410"/>
      <c r="I56" s="410"/>
      <c r="J56" s="410"/>
      <c r="K56" s="410"/>
      <c r="L56" s="410"/>
      <c r="M56" s="410"/>
      <c r="N56" s="410"/>
      <c r="O56" s="410"/>
      <c r="P56" s="410"/>
      <c r="Q56" s="410"/>
      <c r="R56" s="410"/>
      <c r="S56" s="410"/>
      <c r="T56" s="410"/>
      <c r="U56" s="410"/>
      <c r="V56" s="410"/>
      <c r="W56" s="410"/>
      <c r="X56" s="410"/>
      <c r="Y56" s="410"/>
      <c r="Z56" s="410"/>
      <c r="AA56" s="410"/>
      <c r="AB56" s="410"/>
      <c r="AC56" s="410"/>
      <c r="AD56" s="410"/>
      <c r="AE56" s="410"/>
      <c r="AF56" s="410"/>
      <c r="AG56" s="410"/>
      <c r="AH56" s="410"/>
      <c r="AI56" s="410"/>
      <c r="AJ56" s="410"/>
      <c r="AK56" s="410"/>
      <c r="AL56" s="410"/>
      <c r="AM56" s="410"/>
      <c r="AN56" s="410"/>
      <c r="AO56" s="410"/>
      <c r="AP56" s="410"/>
      <c r="AQ56" s="410"/>
      <c r="AR56" s="410"/>
      <c r="AS56" s="410"/>
      <c r="AT56" s="410"/>
      <c r="AU56" s="410"/>
      <c r="AV56" s="410"/>
      <c r="AW56" s="410"/>
      <c r="AX56" s="410"/>
      <c r="AY56" s="410"/>
      <c r="AZ56" s="410"/>
      <c r="BA56" s="410"/>
      <c r="BB56" s="410"/>
      <c r="BC56" s="410"/>
      <c r="BD56" s="410"/>
      <c r="BE56" s="410"/>
      <c r="BF56" s="410"/>
      <c r="BG56" s="410"/>
      <c r="BH56" s="410"/>
      <c r="BI56" s="410"/>
      <c r="BJ56" s="410"/>
      <c r="BK56" s="410"/>
      <c r="BL56" s="410"/>
      <c r="BM56" s="410"/>
      <c r="BN56" s="410"/>
      <c r="BO56" s="410"/>
      <c r="BP56" s="410"/>
      <c r="BQ56" s="410"/>
      <c r="BR56" s="410"/>
      <c r="BS56" s="410"/>
      <c r="BT56" s="410"/>
      <c r="BU56" s="410"/>
      <c r="BV56" s="410"/>
      <c r="BW56" s="410"/>
      <c r="BX56" s="410"/>
      <c r="BY56" s="410"/>
      <c r="BZ56" s="410"/>
      <c r="CA56" s="410"/>
      <c r="CB56" s="410"/>
    </row>
    <row r="57" spans="2:92" ht="30" customHeight="1">
      <c r="B57" s="410"/>
      <c r="C57" s="410"/>
      <c r="D57" s="410"/>
      <c r="E57" s="410"/>
      <c r="F57" s="410"/>
      <c r="G57" s="410"/>
      <c r="H57" s="410"/>
      <c r="I57" s="410"/>
      <c r="J57" s="410"/>
      <c r="K57" s="410"/>
      <c r="L57" s="410"/>
      <c r="M57" s="410"/>
      <c r="N57" s="410"/>
      <c r="O57" s="410"/>
      <c r="P57" s="410"/>
      <c r="Q57" s="410"/>
      <c r="R57" s="410"/>
      <c r="S57" s="410"/>
      <c r="T57" s="410"/>
      <c r="U57" s="410"/>
      <c r="V57" s="410"/>
      <c r="W57" s="410"/>
      <c r="X57" s="410"/>
      <c r="Y57" s="410"/>
      <c r="Z57" s="410"/>
      <c r="AA57" s="410"/>
      <c r="AB57" s="410"/>
      <c r="AC57" s="410"/>
      <c r="AD57" s="410"/>
      <c r="AE57" s="410"/>
      <c r="AF57" s="410"/>
      <c r="AG57" s="410"/>
      <c r="AH57" s="410"/>
      <c r="AI57" s="410"/>
      <c r="AJ57" s="410"/>
      <c r="AK57" s="410"/>
      <c r="AL57" s="410"/>
      <c r="AM57" s="410"/>
      <c r="AN57" s="410"/>
      <c r="AO57" s="410"/>
      <c r="AP57" s="410"/>
      <c r="AQ57" s="410"/>
      <c r="AR57" s="410"/>
      <c r="AS57" s="410"/>
      <c r="AT57" s="410"/>
      <c r="AU57" s="410"/>
      <c r="AV57" s="410"/>
      <c r="AW57" s="410"/>
      <c r="AX57" s="410"/>
      <c r="AY57" s="410"/>
      <c r="AZ57" s="410"/>
      <c r="BA57" s="410"/>
      <c r="BB57" s="410"/>
      <c r="BC57" s="410"/>
      <c r="BD57" s="410"/>
      <c r="BE57" s="410"/>
      <c r="BF57" s="410"/>
      <c r="BG57" s="410"/>
      <c r="BH57" s="410"/>
      <c r="BI57" s="410"/>
      <c r="BJ57" s="410"/>
      <c r="BK57" s="410"/>
      <c r="BL57" s="410"/>
      <c r="BM57" s="410"/>
      <c r="BN57" s="410"/>
      <c r="BO57" s="410"/>
      <c r="BP57" s="410"/>
      <c r="BQ57" s="410"/>
      <c r="BR57" s="410"/>
      <c r="BS57" s="410"/>
      <c r="BT57" s="410"/>
      <c r="BU57" s="410"/>
      <c r="BV57" s="410"/>
      <c r="BW57" s="410"/>
      <c r="BX57" s="410"/>
      <c r="BY57" s="410"/>
      <c r="BZ57" s="410"/>
      <c r="CA57" s="410"/>
      <c r="CB57" s="410"/>
    </row>
    <row r="58" spans="2:92" ht="11.25" customHeight="1">
      <c r="B58" s="410"/>
      <c r="C58" s="410"/>
      <c r="D58" s="410"/>
      <c r="E58" s="410"/>
      <c r="F58" s="410"/>
      <c r="G58" s="410"/>
      <c r="H58" s="410"/>
      <c r="I58" s="410"/>
      <c r="J58" s="410"/>
      <c r="K58" s="410"/>
      <c r="L58" s="410"/>
      <c r="M58" s="410"/>
      <c r="N58" s="410"/>
      <c r="O58" s="410"/>
      <c r="P58" s="410"/>
      <c r="Q58" s="410"/>
      <c r="R58" s="410"/>
      <c r="S58" s="410"/>
      <c r="T58" s="410"/>
      <c r="U58" s="410"/>
      <c r="V58" s="410"/>
      <c r="W58" s="410"/>
      <c r="X58" s="410"/>
      <c r="Y58" s="410"/>
      <c r="Z58" s="410"/>
      <c r="AA58" s="410"/>
      <c r="AB58" s="410"/>
      <c r="AC58" s="410"/>
      <c r="AD58" s="410"/>
      <c r="AE58" s="410"/>
      <c r="AF58" s="410"/>
      <c r="AG58" s="410"/>
      <c r="AH58" s="410"/>
      <c r="AI58" s="410"/>
      <c r="AJ58" s="410"/>
      <c r="AK58" s="410"/>
      <c r="AL58" s="410"/>
      <c r="AM58" s="410"/>
      <c r="AN58" s="410"/>
      <c r="AO58" s="410"/>
      <c r="AP58" s="410"/>
      <c r="AQ58" s="410"/>
      <c r="AR58" s="410"/>
      <c r="AS58" s="410"/>
      <c r="AT58" s="410"/>
      <c r="AU58" s="410"/>
      <c r="AV58" s="410"/>
      <c r="AW58" s="410"/>
      <c r="AX58" s="410"/>
      <c r="AY58" s="410"/>
      <c r="AZ58" s="410"/>
      <c r="BA58" s="410"/>
      <c r="BB58" s="410"/>
      <c r="BC58" s="410"/>
      <c r="BD58" s="410"/>
      <c r="BE58" s="410"/>
      <c r="BF58" s="410"/>
      <c r="BG58" s="410"/>
      <c r="BH58" s="410"/>
      <c r="BI58" s="410"/>
      <c r="BJ58" s="410"/>
      <c r="BK58" s="410"/>
      <c r="BL58" s="410"/>
      <c r="BM58" s="410"/>
      <c r="BN58" s="410"/>
      <c r="BO58" s="410"/>
      <c r="BP58" s="410"/>
      <c r="BQ58" s="410"/>
      <c r="BR58" s="410"/>
      <c r="BS58" s="410"/>
      <c r="BT58" s="410"/>
      <c r="BU58" s="410"/>
      <c r="BV58" s="410"/>
      <c r="BW58" s="410"/>
      <c r="BX58" s="410"/>
      <c r="BY58" s="410"/>
      <c r="BZ58" s="410"/>
      <c r="CA58" s="410"/>
      <c r="CB58" s="410"/>
    </row>
    <row r="59" spans="2:92" ht="11.25" customHeight="1">
      <c r="B59" s="410"/>
      <c r="C59" s="410"/>
      <c r="D59" s="410"/>
      <c r="E59" s="410"/>
      <c r="F59" s="410"/>
      <c r="G59" s="410"/>
      <c r="H59" s="410"/>
      <c r="I59" s="410"/>
      <c r="J59" s="410"/>
      <c r="K59" s="410"/>
      <c r="L59" s="410"/>
      <c r="M59" s="410"/>
      <c r="N59" s="410"/>
      <c r="O59" s="410"/>
      <c r="P59" s="410"/>
      <c r="Q59" s="410"/>
      <c r="R59" s="410"/>
      <c r="S59" s="410"/>
      <c r="T59" s="410"/>
      <c r="U59" s="410"/>
      <c r="V59" s="410"/>
      <c r="W59" s="410"/>
      <c r="X59" s="410"/>
      <c r="Y59" s="410"/>
      <c r="Z59" s="410"/>
      <c r="AA59" s="410"/>
      <c r="AB59" s="410"/>
      <c r="AC59" s="410"/>
      <c r="AD59" s="410"/>
      <c r="AE59" s="410"/>
      <c r="AF59" s="410"/>
      <c r="AG59" s="410"/>
      <c r="AH59" s="410"/>
      <c r="AI59" s="410"/>
      <c r="AJ59" s="410"/>
      <c r="AK59" s="410"/>
      <c r="AL59" s="410"/>
      <c r="AM59" s="410"/>
      <c r="AN59" s="410"/>
      <c r="AO59" s="410"/>
      <c r="AP59" s="410"/>
      <c r="AQ59" s="410"/>
      <c r="AR59" s="410"/>
      <c r="AS59" s="410"/>
      <c r="AT59" s="410"/>
      <c r="AU59" s="410"/>
      <c r="AV59" s="410"/>
      <c r="AW59" s="410"/>
      <c r="AX59" s="410"/>
      <c r="AY59" s="410"/>
      <c r="AZ59" s="410"/>
      <c r="BA59" s="410"/>
      <c r="BB59" s="410"/>
      <c r="BC59" s="410"/>
      <c r="BD59" s="410"/>
      <c r="BE59" s="410"/>
      <c r="BF59" s="410"/>
      <c r="BG59" s="410"/>
      <c r="BH59" s="410"/>
      <c r="BI59" s="410"/>
      <c r="BJ59" s="410"/>
      <c r="BK59" s="410"/>
      <c r="BL59" s="410"/>
      <c r="BM59" s="410"/>
      <c r="BN59" s="410"/>
      <c r="BO59" s="410"/>
      <c r="BP59" s="410"/>
      <c r="BQ59" s="410"/>
      <c r="BR59" s="410"/>
      <c r="BS59" s="410"/>
      <c r="BT59" s="410"/>
      <c r="BU59" s="410"/>
      <c r="BV59" s="410"/>
      <c r="BW59" s="410"/>
      <c r="BX59" s="410"/>
      <c r="BY59" s="410"/>
      <c r="BZ59" s="410"/>
      <c r="CA59" s="410"/>
      <c r="CB59" s="410"/>
    </row>
    <row r="60" spans="2:92" ht="11.25" customHeight="1">
      <c r="B60" s="410"/>
      <c r="C60" s="410"/>
      <c r="D60" s="410"/>
      <c r="E60" s="410"/>
      <c r="F60" s="410"/>
      <c r="G60" s="410"/>
      <c r="H60" s="410"/>
      <c r="I60" s="410"/>
      <c r="J60" s="410"/>
      <c r="K60" s="410"/>
      <c r="L60" s="410"/>
      <c r="M60" s="410"/>
      <c r="N60" s="410"/>
      <c r="O60" s="410"/>
      <c r="P60" s="410"/>
      <c r="Q60" s="410"/>
      <c r="R60" s="410"/>
      <c r="S60" s="410"/>
      <c r="T60" s="410"/>
      <c r="U60" s="410"/>
      <c r="V60" s="410"/>
      <c r="W60" s="410"/>
      <c r="X60" s="410"/>
      <c r="Y60" s="410"/>
      <c r="Z60" s="410"/>
      <c r="AA60" s="410"/>
      <c r="AB60" s="410"/>
      <c r="AC60" s="410"/>
      <c r="AD60" s="410"/>
      <c r="AE60" s="410"/>
      <c r="AF60" s="410"/>
      <c r="AG60" s="410"/>
      <c r="AH60" s="410"/>
      <c r="AI60" s="410"/>
      <c r="AJ60" s="410"/>
      <c r="AK60" s="410"/>
      <c r="AL60" s="410"/>
      <c r="AM60" s="410"/>
      <c r="AN60" s="410"/>
      <c r="AO60" s="410"/>
      <c r="AP60" s="410"/>
      <c r="AQ60" s="410"/>
      <c r="AR60" s="410"/>
      <c r="AS60" s="410"/>
      <c r="AT60" s="410"/>
      <c r="AU60" s="410"/>
      <c r="AV60" s="410"/>
      <c r="AW60" s="410"/>
      <c r="AX60" s="410"/>
      <c r="AY60" s="410"/>
      <c r="AZ60" s="410"/>
      <c r="BA60" s="410"/>
      <c r="BB60" s="410"/>
      <c r="BC60" s="410"/>
      <c r="BD60" s="410"/>
      <c r="BE60" s="410"/>
      <c r="BF60" s="410"/>
      <c r="BG60" s="410"/>
      <c r="BH60" s="410"/>
      <c r="BI60" s="410"/>
      <c r="BJ60" s="410"/>
      <c r="BK60" s="410"/>
      <c r="BL60" s="410"/>
      <c r="BM60" s="410"/>
      <c r="BN60" s="410"/>
      <c r="BO60" s="410"/>
      <c r="BP60" s="410"/>
      <c r="BQ60" s="410"/>
      <c r="BR60" s="410"/>
      <c r="BS60" s="410"/>
      <c r="BT60" s="410"/>
      <c r="BU60" s="410"/>
      <c r="BV60" s="410"/>
      <c r="BW60" s="410"/>
      <c r="BX60" s="410"/>
      <c r="BY60" s="410"/>
      <c r="BZ60" s="410"/>
      <c r="CA60" s="410"/>
      <c r="CB60" s="410"/>
    </row>
    <row r="61" spans="2:92" ht="30" customHeight="1">
      <c r="B61" s="410"/>
      <c r="C61" s="410"/>
      <c r="D61" s="410"/>
      <c r="E61" s="410"/>
      <c r="F61" s="410"/>
      <c r="G61" s="410"/>
      <c r="H61" s="410"/>
      <c r="I61" s="410"/>
      <c r="J61" s="410"/>
      <c r="K61" s="410"/>
      <c r="L61" s="410"/>
      <c r="M61" s="410"/>
      <c r="N61" s="410"/>
      <c r="O61" s="410"/>
      <c r="P61" s="410"/>
      <c r="Q61" s="410"/>
      <c r="R61" s="410"/>
      <c r="S61" s="410"/>
      <c r="T61" s="410"/>
      <c r="U61" s="410"/>
      <c r="V61" s="410"/>
      <c r="W61" s="410"/>
      <c r="X61" s="410"/>
      <c r="Y61" s="410"/>
      <c r="Z61" s="410"/>
      <c r="AA61" s="410"/>
      <c r="AB61" s="410"/>
      <c r="AC61" s="410"/>
      <c r="AD61" s="410"/>
      <c r="AE61" s="410"/>
      <c r="AF61" s="410"/>
      <c r="AG61" s="410"/>
      <c r="AH61" s="410"/>
      <c r="AI61" s="410"/>
      <c r="AJ61" s="410"/>
      <c r="AK61" s="410"/>
      <c r="AL61" s="410"/>
      <c r="AM61" s="410"/>
      <c r="AN61" s="410"/>
      <c r="AO61" s="410"/>
      <c r="AP61" s="410"/>
      <c r="AQ61" s="410"/>
      <c r="AR61" s="410"/>
      <c r="AS61" s="410"/>
      <c r="AT61" s="410"/>
      <c r="AU61" s="410"/>
      <c r="AV61" s="410"/>
      <c r="AW61" s="410"/>
      <c r="AX61" s="410"/>
      <c r="AY61" s="410"/>
      <c r="AZ61" s="410"/>
      <c r="BA61" s="410"/>
      <c r="BB61" s="410"/>
      <c r="BC61" s="410"/>
      <c r="BD61" s="410"/>
      <c r="BE61" s="410"/>
      <c r="BF61" s="410"/>
      <c r="BG61" s="410"/>
      <c r="BH61" s="410"/>
      <c r="BI61" s="410"/>
      <c r="BJ61" s="410"/>
      <c r="BK61" s="410"/>
      <c r="BL61" s="410"/>
      <c r="BM61" s="410"/>
      <c r="BN61" s="410"/>
      <c r="BO61" s="410"/>
      <c r="BP61" s="410"/>
      <c r="BQ61" s="410"/>
      <c r="BR61" s="410"/>
      <c r="BS61" s="410"/>
      <c r="BT61" s="410"/>
      <c r="BU61" s="410"/>
      <c r="BV61" s="410"/>
      <c r="BW61" s="410"/>
      <c r="BX61" s="410"/>
      <c r="BY61" s="410"/>
      <c r="BZ61" s="410"/>
      <c r="CA61" s="410"/>
      <c r="CB61" s="410"/>
    </row>
    <row r="62" spans="2:92" ht="30" customHeight="1">
      <c r="B62" s="410"/>
      <c r="C62" s="410"/>
      <c r="D62" s="410"/>
      <c r="E62" s="410"/>
      <c r="F62" s="410"/>
      <c r="G62" s="410"/>
      <c r="H62" s="410"/>
      <c r="I62" s="410"/>
      <c r="J62" s="410"/>
      <c r="K62" s="410"/>
      <c r="L62" s="410"/>
      <c r="M62" s="410"/>
      <c r="N62" s="410"/>
      <c r="O62" s="410"/>
      <c r="P62" s="410"/>
      <c r="Q62" s="410"/>
      <c r="R62" s="410"/>
      <c r="S62" s="410"/>
      <c r="T62" s="410"/>
      <c r="U62" s="410"/>
      <c r="V62" s="410"/>
      <c r="W62" s="410"/>
      <c r="X62" s="410"/>
      <c r="Y62" s="410"/>
      <c r="Z62" s="410"/>
      <c r="AA62" s="410"/>
      <c r="AB62" s="410"/>
      <c r="AC62" s="410"/>
      <c r="AD62" s="410"/>
      <c r="AE62" s="410"/>
      <c r="AF62" s="410"/>
      <c r="AG62" s="410"/>
      <c r="AH62" s="410"/>
      <c r="AI62" s="410"/>
      <c r="AJ62" s="410"/>
      <c r="AK62" s="410"/>
      <c r="AL62" s="410"/>
      <c r="AM62" s="410"/>
      <c r="AN62" s="410"/>
      <c r="AO62" s="410"/>
      <c r="AP62" s="410"/>
      <c r="AQ62" s="410"/>
      <c r="AR62" s="410"/>
      <c r="AS62" s="410"/>
      <c r="AT62" s="410"/>
      <c r="AU62" s="410"/>
      <c r="AV62" s="410"/>
      <c r="AW62" s="410"/>
      <c r="AX62" s="410"/>
      <c r="AY62" s="410"/>
      <c r="AZ62" s="410"/>
      <c r="BA62" s="410"/>
      <c r="BB62" s="410"/>
      <c r="BC62" s="410"/>
      <c r="BD62" s="410"/>
      <c r="BE62" s="410"/>
      <c r="BF62" s="410"/>
      <c r="BG62" s="410"/>
      <c r="BH62" s="410"/>
      <c r="BI62" s="410"/>
      <c r="BJ62" s="410"/>
      <c r="BK62" s="410"/>
      <c r="BL62" s="410"/>
      <c r="BM62" s="410"/>
      <c r="BN62" s="410"/>
      <c r="BO62" s="410"/>
      <c r="BP62" s="410"/>
      <c r="BQ62" s="410"/>
      <c r="BR62" s="410"/>
      <c r="BS62" s="410"/>
      <c r="BT62" s="410"/>
      <c r="BU62" s="410"/>
      <c r="BV62" s="410"/>
      <c r="BW62" s="410"/>
      <c r="BX62" s="410"/>
      <c r="BY62" s="410"/>
      <c r="BZ62" s="410"/>
      <c r="CA62" s="410"/>
      <c r="CB62" s="410"/>
    </row>
    <row r="63" spans="2:92" ht="11.25" customHeight="1">
      <c r="B63" s="410"/>
      <c r="C63" s="410"/>
      <c r="D63" s="410"/>
      <c r="E63" s="410"/>
      <c r="F63" s="410"/>
      <c r="G63" s="410"/>
      <c r="H63" s="410"/>
      <c r="I63" s="410"/>
      <c r="J63" s="410"/>
      <c r="K63" s="410"/>
      <c r="L63" s="410"/>
      <c r="M63" s="410"/>
      <c r="N63" s="410"/>
      <c r="O63" s="410"/>
      <c r="P63" s="410"/>
      <c r="Q63" s="410"/>
      <c r="R63" s="410"/>
      <c r="S63" s="410"/>
      <c r="T63" s="410"/>
      <c r="U63" s="410"/>
      <c r="V63" s="410"/>
      <c r="W63" s="410"/>
      <c r="X63" s="410"/>
      <c r="Y63" s="410"/>
      <c r="Z63" s="410"/>
      <c r="AA63" s="410"/>
      <c r="AB63" s="410"/>
      <c r="AC63" s="410"/>
      <c r="AD63" s="410"/>
      <c r="AE63" s="410"/>
      <c r="AF63" s="410"/>
      <c r="AG63" s="410"/>
      <c r="AH63" s="410"/>
      <c r="AI63" s="410"/>
      <c r="AJ63" s="410"/>
      <c r="AK63" s="410"/>
      <c r="AL63" s="410"/>
      <c r="AM63" s="410"/>
      <c r="AN63" s="410"/>
      <c r="AO63" s="410"/>
      <c r="AP63" s="410"/>
      <c r="AQ63" s="410"/>
      <c r="AR63" s="410"/>
      <c r="AS63" s="410"/>
      <c r="AT63" s="410"/>
      <c r="AU63" s="410"/>
      <c r="AV63" s="410"/>
      <c r="AW63" s="410"/>
      <c r="AX63" s="410"/>
      <c r="AY63" s="410"/>
      <c r="AZ63" s="410"/>
      <c r="BA63" s="410"/>
      <c r="BB63" s="410"/>
      <c r="BC63" s="410"/>
      <c r="BD63" s="410"/>
      <c r="BE63" s="410"/>
      <c r="BF63" s="410"/>
      <c r="BG63" s="410"/>
      <c r="BH63" s="410"/>
      <c r="BI63" s="410"/>
      <c r="BJ63" s="410"/>
      <c r="BK63" s="410"/>
      <c r="BL63" s="410"/>
      <c r="BM63" s="410"/>
      <c r="BN63" s="410"/>
      <c r="BO63" s="410"/>
      <c r="BP63" s="410"/>
      <c r="BQ63" s="410"/>
      <c r="BR63" s="410"/>
      <c r="BS63" s="410"/>
      <c r="BT63" s="410"/>
      <c r="BU63" s="410"/>
      <c r="BV63" s="410"/>
      <c r="BW63" s="410"/>
      <c r="BX63" s="410"/>
      <c r="BY63" s="410"/>
      <c r="BZ63" s="410"/>
      <c r="CA63" s="410"/>
      <c r="CB63" s="410"/>
    </row>
    <row r="64" spans="2:92" ht="11.25" customHeight="1">
      <c r="B64" s="410"/>
      <c r="C64" s="410"/>
      <c r="D64" s="410"/>
      <c r="E64" s="410"/>
      <c r="F64" s="410"/>
      <c r="G64" s="410"/>
      <c r="H64" s="410"/>
      <c r="I64" s="410"/>
      <c r="J64" s="410"/>
      <c r="K64" s="410"/>
      <c r="L64" s="410"/>
      <c r="M64" s="410"/>
      <c r="N64" s="410"/>
      <c r="O64" s="410"/>
      <c r="P64" s="410"/>
      <c r="Q64" s="410"/>
      <c r="R64" s="410"/>
      <c r="S64" s="410"/>
      <c r="T64" s="410"/>
      <c r="U64" s="410"/>
      <c r="V64" s="410"/>
      <c r="W64" s="410"/>
      <c r="X64" s="410"/>
      <c r="Y64" s="410"/>
      <c r="Z64" s="410"/>
      <c r="AA64" s="410"/>
      <c r="AB64" s="410"/>
      <c r="AC64" s="410"/>
      <c r="AD64" s="410"/>
      <c r="AE64" s="410"/>
      <c r="AF64" s="410"/>
      <c r="AG64" s="410"/>
      <c r="AH64" s="410"/>
      <c r="AI64" s="410"/>
      <c r="AJ64" s="410"/>
      <c r="AK64" s="410"/>
      <c r="AL64" s="410"/>
      <c r="AM64" s="410"/>
      <c r="AN64" s="410"/>
      <c r="AO64" s="410"/>
      <c r="AP64" s="410"/>
      <c r="AQ64" s="410"/>
      <c r="AR64" s="410"/>
      <c r="AS64" s="410"/>
      <c r="AT64" s="410"/>
      <c r="AU64" s="410"/>
      <c r="AV64" s="410"/>
      <c r="AW64" s="410"/>
      <c r="AX64" s="410"/>
      <c r="AY64" s="410"/>
      <c r="AZ64" s="410"/>
      <c r="BA64" s="410"/>
      <c r="BB64" s="410"/>
      <c r="BC64" s="410"/>
      <c r="BD64" s="410"/>
      <c r="BE64" s="410"/>
      <c r="BF64" s="410"/>
      <c r="BG64" s="410"/>
      <c r="BH64" s="410"/>
      <c r="BI64" s="410"/>
      <c r="BJ64" s="410"/>
      <c r="BK64" s="410"/>
      <c r="BL64" s="410"/>
      <c r="BM64" s="410"/>
      <c r="BN64" s="410"/>
      <c r="BO64" s="410"/>
      <c r="BP64" s="410"/>
      <c r="BQ64" s="410"/>
      <c r="BR64" s="410"/>
      <c r="BS64" s="410"/>
      <c r="BT64" s="410"/>
      <c r="BU64" s="410"/>
      <c r="BV64" s="410"/>
      <c r="BW64" s="410"/>
      <c r="BX64" s="410"/>
      <c r="BY64" s="410"/>
      <c r="BZ64" s="410"/>
      <c r="CA64" s="410"/>
      <c r="CB64" s="410"/>
    </row>
    <row r="65" spans="2:83" ht="11.25" customHeight="1">
      <c r="B65" s="410"/>
      <c r="C65" s="410"/>
      <c r="D65" s="410"/>
      <c r="E65" s="410"/>
      <c r="F65" s="410"/>
      <c r="G65" s="410"/>
      <c r="H65" s="410"/>
      <c r="I65" s="410"/>
      <c r="J65" s="410"/>
      <c r="K65" s="410"/>
      <c r="L65" s="410"/>
      <c r="M65" s="410"/>
      <c r="N65" s="410"/>
      <c r="O65" s="410"/>
      <c r="P65" s="410"/>
      <c r="Q65" s="410"/>
      <c r="R65" s="410"/>
      <c r="S65" s="410"/>
      <c r="T65" s="410"/>
      <c r="U65" s="410"/>
      <c r="V65" s="410"/>
      <c r="W65" s="410"/>
      <c r="X65" s="410"/>
      <c r="Y65" s="410"/>
      <c r="Z65" s="410"/>
      <c r="AA65" s="410"/>
      <c r="AB65" s="410"/>
      <c r="AC65" s="410"/>
      <c r="AD65" s="410"/>
      <c r="AE65" s="410"/>
      <c r="AF65" s="410"/>
      <c r="AG65" s="410"/>
      <c r="AH65" s="410"/>
      <c r="AI65" s="410"/>
      <c r="AJ65" s="410"/>
      <c r="AK65" s="410"/>
      <c r="AL65" s="410"/>
      <c r="AM65" s="410"/>
      <c r="AN65" s="410"/>
      <c r="AO65" s="410"/>
      <c r="AP65" s="410"/>
      <c r="AQ65" s="410"/>
      <c r="AR65" s="410"/>
      <c r="AS65" s="410"/>
      <c r="AT65" s="410"/>
      <c r="AU65" s="410"/>
      <c r="AV65" s="410"/>
      <c r="AW65" s="410"/>
      <c r="AX65" s="410"/>
      <c r="AY65" s="410"/>
      <c r="AZ65" s="410"/>
      <c r="BA65" s="410"/>
      <c r="BB65" s="410"/>
      <c r="BC65" s="410"/>
      <c r="BD65" s="410"/>
      <c r="BE65" s="410"/>
      <c r="BF65" s="410"/>
      <c r="BG65" s="410"/>
      <c r="BH65" s="410"/>
      <c r="BI65" s="410"/>
      <c r="BJ65" s="410"/>
      <c r="BK65" s="410"/>
      <c r="BL65" s="410"/>
      <c r="BM65" s="410"/>
      <c r="BN65" s="410"/>
      <c r="BO65" s="410"/>
      <c r="BP65" s="410"/>
      <c r="BQ65" s="410"/>
      <c r="BR65" s="410"/>
      <c r="BS65" s="410"/>
      <c r="BT65" s="410"/>
      <c r="BU65" s="410"/>
      <c r="BV65" s="410"/>
      <c r="BW65" s="410"/>
      <c r="BX65" s="410"/>
      <c r="BY65" s="410"/>
      <c r="BZ65" s="410"/>
      <c r="CA65" s="410"/>
      <c r="CB65" s="410"/>
      <c r="CE65" s="379"/>
    </row>
    <row r="66" spans="2:83" ht="11.25" customHeight="1">
      <c r="B66" s="410"/>
      <c r="C66" s="410"/>
      <c r="D66" s="410"/>
      <c r="E66" s="410"/>
      <c r="F66" s="410"/>
      <c r="G66" s="410"/>
      <c r="H66" s="410"/>
      <c r="I66" s="410"/>
      <c r="J66" s="410"/>
      <c r="K66" s="410"/>
      <c r="L66" s="410"/>
      <c r="M66" s="410"/>
      <c r="N66" s="410"/>
      <c r="O66" s="410"/>
      <c r="P66" s="410"/>
      <c r="Q66" s="410"/>
      <c r="R66" s="410"/>
      <c r="S66" s="410"/>
      <c r="T66" s="410"/>
      <c r="U66" s="410"/>
      <c r="V66" s="410"/>
      <c r="W66" s="410"/>
      <c r="X66" s="410"/>
      <c r="Y66" s="410"/>
      <c r="Z66" s="410"/>
      <c r="AA66" s="410"/>
      <c r="AB66" s="410"/>
      <c r="AC66" s="410"/>
      <c r="AD66" s="410"/>
      <c r="AE66" s="410"/>
      <c r="AF66" s="410"/>
      <c r="AG66" s="410"/>
      <c r="AH66" s="410"/>
      <c r="AI66" s="410"/>
      <c r="AJ66" s="410"/>
      <c r="AK66" s="410"/>
      <c r="AL66" s="410"/>
      <c r="AM66" s="410"/>
      <c r="AN66" s="410"/>
      <c r="AO66" s="410"/>
      <c r="AP66" s="410"/>
      <c r="AQ66" s="410"/>
      <c r="AR66" s="410"/>
      <c r="AS66" s="410"/>
      <c r="AT66" s="410"/>
      <c r="AU66" s="410"/>
      <c r="AV66" s="410"/>
      <c r="AW66" s="410"/>
      <c r="AX66" s="410"/>
      <c r="AY66" s="410"/>
      <c r="AZ66" s="410"/>
      <c r="BA66" s="410"/>
      <c r="BB66" s="410"/>
      <c r="BC66" s="410"/>
      <c r="BD66" s="410"/>
      <c r="BE66" s="410"/>
      <c r="BF66" s="410"/>
      <c r="BG66" s="410"/>
      <c r="BH66" s="410"/>
      <c r="BI66" s="410"/>
      <c r="BJ66" s="410"/>
      <c r="BK66" s="410"/>
      <c r="BL66" s="410"/>
      <c r="BM66" s="410"/>
      <c r="BN66" s="410"/>
      <c r="BO66" s="410"/>
      <c r="BP66" s="410"/>
      <c r="BQ66" s="410"/>
      <c r="BR66" s="410"/>
      <c r="BS66" s="410"/>
      <c r="BT66" s="410"/>
      <c r="BU66" s="410"/>
      <c r="BV66" s="410"/>
      <c r="BW66" s="410"/>
      <c r="BX66" s="410"/>
      <c r="BY66" s="410"/>
      <c r="BZ66" s="410"/>
      <c r="CA66" s="410"/>
      <c r="CB66" s="410"/>
    </row>
    <row r="67" spans="2:83" ht="11.25" customHeight="1">
      <c r="B67" s="410"/>
      <c r="C67" s="410"/>
      <c r="D67" s="410"/>
      <c r="E67" s="410"/>
      <c r="F67" s="410"/>
      <c r="G67" s="410"/>
      <c r="H67" s="410"/>
      <c r="I67" s="410"/>
      <c r="J67" s="410"/>
      <c r="K67" s="410"/>
      <c r="L67" s="410"/>
      <c r="M67" s="410"/>
      <c r="N67" s="410"/>
      <c r="O67" s="410"/>
      <c r="P67" s="410"/>
      <c r="Q67" s="410"/>
      <c r="R67" s="410"/>
      <c r="S67" s="410"/>
      <c r="T67" s="410"/>
      <c r="U67" s="410"/>
      <c r="V67" s="410"/>
      <c r="W67" s="410"/>
      <c r="X67" s="410"/>
      <c r="Y67" s="410"/>
      <c r="Z67" s="410"/>
      <c r="AA67" s="410"/>
      <c r="AB67" s="410"/>
      <c r="AC67" s="410"/>
      <c r="AD67" s="410"/>
      <c r="AE67" s="410"/>
      <c r="AF67" s="410"/>
      <c r="AG67" s="410"/>
      <c r="AH67" s="410"/>
      <c r="AI67" s="410"/>
      <c r="AJ67" s="410"/>
      <c r="AK67" s="410"/>
      <c r="AL67" s="410"/>
      <c r="AM67" s="410"/>
      <c r="AN67" s="410"/>
      <c r="AO67" s="410"/>
      <c r="AP67" s="410"/>
      <c r="AQ67" s="410"/>
      <c r="AR67" s="410"/>
      <c r="AS67" s="410"/>
      <c r="AT67" s="410"/>
      <c r="AU67" s="410"/>
      <c r="AV67" s="410"/>
      <c r="AW67" s="410"/>
      <c r="AX67" s="410"/>
      <c r="AY67" s="410"/>
      <c r="AZ67" s="410"/>
      <c r="BA67" s="410"/>
      <c r="BB67" s="410"/>
      <c r="BC67" s="410"/>
      <c r="BD67" s="410"/>
      <c r="BE67" s="410"/>
      <c r="BF67" s="410"/>
      <c r="BG67" s="410"/>
      <c r="BH67" s="410"/>
      <c r="BI67" s="410"/>
      <c r="BJ67" s="410"/>
      <c r="BK67" s="410"/>
      <c r="BL67" s="410"/>
      <c r="BM67" s="410"/>
      <c r="BN67" s="410"/>
      <c r="BO67" s="410"/>
      <c r="BP67" s="410"/>
      <c r="BQ67" s="410"/>
      <c r="BR67" s="410"/>
      <c r="BS67" s="410"/>
      <c r="BT67" s="410"/>
      <c r="BU67" s="410"/>
      <c r="BV67" s="410"/>
      <c r="BW67" s="410"/>
      <c r="BX67" s="410"/>
      <c r="BY67" s="410"/>
      <c r="BZ67" s="410"/>
      <c r="CA67" s="410"/>
      <c r="CB67" s="410"/>
    </row>
    <row r="68" spans="2:83" ht="11.25" customHeight="1">
      <c r="B68" s="410"/>
      <c r="C68" s="410"/>
      <c r="D68" s="410"/>
      <c r="E68" s="410"/>
      <c r="F68" s="410"/>
      <c r="G68" s="410"/>
      <c r="H68" s="410"/>
      <c r="I68" s="410"/>
      <c r="J68" s="410"/>
      <c r="K68" s="410"/>
      <c r="L68" s="410"/>
      <c r="M68" s="410"/>
      <c r="N68" s="410"/>
      <c r="O68" s="410"/>
      <c r="P68" s="410"/>
      <c r="Q68" s="410"/>
      <c r="R68" s="410"/>
      <c r="S68" s="410"/>
      <c r="T68" s="410"/>
      <c r="U68" s="410"/>
      <c r="V68" s="410"/>
      <c r="W68" s="410"/>
      <c r="X68" s="410"/>
      <c r="Y68" s="410"/>
      <c r="Z68" s="410"/>
      <c r="AA68" s="410"/>
      <c r="AB68" s="410"/>
      <c r="AC68" s="410"/>
      <c r="AD68" s="410"/>
      <c r="AE68" s="410"/>
      <c r="AF68" s="410"/>
      <c r="AG68" s="410"/>
      <c r="AH68" s="410"/>
      <c r="AI68" s="410"/>
      <c r="AJ68" s="410"/>
      <c r="AK68" s="410"/>
      <c r="AL68" s="410"/>
      <c r="AM68" s="410"/>
      <c r="AN68" s="410"/>
      <c r="AO68" s="410"/>
      <c r="AP68" s="410"/>
      <c r="AQ68" s="410"/>
      <c r="AR68" s="410"/>
      <c r="AS68" s="410"/>
      <c r="AT68" s="410"/>
      <c r="AU68" s="410"/>
      <c r="AV68" s="410"/>
      <c r="AW68" s="410"/>
      <c r="AX68" s="410"/>
      <c r="AY68" s="410"/>
      <c r="AZ68" s="410"/>
      <c r="BA68" s="410"/>
      <c r="BB68" s="410"/>
      <c r="BC68" s="410"/>
      <c r="BD68" s="410"/>
      <c r="BE68" s="410"/>
      <c r="BF68" s="410"/>
      <c r="BG68" s="410"/>
      <c r="BH68" s="410"/>
      <c r="BI68" s="410"/>
      <c r="BJ68" s="410"/>
      <c r="BK68" s="410"/>
      <c r="BL68" s="410"/>
      <c r="BM68" s="410"/>
      <c r="BN68" s="410"/>
      <c r="BO68" s="410"/>
      <c r="BP68" s="410"/>
      <c r="BQ68" s="410"/>
      <c r="BR68" s="410"/>
      <c r="BS68" s="410"/>
      <c r="BT68" s="410"/>
      <c r="BU68" s="410"/>
      <c r="BV68" s="410"/>
      <c r="BW68" s="410"/>
      <c r="BX68" s="410"/>
      <c r="BY68" s="410"/>
      <c r="BZ68" s="410"/>
      <c r="CA68" s="410"/>
      <c r="CB68" s="410"/>
    </row>
    <row r="69" spans="2:83" ht="11.25" customHeight="1">
      <c r="B69" s="410"/>
      <c r="C69" s="410"/>
      <c r="D69" s="410"/>
      <c r="E69" s="410"/>
      <c r="F69" s="410"/>
      <c r="G69" s="410"/>
      <c r="H69" s="410"/>
      <c r="I69" s="410"/>
      <c r="J69" s="410"/>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410"/>
      <c r="AO69" s="410"/>
      <c r="AP69" s="410"/>
      <c r="AQ69" s="410"/>
      <c r="AR69" s="410"/>
      <c r="AS69" s="410"/>
      <c r="AT69" s="410"/>
      <c r="AU69" s="410"/>
      <c r="AV69" s="410"/>
      <c r="AW69" s="410"/>
      <c r="AX69" s="410"/>
      <c r="AY69" s="410"/>
      <c r="AZ69" s="410"/>
      <c r="BA69" s="410"/>
      <c r="BB69" s="410"/>
      <c r="BC69" s="410"/>
      <c r="BD69" s="410"/>
      <c r="BE69" s="410"/>
      <c r="BF69" s="410"/>
      <c r="BG69" s="410"/>
      <c r="BH69" s="410"/>
      <c r="BI69" s="410"/>
      <c r="BJ69" s="410"/>
      <c r="BK69" s="410"/>
      <c r="BL69" s="410"/>
      <c r="BM69" s="410"/>
      <c r="BN69" s="410"/>
      <c r="BO69" s="410"/>
      <c r="BP69" s="410"/>
      <c r="BQ69" s="410"/>
      <c r="BR69" s="410"/>
      <c r="BS69" s="410"/>
      <c r="BT69" s="410"/>
      <c r="BU69" s="410"/>
      <c r="BV69" s="410"/>
      <c r="BW69" s="410"/>
      <c r="BX69" s="410"/>
      <c r="BY69" s="410"/>
      <c r="BZ69" s="410"/>
      <c r="CA69" s="410"/>
      <c r="CB69" s="410"/>
    </row>
    <row r="70" spans="2:83" ht="11.25" customHeight="1">
      <c r="B70" s="410"/>
      <c r="C70" s="410"/>
      <c r="D70" s="410"/>
      <c r="E70" s="410"/>
      <c r="F70" s="410"/>
      <c r="G70" s="410"/>
      <c r="H70" s="410"/>
      <c r="I70" s="410"/>
      <c r="J70" s="410"/>
      <c r="K70" s="410"/>
      <c r="L70" s="410"/>
      <c r="M70" s="410"/>
      <c r="N70" s="410"/>
      <c r="O70" s="410"/>
      <c r="P70" s="410"/>
      <c r="Q70" s="410"/>
      <c r="R70" s="410"/>
      <c r="S70" s="410"/>
      <c r="T70" s="410"/>
      <c r="U70" s="410"/>
      <c r="V70" s="410"/>
      <c r="W70" s="410"/>
      <c r="X70" s="410"/>
      <c r="Y70" s="410"/>
      <c r="Z70" s="410"/>
      <c r="AA70" s="410"/>
      <c r="AB70" s="410"/>
      <c r="AC70" s="410"/>
      <c r="AD70" s="410"/>
      <c r="AE70" s="410"/>
      <c r="AF70" s="410"/>
      <c r="AG70" s="410"/>
      <c r="AH70" s="410"/>
      <c r="AI70" s="410"/>
      <c r="AJ70" s="410"/>
      <c r="AK70" s="410"/>
      <c r="AL70" s="410"/>
      <c r="AM70" s="410"/>
      <c r="AN70" s="410"/>
      <c r="AO70" s="410"/>
      <c r="AP70" s="410"/>
      <c r="AQ70" s="410"/>
      <c r="AR70" s="410"/>
      <c r="AS70" s="410"/>
      <c r="AT70" s="410"/>
      <c r="AU70" s="410"/>
      <c r="AV70" s="410"/>
      <c r="AW70" s="410"/>
      <c r="AX70" s="410"/>
      <c r="AY70" s="410"/>
      <c r="AZ70" s="410"/>
      <c r="BA70" s="410"/>
      <c r="BB70" s="410"/>
      <c r="BC70" s="410"/>
      <c r="BD70" s="410"/>
      <c r="BE70" s="410"/>
      <c r="BF70" s="410"/>
      <c r="BG70" s="410"/>
      <c r="BH70" s="410"/>
      <c r="BI70" s="410"/>
      <c r="BJ70" s="410"/>
      <c r="BK70" s="410"/>
      <c r="BL70" s="410"/>
      <c r="BM70" s="410"/>
      <c r="BN70" s="410"/>
      <c r="BO70" s="410"/>
      <c r="BP70" s="410"/>
      <c r="BQ70" s="410"/>
      <c r="BR70" s="410"/>
      <c r="BS70" s="410"/>
      <c r="BT70" s="410"/>
      <c r="BU70" s="410"/>
      <c r="BV70" s="410"/>
      <c r="BW70" s="410"/>
      <c r="BX70" s="410"/>
      <c r="BY70" s="410"/>
      <c r="BZ70" s="410"/>
      <c r="CA70" s="410"/>
      <c r="CB70" s="410"/>
    </row>
    <row r="71" spans="2:83" ht="11.25" customHeight="1">
      <c r="B71" s="410"/>
      <c r="C71" s="410"/>
      <c r="D71" s="410"/>
      <c r="E71" s="410"/>
      <c r="F71" s="410"/>
      <c r="G71" s="410"/>
      <c r="H71" s="410"/>
      <c r="I71" s="410"/>
      <c r="J71" s="410"/>
      <c r="K71" s="410"/>
      <c r="L71" s="410"/>
      <c r="M71" s="410"/>
      <c r="N71" s="410"/>
      <c r="O71" s="410"/>
      <c r="P71" s="410"/>
      <c r="Q71" s="410"/>
      <c r="R71" s="410"/>
      <c r="S71" s="410"/>
      <c r="T71" s="410"/>
      <c r="U71" s="410"/>
      <c r="V71" s="410"/>
      <c r="W71" s="410"/>
      <c r="X71" s="410"/>
      <c r="Y71" s="410"/>
      <c r="Z71" s="410"/>
      <c r="AA71" s="410"/>
      <c r="AB71" s="410"/>
      <c r="AC71" s="410"/>
      <c r="AD71" s="410"/>
      <c r="AE71" s="410"/>
      <c r="AF71" s="410"/>
      <c r="AG71" s="410"/>
      <c r="AH71" s="410"/>
      <c r="AI71" s="410"/>
      <c r="AJ71" s="410"/>
      <c r="AK71" s="410"/>
      <c r="AL71" s="410"/>
      <c r="AM71" s="410"/>
      <c r="AN71" s="410"/>
      <c r="AO71" s="410"/>
      <c r="AP71" s="410"/>
      <c r="AQ71" s="410"/>
      <c r="AR71" s="410"/>
      <c r="AS71" s="410"/>
      <c r="AT71" s="410"/>
      <c r="AU71" s="410"/>
      <c r="AV71" s="410"/>
      <c r="AW71" s="410"/>
      <c r="AX71" s="410"/>
      <c r="AY71" s="410"/>
      <c r="AZ71" s="410"/>
      <c r="BA71" s="410"/>
      <c r="BB71" s="410"/>
      <c r="BC71" s="410"/>
      <c r="BD71" s="410"/>
      <c r="BE71" s="410"/>
      <c r="BF71" s="374"/>
      <c r="BG71" s="374"/>
      <c r="BH71" s="374"/>
      <c r="BI71" s="374"/>
      <c r="BJ71" s="374"/>
      <c r="BK71" s="374"/>
      <c r="BL71" s="374"/>
      <c r="BM71" s="410"/>
      <c r="BN71" s="410"/>
      <c r="BO71" s="410"/>
      <c r="BP71" s="410"/>
      <c r="BQ71" s="410"/>
      <c r="BR71" s="410"/>
      <c r="BS71" s="410"/>
      <c r="BT71" s="410"/>
      <c r="BU71" s="410"/>
      <c r="BV71" s="410"/>
      <c r="BW71" s="410"/>
      <c r="BX71" s="410"/>
      <c r="BY71" s="410"/>
      <c r="BZ71" s="410"/>
      <c r="CA71" s="410"/>
      <c r="CB71" s="410"/>
    </row>
  </sheetData>
  <sheetProtection password="F797" sheet="1" selectLockedCells="1"/>
  <mergeCells count="81">
    <mergeCell ref="CC35:CF38"/>
    <mergeCell ref="CG35:CJ38"/>
    <mergeCell ref="CK35:CN38"/>
    <mergeCell ref="AS43:AZ43"/>
    <mergeCell ref="Y43:AQ43"/>
    <mergeCell ref="D46:H46"/>
    <mergeCell ref="BE46:CA46"/>
    <mergeCell ref="CC39:CF42"/>
    <mergeCell ref="CG39:CJ44"/>
    <mergeCell ref="CK39:CN46"/>
    <mergeCell ref="I43:X43"/>
    <mergeCell ref="D43:H43"/>
    <mergeCell ref="BA44:BD44"/>
    <mergeCell ref="AS44:AZ44"/>
    <mergeCell ref="BA46:BD46"/>
    <mergeCell ref="AS46:AZ46"/>
    <mergeCell ref="Y46:AQ46"/>
    <mergeCell ref="I46:X46"/>
    <mergeCell ref="BA45:BD45"/>
    <mergeCell ref="AS45:AZ45"/>
    <mergeCell ref="Y45:AQ45"/>
    <mergeCell ref="CC48:CN50"/>
    <mergeCell ref="BE48:CA50"/>
    <mergeCell ref="AP4:BA6"/>
    <mergeCell ref="AP7:BA9"/>
    <mergeCell ref="AP10:BA15"/>
    <mergeCell ref="BA39:BD39"/>
    <mergeCell ref="AS39:AZ39"/>
    <mergeCell ref="I39:AQ39"/>
    <mergeCell ref="BA42:BD42"/>
    <mergeCell ref="BE42:CA42"/>
    <mergeCell ref="I44:X44"/>
    <mergeCell ref="AR35:AR38"/>
    <mergeCell ref="AS35:AZ38"/>
    <mergeCell ref="BA35:BD38"/>
    <mergeCell ref="CC29:CN34"/>
    <mergeCell ref="D17:CA18"/>
    <mergeCell ref="I45:X45"/>
    <mergeCell ref="D40:H40"/>
    <mergeCell ref="I41:X41"/>
    <mergeCell ref="BE40:CA40"/>
    <mergeCell ref="D45:H45"/>
    <mergeCell ref="BE45:CA45"/>
    <mergeCell ref="Y44:AQ44"/>
    <mergeCell ref="BA43:BD43"/>
    <mergeCell ref="D42:H42"/>
    <mergeCell ref="I42:X42"/>
    <mergeCell ref="Y42:AQ42"/>
    <mergeCell ref="AS42:AZ42"/>
    <mergeCell ref="Y41:AQ41"/>
    <mergeCell ref="D41:H41"/>
    <mergeCell ref="CT40:CY40"/>
    <mergeCell ref="B1:CA1"/>
    <mergeCell ref="C7:N15"/>
    <mergeCell ref="D44:H44"/>
    <mergeCell ref="BE44:CA44"/>
    <mergeCell ref="BE43:CA43"/>
    <mergeCell ref="D19:AO23"/>
    <mergeCell ref="BE35:CA38"/>
    <mergeCell ref="BE39:CA39"/>
    <mergeCell ref="BE41:CA41"/>
    <mergeCell ref="BA41:BD41"/>
    <mergeCell ref="AS41:AZ41"/>
    <mergeCell ref="D39:H39"/>
    <mergeCell ref="BA40:BD40"/>
    <mergeCell ref="AS40:AZ40"/>
    <mergeCell ref="I40:AQ40"/>
    <mergeCell ref="AP19:CA23"/>
    <mergeCell ref="AP24:CA28"/>
    <mergeCell ref="AP29:CA33"/>
    <mergeCell ref="C34:CA34"/>
    <mergeCell ref="D35:H38"/>
    <mergeCell ref="I35:AQ38"/>
    <mergeCell ref="D29:AO33"/>
    <mergeCell ref="D24:AO28"/>
    <mergeCell ref="C4:N6"/>
    <mergeCell ref="O7:AO15"/>
    <mergeCell ref="O4:AO6"/>
    <mergeCell ref="BB10:CB15"/>
    <mergeCell ref="BB7:CB9"/>
    <mergeCell ref="BB4:CB6"/>
  </mergeCells>
  <conditionalFormatting sqref="AS39:AS43">
    <cfRule type="cellIs" dxfId="37" priority="31" operator="equal">
      <formula>"g"</formula>
    </cfRule>
    <cfRule type="cellIs" dxfId="36" priority="32" operator="equal">
      <formula>"a"</formula>
    </cfRule>
    <cfRule type="cellIs" dxfId="35" priority="33" operator="equal">
      <formula>"r"</formula>
    </cfRule>
  </conditionalFormatting>
  <conditionalFormatting sqref="AS44">
    <cfRule type="cellIs" dxfId="34" priority="19" operator="equal">
      <formula>"g"</formula>
    </cfRule>
    <cfRule type="cellIs" dxfId="33" priority="20" operator="equal">
      <formula>"a"</formula>
    </cfRule>
    <cfRule type="cellIs" dxfId="32" priority="21" operator="equal">
      <formula>"r"</formula>
    </cfRule>
  </conditionalFormatting>
  <conditionalFormatting sqref="AS45">
    <cfRule type="cellIs" dxfId="31" priority="16" operator="equal">
      <formula>"g"</formula>
    </cfRule>
    <cfRule type="cellIs" dxfId="30" priority="17" operator="equal">
      <formula>"a"</formula>
    </cfRule>
    <cfRule type="cellIs" dxfId="29" priority="18" operator="equal">
      <formula>"r"</formula>
    </cfRule>
  </conditionalFormatting>
  <conditionalFormatting sqref="AS46">
    <cfRule type="cellIs" dxfId="28" priority="13" operator="equal">
      <formula>"g"</formula>
    </cfRule>
    <cfRule type="cellIs" dxfId="27" priority="14" operator="equal">
      <formula>"a"</formula>
    </cfRule>
    <cfRule type="cellIs" dxfId="26" priority="15" operator="equal">
      <formula>"r"</formula>
    </cfRule>
  </conditionalFormatting>
  <conditionalFormatting sqref="CC39:CF42">
    <cfRule type="cellIs" dxfId="25" priority="10" operator="equal">
      <formula>"Bad"</formula>
    </cfRule>
    <cfRule type="cellIs" dxfId="24" priority="11" operator="equal">
      <formula>"Acceptable"</formula>
    </cfRule>
    <cfRule type="cellIs" dxfId="23" priority="12" operator="equal">
      <formula>"Excellent"</formula>
    </cfRule>
  </conditionalFormatting>
  <conditionalFormatting sqref="CG39">
    <cfRule type="cellIs" dxfId="22" priority="7" operator="equal">
      <formula>"Bad"</formula>
    </cfRule>
    <cfRule type="cellIs" dxfId="21" priority="8" operator="equal">
      <formula>"Acceptable"</formula>
    </cfRule>
    <cfRule type="cellIs" dxfId="20" priority="9" operator="equal">
      <formula>"Excellent"</formula>
    </cfRule>
  </conditionalFormatting>
  <conditionalFormatting sqref="CK39">
    <cfRule type="cellIs" dxfId="19" priority="4" operator="equal">
      <formula>"Bad"</formula>
    </cfRule>
    <cfRule type="cellIs" dxfId="18" priority="5" operator="equal">
      <formula>"Acceptable"</formula>
    </cfRule>
    <cfRule type="cellIs" dxfId="17" priority="6" operator="equal">
      <formula>"Excellent"</formula>
    </cfRule>
  </conditionalFormatting>
  <conditionalFormatting sqref="CC48:CN50">
    <cfRule type="cellIs" dxfId="16" priority="1" operator="lessThan">
      <formula>0.5</formula>
    </cfRule>
    <cfRule type="cellIs" dxfId="15" priority="2" operator="lessThan">
      <formula>0.85</formula>
    </cfRule>
    <cfRule type="cellIs" dxfId="14" priority="3" operator="between">
      <formula>0.85</formula>
      <formula>1</formula>
    </cfRule>
  </conditionalFormatting>
  <dataValidations count="2">
    <dataValidation type="list" allowBlank="1" showInputMessage="1" showErrorMessage="1" sqref="AS40 AS39" xr:uid="{00000000-0002-0000-0C00-000000000000}">
      <formula1>"r,g"</formula1>
    </dataValidation>
    <dataValidation type="list" allowBlank="1" showInputMessage="1" showErrorMessage="1" sqref="AS41 AS42 AS43 AS44 AS45 AS46" xr:uid="{00000000-0002-0000-0C00-000001000000}">
      <formula1>"r,a,g"</formula1>
    </dataValidation>
  </dataValidations>
  <pageMargins left="0.70866141732283472" right="0.70866141732283472" top="0.86614173228346458" bottom="0.86614173228346458" header="0.23622047244094491" footer="0.23622047244094491"/>
  <pageSetup paperSize="9" scale="40"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1" manualBreakCount="1">
    <brk id="67" min="2" max="79" man="1"/>
  </row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14">
    <tabColor theme="4" tint="0.39997558519241921"/>
    <pageSetUpPr fitToPage="1"/>
  </sheetPr>
  <dimension ref="A1:ES89"/>
  <sheetViews>
    <sheetView showGridLines="0" tabSelected="1" zoomScaleNormal="100" zoomScaleSheetLayoutView="70" workbookViewId="0">
      <pane ySplit="1" topLeftCell="A2" activePane="bottomLeft" state="frozen"/>
      <selection activeCell="D3" sqref="D3"/>
      <selection pane="bottomLeft" activeCell="D3" sqref="D3"/>
    </sheetView>
  </sheetViews>
  <sheetFormatPr baseColWidth="10" defaultColWidth="11" defaultRowHeight="12.75"/>
  <cols>
    <col min="1" max="1" width="1.875" style="408" customWidth="1"/>
    <col min="2" max="87" width="1.875" customWidth="1"/>
  </cols>
  <sheetData>
    <row r="1" spans="2:149" s="35" customFormat="1" ht="33.75" customHeight="1">
      <c r="B1" s="1073" t="str">
        <f>VLOOKUP(13000,Languages!$A$5:$C$1032,Languages!$A$2,FALSE)</f>
        <v>Help</v>
      </c>
      <c r="C1" s="1073"/>
      <c r="D1" s="1073"/>
      <c r="E1" s="1073"/>
      <c r="F1" s="1073"/>
      <c r="G1" s="1073"/>
      <c r="H1" s="1073"/>
      <c r="I1" s="1073"/>
      <c r="J1" s="1073"/>
      <c r="K1" s="1073"/>
      <c r="L1" s="1073"/>
      <c r="M1" s="1073"/>
      <c r="N1" s="1073"/>
      <c r="O1" s="1073"/>
      <c r="P1" s="1073"/>
      <c r="Q1" s="1073"/>
      <c r="R1" s="1073"/>
      <c r="S1" s="1073"/>
      <c r="T1" s="1073"/>
      <c r="U1" s="1073"/>
      <c r="V1" s="1073"/>
      <c r="W1" s="1073"/>
      <c r="X1" s="1073"/>
      <c r="Y1" s="1073"/>
      <c r="Z1" s="1073"/>
      <c r="AA1" s="1073"/>
      <c r="AB1" s="1073"/>
      <c r="AC1" s="1073"/>
      <c r="AD1" s="1073"/>
      <c r="AE1" s="1073"/>
      <c r="AF1" s="1073"/>
      <c r="AG1" s="1073"/>
      <c r="AH1" s="1073"/>
      <c r="AI1" s="1073"/>
      <c r="AJ1" s="1073"/>
      <c r="AK1" s="1073"/>
      <c r="AL1" s="1073"/>
      <c r="AM1" s="1073"/>
      <c r="AN1" s="1073"/>
      <c r="AO1" s="1073"/>
      <c r="AP1" s="1073"/>
      <c r="AQ1" s="1073"/>
      <c r="AR1" s="1073"/>
      <c r="AS1" s="1073"/>
      <c r="AT1" s="1073"/>
      <c r="AU1" s="1073"/>
      <c r="AV1" s="1073"/>
      <c r="AW1" s="1073"/>
      <c r="AX1" s="1073"/>
      <c r="AY1" s="1073"/>
      <c r="AZ1" s="1073"/>
      <c r="BA1" s="1073"/>
      <c r="BB1" s="1073"/>
      <c r="BC1" s="1073"/>
      <c r="BD1" s="1073"/>
      <c r="BE1" s="1073"/>
      <c r="BF1" s="1073"/>
      <c r="BG1" s="1073"/>
      <c r="BH1" s="1073"/>
      <c r="BI1" s="1073"/>
      <c r="BJ1" s="1073"/>
      <c r="BK1" s="1073"/>
      <c r="BL1" s="1073"/>
      <c r="BM1" s="1073"/>
      <c r="BN1" s="1073"/>
      <c r="BO1" s="1073"/>
      <c r="BP1" s="1073"/>
      <c r="BQ1" s="1073"/>
      <c r="BR1" s="1073"/>
      <c r="BS1" s="1073"/>
      <c r="BT1" s="1073"/>
      <c r="BU1" s="1073"/>
      <c r="BV1" s="1073"/>
      <c r="BW1" s="1073"/>
      <c r="BX1" s="1073"/>
      <c r="BY1" s="1073"/>
      <c r="BZ1" s="1073"/>
      <c r="CA1" s="1073"/>
      <c r="CB1" s="1073"/>
    </row>
    <row r="2" spans="2:149" ht="11.25" customHeight="1"/>
    <row r="3" spans="2:149" ht="12.75" customHeight="1" thickBot="1">
      <c r="C3" s="1665"/>
      <c r="D3" s="1665"/>
      <c r="E3" s="1665"/>
      <c r="F3" s="1665"/>
      <c r="G3" s="1665"/>
      <c r="H3" s="1665"/>
      <c r="I3" s="1665"/>
      <c r="J3" s="1665"/>
      <c r="K3" s="1665"/>
      <c r="L3" s="1665"/>
      <c r="M3" s="1665"/>
      <c r="N3" s="1665"/>
      <c r="O3" s="1665"/>
      <c r="P3" s="1665"/>
      <c r="Q3" s="1665"/>
      <c r="R3" s="1665"/>
      <c r="S3" s="1665"/>
      <c r="T3" s="1665"/>
      <c r="U3" s="1665"/>
      <c r="V3" s="1665"/>
      <c r="W3" s="1665"/>
      <c r="X3" s="1665"/>
      <c r="Y3" s="1665"/>
      <c r="Z3" s="1665"/>
      <c r="AA3" s="1665"/>
      <c r="AB3" s="1665"/>
      <c r="AC3" s="1665"/>
      <c r="AD3" s="1665"/>
      <c r="AE3" s="1665"/>
      <c r="AF3" s="1665"/>
      <c r="AG3" s="1665"/>
      <c r="AH3" s="1665"/>
      <c r="AI3" s="1665"/>
      <c r="AJ3" s="1665"/>
      <c r="AK3" s="1665"/>
      <c r="AL3" s="1665"/>
      <c r="AM3" s="1665"/>
      <c r="AN3" s="1665"/>
      <c r="AO3" s="1665"/>
      <c r="AP3" s="1665"/>
      <c r="AQ3" s="1665"/>
      <c r="AR3" s="1665"/>
      <c r="AS3" s="1665"/>
      <c r="AT3" s="1665"/>
      <c r="AU3" s="1665"/>
      <c r="AV3" s="1665"/>
      <c r="AW3" s="1665"/>
      <c r="AX3" s="1665"/>
      <c r="AY3" s="1665"/>
      <c r="AZ3" s="1665"/>
      <c r="BA3" s="1665"/>
      <c r="BB3" s="1665"/>
      <c r="BC3" s="1665"/>
      <c r="BD3" s="1665"/>
      <c r="BE3" s="1665"/>
      <c r="BF3" s="1665"/>
      <c r="BG3" s="1665"/>
      <c r="BH3" s="1665"/>
      <c r="BI3" s="1665"/>
      <c r="BJ3" s="1665"/>
      <c r="BK3" s="1665"/>
      <c r="BL3" s="1665"/>
      <c r="BM3" s="1665"/>
      <c r="BN3" s="1665"/>
      <c r="BO3" s="1665"/>
      <c r="BP3" s="1665"/>
      <c r="BQ3" s="1665"/>
      <c r="BR3" s="1665"/>
      <c r="BS3" s="1665"/>
      <c r="BT3" s="1665"/>
      <c r="BU3" s="1665"/>
      <c r="BV3" s="1665"/>
      <c r="BW3" s="1665"/>
      <c r="BX3" s="1665"/>
      <c r="BY3" s="1665"/>
      <c r="BZ3" s="1665"/>
      <c r="CA3" s="1665"/>
      <c r="CB3" s="1665"/>
      <c r="CC3" s="43"/>
      <c r="CD3" s="43"/>
      <c r="CE3" s="43"/>
      <c r="CF3" s="43"/>
      <c r="CG3" s="43"/>
    </row>
    <row r="4" spans="2:149" ht="26.25" customHeight="1" thickBot="1">
      <c r="B4" s="122"/>
      <c r="C4" s="1661" t="str">
        <f>VLOOKUP(13001,Languages!$A$5:$C$1032,Languages!$A$2,FALSE)</f>
        <v>8D - Report</v>
      </c>
      <c r="D4" s="1662"/>
      <c r="E4" s="1662"/>
      <c r="F4" s="1662"/>
      <c r="G4" s="1662"/>
      <c r="H4" s="1662"/>
      <c r="I4" s="1662"/>
      <c r="J4" s="1662"/>
      <c r="K4" s="1662"/>
      <c r="L4" s="1662"/>
      <c r="M4" s="1662"/>
      <c r="N4" s="1662"/>
      <c r="O4" s="1662"/>
      <c r="P4" s="1662"/>
      <c r="Q4" s="1662"/>
      <c r="R4" s="1662"/>
      <c r="S4" s="1662"/>
      <c r="T4" s="1662"/>
      <c r="U4" s="1662"/>
      <c r="V4" s="1662"/>
      <c r="W4" s="1662"/>
      <c r="X4" s="1662"/>
      <c r="Y4" s="1662"/>
      <c r="Z4" s="1662"/>
      <c r="AA4" s="1662"/>
      <c r="AB4" s="1662"/>
      <c r="AC4" s="1662"/>
      <c r="AD4" s="1662"/>
      <c r="AE4" s="1662"/>
      <c r="AF4" s="1662"/>
      <c r="AG4" s="1662"/>
      <c r="AH4" s="1662"/>
      <c r="AI4" s="1662"/>
      <c r="AJ4" s="1662"/>
      <c r="AK4" s="1662"/>
      <c r="AL4" s="1662"/>
      <c r="AM4" s="1662"/>
      <c r="AN4" s="1662"/>
      <c r="AO4" s="1662"/>
      <c r="AP4" s="1662"/>
      <c r="AQ4" s="1662"/>
      <c r="AR4" s="1662"/>
      <c r="AS4" s="1662"/>
      <c r="AT4" s="1662"/>
      <c r="AU4" s="1662"/>
      <c r="AV4" s="1662"/>
      <c r="AW4" s="1662"/>
      <c r="AX4" s="1662"/>
      <c r="AY4" s="1662"/>
      <c r="AZ4" s="1662"/>
      <c r="BA4" s="1662"/>
      <c r="BB4" s="1662"/>
      <c r="BC4" s="1662"/>
      <c r="BD4" s="1662"/>
      <c r="BE4" s="1662"/>
      <c r="BF4" s="1662"/>
      <c r="BG4" s="1662"/>
      <c r="BH4" s="1662"/>
      <c r="BI4" s="1662"/>
      <c r="BJ4" s="1662"/>
      <c r="BK4" s="1662"/>
      <c r="BL4" s="1662"/>
      <c r="BM4" s="1662"/>
      <c r="BN4" s="1662"/>
      <c r="BO4" s="1662"/>
      <c r="BP4" s="1662"/>
      <c r="BQ4" s="1662"/>
      <c r="BR4" s="1662"/>
      <c r="BS4" s="1662"/>
      <c r="BT4" s="1662"/>
      <c r="BU4" s="1662"/>
      <c r="BV4" s="1662"/>
      <c r="BW4" s="1662"/>
      <c r="BX4" s="1662"/>
      <c r="BY4" s="1662"/>
      <c r="BZ4" s="1662"/>
      <c r="CA4" s="1662"/>
      <c r="CB4" s="1663"/>
    </row>
    <row r="5" spans="2:149" s="408" customFormat="1" ht="105" customHeight="1" thickBot="1">
      <c r="D5" s="1647" t="str">
        <f>VLOOKUP(13002,Languages!$A$5:$C$1032,Languages!$A$2,FALSE)</f>
        <v>The 8D-report is used as a reporting document in the automotive industry. With this document, it can be clarified between the customer and supplier what problem is present with which effects, who the contact persons are (e.g. who has been involved in the problem-solving), and which measures were taken. It acts as a guideline for systematic problem solving and supports the problem solving process by providing the corresponding tools.
The following descriptions explain the 8D-steps, required technical terms, as well as the tools themselves. Please consider that Brose is especially focused on systematic problem solving - the use of some of the tools is therefore seen as mandatory (marked accordingly).</v>
      </c>
      <c r="E5" s="1648"/>
      <c r="F5" s="1648"/>
      <c r="G5" s="1648"/>
      <c r="H5" s="1648"/>
      <c r="I5" s="1648"/>
      <c r="J5" s="1648"/>
      <c r="K5" s="1648"/>
      <c r="L5" s="1648"/>
      <c r="M5" s="1648"/>
      <c r="N5" s="1648"/>
      <c r="O5" s="1648"/>
      <c r="P5" s="1648"/>
      <c r="Q5" s="1648"/>
      <c r="R5" s="1648"/>
      <c r="S5" s="1648"/>
      <c r="T5" s="1648"/>
      <c r="U5" s="1648"/>
      <c r="V5" s="1648"/>
      <c r="W5" s="1648"/>
      <c r="X5" s="1648"/>
      <c r="Y5" s="1648"/>
      <c r="Z5" s="1648"/>
      <c r="AA5" s="1648"/>
      <c r="AB5" s="1648"/>
      <c r="AC5" s="1648"/>
      <c r="AD5" s="1648"/>
      <c r="AE5" s="1648"/>
      <c r="AF5" s="1648"/>
      <c r="AG5" s="1648"/>
      <c r="AH5" s="1648"/>
      <c r="AI5" s="1648"/>
      <c r="AJ5" s="1648"/>
      <c r="AK5" s="1648"/>
      <c r="AL5" s="1648"/>
      <c r="AM5" s="1648"/>
      <c r="AN5" s="1648"/>
      <c r="AO5" s="1648"/>
      <c r="AP5" s="1648"/>
      <c r="AQ5" s="1648"/>
      <c r="AR5" s="1648"/>
      <c r="AS5" s="1648"/>
      <c r="AT5" s="1648"/>
      <c r="AU5" s="1648"/>
      <c r="AV5" s="1648"/>
      <c r="AW5" s="1648"/>
      <c r="AX5" s="1648"/>
      <c r="AY5" s="1648"/>
      <c r="AZ5" s="1648"/>
      <c r="BA5" s="1648"/>
      <c r="BB5" s="1648"/>
      <c r="BC5" s="1648"/>
      <c r="BD5" s="1648"/>
      <c r="BE5" s="1648"/>
      <c r="BF5" s="1648"/>
      <c r="BG5" s="1648"/>
      <c r="BH5" s="1648"/>
      <c r="BI5" s="1648"/>
      <c r="BJ5" s="1648"/>
      <c r="BK5" s="1648"/>
      <c r="BL5" s="1648"/>
      <c r="BM5" s="1648"/>
      <c r="BN5" s="1648"/>
      <c r="BO5" s="1648"/>
      <c r="BP5" s="1648"/>
      <c r="BQ5" s="1648"/>
      <c r="BR5" s="1648"/>
      <c r="BS5" s="1648"/>
      <c r="BT5" s="1648"/>
      <c r="BU5" s="1648"/>
      <c r="BV5" s="1648"/>
      <c r="BW5" s="1648"/>
      <c r="BX5" s="1648"/>
      <c r="BY5" s="1648"/>
      <c r="BZ5" s="1648"/>
      <c r="CA5" s="1649"/>
      <c r="CB5" s="413"/>
      <c r="CC5" s="411"/>
      <c r="CD5" s="411"/>
      <c r="CE5" s="411"/>
      <c r="CF5" s="411"/>
      <c r="CG5" s="411"/>
    </row>
    <row r="6" spans="2:149" s="409" customFormat="1" ht="15" customHeight="1" thickBot="1">
      <c r="D6" s="414"/>
      <c r="E6" s="414"/>
      <c r="F6" s="414"/>
      <c r="G6" s="414"/>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4"/>
      <c r="AY6" s="414"/>
      <c r="AZ6" s="414"/>
      <c r="BA6" s="414"/>
      <c r="BB6" s="414"/>
      <c r="BC6" s="414"/>
      <c r="BD6" s="414"/>
      <c r="BE6" s="414"/>
      <c r="BF6" s="414"/>
      <c r="BG6" s="414"/>
      <c r="BH6" s="414"/>
      <c r="BI6" s="414"/>
      <c r="BJ6" s="414"/>
      <c r="BK6" s="414"/>
      <c r="BL6" s="414"/>
      <c r="BM6" s="414"/>
      <c r="BN6" s="414"/>
      <c r="BO6" s="414"/>
      <c r="BP6" s="414"/>
      <c r="BQ6" s="414"/>
      <c r="BR6" s="414"/>
      <c r="BS6" s="414"/>
      <c r="BT6" s="414"/>
      <c r="BU6" s="414"/>
      <c r="BV6" s="414"/>
      <c r="BW6" s="414"/>
      <c r="BX6" s="414"/>
      <c r="BY6" s="414"/>
      <c r="BZ6" s="414"/>
      <c r="CA6" s="414"/>
      <c r="CB6" s="415"/>
      <c r="CC6" s="412"/>
      <c r="CD6" s="412"/>
      <c r="CE6" s="412"/>
      <c r="CF6" s="412"/>
      <c r="CG6" s="412"/>
    </row>
    <row r="7" spans="2:149" s="408" customFormat="1" ht="18.75" customHeight="1" thickBot="1">
      <c r="C7" s="1644" t="str">
        <f>CONCATENATE("D0 - ",VLOOKUP(13003,Languages!$A$5:$C$1032,Languages!$A$2,FALSE))</f>
        <v>D0 - Problem Statement</v>
      </c>
      <c r="D7" s="1645"/>
      <c r="E7" s="1645"/>
      <c r="F7" s="1645"/>
      <c r="G7" s="1645"/>
      <c r="H7" s="1645"/>
      <c r="I7" s="1645"/>
      <c r="J7" s="1645"/>
      <c r="K7" s="1645"/>
      <c r="L7" s="1645"/>
      <c r="M7" s="1645"/>
      <c r="N7" s="1645"/>
      <c r="O7" s="1645"/>
      <c r="P7" s="1645"/>
      <c r="Q7" s="1645"/>
      <c r="R7" s="1645"/>
      <c r="S7" s="1645"/>
      <c r="T7" s="1645"/>
      <c r="U7" s="1645"/>
      <c r="V7" s="1645"/>
      <c r="W7" s="1645"/>
      <c r="X7" s="1645"/>
      <c r="Y7" s="1645"/>
      <c r="Z7" s="1645"/>
      <c r="AA7" s="1645"/>
      <c r="AB7" s="1645"/>
      <c r="AC7" s="1645"/>
      <c r="AD7" s="1645"/>
      <c r="AE7" s="1645"/>
      <c r="AF7" s="1645"/>
      <c r="AG7" s="1645"/>
      <c r="AH7" s="1645"/>
      <c r="AI7" s="1645"/>
      <c r="AJ7" s="1645"/>
      <c r="AK7" s="1645"/>
      <c r="AL7" s="1645"/>
      <c r="AM7" s="1645"/>
      <c r="AN7" s="1645"/>
      <c r="AO7" s="1645"/>
      <c r="AP7" s="1645"/>
      <c r="AQ7" s="1645"/>
      <c r="AR7" s="1645"/>
      <c r="AS7" s="1645"/>
      <c r="AT7" s="1645"/>
      <c r="AU7" s="1645"/>
      <c r="AV7" s="1645"/>
      <c r="AW7" s="1645"/>
      <c r="AX7" s="1645"/>
      <c r="AY7" s="1645"/>
      <c r="AZ7" s="1645"/>
      <c r="BA7" s="1645"/>
      <c r="BB7" s="1645"/>
      <c r="BC7" s="1645"/>
      <c r="BD7" s="1645"/>
      <c r="BE7" s="1645"/>
      <c r="BF7" s="1645"/>
      <c r="BG7" s="1645"/>
      <c r="BH7" s="1645"/>
      <c r="BI7" s="1645"/>
      <c r="BJ7" s="1645"/>
      <c r="BK7" s="1645"/>
      <c r="BL7" s="1645"/>
      <c r="BM7" s="1645"/>
      <c r="BN7" s="1645"/>
      <c r="BO7" s="1645"/>
      <c r="BP7" s="1645"/>
      <c r="BQ7" s="1645"/>
      <c r="BR7" s="1645"/>
      <c r="BS7" s="1645"/>
      <c r="BT7" s="1645"/>
      <c r="BU7" s="1645"/>
      <c r="BV7" s="1645"/>
      <c r="BW7" s="1645"/>
      <c r="BX7" s="1645"/>
      <c r="BY7" s="1645"/>
      <c r="BZ7" s="1645"/>
      <c r="CA7" s="1645"/>
      <c r="CB7" s="1646"/>
      <c r="CC7" s="411"/>
      <c r="CD7" s="411"/>
      <c r="CE7" s="411"/>
      <c r="CF7" s="411"/>
      <c r="CG7" s="411"/>
    </row>
    <row r="8" spans="2:149" s="408" customFormat="1" ht="110.25" customHeight="1" thickBot="1">
      <c r="D8" s="1647" t="str">
        <f>VLOOKUP(13004,Languages!$A$5:$C$1032,Languages!$A$2,FALSE)</f>
        <v>Step D0 acts as a rough description of the problem. In case of an official claim, you will receive this information from Brose.
The problem description should always explain "WHAT is wrong with WHAT?" (in the form of object and deviation). For demonstration, the NOK-condition is opposed to the desired OK-condition (usually this is clear, but in some cases the required condition is not obvious).
Examples:
- current consumption too high (1A) versus desired current consumption of 0,1A 
- shaft length too long (33mm) versus shaft length 30±0,2mm</v>
      </c>
      <c r="E8" s="1648"/>
      <c r="F8" s="1648"/>
      <c r="G8" s="1648"/>
      <c r="H8" s="1648"/>
      <c r="I8" s="1648"/>
      <c r="J8" s="1648"/>
      <c r="K8" s="1648"/>
      <c r="L8" s="1648"/>
      <c r="M8" s="1648"/>
      <c r="N8" s="1648"/>
      <c r="O8" s="1648"/>
      <c r="P8" s="1648"/>
      <c r="Q8" s="1648"/>
      <c r="R8" s="1648"/>
      <c r="S8" s="1648"/>
      <c r="T8" s="1648"/>
      <c r="U8" s="1648"/>
      <c r="V8" s="1648"/>
      <c r="W8" s="1648"/>
      <c r="X8" s="1648"/>
      <c r="Y8" s="1648"/>
      <c r="Z8" s="1648"/>
      <c r="AA8" s="1648"/>
      <c r="AB8" s="1648"/>
      <c r="AC8" s="1648"/>
      <c r="AD8" s="1648"/>
      <c r="AE8" s="1648"/>
      <c r="AF8" s="1648"/>
      <c r="AG8" s="1648"/>
      <c r="AH8" s="1648"/>
      <c r="AI8" s="1648"/>
      <c r="AJ8" s="1648"/>
      <c r="AK8" s="1648"/>
      <c r="AL8" s="1648"/>
      <c r="AM8" s="1648"/>
      <c r="AN8" s="1648"/>
      <c r="AO8" s="1648"/>
      <c r="AP8" s="1648"/>
      <c r="AQ8" s="1648"/>
      <c r="AR8" s="1648"/>
      <c r="AS8" s="1648"/>
      <c r="AT8" s="1648"/>
      <c r="AU8" s="1648"/>
      <c r="AV8" s="1648"/>
      <c r="AW8" s="1648"/>
      <c r="AX8" s="1648"/>
      <c r="AY8" s="1648"/>
      <c r="AZ8" s="1648"/>
      <c r="BA8" s="1648"/>
      <c r="BB8" s="1648"/>
      <c r="BC8" s="1648"/>
      <c r="BD8" s="1648"/>
      <c r="BE8" s="1648"/>
      <c r="BF8" s="1648"/>
      <c r="BG8" s="1648"/>
      <c r="BH8" s="1648"/>
      <c r="BI8" s="1648"/>
      <c r="BJ8" s="1648"/>
      <c r="BK8" s="1648"/>
      <c r="BL8" s="1648"/>
      <c r="BM8" s="1648"/>
      <c r="BN8" s="1648"/>
      <c r="BO8" s="1648"/>
      <c r="BP8" s="1648"/>
      <c r="BQ8" s="1648"/>
      <c r="BR8" s="1648"/>
      <c r="BS8" s="1648"/>
      <c r="BT8" s="1648"/>
      <c r="BU8" s="1648"/>
      <c r="BV8" s="1648"/>
      <c r="BW8" s="1648"/>
      <c r="BX8" s="1648"/>
      <c r="BY8" s="1648"/>
      <c r="BZ8" s="1648"/>
      <c r="CA8" s="1649"/>
      <c r="CB8" s="413"/>
      <c r="CC8" s="411"/>
      <c r="CD8" s="411"/>
      <c r="CE8" s="411"/>
      <c r="CF8" s="411"/>
      <c r="CG8" s="411"/>
    </row>
    <row r="9" spans="2:149" s="409" customFormat="1" ht="15" customHeight="1" thickBot="1">
      <c r="D9" s="414"/>
      <c r="E9" s="414"/>
      <c r="F9" s="414"/>
      <c r="G9" s="414"/>
      <c r="H9" s="414"/>
      <c r="I9" s="414"/>
      <c r="J9" s="414"/>
      <c r="K9" s="414"/>
      <c r="L9" s="414"/>
      <c r="M9" s="414"/>
      <c r="N9" s="414"/>
      <c r="O9" s="414"/>
      <c r="P9" s="414"/>
      <c r="Q9" s="414"/>
      <c r="R9" s="414"/>
      <c r="S9" s="414"/>
      <c r="T9" s="414"/>
      <c r="U9" s="414"/>
      <c r="V9" s="414"/>
      <c r="W9" s="414"/>
      <c r="X9" s="414"/>
      <c r="Y9" s="414"/>
      <c r="Z9" s="414"/>
      <c r="AA9" s="414"/>
      <c r="AB9" s="414"/>
      <c r="AC9" s="414"/>
      <c r="AD9" s="414"/>
      <c r="AE9" s="414"/>
      <c r="AF9" s="414"/>
      <c r="AG9" s="414"/>
      <c r="AH9" s="414"/>
      <c r="AI9" s="414"/>
      <c r="AJ9" s="414"/>
      <c r="AK9" s="414"/>
      <c r="AL9" s="414"/>
      <c r="AM9" s="414"/>
      <c r="AN9" s="414"/>
      <c r="AO9" s="414"/>
      <c r="AP9" s="414"/>
      <c r="AQ9" s="414"/>
      <c r="AR9" s="414"/>
      <c r="AS9" s="414"/>
      <c r="AT9" s="414"/>
      <c r="AU9" s="414"/>
      <c r="AV9" s="414"/>
      <c r="AW9" s="414"/>
      <c r="AX9" s="414"/>
      <c r="AY9" s="414"/>
      <c r="AZ9" s="414"/>
      <c r="BA9" s="414"/>
      <c r="BB9" s="414"/>
      <c r="BC9" s="414"/>
      <c r="BD9" s="414"/>
      <c r="BE9" s="414"/>
      <c r="BF9" s="414"/>
      <c r="BG9" s="414"/>
      <c r="BH9" s="414"/>
      <c r="BI9" s="414"/>
      <c r="BJ9" s="414"/>
      <c r="BK9" s="414"/>
      <c r="BL9" s="414"/>
      <c r="BM9" s="414"/>
      <c r="BN9" s="414"/>
      <c r="BO9" s="414"/>
      <c r="BP9" s="414"/>
      <c r="BQ9" s="414"/>
      <c r="BR9" s="414"/>
      <c r="BS9" s="414"/>
      <c r="BT9" s="414"/>
      <c r="BU9" s="414"/>
      <c r="BV9" s="414"/>
      <c r="BW9" s="414"/>
      <c r="BX9" s="414"/>
      <c r="BY9" s="414"/>
      <c r="BZ9" s="414"/>
      <c r="CA9" s="414"/>
      <c r="CB9" s="415"/>
      <c r="CC9" s="412"/>
      <c r="CD9" s="412"/>
      <c r="CE9" s="412"/>
      <c r="CF9" s="412"/>
      <c r="CG9" s="412"/>
    </row>
    <row r="10" spans="2:149" ht="18.75" customHeight="1" thickBot="1">
      <c r="C10" s="1644" t="str">
        <f>CONCATENATE("D1 - ",VLOOKUP(13005,Languages!$A$5:$C$1032,Languages!$A$2,FALSE))</f>
        <v>D1 - Header / Problem solving team</v>
      </c>
      <c r="D10" s="1645"/>
      <c r="E10" s="1645"/>
      <c r="F10" s="1645"/>
      <c r="G10" s="1645"/>
      <c r="H10" s="1645"/>
      <c r="I10" s="1645"/>
      <c r="J10" s="1645"/>
      <c r="K10" s="1645"/>
      <c r="L10" s="1645"/>
      <c r="M10" s="1645"/>
      <c r="N10" s="1645"/>
      <c r="O10" s="1645"/>
      <c r="P10" s="1645"/>
      <c r="Q10" s="1645"/>
      <c r="R10" s="1645"/>
      <c r="S10" s="1645"/>
      <c r="T10" s="1645"/>
      <c r="U10" s="1645"/>
      <c r="V10" s="1645"/>
      <c r="W10" s="1645"/>
      <c r="X10" s="1645"/>
      <c r="Y10" s="1645"/>
      <c r="Z10" s="1645"/>
      <c r="AA10" s="1645"/>
      <c r="AB10" s="1645"/>
      <c r="AC10" s="1645"/>
      <c r="AD10" s="1645"/>
      <c r="AE10" s="1645"/>
      <c r="AF10" s="1645"/>
      <c r="AG10" s="1645"/>
      <c r="AH10" s="1645"/>
      <c r="AI10" s="1645"/>
      <c r="AJ10" s="1645"/>
      <c r="AK10" s="1645"/>
      <c r="AL10" s="1645"/>
      <c r="AM10" s="1645"/>
      <c r="AN10" s="1645"/>
      <c r="AO10" s="1645"/>
      <c r="AP10" s="1645"/>
      <c r="AQ10" s="1645"/>
      <c r="AR10" s="1645"/>
      <c r="AS10" s="1645"/>
      <c r="AT10" s="1645"/>
      <c r="AU10" s="1645"/>
      <c r="AV10" s="1645"/>
      <c r="AW10" s="1645"/>
      <c r="AX10" s="1645"/>
      <c r="AY10" s="1645"/>
      <c r="AZ10" s="1645"/>
      <c r="BA10" s="1645"/>
      <c r="BB10" s="1645"/>
      <c r="BC10" s="1645"/>
      <c r="BD10" s="1645"/>
      <c r="BE10" s="1645"/>
      <c r="BF10" s="1645"/>
      <c r="BG10" s="1645"/>
      <c r="BH10" s="1645"/>
      <c r="BI10" s="1645"/>
      <c r="BJ10" s="1645"/>
      <c r="BK10" s="1645"/>
      <c r="BL10" s="1645"/>
      <c r="BM10" s="1645"/>
      <c r="BN10" s="1645"/>
      <c r="BO10" s="1645"/>
      <c r="BP10" s="1645"/>
      <c r="BQ10" s="1645"/>
      <c r="BR10" s="1645"/>
      <c r="BS10" s="1645"/>
      <c r="BT10" s="1645"/>
      <c r="BU10" s="1645"/>
      <c r="BV10" s="1645"/>
      <c r="BW10" s="1645"/>
      <c r="BX10" s="1645"/>
      <c r="BY10" s="1645"/>
      <c r="BZ10" s="1645"/>
      <c r="CA10" s="1645"/>
      <c r="CB10" s="1646"/>
      <c r="CC10" s="43"/>
      <c r="CD10" s="43"/>
      <c r="CE10" s="43"/>
      <c r="CF10" s="43"/>
      <c r="CG10" s="43"/>
    </row>
    <row r="11" spans="2:149" s="408" customFormat="1" ht="37.5" customHeight="1" thickBot="1">
      <c r="D11" s="1647" t="str">
        <f>VLOOKUP(13006,Languages!$A$5:$C$1032,Languages!$A$2,FALSE)</f>
        <v>Step D1 is used to describe the contact persons, the team as well as general information around the problem (e.g. material numbers, claim date etc.). Most of the general data will be provided by Brose.</v>
      </c>
      <c r="E11" s="1648"/>
      <c r="F11" s="1648"/>
      <c r="G11" s="1648"/>
      <c r="H11" s="1648"/>
      <c r="I11" s="1648"/>
      <c r="J11" s="1648"/>
      <c r="K11" s="1648"/>
      <c r="L11" s="1648"/>
      <c r="M11" s="1648"/>
      <c r="N11" s="1648"/>
      <c r="O11" s="1648"/>
      <c r="P11" s="1648"/>
      <c r="Q11" s="1648"/>
      <c r="R11" s="1648"/>
      <c r="S11" s="1648"/>
      <c r="T11" s="1648"/>
      <c r="U11" s="1648"/>
      <c r="V11" s="1648"/>
      <c r="W11" s="1648"/>
      <c r="X11" s="1648"/>
      <c r="Y11" s="1648"/>
      <c r="Z11" s="1648"/>
      <c r="AA11" s="1648"/>
      <c r="AB11" s="1648"/>
      <c r="AC11" s="1648"/>
      <c r="AD11" s="1648"/>
      <c r="AE11" s="1648"/>
      <c r="AF11" s="1648"/>
      <c r="AG11" s="1648"/>
      <c r="AH11" s="1648"/>
      <c r="AI11" s="1648"/>
      <c r="AJ11" s="1648"/>
      <c r="AK11" s="1648"/>
      <c r="AL11" s="1648"/>
      <c r="AM11" s="1648"/>
      <c r="AN11" s="1648"/>
      <c r="AO11" s="1648"/>
      <c r="AP11" s="1648"/>
      <c r="AQ11" s="1648"/>
      <c r="AR11" s="1648"/>
      <c r="AS11" s="1648"/>
      <c r="AT11" s="1648"/>
      <c r="AU11" s="1648"/>
      <c r="AV11" s="1648"/>
      <c r="AW11" s="1648"/>
      <c r="AX11" s="1648"/>
      <c r="AY11" s="1648"/>
      <c r="AZ11" s="1648"/>
      <c r="BA11" s="1648"/>
      <c r="BB11" s="1648"/>
      <c r="BC11" s="1648"/>
      <c r="BD11" s="1648"/>
      <c r="BE11" s="1648"/>
      <c r="BF11" s="1648"/>
      <c r="BG11" s="1648"/>
      <c r="BH11" s="1648"/>
      <c r="BI11" s="1648"/>
      <c r="BJ11" s="1648"/>
      <c r="BK11" s="1648"/>
      <c r="BL11" s="1648"/>
      <c r="BM11" s="1648"/>
      <c r="BN11" s="1648"/>
      <c r="BO11" s="1648"/>
      <c r="BP11" s="1648"/>
      <c r="BQ11" s="1648"/>
      <c r="BR11" s="1648"/>
      <c r="BS11" s="1648"/>
      <c r="BT11" s="1648"/>
      <c r="BU11" s="1648"/>
      <c r="BV11" s="1648"/>
      <c r="BW11" s="1648"/>
      <c r="BX11" s="1648"/>
      <c r="BY11" s="1648"/>
      <c r="BZ11" s="1648"/>
      <c r="CA11" s="1649"/>
      <c r="CB11" s="413"/>
      <c r="CC11" s="411"/>
      <c r="CD11" s="411"/>
      <c r="CE11" s="411"/>
      <c r="CF11" s="411"/>
      <c r="CG11" s="411"/>
    </row>
    <row r="12" spans="2:149" s="409" customFormat="1" ht="15" customHeight="1">
      <c r="D12" s="445"/>
      <c r="E12" s="445"/>
      <c r="F12" s="445"/>
      <c r="G12" s="445"/>
      <c r="H12" s="445"/>
      <c r="I12" s="445"/>
      <c r="J12" s="445"/>
      <c r="K12" s="445"/>
      <c r="L12" s="445"/>
      <c r="M12" s="445"/>
      <c r="N12" s="445"/>
      <c r="O12" s="445"/>
      <c r="P12" s="445"/>
      <c r="Q12" s="445"/>
      <c r="R12" s="445"/>
      <c r="S12" s="445"/>
      <c r="T12" s="445"/>
      <c r="U12" s="445"/>
      <c r="V12" s="445"/>
      <c r="W12" s="445"/>
      <c r="X12" s="445"/>
      <c r="Y12" s="445"/>
      <c r="Z12" s="445"/>
      <c r="AA12" s="445"/>
      <c r="AB12" s="445"/>
      <c r="AC12" s="445"/>
      <c r="AD12" s="445"/>
      <c r="AE12" s="445"/>
      <c r="AF12" s="445"/>
      <c r="AG12" s="445"/>
      <c r="AH12" s="445"/>
      <c r="AI12" s="445"/>
      <c r="AJ12" s="445"/>
      <c r="AK12" s="445"/>
      <c r="AL12" s="445"/>
      <c r="AM12" s="445"/>
      <c r="AN12" s="445"/>
      <c r="AO12" s="445"/>
      <c r="AP12" s="445"/>
      <c r="AQ12" s="445"/>
      <c r="AR12" s="445"/>
      <c r="AS12" s="445"/>
      <c r="AT12" s="445"/>
      <c r="AU12" s="445"/>
      <c r="AV12" s="445"/>
      <c r="AW12" s="445"/>
      <c r="AX12" s="445"/>
      <c r="AY12" s="445"/>
      <c r="AZ12" s="445"/>
      <c r="BA12" s="445"/>
      <c r="BB12" s="445"/>
      <c r="BC12" s="445"/>
      <c r="BD12" s="445"/>
      <c r="BE12" s="445"/>
      <c r="BF12" s="445"/>
      <c r="BG12" s="445"/>
      <c r="BH12" s="445"/>
      <c r="BI12" s="445"/>
      <c r="BJ12" s="445"/>
      <c r="BK12" s="445"/>
      <c r="BL12" s="445"/>
      <c r="BM12" s="445"/>
      <c r="BN12" s="445"/>
      <c r="BO12" s="445"/>
      <c r="BP12" s="445"/>
      <c r="BQ12" s="445"/>
      <c r="BR12" s="445"/>
      <c r="BS12" s="445"/>
      <c r="BT12" s="445"/>
      <c r="BU12" s="445"/>
      <c r="BV12" s="445"/>
      <c r="BW12" s="445"/>
      <c r="BX12" s="445"/>
      <c r="BY12" s="445"/>
      <c r="BZ12" s="445"/>
      <c r="CA12" s="445"/>
      <c r="CB12" s="416"/>
      <c r="CC12" s="412"/>
      <c r="CD12" s="412"/>
      <c r="CE12" s="412"/>
      <c r="CF12" s="412"/>
      <c r="CG12" s="412"/>
    </row>
    <row r="13" spans="2:149" ht="30" customHeight="1">
      <c r="D13" s="1664" t="str">
        <f>VLOOKUP(2205,Languages!$A$5:$C$1032,Languages!$A$2,FALSE)</f>
        <v>Claim reference number / inspection report number (Brose)</v>
      </c>
      <c r="E13" s="1664"/>
      <c r="F13" s="1664"/>
      <c r="G13" s="1664"/>
      <c r="H13" s="1664"/>
      <c r="I13" s="1664"/>
      <c r="J13" s="1664"/>
      <c r="K13" s="1664"/>
      <c r="L13" s="1664"/>
      <c r="M13" s="1664"/>
      <c r="N13" s="1664"/>
      <c r="O13" s="1664"/>
      <c r="P13" s="1664"/>
      <c r="Q13" s="1664"/>
      <c r="R13" s="1664"/>
      <c r="S13" s="1386" t="str">
        <f>VLOOKUP(13007,Languages!$A$5:$C$1032,Languages!$A$2,FALSE)</f>
        <v>A number given to you by Brose - please refer to this number in any correspondence with Brose.</v>
      </c>
      <c r="T13" s="1386"/>
      <c r="U13" s="1386"/>
      <c r="V13" s="1386"/>
      <c r="W13" s="1386"/>
      <c r="X13" s="1386"/>
      <c r="Y13" s="1386"/>
      <c r="Z13" s="1386"/>
      <c r="AA13" s="1386"/>
      <c r="AB13" s="1386"/>
      <c r="AC13" s="1386"/>
      <c r="AD13" s="1386"/>
      <c r="AE13" s="1386"/>
      <c r="AF13" s="1386"/>
      <c r="AG13" s="1386"/>
      <c r="AH13" s="1386"/>
      <c r="AI13" s="1386"/>
      <c r="AJ13" s="1386"/>
      <c r="AK13" s="1386"/>
      <c r="AL13" s="1386"/>
      <c r="AM13" s="1386"/>
      <c r="AN13" s="1386"/>
      <c r="AO13" s="1386"/>
      <c r="AP13" s="1386"/>
      <c r="AQ13" s="1386"/>
      <c r="AR13" s="1386"/>
      <c r="AS13" s="1386"/>
      <c r="AT13" s="1386"/>
      <c r="AU13" s="1386"/>
      <c r="AV13" s="1386"/>
      <c r="AW13" s="1386"/>
      <c r="AX13" s="1386"/>
      <c r="AY13" s="1386"/>
      <c r="AZ13" s="1386"/>
      <c r="BA13" s="1386"/>
      <c r="BB13" s="1386"/>
      <c r="BC13" s="1386"/>
      <c r="BD13" s="1386"/>
      <c r="BE13" s="1386"/>
      <c r="BF13" s="1386"/>
      <c r="BG13" s="1386"/>
      <c r="BH13" s="1386"/>
      <c r="BI13" s="1386"/>
      <c r="BJ13" s="1386"/>
      <c r="BK13" s="1386"/>
      <c r="BL13" s="1386"/>
      <c r="BM13" s="1386"/>
      <c r="BN13" s="1386"/>
      <c r="BO13" s="1386"/>
      <c r="BP13" s="1386"/>
      <c r="BQ13" s="1386"/>
      <c r="BR13" s="1386"/>
      <c r="BS13" s="1386"/>
      <c r="BT13" s="1386"/>
      <c r="BU13" s="1386"/>
      <c r="BV13" s="1386"/>
      <c r="BW13" s="1386"/>
      <c r="BX13" s="1386"/>
      <c r="BY13" s="1386"/>
      <c r="BZ13" s="1386"/>
      <c r="CA13" s="1386"/>
      <c r="CB13" s="416"/>
      <c r="CC13" s="43"/>
      <c r="CD13" s="43"/>
      <c r="CE13" s="43"/>
      <c r="CF13" s="43"/>
      <c r="CG13" s="43"/>
    </row>
    <row r="14" spans="2:149" s="408" customFormat="1" ht="30" customHeight="1">
      <c r="D14" s="1664" t="str">
        <f>VLOOKUP(2206,Languages!$A$5:$C$1032,Languages!$A$2,FALSE)</f>
        <v>Date when next update of 8D-report will be provided</v>
      </c>
      <c r="E14" s="1664"/>
      <c r="F14" s="1664"/>
      <c r="G14" s="1664"/>
      <c r="H14" s="1664"/>
      <c r="I14" s="1664"/>
      <c r="J14" s="1664"/>
      <c r="K14" s="1664"/>
      <c r="L14" s="1664"/>
      <c r="M14" s="1664"/>
      <c r="N14" s="1664"/>
      <c r="O14" s="1664"/>
      <c r="P14" s="1664"/>
      <c r="Q14" s="1664"/>
      <c r="R14" s="1664"/>
      <c r="S14" s="1386" t="str">
        <f>VLOOKUP(13008,Languages!$A$5:$C$1032,Languages!$A$2,FALSE)</f>
        <v>Please enter here the SAP notification number stated in the claim announcement from Brose.</v>
      </c>
      <c r="T14" s="1386"/>
      <c r="U14" s="1386"/>
      <c r="V14" s="1386"/>
      <c r="W14" s="1386"/>
      <c r="X14" s="1386"/>
      <c r="Y14" s="1386"/>
      <c r="Z14" s="1386"/>
      <c r="AA14" s="1386"/>
      <c r="AB14" s="1386"/>
      <c r="AC14" s="1386"/>
      <c r="AD14" s="1386"/>
      <c r="AE14" s="1386"/>
      <c r="AF14" s="1386"/>
      <c r="AG14" s="1386"/>
      <c r="AH14" s="1386"/>
      <c r="AI14" s="1386"/>
      <c r="AJ14" s="1386"/>
      <c r="AK14" s="1386"/>
      <c r="AL14" s="1386"/>
      <c r="AM14" s="1386"/>
      <c r="AN14" s="1386"/>
      <c r="AO14" s="1386"/>
      <c r="AP14" s="1386"/>
      <c r="AQ14" s="1386"/>
      <c r="AR14" s="1386"/>
      <c r="AS14" s="1386"/>
      <c r="AT14" s="1386"/>
      <c r="AU14" s="1386"/>
      <c r="AV14" s="1386"/>
      <c r="AW14" s="1386"/>
      <c r="AX14" s="1386"/>
      <c r="AY14" s="1386"/>
      <c r="AZ14" s="1386"/>
      <c r="BA14" s="1386"/>
      <c r="BB14" s="1386"/>
      <c r="BC14" s="1386"/>
      <c r="BD14" s="1386"/>
      <c r="BE14" s="1386"/>
      <c r="BF14" s="1386"/>
      <c r="BG14" s="1386"/>
      <c r="BH14" s="1386"/>
      <c r="BI14" s="1386"/>
      <c r="BJ14" s="1386"/>
      <c r="BK14" s="1386"/>
      <c r="BL14" s="1386"/>
      <c r="BM14" s="1386"/>
      <c r="BN14" s="1386"/>
      <c r="BO14" s="1386"/>
      <c r="BP14" s="1386"/>
      <c r="BQ14" s="1386"/>
      <c r="BR14" s="1386"/>
      <c r="BS14" s="1386"/>
      <c r="BT14" s="1386"/>
      <c r="BU14" s="1386"/>
      <c r="BV14" s="1386"/>
      <c r="BW14" s="1386"/>
      <c r="BX14" s="1386"/>
      <c r="BY14" s="1386"/>
      <c r="BZ14" s="1386"/>
      <c r="CA14" s="1386"/>
      <c r="CB14" s="416"/>
      <c r="CC14" s="411"/>
      <c r="CD14" s="411"/>
      <c r="CE14" s="411"/>
      <c r="CF14" s="411"/>
      <c r="CG14" s="411"/>
    </row>
    <row r="15" spans="2:149" s="409" customFormat="1" ht="15" customHeight="1" thickBot="1">
      <c r="D15" s="446"/>
      <c r="E15" s="446"/>
      <c r="F15" s="446"/>
      <c r="G15" s="446"/>
      <c r="H15" s="446"/>
      <c r="I15" s="446"/>
      <c r="J15" s="446"/>
      <c r="K15" s="446"/>
      <c r="L15" s="446"/>
      <c r="M15" s="446"/>
      <c r="N15" s="446"/>
      <c r="O15" s="446"/>
      <c r="P15" s="446"/>
      <c r="Q15" s="446"/>
      <c r="R15" s="446"/>
      <c r="S15" s="446"/>
      <c r="T15" s="446"/>
      <c r="U15" s="446"/>
      <c r="V15" s="446"/>
      <c r="W15" s="446"/>
      <c r="X15" s="446"/>
      <c r="Y15" s="446"/>
      <c r="Z15" s="446"/>
      <c r="AA15" s="446"/>
      <c r="AB15" s="446"/>
      <c r="AC15" s="446"/>
      <c r="AD15" s="446"/>
      <c r="AE15" s="446"/>
      <c r="AF15" s="446"/>
      <c r="AG15" s="446"/>
      <c r="AH15" s="446"/>
      <c r="AI15" s="446"/>
      <c r="AJ15" s="446"/>
      <c r="AK15" s="446"/>
      <c r="AL15" s="446"/>
      <c r="AM15" s="446"/>
      <c r="AN15" s="446"/>
      <c r="AO15" s="446"/>
      <c r="AP15" s="446"/>
      <c r="AQ15" s="446"/>
      <c r="AR15" s="446"/>
      <c r="AS15" s="446"/>
      <c r="AT15" s="446"/>
      <c r="AU15" s="446"/>
      <c r="AV15" s="446"/>
      <c r="AW15" s="446"/>
      <c r="AX15" s="446"/>
      <c r="AY15" s="446"/>
      <c r="AZ15" s="446"/>
      <c r="BA15" s="446"/>
      <c r="BB15" s="446"/>
      <c r="BC15" s="446"/>
      <c r="BD15" s="446"/>
      <c r="BE15" s="446"/>
      <c r="BF15" s="446"/>
      <c r="BG15" s="446"/>
      <c r="BH15" s="446"/>
      <c r="BI15" s="446"/>
      <c r="BJ15" s="446"/>
      <c r="BK15" s="446"/>
      <c r="BL15" s="446"/>
      <c r="BM15" s="446"/>
      <c r="BN15" s="446"/>
      <c r="BO15" s="446"/>
      <c r="BP15" s="446"/>
      <c r="BQ15" s="446"/>
      <c r="BR15" s="446"/>
      <c r="BS15" s="446"/>
      <c r="BT15" s="446"/>
      <c r="BU15" s="446"/>
      <c r="BV15" s="446"/>
      <c r="BW15" s="446"/>
      <c r="BX15" s="446"/>
      <c r="BY15" s="446"/>
      <c r="BZ15" s="446"/>
      <c r="CA15" s="446"/>
      <c r="CB15" s="415"/>
      <c r="CC15" s="412"/>
      <c r="CD15" s="412"/>
      <c r="CE15" s="412"/>
      <c r="CF15" s="412"/>
      <c r="CG15" s="412"/>
      <c r="CK15" s="408"/>
      <c r="CL15" s="408"/>
      <c r="CM15" s="408"/>
      <c r="CN15" s="408"/>
      <c r="CO15" s="408"/>
      <c r="CP15" s="408"/>
      <c r="CQ15" s="408"/>
      <c r="CR15" s="408"/>
      <c r="CS15" s="408"/>
      <c r="CT15" s="408"/>
      <c r="CU15" s="408"/>
      <c r="CV15" s="408"/>
      <c r="CW15" s="408"/>
      <c r="CX15" s="408"/>
      <c r="CY15" s="408"/>
      <c r="CZ15" s="408"/>
      <c r="DA15" s="408"/>
      <c r="DB15" s="408"/>
      <c r="DC15" s="408"/>
      <c r="DD15" s="408"/>
      <c r="DE15" s="408"/>
      <c r="DF15" s="408"/>
      <c r="DG15" s="408"/>
      <c r="DH15" s="408"/>
      <c r="DI15" s="408"/>
      <c r="DJ15" s="408"/>
      <c r="DK15" s="408"/>
      <c r="DL15" s="408"/>
      <c r="DM15" s="408"/>
      <c r="DN15" s="408"/>
      <c r="DO15" s="408"/>
      <c r="DP15" s="408"/>
      <c r="DQ15" s="408"/>
      <c r="DR15" s="408"/>
      <c r="DS15" s="408"/>
      <c r="DT15" s="408"/>
      <c r="DU15" s="408"/>
      <c r="DV15" s="408"/>
      <c r="DW15" s="408"/>
      <c r="DX15" s="408"/>
      <c r="DY15" s="408"/>
      <c r="DZ15" s="408"/>
      <c r="EA15" s="408"/>
      <c r="EB15" s="408"/>
      <c r="EC15" s="408"/>
      <c r="ED15" s="408"/>
      <c r="EE15" s="408"/>
      <c r="EF15" s="408"/>
      <c r="EG15" s="408"/>
      <c r="EH15" s="408"/>
      <c r="EI15" s="408"/>
      <c r="EJ15" s="408"/>
      <c r="EK15" s="408"/>
      <c r="EL15" s="408"/>
      <c r="EM15" s="408"/>
      <c r="EN15" s="408"/>
      <c r="EO15" s="408"/>
      <c r="EP15" s="408"/>
      <c r="EQ15" s="408"/>
      <c r="ER15" s="408"/>
      <c r="ES15" s="408"/>
    </row>
    <row r="16" spans="2:149" s="408" customFormat="1" ht="18.75" customHeight="1" thickBot="1">
      <c r="C16" s="1644" t="str">
        <f>CONCATENATE("D2 - ",VLOOKUP(13009,Languages!$A$5:$C$1032,Languages!$A$2,FALSE))</f>
        <v>D2 - Problem description</v>
      </c>
      <c r="D16" s="1645"/>
      <c r="E16" s="1645"/>
      <c r="F16" s="1645"/>
      <c r="G16" s="1645"/>
      <c r="H16" s="1645"/>
      <c r="I16" s="1645"/>
      <c r="J16" s="1645"/>
      <c r="K16" s="1645"/>
      <c r="L16" s="1645"/>
      <c r="M16" s="1645"/>
      <c r="N16" s="1645"/>
      <c r="O16" s="1645"/>
      <c r="P16" s="1645"/>
      <c r="Q16" s="1645"/>
      <c r="R16" s="1645"/>
      <c r="S16" s="1645"/>
      <c r="T16" s="1645"/>
      <c r="U16" s="1645"/>
      <c r="V16" s="1645"/>
      <c r="W16" s="1645"/>
      <c r="X16" s="1645"/>
      <c r="Y16" s="1645"/>
      <c r="Z16" s="1645"/>
      <c r="AA16" s="1645"/>
      <c r="AB16" s="1645"/>
      <c r="AC16" s="1645"/>
      <c r="AD16" s="1645"/>
      <c r="AE16" s="1645"/>
      <c r="AF16" s="1645"/>
      <c r="AG16" s="1645"/>
      <c r="AH16" s="1645"/>
      <c r="AI16" s="1645"/>
      <c r="AJ16" s="1645"/>
      <c r="AK16" s="1645"/>
      <c r="AL16" s="1645"/>
      <c r="AM16" s="1645"/>
      <c r="AN16" s="1645"/>
      <c r="AO16" s="1645"/>
      <c r="AP16" s="1645"/>
      <c r="AQ16" s="1645"/>
      <c r="AR16" s="1645"/>
      <c r="AS16" s="1645"/>
      <c r="AT16" s="1645"/>
      <c r="AU16" s="1645"/>
      <c r="AV16" s="1645"/>
      <c r="AW16" s="1645"/>
      <c r="AX16" s="1645"/>
      <c r="AY16" s="1645"/>
      <c r="AZ16" s="1645"/>
      <c r="BA16" s="1645"/>
      <c r="BB16" s="1645"/>
      <c r="BC16" s="1645"/>
      <c r="BD16" s="1645"/>
      <c r="BE16" s="1645"/>
      <c r="BF16" s="1645"/>
      <c r="BG16" s="1645"/>
      <c r="BH16" s="1645"/>
      <c r="BI16" s="1645"/>
      <c r="BJ16" s="1645"/>
      <c r="BK16" s="1645"/>
      <c r="BL16" s="1645"/>
      <c r="BM16" s="1645"/>
      <c r="BN16" s="1645"/>
      <c r="BO16" s="1645"/>
      <c r="BP16" s="1645"/>
      <c r="BQ16" s="1645"/>
      <c r="BR16" s="1645"/>
      <c r="BS16" s="1645"/>
      <c r="BT16" s="1645"/>
      <c r="BU16" s="1645"/>
      <c r="BV16" s="1645"/>
      <c r="BW16" s="1645"/>
      <c r="BX16" s="1645"/>
      <c r="BY16" s="1645"/>
      <c r="BZ16" s="1645"/>
      <c r="CA16" s="1645"/>
      <c r="CB16" s="1646"/>
      <c r="CC16" s="411"/>
      <c r="CD16" s="411"/>
      <c r="CE16" s="411"/>
      <c r="CF16" s="411"/>
      <c r="CG16" s="411"/>
    </row>
    <row r="17" spans="2:149" s="408" customFormat="1" ht="105" customHeight="1" thickBot="1">
      <c r="D17" s="1647" t="str">
        <f>VLOOKUP(13010,Languages!$A$5:$C$1032,Languages!$A$2,FALSE)</f>
        <v>In step D2, the problem is described according to its effect and symptoms as detailed as possible (compared to D0 where the problem was desribed in a rough manner only). It is only allowed to use data, facts and figures - assumptions can lead to wrong conclusions and should therefore be avoided strictly!
For collecting data, pictures, videos, and analysis data can be used as well as data from the containment actions if available (see step D3). Step D2 does not have to occur between D1 and D3 in a sequential manner, but rather this information should be gathered and updated throughout the entire problem solving process.</v>
      </c>
      <c r="E17" s="1648"/>
      <c r="F17" s="1648"/>
      <c r="G17" s="1648"/>
      <c r="H17" s="1648"/>
      <c r="I17" s="1648"/>
      <c r="J17" s="1648"/>
      <c r="K17" s="1648"/>
      <c r="L17" s="1648"/>
      <c r="M17" s="1648"/>
      <c r="N17" s="1648"/>
      <c r="O17" s="1648"/>
      <c r="P17" s="1648"/>
      <c r="Q17" s="1648"/>
      <c r="R17" s="1648"/>
      <c r="S17" s="1648"/>
      <c r="T17" s="1648"/>
      <c r="U17" s="1648"/>
      <c r="V17" s="1648"/>
      <c r="W17" s="1648"/>
      <c r="X17" s="1648"/>
      <c r="Y17" s="1648"/>
      <c r="Z17" s="1648"/>
      <c r="AA17" s="1648"/>
      <c r="AB17" s="1648"/>
      <c r="AC17" s="1648"/>
      <c r="AD17" s="1648"/>
      <c r="AE17" s="1648"/>
      <c r="AF17" s="1648"/>
      <c r="AG17" s="1648"/>
      <c r="AH17" s="1648"/>
      <c r="AI17" s="1648"/>
      <c r="AJ17" s="1648"/>
      <c r="AK17" s="1648"/>
      <c r="AL17" s="1648"/>
      <c r="AM17" s="1648"/>
      <c r="AN17" s="1648"/>
      <c r="AO17" s="1648"/>
      <c r="AP17" s="1648"/>
      <c r="AQ17" s="1648"/>
      <c r="AR17" s="1648"/>
      <c r="AS17" s="1648"/>
      <c r="AT17" s="1648"/>
      <c r="AU17" s="1648"/>
      <c r="AV17" s="1648"/>
      <c r="AW17" s="1648"/>
      <c r="AX17" s="1648"/>
      <c r="AY17" s="1648"/>
      <c r="AZ17" s="1648"/>
      <c r="BA17" s="1648"/>
      <c r="BB17" s="1648"/>
      <c r="BC17" s="1648"/>
      <c r="BD17" s="1648"/>
      <c r="BE17" s="1648"/>
      <c r="BF17" s="1648"/>
      <c r="BG17" s="1648"/>
      <c r="BH17" s="1648"/>
      <c r="BI17" s="1648"/>
      <c r="BJ17" s="1648"/>
      <c r="BK17" s="1648"/>
      <c r="BL17" s="1648"/>
      <c r="BM17" s="1648"/>
      <c r="BN17" s="1648"/>
      <c r="BO17" s="1648"/>
      <c r="BP17" s="1648"/>
      <c r="BQ17" s="1648"/>
      <c r="BR17" s="1648"/>
      <c r="BS17" s="1648"/>
      <c r="BT17" s="1648"/>
      <c r="BU17" s="1648"/>
      <c r="BV17" s="1648"/>
      <c r="BW17" s="1648"/>
      <c r="BX17" s="1648"/>
      <c r="BY17" s="1648"/>
      <c r="BZ17" s="1648"/>
      <c r="CA17" s="1649"/>
      <c r="CB17" s="413"/>
      <c r="CC17" s="411"/>
      <c r="CD17" s="411"/>
      <c r="CE17" s="411"/>
      <c r="CF17" s="411"/>
      <c r="CG17" s="411"/>
    </row>
    <row r="18" spans="2:149" s="409" customFormat="1" ht="15" customHeight="1">
      <c r="D18" s="445"/>
      <c r="E18" s="445"/>
      <c r="F18" s="445"/>
      <c r="G18" s="445"/>
      <c r="H18" s="445"/>
      <c r="I18" s="445"/>
      <c r="J18" s="445"/>
      <c r="K18" s="445"/>
      <c r="L18" s="445"/>
      <c r="M18" s="445"/>
      <c r="N18" s="445"/>
      <c r="O18" s="445"/>
      <c r="P18" s="445"/>
      <c r="Q18" s="445"/>
      <c r="R18" s="445"/>
      <c r="S18" s="445"/>
      <c r="T18" s="445"/>
      <c r="U18" s="445"/>
      <c r="V18" s="445"/>
      <c r="W18" s="445"/>
      <c r="X18" s="445"/>
      <c r="Y18" s="445"/>
      <c r="Z18" s="445"/>
      <c r="AA18" s="445"/>
      <c r="AB18" s="445"/>
      <c r="AC18" s="445"/>
      <c r="AD18" s="445"/>
      <c r="AE18" s="445"/>
      <c r="AF18" s="445"/>
      <c r="AG18" s="445"/>
      <c r="AH18" s="445"/>
      <c r="AI18" s="445"/>
      <c r="AJ18" s="445"/>
      <c r="AK18" s="445"/>
      <c r="AL18" s="445"/>
      <c r="AM18" s="445"/>
      <c r="AN18" s="445"/>
      <c r="AO18" s="445"/>
      <c r="AP18" s="445"/>
      <c r="AQ18" s="445"/>
      <c r="AR18" s="445"/>
      <c r="AS18" s="445"/>
      <c r="AT18" s="445"/>
      <c r="AU18" s="445"/>
      <c r="AV18" s="445"/>
      <c r="AW18" s="445"/>
      <c r="AX18" s="445"/>
      <c r="AY18" s="445"/>
      <c r="AZ18" s="445"/>
      <c r="BA18" s="445"/>
      <c r="BB18" s="445"/>
      <c r="BC18" s="445"/>
      <c r="BD18" s="445"/>
      <c r="BE18" s="445"/>
      <c r="BF18" s="445"/>
      <c r="BG18" s="445"/>
      <c r="BH18" s="445"/>
      <c r="BI18" s="445"/>
      <c r="BJ18" s="445"/>
      <c r="BK18" s="445"/>
      <c r="BL18" s="445"/>
      <c r="BM18" s="445"/>
      <c r="BN18" s="445"/>
      <c r="BO18" s="445"/>
      <c r="BP18" s="445"/>
      <c r="BQ18" s="445"/>
      <c r="BR18" s="445"/>
      <c r="BS18" s="445"/>
      <c r="BT18" s="445"/>
      <c r="BU18" s="445"/>
      <c r="BV18" s="445"/>
      <c r="BW18" s="445"/>
      <c r="BX18" s="445"/>
      <c r="BY18" s="445"/>
      <c r="BZ18" s="445"/>
      <c r="CA18" s="445"/>
      <c r="CB18" s="416"/>
      <c r="CC18" s="412"/>
      <c r="CD18" s="412"/>
      <c r="CE18" s="412"/>
      <c r="CF18" s="412"/>
      <c r="CG18" s="412"/>
      <c r="CK18" s="408"/>
      <c r="CL18" s="408"/>
      <c r="CM18" s="408"/>
      <c r="CN18" s="408"/>
      <c r="CO18" s="408"/>
      <c r="CP18" s="408"/>
      <c r="CQ18" s="408"/>
      <c r="CR18" s="408"/>
      <c r="CS18" s="408"/>
      <c r="CT18" s="408"/>
      <c r="CU18" s="408"/>
      <c r="CV18" s="408"/>
      <c r="CW18" s="408"/>
      <c r="CX18" s="408"/>
      <c r="CY18" s="408"/>
      <c r="CZ18" s="408"/>
      <c r="DA18" s="408"/>
      <c r="DB18" s="408"/>
      <c r="DC18" s="408"/>
      <c r="DD18" s="408"/>
      <c r="DE18" s="408"/>
      <c r="DF18" s="408"/>
      <c r="DG18" s="408"/>
      <c r="DH18" s="408"/>
      <c r="DI18" s="408"/>
      <c r="DJ18" s="408"/>
      <c r="DK18" s="408"/>
      <c r="DL18" s="408"/>
      <c r="DM18" s="408"/>
      <c r="DN18" s="408"/>
      <c r="DO18" s="408"/>
      <c r="DP18" s="408"/>
      <c r="DQ18" s="408"/>
      <c r="DR18" s="408"/>
      <c r="DS18" s="408"/>
      <c r="DT18" s="408"/>
      <c r="DU18" s="408"/>
      <c r="DV18" s="408"/>
      <c r="DW18" s="408"/>
      <c r="DX18" s="408"/>
      <c r="DY18" s="408"/>
      <c r="DZ18" s="408"/>
      <c r="EA18" s="408"/>
      <c r="EB18" s="408"/>
      <c r="EC18" s="408"/>
      <c r="ED18" s="408"/>
      <c r="EE18" s="408"/>
      <c r="EF18" s="408"/>
      <c r="EG18" s="408"/>
      <c r="EH18" s="408"/>
      <c r="EI18" s="408"/>
      <c r="EJ18" s="408"/>
      <c r="EK18" s="408"/>
      <c r="EL18" s="408"/>
      <c r="EM18" s="408"/>
      <c r="EN18" s="408"/>
      <c r="EO18" s="408"/>
      <c r="EP18" s="408"/>
      <c r="EQ18" s="408"/>
      <c r="ER18" s="408"/>
      <c r="ES18" s="408"/>
    </row>
    <row r="19" spans="2:149" s="408" customFormat="1" ht="121.5" customHeight="1">
      <c r="D19" s="1650" t="str">
        <f>VLOOKUP(13011,Languages!$A$5:$C$1032,Languages!$A$2,FALSE)</f>
        <v>Is/Is Not (TOOL)</v>
      </c>
      <c r="E19" s="1651"/>
      <c r="F19" s="1651"/>
      <c r="G19" s="1651"/>
      <c r="H19" s="1651"/>
      <c r="I19" s="1651"/>
      <c r="J19" s="1651"/>
      <c r="K19" s="1651"/>
      <c r="L19" s="1651"/>
      <c r="M19" s="1651"/>
      <c r="N19" s="1651"/>
      <c r="O19" s="1651"/>
      <c r="P19" s="1651"/>
      <c r="Q19" s="1651"/>
      <c r="R19" s="1652"/>
      <c r="S19" s="1387" t="str">
        <f>VLOOKUP(13012,Languages!$A$5:$C$1032,Languages!$A$2,FALSE)</f>
        <v>The Is/Is Not is a collection of all information to describe the problem using 12 questions. The specialty is that it asks not only what has been observed, but also what THEORETICALLY could have been observed, but in fact was not. Be sure to use facts only - if you are not sure, add the information to the column "missing information" and try to find an answer to these questions while the problem solving process is ongoing. Try to fill in each row if possible!
The two columns "distinctions" and "changes" are used to generate first clues in regards to potential causes. The column "distinctions" is used to find suggestions why one state was observed, while the other wasn't - e.g. influence from temperatures could have influenced why a problem was geographically observed only in warmer regions, while not observed in colder regions. The column "changes" describes if e.g. a maintenance was done at the same period as the defective part was produced and thus could have caused the problem.</v>
      </c>
      <c r="T19" s="1653"/>
      <c r="U19" s="1653"/>
      <c r="V19" s="1653"/>
      <c r="W19" s="1653"/>
      <c r="X19" s="1653"/>
      <c r="Y19" s="1653"/>
      <c r="Z19" s="1653"/>
      <c r="AA19" s="1653"/>
      <c r="AB19" s="1653"/>
      <c r="AC19" s="1653"/>
      <c r="AD19" s="1653"/>
      <c r="AE19" s="1653"/>
      <c r="AF19" s="1653"/>
      <c r="AG19" s="1653"/>
      <c r="AH19" s="1653"/>
      <c r="AI19" s="1653"/>
      <c r="AJ19" s="1653"/>
      <c r="AK19" s="1653"/>
      <c r="AL19" s="1653"/>
      <c r="AM19" s="1653"/>
      <c r="AN19" s="1653"/>
      <c r="AO19" s="1653"/>
      <c r="AP19" s="1653"/>
      <c r="AQ19" s="1653"/>
      <c r="AR19" s="1653"/>
      <c r="AS19" s="1653"/>
      <c r="AT19" s="1653"/>
      <c r="AU19" s="1653"/>
      <c r="AV19" s="1653"/>
      <c r="AW19" s="1653"/>
      <c r="AX19" s="1653"/>
      <c r="AY19" s="1653"/>
      <c r="AZ19" s="1653"/>
      <c r="BA19" s="1653"/>
      <c r="BB19" s="1653"/>
      <c r="BC19" s="1653"/>
      <c r="BD19" s="1653"/>
      <c r="BE19" s="1653"/>
      <c r="BF19" s="1653"/>
      <c r="BG19" s="1653"/>
      <c r="BH19" s="1653"/>
      <c r="BI19" s="1653"/>
      <c r="BJ19" s="1653"/>
      <c r="BK19" s="1653"/>
      <c r="BL19" s="1653"/>
      <c r="BM19" s="1653"/>
      <c r="BN19" s="1653"/>
      <c r="BO19" s="1653"/>
      <c r="BP19" s="1653"/>
      <c r="BQ19" s="1653"/>
      <c r="BR19" s="1653"/>
      <c r="BS19" s="1653"/>
      <c r="BT19" s="1653"/>
      <c r="BU19" s="1653"/>
      <c r="BV19" s="1653"/>
      <c r="BW19" s="1653"/>
      <c r="BX19" s="1653"/>
      <c r="BY19" s="1653"/>
      <c r="BZ19" s="1653"/>
      <c r="CA19" s="1654"/>
      <c r="CB19" s="416"/>
      <c r="CC19" s="411"/>
      <c r="CD19" s="411"/>
      <c r="CE19" s="411"/>
      <c r="CF19" s="411"/>
      <c r="CG19" s="411"/>
    </row>
    <row r="20" spans="2:149" s="408" customFormat="1" ht="30" customHeight="1">
      <c r="D20" s="1650" t="str">
        <f>VLOOKUP(13013,Languages!$A$5:$C$1032,Languages!$A$2,FALSE)</f>
        <v>W-questions</v>
      </c>
      <c r="E20" s="1651"/>
      <c r="F20" s="1651"/>
      <c r="G20" s="1651"/>
      <c r="H20" s="1651"/>
      <c r="I20" s="1651"/>
      <c r="J20" s="1651"/>
      <c r="K20" s="1651"/>
      <c r="L20" s="1651"/>
      <c r="M20" s="1651"/>
      <c r="N20" s="1651"/>
      <c r="O20" s="1651"/>
      <c r="P20" s="1651"/>
      <c r="Q20" s="1651"/>
      <c r="R20" s="1652"/>
      <c r="S20" s="1387" t="str">
        <f>VLOOKUP(13014,Languages!$A$5:$C$1032,Languages!$A$2,FALSE)</f>
        <v>These questions are used to deliver more detailed information regarding the problem, but the information is not gathered systematically compared to the Is/IsNot. The W-questions are thought to deliver a short but detailed overview of the problem within the 8D-report.</v>
      </c>
      <c r="T20" s="1653"/>
      <c r="U20" s="1653"/>
      <c r="V20" s="1653"/>
      <c r="W20" s="1653"/>
      <c r="X20" s="1653"/>
      <c r="Y20" s="1653"/>
      <c r="Z20" s="1653"/>
      <c r="AA20" s="1653"/>
      <c r="AB20" s="1653"/>
      <c r="AC20" s="1653"/>
      <c r="AD20" s="1653"/>
      <c r="AE20" s="1653"/>
      <c r="AF20" s="1653"/>
      <c r="AG20" s="1653"/>
      <c r="AH20" s="1653"/>
      <c r="AI20" s="1653"/>
      <c r="AJ20" s="1653"/>
      <c r="AK20" s="1653"/>
      <c r="AL20" s="1653"/>
      <c r="AM20" s="1653"/>
      <c r="AN20" s="1653"/>
      <c r="AO20" s="1653"/>
      <c r="AP20" s="1653"/>
      <c r="AQ20" s="1653"/>
      <c r="AR20" s="1653"/>
      <c r="AS20" s="1653"/>
      <c r="AT20" s="1653"/>
      <c r="AU20" s="1653"/>
      <c r="AV20" s="1653"/>
      <c r="AW20" s="1653"/>
      <c r="AX20" s="1653"/>
      <c r="AY20" s="1653"/>
      <c r="AZ20" s="1653"/>
      <c r="BA20" s="1653"/>
      <c r="BB20" s="1653"/>
      <c r="BC20" s="1653"/>
      <c r="BD20" s="1653"/>
      <c r="BE20" s="1653"/>
      <c r="BF20" s="1653"/>
      <c r="BG20" s="1653"/>
      <c r="BH20" s="1653"/>
      <c r="BI20" s="1653"/>
      <c r="BJ20" s="1653"/>
      <c r="BK20" s="1653"/>
      <c r="BL20" s="1653"/>
      <c r="BM20" s="1653"/>
      <c r="BN20" s="1653"/>
      <c r="BO20" s="1653"/>
      <c r="BP20" s="1653"/>
      <c r="BQ20" s="1653"/>
      <c r="BR20" s="1653"/>
      <c r="BS20" s="1653"/>
      <c r="BT20" s="1653"/>
      <c r="BU20" s="1653"/>
      <c r="BV20" s="1653"/>
      <c r="BW20" s="1653"/>
      <c r="BX20" s="1653"/>
      <c r="BY20" s="1653"/>
      <c r="BZ20" s="1653"/>
      <c r="CA20" s="1654"/>
      <c r="CB20" s="416"/>
      <c r="CC20" s="411"/>
      <c r="CD20" s="411"/>
      <c r="CE20" s="411"/>
      <c r="CF20" s="411"/>
      <c r="CG20" s="411"/>
    </row>
    <row r="21" spans="2:149" s="408" customFormat="1" ht="45" customHeight="1">
      <c r="B21" s="411"/>
      <c r="C21" s="411"/>
      <c r="D21" s="1650" t="str">
        <f>VLOOKUP(13015,Languages!$A$5:$C$1032,Languages!$A$2,FALSE)</f>
        <v>Suspect quantities and NOK-quantities</v>
      </c>
      <c r="E21" s="1651"/>
      <c r="F21" s="1651"/>
      <c r="G21" s="1651"/>
      <c r="H21" s="1651"/>
      <c r="I21" s="1651"/>
      <c r="J21" s="1651"/>
      <c r="K21" s="1651"/>
      <c r="L21" s="1651"/>
      <c r="M21" s="1651"/>
      <c r="N21" s="1651"/>
      <c r="O21" s="1651"/>
      <c r="P21" s="1651"/>
      <c r="Q21" s="1651"/>
      <c r="R21" s="1652"/>
      <c r="S21" s="1387" t="str">
        <f>VLOOKUP(13016,Languages!$A$5:$C$1032,Languages!$A$2,FALSE)</f>
        <v>The suspect quantities decribe the amount of parts that still need to be analysed, which means that it is not yet known if those parts are OK or NOK.
The NOK-quantity is the amount of found and verified defective parts.
Different storage locations are considered here.</v>
      </c>
      <c r="T21" s="1653"/>
      <c r="U21" s="1653"/>
      <c r="V21" s="1653"/>
      <c r="W21" s="1653"/>
      <c r="X21" s="1653"/>
      <c r="Y21" s="1653"/>
      <c r="Z21" s="1653"/>
      <c r="AA21" s="1653"/>
      <c r="AB21" s="1653"/>
      <c r="AC21" s="1653"/>
      <c r="AD21" s="1653"/>
      <c r="AE21" s="1653"/>
      <c r="AF21" s="1653"/>
      <c r="AG21" s="1653"/>
      <c r="AH21" s="1653"/>
      <c r="AI21" s="1653"/>
      <c r="AJ21" s="1653"/>
      <c r="AK21" s="1653"/>
      <c r="AL21" s="1653"/>
      <c r="AM21" s="1653"/>
      <c r="AN21" s="1653"/>
      <c r="AO21" s="1653"/>
      <c r="AP21" s="1653"/>
      <c r="AQ21" s="1653"/>
      <c r="AR21" s="1653"/>
      <c r="AS21" s="1653"/>
      <c r="AT21" s="1653"/>
      <c r="AU21" s="1653"/>
      <c r="AV21" s="1653"/>
      <c r="AW21" s="1653"/>
      <c r="AX21" s="1653"/>
      <c r="AY21" s="1653"/>
      <c r="AZ21" s="1653"/>
      <c r="BA21" s="1653"/>
      <c r="BB21" s="1653"/>
      <c r="BC21" s="1653"/>
      <c r="BD21" s="1653"/>
      <c r="BE21" s="1653"/>
      <c r="BF21" s="1653"/>
      <c r="BG21" s="1653"/>
      <c r="BH21" s="1653"/>
      <c r="BI21" s="1653"/>
      <c r="BJ21" s="1653"/>
      <c r="BK21" s="1653"/>
      <c r="BL21" s="1653"/>
      <c r="BM21" s="1653"/>
      <c r="BN21" s="1653"/>
      <c r="BO21" s="1653"/>
      <c r="BP21" s="1653"/>
      <c r="BQ21" s="1653"/>
      <c r="BR21" s="1653"/>
      <c r="BS21" s="1653"/>
      <c r="BT21" s="1653"/>
      <c r="BU21" s="1653"/>
      <c r="BV21" s="1653"/>
      <c r="BW21" s="1653"/>
      <c r="BX21" s="1653"/>
      <c r="BY21" s="1653"/>
      <c r="BZ21" s="1653"/>
      <c r="CA21" s="1654"/>
      <c r="CB21" s="411"/>
      <c r="CC21" s="411"/>
      <c r="CD21" s="411"/>
      <c r="CE21" s="411"/>
      <c r="CF21" s="411"/>
      <c r="CG21" s="411"/>
    </row>
    <row r="22" spans="2:149" s="408" customFormat="1" ht="30" customHeight="1">
      <c r="B22" s="411"/>
      <c r="C22" s="411"/>
      <c r="D22" s="1650" t="str">
        <f>VLOOKUP(13017,Languages!$A$5:$C$1032,Languages!$A$2,FALSE)</f>
        <v>Failure development (TOOL)</v>
      </c>
      <c r="E22" s="1651"/>
      <c r="F22" s="1651"/>
      <c r="G22" s="1651"/>
      <c r="H22" s="1651"/>
      <c r="I22" s="1651"/>
      <c r="J22" s="1651"/>
      <c r="K22" s="1651"/>
      <c r="L22" s="1651"/>
      <c r="M22" s="1651"/>
      <c r="N22" s="1651"/>
      <c r="O22" s="1651"/>
      <c r="P22" s="1651"/>
      <c r="Q22" s="1651"/>
      <c r="R22" s="1652"/>
      <c r="S22" s="1387" t="str">
        <f>VLOOKUP(13018,Languages!$A$5:$C$1032,Languages!$A$2,FALSE)</f>
        <v>The link leads to the tab "Statistic" - here it is collected all information how much NOK-parts are found where and when. The chart is also used to show evidence in later step D6 (verification and validation).</v>
      </c>
      <c r="T22" s="1653"/>
      <c r="U22" s="1653"/>
      <c r="V22" s="1653"/>
      <c r="W22" s="1653"/>
      <c r="X22" s="1653"/>
      <c r="Y22" s="1653"/>
      <c r="Z22" s="1653"/>
      <c r="AA22" s="1653"/>
      <c r="AB22" s="1653"/>
      <c r="AC22" s="1653"/>
      <c r="AD22" s="1653"/>
      <c r="AE22" s="1653"/>
      <c r="AF22" s="1653"/>
      <c r="AG22" s="1653"/>
      <c r="AH22" s="1653"/>
      <c r="AI22" s="1653"/>
      <c r="AJ22" s="1653"/>
      <c r="AK22" s="1653"/>
      <c r="AL22" s="1653"/>
      <c r="AM22" s="1653"/>
      <c r="AN22" s="1653"/>
      <c r="AO22" s="1653"/>
      <c r="AP22" s="1653"/>
      <c r="AQ22" s="1653"/>
      <c r="AR22" s="1653"/>
      <c r="AS22" s="1653"/>
      <c r="AT22" s="1653"/>
      <c r="AU22" s="1653"/>
      <c r="AV22" s="1653"/>
      <c r="AW22" s="1653"/>
      <c r="AX22" s="1653"/>
      <c r="AY22" s="1653"/>
      <c r="AZ22" s="1653"/>
      <c r="BA22" s="1653"/>
      <c r="BB22" s="1653"/>
      <c r="BC22" s="1653"/>
      <c r="BD22" s="1653"/>
      <c r="BE22" s="1653"/>
      <c r="BF22" s="1653"/>
      <c r="BG22" s="1653"/>
      <c r="BH22" s="1653"/>
      <c r="BI22" s="1653"/>
      <c r="BJ22" s="1653"/>
      <c r="BK22" s="1653"/>
      <c r="BL22" s="1653"/>
      <c r="BM22" s="1653"/>
      <c r="BN22" s="1653"/>
      <c r="BO22" s="1653"/>
      <c r="BP22" s="1653"/>
      <c r="BQ22" s="1653"/>
      <c r="BR22" s="1653"/>
      <c r="BS22" s="1653"/>
      <c r="BT22" s="1653"/>
      <c r="BU22" s="1653"/>
      <c r="BV22" s="1653"/>
      <c r="BW22" s="1653"/>
      <c r="BX22" s="1653"/>
      <c r="BY22" s="1653"/>
      <c r="BZ22" s="1653"/>
      <c r="CA22" s="1654"/>
      <c r="CB22" s="411"/>
      <c r="CC22" s="411"/>
      <c r="CD22" s="411"/>
      <c r="CE22" s="411"/>
      <c r="CF22" s="411"/>
      <c r="CG22" s="411"/>
    </row>
    <row r="23" spans="2:149" s="408" customFormat="1" ht="15" customHeight="1" thickBot="1">
      <c r="B23" s="411"/>
      <c r="C23" s="411"/>
      <c r="D23" s="411"/>
      <c r="E23" s="411"/>
      <c r="F23" s="411"/>
      <c r="G23" s="411"/>
      <c r="H23" s="411"/>
      <c r="I23" s="411"/>
      <c r="J23" s="411"/>
      <c r="K23" s="411"/>
      <c r="L23" s="411"/>
      <c r="M23" s="411"/>
      <c r="N23" s="411"/>
      <c r="O23" s="411"/>
      <c r="P23" s="411"/>
      <c r="Q23" s="411"/>
      <c r="R23" s="411"/>
      <c r="S23" s="411"/>
      <c r="T23" s="411"/>
      <c r="U23" s="411"/>
      <c r="V23" s="411"/>
      <c r="W23" s="411"/>
      <c r="X23" s="411"/>
      <c r="Y23" s="411"/>
      <c r="Z23" s="411"/>
      <c r="AA23" s="411"/>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c r="BK23" s="411"/>
      <c r="BL23" s="411"/>
      <c r="BM23" s="411"/>
      <c r="BN23" s="411"/>
      <c r="BO23" s="411"/>
      <c r="BP23" s="411"/>
      <c r="BQ23" s="411"/>
      <c r="BR23" s="411"/>
      <c r="BS23" s="411"/>
      <c r="BT23" s="411"/>
      <c r="BU23" s="411"/>
      <c r="BV23" s="411"/>
      <c r="BW23" s="411"/>
      <c r="BX23" s="411"/>
      <c r="BY23" s="411"/>
      <c r="BZ23" s="411"/>
      <c r="CA23" s="411"/>
      <c r="CB23" s="411"/>
      <c r="CC23" s="411"/>
      <c r="CD23" s="411"/>
      <c r="CE23" s="411"/>
      <c r="CF23" s="411"/>
      <c r="CG23" s="411"/>
    </row>
    <row r="24" spans="2:149" s="408" customFormat="1" ht="18.75" customHeight="1" thickBot="1">
      <c r="C24" s="1644" t="str">
        <f>CONCATENATE("D3 - ",VLOOKUP(13019,Languages!$A$5:$C$1032,Languages!$A$2,FALSE))</f>
        <v>D3 - Containment actions</v>
      </c>
      <c r="D24" s="1645"/>
      <c r="E24" s="1645"/>
      <c r="F24" s="1645"/>
      <c r="G24" s="1645"/>
      <c r="H24" s="1645"/>
      <c r="I24" s="1645"/>
      <c r="J24" s="1645"/>
      <c r="K24" s="1645"/>
      <c r="L24" s="1645"/>
      <c r="M24" s="1645"/>
      <c r="N24" s="1645"/>
      <c r="O24" s="1645"/>
      <c r="P24" s="1645"/>
      <c r="Q24" s="1645"/>
      <c r="R24" s="1645"/>
      <c r="S24" s="1645"/>
      <c r="T24" s="1645"/>
      <c r="U24" s="1645"/>
      <c r="V24" s="1645"/>
      <c r="W24" s="1645"/>
      <c r="X24" s="1645"/>
      <c r="Y24" s="1645"/>
      <c r="Z24" s="1645"/>
      <c r="AA24" s="1645"/>
      <c r="AB24" s="1645"/>
      <c r="AC24" s="1645"/>
      <c r="AD24" s="1645"/>
      <c r="AE24" s="1645"/>
      <c r="AF24" s="1645"/>
      <c r="AG24" s="1645"/>
      <c r="AH24" s="1645"/>
      <c r="AI24" s="1645"/>
      <c r="AJ24" s="1645"/>
      <c r="AK24" s="1645"/>
      <c r="AL24" s="1645"/>
      <c r="AM24" s="1645"/>
      <c r="AN24" s="1645"/>
      <c r="AO24" s="1645"/>
      <c r="AP24" s="1645"/>
      <c r="AQ24" s="1645"/>
      <c r="AR24" s="1645"/>
      <c r="AS24" s="1645"/>
      <c r="AT24" s="1645"/>
      <c r="AU24" s="1645"/>
      <c r="AV24" s="1645"/>
      <c r="AW24" s="1645"/>
      <c r="AX24" s="1645"/>
      <c r="AY24" s="1645"/>
      <c r="AZ24" s="1645"/>
      <c r="BA24" s="1645"/>
      <c r="BB24" s="1645"/>
      <c r="BC24" s="1645"/>
      <c r="BD24" s="1645"/>
      <c r="BE24" s="1645"/>
      <c r="BF24" s="1645"/>
      <c r="BG24" s="1645"/>
      <c r="BH24" s="1645"/>
      <c r="BI24" s="1645"/>
      <c r="BJ24" s="1645"/>
      <c r="BK24" s="1645"/>
      <c r="BL24" s="1645"/>
      <c r="BM24" s="1645"/>
      <c r="BN24" s="1645"/>
      <c r="BO24" s="1645"/>
      <c r="BP24" s="1645"/>
      <c r="BQ24" s="1645"/>
      <c r="BR24" s="1645"/>
      <c r="BS24" s="1645"/>
      <c r="BT24" s="1645"/>
      <c r="BU24" s="1645"/>
      <c r="BV24" s="1645"/>
      <c r="BW24" s="1645"/>
      <c r="BX24" s="1645"/>
      <c r="BY24" s="1645"/>
      <c r="BZ24" s="1645"/>
      <c r="CA24" s="1645"/>
      <c r="CB24" s="1646"/>
      <c r="CC24" s="411"/>
      <c r="CD24" s="411"/>
      <c r="CE24" s="411"/>
      <c r="CF24" s="411"/>
      <c r="CG24" s="411"/>
    </row>
    <row r="25" spans="2:149" s="408" customFormat="1" ht="82.5" customHeight="1" thickBot="1">
      <c r="D25" s="1647" t="str">
        <f>VLOOKUP(13020,Languages!$A$5:$C$1032,Languages!$A$2,FALSE)</f>
        <v>In step D3, containment actions at Brose, the OEM or the supplier are documented which shall avoid NOK-parts being delivered to the customer (Brose / OEM) e.g. by using replacement deliveries, sorting activities or approved rework etc.
In the moment the delivery with OK-parts can be ensured, the clean point has to be communicated to Brose, which means when does the first OK-delivery arrive at Brose, how is it marked etc.
A 3D-report that contains all relevant information from step D1 to D3 has to be sent to Brose within 24 hours after a claim has been raised.</v>
      </c>
      <c r="E25" s="1648"/>
      <c r="F25" s="1648"/>
      <c r="G25" s="1648"/>
      <c r="H25" s="1648"/>
      <c r="I25" s="1648"/>
      <c r="J25" s="1648"/>
      <c r="K25" s="1648"/>
      <c r="L25" s="1648"/>
      <c r="M25" s="1648"/>
      <c r="N25" s="1648"/>
      <c r="O25" s="1648"/>
      <c r="P25" s="1648"/>
      <c r="Q25" s="1648"/>
      <c r="R25" s="1648"/>
      <c r="S25" s="1648"/>
      <c r="T25" s="1648"/>
      <c r="U25" s="1648"/>
      <c r="V25" s="1648"/>
      <c r="W25" s="1648"/>
      <c r="X25" s="1648"/>
      <c r="Y25" s="1648"/>
      <c r="Z25" s="1648"/>
      <c r="AA25" s="1648"/>
      <c r="AB25" s="1648"/>
      <c r="AC25" s="1648"/>
      <c r="AD25" s="1648"/>
      <c r="AE25" s="1648"/>
      <c r="AF25" s="1648"/>
      <c r="AG25" s="1648"/>
      <c r="AH25" s="1648"/>
      <c r="AI25" s="1648"/>
      <c r="AJ25" s="1648"/>
      <c r="AK25" s="1648"/>
      <c r="AL25" s="1648"/>
      <c r="AM25" s="1648"/>
      <c r="AN25" s="1648"/>
      <c r="AO25" s="1648"/>
      <c r="AP25" s="1648"/>
      <c r="AQ25" s="1648"/>
      <c r="AR25" s="1648"/>
      <c r="AS25" s="1648"/>
      <c r="AT25" s="1648"/>
      <c r="AU25" s="1648"/>
      <c r="AV25" s="1648"/>
      <c r="AW25" s="1648"/>
      <c r="AX25" s="1648"/>
      <c r="AY25" s="1648"/>
      <c r="AZ25" s="1648"/>
      <c r="BA25" s="1648"/>
      <c r="BB25" s="1648"/>
      <c r="BC25" s="1648"/>
      <c r="BD25" s="1648"/>
      <c r="BE25" s="1648"/>
      <c r="BF25" s="1648"/>
      <c r="BG25" s="1648"/>
      <c r="BH25" s="1648"/>
      <c r="BI25" s="1648"/>
      <c r="BJ25" s="1648"/>
      <c r="BK25" s="1648"/>
      <c r="BL25" s="1648"/>
      <c r="BM25" s="1648"/>
      <c r="BN25" s="1648"/>
      <c r="BO25" s="1648"/>
      <c r="BP25" s="1648"/>
      <c r="BQ25" s="1648"/>
      <c r="BR25" s="1648"/>
      <c r="BS25" s="1648"/>
      <c r="BT25" s="1648"/>
      <c r="BU25" s="1648"/>
      <c r="BV25" s="1648"/>
      <c r="BW25" s="1648"/>
      <c r="BX25" s="1648"/>
      <c r="BY25" s="1648"/>
      <c r="BZ25" s="1648"/>
      <c r="CA25" s="1649"/>
      <c r="CB25" s="413"/>
      <c r="CC25" s="411"/>
      <c r="CD25" s="411"/>
      <c r="CE25" s="411"/>
      <c r="CF25" s="411"/>
      <c r="CG25" s="411"/>
    </row>
    <row r="26" spans="2:149" s="409" customFormat="1" ht="15" customHeight="1">
      <c r="D26" s="445"/>
      <c r="E26" s="445"/>
      <c r="F26" s="445"/>
      <c r="G26" s="445"/>
      <c r="H26" s="445"/>
      <c r="I26" s="445"/>
      <c r="J26" s="445"/>
      <c r="K26" s="445"/>
      <c r="L26" s="445"/>
      <c r="M26" s="445"/>
      <c r="N26" s="445"/>
      <c r="O26" s="445"/>
      <c r="P26" s="445"/>
      <c r="Q26" s="445"/>
      <c r="R26" s="445"/>
      <c r="S26" s="445"/>
      <c r="T26" s="445"/>
      <c r="U26" s="445"/>
      <c r="V26" s="445"/>
      <c r="W26" s="445"/>
      <c r="X26" s="445"/>
      <c r="Y26" s="445"/>
      <c r="Z26" s="445"/>
      <c r="AA26" s="445"/>
      <c r="AB26" s="445"/>
      <c r="AC26" s="445"/>
      <c r="AD26" s="445"/>
      <c r="AE26" s="445"/>
      <c r="AF26" s="445"/>
      <c r="AG26" s="445"/>
      <c r="AH26" s="445"/>
      <c r="AI26" s="445"/>
      <c r="AJ26" s="445"/>
      <c r="AK26" s="445"/>
      <c r="AL26" s="445"/>
      <c r="AM26" s="445"/>
      <c r="AN26" s="445"/>
      <c r="AO26" s="445"/>
      <c r="AP26" s="445"/>
      <c r="AQ26" s="445"/>
      <c r="AR26" s="445"/>
      <c r="AS26" s="445"/>
      <c r="AT26" s="445"/>
      <c r="AU26" s="445"/>
      <c r="AV26" s="445"/>
      <c r="AW26" s="445"/>
      <c r="AX26" s="445"/>
      <c r="AY26" s="445"/>
      <c r="AZ26" s="445"/>
      <c r="BA26" s="445"/>
      <c r="BB26" s="445"/>
      <c r="BC26" s="445"/>
      <c r="BD26" s="445"/>
      <c r="BE26" s="445"/>
      <c r="BF26" s="445"/>
      <c r="BG26" s="445"/>
      <c r="BH26" s="445"/>
      <c r="BI26" s="445"/>
      <c r="BJ26" s="445"/>
      <c r="BK26" s="445"/>
      <c r="BL26" s="445"/>
      <c r="BM26" s="445"/>
      <c r="BN26" s="445"/>
      <c r="BO26" s="445"/>
      <c r="BP26" s="445"/>
      <c r="BQ26" s="445"/>
      <c r="BR26" s="445"/>
      <c r="BS26" s="445"/>
      <c r="BT26" s="445"/>
      <c r="BU26" s="445"/>
      <c r="BV26" s="445"/>
      <c r="BW26" s="445"/>
      <c r="BX26" s="445"/>
      <c r="BY26" s="445"/>
      <c r="BZ26" s="445"/>
      <c r="CA26" s="445"/>
      <c r="CB26" s="416"/>
      <c r="CC26" s="412"/>
      <c r="CD26" s="412"/>
      <c r="CE26" s="412"/>
      <c r="CF26" s="412"/>
      <c r="CG26" s="412"/>
      <c r="CK26" s="408"/>
      <c r="CL26" s="408"/>
      <c r="CM26" s="408"/>
      <c r="CN26" s="408"/>
      <c r="CO26" s="408"/>
      <c r="CP26" s="408"/>
      <c r="CQ26" s="408"/>
      <c r="CR26" s="408"/>
      <c r="CS26" s="408"/>
      <c r="CT26" s="408"/>
      <c r="CU26" s="408"/>
      <c r="CV26" s="408"/>
      <c r="CW26" s="408"/>
      <c r="CX26" s="408"/>
      <c r="CY26" s="408"/>
      <c r="CZ26" s="408"/>
      <c r="DA26" s="408"/>
      <c r="DB26" s="408"/>
      <c r="DC26" s="408"/>
      <c r="DD26" s="408"/>
      <c r="DE26" s="408"/>
      <c r="DF26" s="408"/>
      <c r="DG26" s="408"/>
      <c r="DH26" s="408"/>
      <c r="DI26" s="408"/>
      <c r="DJ26" s="408"/>
      <c r="DK26" s="408"/>
      <c r="DL26" s="408"/>
      <c r="DM26" s="408"/>
      <c r="DN26" s="408"/>
      <c r="DO26" s="408"/>
      <c r="DP26" s="408"/>
      <c r="DQ26" s="408"/>
      <c r="DR26" s="408"/>
      <c r="DS26" s="408"/>
      <c r="DT26" s="408"/>
      <c r="DU26" s="408"/>
      <c r="DV26" s="408"/>
      <c r="DW26" s="408"/>
      <c r="DX26" s="408"/>
      <c r="DY26" s="408"/>
      <c r="DZ26" s="408"/>
      <c r="EA26" s="408"/>
      <c r="EB26" s="408"/>
      <c r="EC26" s="408"/>
      <c r="ED26" s="408"/>
      <c r="EE26" s="408"/>
      <c r="EF26" s="408"/>
      <c r="EG26" s="408"/>
      <c r="EH26" s="408"/>
      <c r="EI26" s="408"/>
      <c r="EJ26" s="408"/>
      <c r="EK26" s="408"/>
      <c r="EL26" s="408"/>
      <c r="EM26" s="408"/>
      <c r="EN26" s="408"/>
      <c r="EO26" s="408"/>
      <c r="EP26" s="408"/>
      <c r="EQ26" s="408"/>
      <c r="ER26" s="408"/>
      <c r="ES26" s="408"/>
    </row>
    <row r="27" spans="2:149" s="408" customFormat="1" ht="45" customHeight="1">
      <c r="D27" s="1650" t="str">
        <f>VLOOKUP(13021,Languages!$A$5:$C$1032,Languages!$A$2,FALSE)</f>
        <v>Read-Across (TOOL)</v>
      </c>
      <c r="E27" s="1651"/>
      <c r="F27" s="1651"/>
      <c r="G27" s="1651"/>
      <c r="H27" s="1651"/>
      <c r="I27" s="1651"/>
      <c r="J27" s="1651"/>
      <c r="K27" s="1651"/>
      <c r="L27" s="1651"/>
      <c r="M27" s="1651"/>
      <c r="N27" s="1651"/>
      <c r="O27" s="1651"/>
      <c r="P27" s="1651"/>
      <c r="Q27" s="1651"/>
      <c r="R27" s="1652"/>
      <c r="S27" s="1387" t="str">
        <f>VLOOKUP(13022,Languages!$A$5:$C$1032,Languages!$A$2,FALSE)</f>
        <v>With the help of the Read-Across it is possible to check if the chosen containments can be applied to other projects, processes, plants or suppliers for the purpose of lessons learned. Please fill the rows with your chosen containments and the columns with projects, processes etc. which could be affected as well. Then check for each line and column of the matrix if it is applicable and feasible.</v>
      </c>
      <c r="T27" s="1653"/>
      <c r="U27" s="1653"/>
      <c r="V27" s="1653"/>
      <c r="W27" s="1653"/>
      <c r="X27" s="1653"/>
      <c r="Y27" s="1653"/>
      <c r="Z27" s="1653"/>
      <c r="AA27" s="1653"/>
      <c r="AB27" s="1653"/>
      <c r="AC27" s="1653"/>
      <c r="AD27" s="1653"/>
      <c r="AE27" s="1653"/>
      <c r="AF27" s="1653"/>
      <c r="AG27" s="1653"/>
      <c r="AH27" s="1653"/>
      <c r="AI27" s="1653"/>
      <c r="AJ27" s="1653"/>
      <c r="AK27" s="1653"/>
      <c r="AL27" s="1653"/>
      <c r="AM27" s="1653"/>
      <c r="AN27" s="1653"/>
      <c r="AO27" s="1653"/>
      <c r="AP27" s="1653"/>
      <c r="AQ27" s="1653"/>
      <c r="AR27" s="1653"/>
      <c r="AS27" s="1653"/>
      <c r="AT27" s="1653"/>
      <c r="AU27" s="1653"/>
      <c r="AV27" s="1653"/>
      <c r="AW27" s="1653"/>
      <c r="AX27" s="1653"/>
      <c r="AY27" s="1653"/>
      <c r="AZ27" s="1653"/>
      <c r="BA27" s="1653"/>
      <c r="BB27" s="1653"/>
      <c r="BC27" s="1653"/>
      <c r="BD27" s="1653"/>
      <c r="BE27" s="1653"/>
      <c r="BF27" s="1653"/>
      <c r="BG27" s="1653"/>
      <c r="BH27" s="1653"/>
      <c r="BI27" s="1653"/>
      <c r="BJ27" s="1653"/>
      <c r="BK27" s="1653"/>
      <c r="BL27" s="1653"/>
      <c r="BM27" s="1653"/>
      <c r="BN27" s="1653"/>
      <c r="BO27" s="1653"/>
      <c r="BP27" s="1653"/>
      <c r="BQ27" s="1653"/>
      <c r="BR27" s="1653"/>
      <c r="BS27" s="1653"/>
      <c r="BT27" s="1653"/>
      <c r="BU27" s="1653"/>
      <c r="BV27" s="1653"/>
      <c r="BW27" s="1653"/>
      <c r="BX27" s="1653"/>
      <c r="BY27" s="1653"/>
      <c r="BZ27" s="1653"/>
      <c r="CA27" s="1654"/>
      <c r="CB27" s="416"/>
      <c r="CC27" s="411"/>
      <c r="CD27" s="411"/>
      <c r="CE27" s="411"/>
      <c r="CF27" s="411"/>
      <c r="CG27" s="411"/>
    </row>
    <row r="28" spans="2:149" s="408" customFormat="1" ht="30" customHeight="1">
      <c r="B28" s="411"/>
      <c r="C28" s="411"/>
      <c r="D28" s="1655" t="str">
        <f>VLOOKUP(13023,Languages!$A$5:$C$1032,Languages!$A$2,FALSE)</f>
        <v>Sorting results (TOOL)</v>
      </c>
      <c r="E28" s="1656"/>
      <c r="F28" s="1656"/>
      <c r="G28" s="1656"/>
      <c r="H28" s="1656"/>
      <c r="I28" s="1656"/>
      <c r="J28" s="1656"/>
      <c r="K28" s="1656"/>
      <c r="L28" s="1656"/>
      <c r="M28" s="1656"/>
      <c r="N28" s="1656"/>
      <c r="O28" s="1656"/>
      <c r="P28" s="1656"/>
      <c r="Q28" s="1656"/>
      <c r="R28" s="1657"/>
      <c r="S28" s="1387" t="str">
        <f>VLOOKUP(13024,Languages!$A$5:$C$1032,Languages!$A$2,FALSE)</f>
        <v>The link, like the Failure-Development (see above), leads to the tab "Statistic"- here it pertains to the lower half of this sheet. There, it is possible to collect sorting results and to generate a graphical representation.</v>
      </c>
      <c r="T28" s="1653"/>
      <c r="U28" s="1653"/>
      <c r="V28" s="1653"/>
      <c r="W28" s="1653"/>
      <c r="X28" s="1653"/>
      <c r="Y28" s="1653"/>
      <c r="Z28" s="1653"/>
      <c r="AA28" s="1653"/>
      <c r="AB28" s="1653"/>
      <c r="AC28" s="1653"/>
      <c r="AD28" s="1653"/>
      <c r="AE28" s="1653"/>
      <c r="AF28" s="1653"/>
      <c r="AG28" s="1653"/>
      <c r="AH28" s="1653"/>
      <c r="AI28" s="1653"/>
      <c r="AJ28" s="1653"/>
      <c r="AK28" s="1653"/>
      <c r="AL28" s="1653"/>
      <c r="AM28" s="1653"/>
      <c r="AN28" s="1653"/>
      <c r="AO28" s="1653"/>
      <c r="AP28" s="1653"/>
      <c r="AQ28" s="1653"/>
      <c r="AR28" s="1653"/>
      <c r="AS28" s="1653"/>
      <c r="AT28" s="1653"/>
      <c r="AU28" s="1653"/>
      <c r="AV28" s="1653"/>
      <c r="AW28" s="1653"/>
      <c r="AX28" s="1653"/>
      <c r="AY28" s="1653"/>
      <c r="AZ28" s="1653"/>
      <c r="BA28" s="1653"/>
      <c r="BB28" s="1653"/>
      <c r="BC28" s="1653"/>
      <c r="BD28" s="1653"/>
      <c r="BE28" s="1653"/>
      <c r="BF28" s="1653"/>
      <c r="BG28" s="1653"/>
      <c r="BH28" s="1653"/>
      <c r="BI28" s="1653"/>
      <c r="BJ28" s="1653"/>
      <c r="BK28" s="1653"/>
      <c r="BL28" s="1653"/>
      <c r="BM28" s="1653"/>
      <c r="BN28" s="1653"/>
      <c r="BO28" s="1653"/>
      <c r="BP28" s="1653"/>
      <c r="BQ28" s="1653"/>
      <c r="BR28" s="1653"/>
      <c r="BS28" s="1653"/>
      <c r="BT28" s="1653"/>
      <c r="BU28" s="1653"/>
      <c r="BV28" s="1653"/>
      <c r="BW28" s="1653"/>
      <c r="BX28" s="1653"/>
      <c r="BY28" s="1653"/>
      <c r="BZ28" s="1653"/>
      <c r="CA28" s="1654"/>
      <c r="CB28" s="411"/>
      <c r="CC28" s="411"/>
      <c r="CD28" s="411"/>
      <c r="CE28" s="411"/>
      <c r="CF28" s="411"/>
      <c r="CG28" s="411"/>
    </row>
    <row r="29" spans="2:149" s="408" customFormat="1" ht="15" customHeight="1" thickBot="1">
      <c r="B29" s="411"/>
      <c r="C29" s="411"/>
      <c r="D29" s="411"/>
      <c r="E29" s="411"/>
      <c r="F29" s="411"/>
      <c r="G29" s="411"/>
      <c r="H29" s="411"/>
      <c r="I29" s="411"/>
      <c r="J29" s="411"/>
      <c r="K29" s="411"/>
      <c r="L29" s="411"/>
      <c r="M29" s="411"/>
      <c r="N29" s="411"/>
      <c r="O29" s="411"/>
      <c r="P29" s="411"/>
      <c r="Q29" s="411"/>
      <c r="R29" s="411"/>
      <c r="S29" s="411"/>
      <c r="T29" s="411"/>
      <c r="U29" s="411"/>
      <c r="V29" s="411"/>
      <c r="W29" s="411"/>
      <c r="X29" s="411"/>
      <c r="Y29" s="411"/>
      <c r="Z29" s="411"/>
      <c r="AA29" s="411"/>
      <c r="AB29" s="411"/>
      <c r="AC29" s="411"/>
      <c r="AD29" s="411"/>
      <c r="AE29" s="411"/>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1"/>
      <c r="BB29" s="411"/>
      <c r="BC29" s="411"/>
      <c r="BD29" s="411"/>
      <c r="BE29" s="411"/>
      <c r="BF29" s="411"/>
      <c r="BG29" s="411"/>
      <c r="BH29" s="411"/>
      <c r="BI29" s="411"/>
      <c r="BJ29" s="411"/>
      <c r="BK29" s="411"/>
      <c r="BL29" s="411"/>
      <c r="BM29" s="411"/>
      <c r="BN29" s="411"/>
      <c r="BO29" s="411"/>
      <c r="BP29" s="411"/>
      <c r="BQ29" s="411"/>
      <c r="BR29" s="411"/>
      <c r="BS29" s="411"/>
      <c r="BT29" s="411"/>
      <c r="BU29" s="411"/>
      <c r="BV29" s="411"/>
      <c r="BW29" s="411"/>
      <c r="BX29" s="411"/>
      <c r="BY29" s="411"/>
      <c r="BZ29" s="411"/>
      <c r="CA29" s="411"/>
      <c r="CB29" s="411"/>
      <c r="CC29" s="411"/>
      <c r="CD29" s="411"/>
      <c r="CE29" s="411"/>
      <c r="CF29" s="411"/>
      <c r="CG29" s="411"/>
    </row>
    <row r="30" spans="2:149" s="408" customFormat="1" ht="18.75" customHeight="1" thickBot="1">
      <c r="C30" s="1644" t="str">
        <f>CONCATENATE("D4 - ",VLOOKUP(13025,Languages!$A$5:$C$1032,Languages!$A$2,FALSE))</f>
        <v>D4 - Failure cause</v>
      </c>
      <c r="D30" s="1645"/>
      <c r="E30" s="1645"/>
      <c r="F30" s="1645"/>
      <c r="G30" s="1645"/>
      <c r="H30" s="1645"/>
      <c r="I30" s="1645"/>
      <c r="J30" s="1645"/>
      <c r="K30" s="1645"/>
      <c r="L30" s="1645"/>
      <c r="M30" s="1645"/>
      <c r="N30" s="1645"/>
      <c r="O30" s="1645"/>
      <c r="P30" s="1645"/>
      <c r="Q30" s="1645"/>
      <c r="R30" s="1645"/>
      <c r="S30" s="1645"/>
      <c r="T30" s="1645"/>
      <c r="U30" s="1645"/>
      <c r="V30" s="1645"/>
      <c r="W30" s="1645"/>
      <c r="X30" s="1645"/>
      <c r="Y30" s="1645"/>
      <c r="Z30" s="1645"/>
      <c r="AA30" s="1645"/>
      <c r="AB30" s="1645"/>
      <c r="AC30" s="1645"/>
      <c r="AD30" s="1645"/>
      <c r="AE30" s="1645"/>
      <c r="AF30" s="1645"/>
      <c r="AG30" s="1645"/>
      <c r="AH30" s="1645"/>
      <c r="AI30" s="1645"/>
      <c r="AJ30" s="1645"/>
      <c r="AK30" s="1645"/>
      <c r="AL30" s="1645"/>
      <c r="AM30" s="1645"/>
      <c r="AN30" s="1645"/>
      <c r="AO30" s="1645"/>
      <c r="AP30" s="1645"/>
      <c r="AQ30" s="1645"/>
      <c r="AR30" s="1645"/>
      <c r="AS30" s="1645"/>
      <c r="AT30" s="1645"/>
      <c r="AU30" s="1645"/>
      <c r="AV30" s="1645"/>
      <c r="AW30" s="1645"/>
      <c r="AX30" s="1645"/>
      <c r="AY30" s="1645"/>
      <c r="AZ30" s="1645"/>
      <c r="BA30" s="1645"/>
      <c r="BB30" s="1645"/>
      <c r="BC30" s="1645"/>
      <c r="BD30" s="1645"/>
      <c r="BE30" s="1645"/>
      <c r="BF30" s="1645"/>
      <c r="BG30" s="1645"/>
      <c r="BH30" s="1645"/>
      <c r="BI30" s="1645"/>
      <c r="BJ30" s="1645"/>
      <c r="BK30" s="1645"/>
      <c r="BL30" s="1645"/>
      <c r="BM30" s="1645"/>
      <c r="BN30" s="1645"/>
      <c r="BO30" s="1645"/>
      <c r="BP30" s="1645"/>
      <c r="BQ30" s="1645"/>
      <c r="BR30" s="1645"/>
      <c r="BS30" s="1645"/>
      <c r="BT30" s="1645"/>
      <c r="BU30" s="1645"/>
      <c r="BV30" s="1645"/>
      <c r="BW30" s="1645"/>
      <c r="BX30" s="1645"/>
      <c r="BY30" s="1645"/>
      <c r="BZ30" s="1645"/>
      <c r="CA30" s="1645"/>
      <c r="CB30" s="1646"/>
      <c r="CC30" s="411"/>
      <c r="CD30" s="411"/>
      <c r="CE30" s="411"/>
      <c r="CF30" s="411"/>
      <c r="CG30" s="411"/>
    </row>
    <row r="31" spans="2:149" s="408" customFormat="1" ht="82.5" customHeight="1" thickBot="1">
      <c r="D31" s="1647" t="str">
        <f>VLOOKUP(13026,Languages!$A$5:$C$1032,Languages!$A$2,FALSE)</f>
        <v>In step D4, all measures are documented that are necessary to analyse the technical causes and root causes. It is important that all causes are verified by doing tests or comparisons. Corrective actions that will be defined later can only be effective if evidence is shown that the real causes are found.
To sustainably ensure that similar problems will not occur again, it is necessary to also consider the organizational backgrounds - the systemic causes. Therefore, an orientation at the three areas "Why is the defect made?", "Why was the defect shipped?" and "Why was the defect not avoided previously?"may be useful.</v>
      </c>
      <c r="E31" s="1648"/>
      <c r="F31" s="1648"/>
      <c r="G31" s="1648"/>
      <c r="H31" s="1648"/>
      <c r="I31" s="1648"/>
      <c r="J31" s="1648"/>
      <c r="K31" s="1648"/>
      <c r="L31" s="1648"/>
      <c r="M31" s="1648"/>
      <c r="N31" s="1648"/>
      <c r="O31" s="1648"/>
      <c r="P31" s="1648"/>
      <c r="Q31" s="1648"/>
      <c r="R31" s="1648"/>
      <c r="S31" s="1648"/>
      <c r="T31" s="1648"/>
      <c r="U31" s="1648"/>
      <c r="V31" s="1648"/>
      <c r="W31" s="1648"/>
      <c r="X31" s="1648"/>
      <c r="Y31" s="1648"/>
      <c r="Z31" s="1648"/>
      <c r="AA31" s="1648"/>
      <c r="AB31" s="1648"/>
      <c r="AC31" s="1648"/>
      <c r="AD31" s="1648"/>
      <c r="AE31" s="1648"/>
      <c r="AF31" s="1648"/>
      <c r="AG31" s="1648"/>
      <c r="AH31" s="1648"/>
      <c r="AI31" s="1648"/>
      <c r="AJ31" s="1648"/>
      <c r="AK31" s="1648"/>
      <c r="AL31" s="1648"/>
      <c r="AM31" s="1648"/>
      <c r="AN31" s="1648"/>
      <c r="AO31" s="1648"/>
      <c r="AP31" s="1648"/>
      <c r="AQ31" s="1648"/>
      <c r="AR31" s="1648"/>
      <c r="AS31" s="1648"/>
      <c r="AT31" s="1648"/>
      <c r="AU31" s="1648"/>
      <c r="AV31" s="1648"/>
      <c r="AW31" s="1648"/>
      <c r="AX31" s="1648"/>
      <c r="AY31" s="1648"/>
      <c r="AZ31" s="1648"/>
      <c r="BA31" s="1648"/>
      <c r="BB31" s="1648"/>
      <c r="BC31" s="1648"/>
      <c r="BD31" s="1648"/>
      <c r="BE31" s="1648"/>
      <c r="BF31" s="1648"/>
      <c r="BG31" s="1648"/>
      <c r="BH31" s="1648"/>
      <c r="BI31" s="1648"/>
      <c r="BJ31" s="1648"/>
      <c r="BK31" s="1648"/>
      <c r="BL31" s="1648"/>
      <c r="BM31" s="1648"/>
      <c r="BN31" s="1648"/>
      <c r="BO31" s="1648"/>
      <c r="BP31" s="1648"/>
      <c r="BQ31" s="1648"/>
      <c r="BR31" s="1648"/>
      <c r="BS31" s="1648"/>
      <c r="BT31" s="1648"/>
      <c r="BU31" s="1648"/>
      <c r="BV31" s="1648"/>
      <c r="BW31" s="1648"/>
      <c r="BX31" s="1648"/>
      <c r="BY31" s="1648"/>
      <c r="BZ31" s="1648"/>
      <c r="CA31" s="1649"/>
      <c r="CB31" s="413"/>
      <c r="CC31" s="411"/>
      <c r="CD31" s="411"/>
      <c r="CE31" s="411"/>
      <c r="CF31" s="411"/>
      <c r="CG31" s="411"/>
    </row>
    <row r="32" spans="2:149" s="409" customFormat="1" ht="15" customHeight="1">
      <c r="D32" s="445"/>
      <c r="E32" s="445"/>
      <c r="F32" s="445"/>
      <c r="G32" s="445"/>
      <c r="H32" s="445"/>
      <c r="I32" s="445"/>
      <c r="J32" s="445"/>
      <c r="K32" s="445"/>
      <c r="L32" s="445"/>
      <c r="M32" s="445"/>
      <c r="N32" s="445"/>
      <c r="O32" s="445"/>
      <c r="P32" s="445"/>
      <c r="Q32" s="445"/>
      <c r="R32" s="445"/>
      <c r="S32" s="445"/>
      <c r="T32" s="445"/>
      <c r="U32" s="445"/>
      <c r="V32" s="445"/>
      <c r="W32" s="445"/>
      <c r="X32" s="445"/>
      <c r="Y32" s="445"/>
      <c r="Z32" s="445"/>
      <c r="AA32" s="445"/>
      <c r="AB32" s="445"/>
      <c r="AC32" s="445"/>
      <c r="AD32" s="445"/>
      <c r="AE32" s="445"/>
      <c r="AF32" s="445"/>
      <c r="AG32" s="445"/>
      <c r="AH32" s="445"/>
      <c r="AI32" s="445"/>
      <c r="AJ32" s="445"/>
      <c r="AK32" s="445"/>
      <c r="AL32" s="445"/>
      <c r="AM32" s="445"/>
      <c r="AN32" s="445"/>
      <c r="AO32" s="445"/>
      <c r="AP32" s="445"/>
      <c r="AQ32" s="445"/>
      <c r="AR32" s="445"/>
      <c r="AS32" s="445"/>
      <c r="AT32" s="445"/>
      <c r="AU32" s="445"/>
      <c r="AV32" s="445"/>
      <c r="AW32" s="445"/>
      <c r="AX32" s="445"/>
      <c r="AY32" s="445"/>
      <c r="AZ32" s="445"/>
      <c r="BA32" s="445"/>
      <c r="BB32" s="445"/>
      <c r="BC32" s="445"/>
      <c r="BD32" s="445"/>
      <c r="BE32" s="445"/>
      <c r="BF32" s="445"/>
      <c r="BG32" s="445"/>
      <c r="BH32" s="445"/>
      <c r="BI32" s="445"/>
      <c r="BJ32" s="445"/>
      <c r="BK32" s="445"/>
      <c r="BL32" s="445"/>
      <c r="BM32" s="445"/>
      <c r="BN32" s="445"/>
      <c r="BO32" s="445"/>
      <c r="BP32" s="445"/>
      <c r="BQ32" s="445"/>
      <c r="BR32" s="445"/>
      <c r="BS32" s="445"/>
      <c r="BT32" s="445"/>
      <c r="BU32" s="445"/>
      <c r="BV32" s="445"/>
      <c r="BW32" s="445"/>
      <c r="BX32" s="445"/>
      <c r="BY32" s="445"/>
      <c r="BZ32" s="445"/>
      <c r="CA32" s="445"/>
      <c r="CB32" s="416"/>
      <c r="CC32" s="412"/>
      <c r="CD32" s="412"/>
      <c r="CE32" s="412"/>
      <c r="CF32" s="412"/>
      <c r="CG32" s="412"/>
      <c r="CK32" s="408"/>
      <c r="CL32" s="408"/>
      <c r="CM32" s="408"/>
      <c r="CN32" s="408"/>
      <c r="CO32" s="408"/>
      <c r="CP32" s="408"/>
      <c r="CQ32" s="408"/>
      <c r="CR32" s="408"/>
      <c r="CS32" s="408"/>
      <c r="CT32" s="408"/>
      <c r="CU32" s="408"/>
      <c r="CV32" s="408"/>
      <c r="CW32" s="408"/>
      <c r="CX32" s="408"/>
      <c r="CY32" s="408"/>
      <c r="CZ32" s="408"/>
      <c r="DA32" s="408"/>
      <c r="DB32" s="408"/>
      <c r="DC32" s="408"/>
      <c r="DD32" s="408"/>
      <c r="DE32" s="408"/>
      <c r="DF32" s="408"/>
      <c r="DG32" s="408"/>
      <c r="DH32" s="408"/>
      <c r="DI32" s="408"/>
      <c r="DJ32" s="408"/>
      <c r="DK32" s="408"/>
      <c r="DL32" s="408"/>
      <c r="DM32" s="408"/>
      <c r="DN32" s="408"/>
      <c r="DO32" s="408"/>
      <c r="DP32" s="408"/>
      <c r="DQ32" s="408"/>
      <c r="DR32" s="408"/>
      <c r="DS32" s="408"/>
      <c r="DT32" s="408"/>
      <c r="DU32" s="408"/>
      <c r="DV32" s="408"/>
      <c r="DW32" s="408"/>
      <c r="DX32" s="408"/>
      <c r="DY32" s="408"/>
      <c r="DZ32" s="408"/>
      <c r="EA32" s="408"/>
      <c r="EB32" s="408"/>
      <c r="EC32" s="408"/>
      <c r="ED32" s="408"/>
      <c r="EE32" s="408"/>
      <c r="EF32" s="408"/>
      <c r="EG32" s="408"/>
      <c r="EH32" s="408"/>
      <c r="EI32" s="408"/>
      <c r="EJ32" s="408"/>
      <c r="EK32" s="408"/>
      <c r="EL32" s="408"/>
      <c r="EM32" s="408"/>
      <c r="EN32" s="408"/>
      <c r="EO32" s="408"/>
      <c r="EP32" s="408"/>
      <c r="EQ32" s="408"/>
      <c r="ER32" s="408"/>
      <c r="ES32" s="408"/>
    </row>
    <row r="33" spans="2:149" s="408" customFormat="1" ht="60" customHeight="1">
      <c r="D33" s="1655" t="str">
        <f>VLOOKUP(13027,Languages!$A$5:$C$1032,Languages!$A$2,FALSE)</f>
        <v>Ishikawa-Diagram (TOOL)</v>
      </c>
      <c r="E33" s="1656"/>
      <c r="F33" s="1656"/>
      <c r="G33" s="1656"/>
      <c r="H33" s="1656"/>
      <c r="I33" s="1656"/>
      <c r="J33" s="1656"/>
      <c r="K33" s="1656"/>
      <c r="L33" s="1656"/>
      <c r="M33" s="1656"/>
      <c r="N33" s="1656"/>
      <c r="O33" s="1656"/>
      <c r="P33" s="1656"/>
      <c r="Q33" s="1656"/>
      <c r="R33" s="1657"/>
      <c r="S33" s="1387" t="str">
        <f>VLOOKUP(13028,Languages!$A$5:$C$1032,Languages!$A$2,FALSE)</f>
        <v>Apply a sufficient description of the problem in the field "problem / defect" . The Ishikawa-diagram helps you to identify the causes of errors. The sources of errors are divided by type and detection? into the following factors: Man, Machine, Material, Method and Nature. Expand this subdivision with more detailed causes within a superior point. In order to do this, use the provided fields and arrows in the lower box by drag &amp; drop and fill in possible sources of errors in the yellow fields. Then, evaluate the noted causes by using the provided evaluation modules.</v>
      </c>
      <c r="T33" s="1653"/>
      <c r="U33" s="1653"/>
      <c r="V33" s="1653"/>
      <c r="W33" s="1653"/>
      <c r="X33" s="1653"/>
      <c r="Y33" s="1653"/>
      <c r="Z33" s="1653"/>
      <c r="AA33" s="1653"/>
      <c r="AB33" s="1653"/>
      <c r="AC33" s="1653"/>
      <c r="AD33" s="1653"/>
      <c r="AE33" s="1653"/>
      <c r="AF33" s="1653"/>
      <c r="AG33" s="1653"/>
      <c r="AH33" s="1653"/>
      <c r="AI33" s="1653"/>
      <c r="AJ33" s="1653"/>
      <c r="AK33" s="1653"/>
      <c r="AL33" s="1653"/>
      <c r="AM33" s="1653"/>
      <c r="AN33" s="1653"/>
      <c r="AO33" s="1653"/>
      <c r="AP33" s="1653"/>
      <c r="AQ33" s="1653"/>
      <c r="AR33" s="1653"/>
      <c r="AS33" s="1653"/>
      <c r="AT33" s="1653"/>
      <c r="AU33" s="1653"/>
      <c r="AV33" s="1653"/>
      <c r="AW33" s="1653"/>
      <c r="AX33" s="1653"/>
      <c r="AY33" s="1653"/>
      <c r="AZ33" s="1653"/>
      <c r="BA33" s="1653"/>
      <c r="BB33" s="1653"/>
      <c r="BC33" s="1653"/>
      <c r="BD33" s="1653"/>
      <c r="BE33" s="1653"/>
      <c r="BF33" s="1653"/>
      <c r="BG33" s="1653"/>
      <c r="BH33" s="1653"/>
      <c r="BI33" s="1653"/>
      <c r="BJ33" s="1653"/>
      <c r="BK33" s="1653"/>
      <c r="BL33" s="1653"/>
      <c r="BM33" s="1653"/>
      <c r="BN33" s="1653"/>
      <c r="BO33" s="1653"/>
      <c r="BP33" s="1653"/>
      <c r="BQ33" s="1653"/>
      <c r="BR33" s="1653"/>
      <c r="BS33" s="1653"/>
      <c r="BT33" s="1653"/>
      <c r="BU33" s="1653"/>
      <c r="BV33" s="1653"/>
      <c r="BW33" s="1653"/>
      <c r="BX33" s="1653"/>
      <c r="BY33" s="1653"/>
      <c r="BZ33" s="1653"/>
      <c r="CA33" s="1654"/>
      <c r="CB33" s="416"/>
      <c r="CC33" s="411"/>
      <c r="CD33" s="411"/>
      <c r="CE33" s="411"/>
      <c r="CF33" s="411"/>
      <c r="CG33" s="411"/>
    </row>
    <row r="34" spans="2:149" s="408" customFormat="1" ht="75" customHeight="1">
      <c r="B34" s="411"/>
      <c r="C34" s="411"/>
      <c r="D34" s="1655" t="str">
        <f>VLOOKUP(13029,Languages!$A$5:$C$1032,Languages!$A$2,FALSE)</f>
        <v>Cause &amp; Effect Matrix (TOOL)</v>
      </c>
      <c r="E34" s="1656"/>
      <c r="F34" s="1656"/>
      <c r="G34" s="1656"/>
      <c r="H34" s="1656"/>
      <c r="I34" s="1656"/>
      <c r="J34" s="1656"/>
      <c r="K34" s="1656"/>
      <c r="L34" s="1656"/>
      <c r="M34" s="1656"/>
      <c r="N34" s="1656"/>
      <c r="O34" s="1656"/>
      <c r="P34" s="1656"/>
      <c r="Q34" s="1656"/>
      <c r="R34" s="1657"/>
      <c r="S34" s="1387" t="str">
        <f>VLOOKUP(13030,Languages!$A$5:$C$1032,Languages!$A$2,FALSE)</f>
        <v>The Cause and Effect Matrix helps to accurately assess the available failure sources. Therein, the dimensions of the IS-criteria from the Is-/Is Not-Summary are compared to the possible causes from the Ishikawa-diagram. The yellow squares represent the intersections of respective criteria. Enter appropriate values and add them together in the "Result"-field to determine the most probable fault cause of the problem. The following measurement steps can be used: 
1 = no relationship; 4 = barely connected; 7 = noticeably connected; 10 = very strong correlation</v>
      </c>
      <c r="T34" s="1653"/>
      <c r="U34" s="1653"/>
      <c r="V34" s="1653"/>
      <c r="W34" s="1653"/>
      <c r="X34" s="1653"/>
      <c r="Y34" s="1653"/>
      <c r="Z34" s="1653"/>
      <c r="AA34" s="1653"/>
      <c r="AB34" s="1653"/>
      <c r="AC34" s="1653"/>
      <c r="AD34" s="1653"/>
      <c r="AE34" s="1653"/>
      <c r="AF34" s="1653"/>
      <c r="AG34" s="1653"/>
      <c r="AH34" s="1653"/>
      <c r="AI34" s="1653"/>
      <c r="AJ34" s="1653"/>
      <c r="AK34" s="1653"/>
      <c r="AL34" s="1653"/>
      <c r="AM34" s="1653"/>
      <c r="AN34" s="1653"/>
      <c r="AO34" s="1653"/>
      <c r="AP34" s="1653"/>
      <c r="AQ34" s="1653"/>
      <c r="AR34" s="1653"/>
      <c r="AS34" s="1653"/>
      <c r="AT34" s="1653"/>
      <c r="AU34" s="1653"/>
      <c r="AV34" s="1653"/>
      <c r="AW34" s="1653"/>
      <c r="AX34" s="1653"/>
      <c r="AY34" s="1653"/>
      <c r="AZ34" s="1653"/>
      <c r="BA34" s="1653"/>
      <c r="BB34" s="1653"/>
      <c r="BC34" s="1653"/>
      <c r="BD34" s="1653"/>
      <c r="BE34" s="1653"/>
      <c r="BF34" s="1653"/>
      <c r="BG34" s="1653"/>
      <c r="BH34" s="1653"/>
      <c r="BI34" s="1653"/>
      <c r="BJ34" s="1653"/>
      <c r="BK34" s="1653"/>
      <c r="BL34" s="1653"/>
      <c r="BM34" s="1653"/>
      <c r="BN34" s="1653"/>
      <c r="BO34" s="1653"/>
      <c r="BP34" s="1653"/>
      <c r="BQ34" s="1653"/>
      <c r="BR34" s="1653"/>
      <c r="BS34" s="1653"/>
      <c r="BT34" s="1653"/>
      <c r="BU34" s="1653"/>
      <c r="BV34" s="1653"/>
      <c r="BW34" s="1653"/>
      <c r="BX34" s="1653"/>
      <c r="BY34" s="1653"/>
      <c r="BZ34" s="1653"/>
      <c r="CA34" s="1654"/>
      <c r="CB34" s="411"/>
      <c r="CC34" s="411"/>
      <c r="CD34" s="411"/>
      <c r="CE34" s="411"/>
      <c r="CF34" s="411"/>
      <c r="CG34" s="411"/>
    </row>
    <row r="35" spans="2:149" s="408" customFormat="1" ht="75" customHeight="1">
      <c r="D35" s="1655" t="str">
        <f>VLOOKUP(13031,Languages!$A$5:$C$1032,Languages!$A$2,FALSE)</f>
        <v>Verify influences (TOOL)</v>
      </c>
      <c r="E35" s="1656"/>
      <c r="F35" s="1656"/>
      <c r="G35" s="1656"/>
      <c r="H35" s="1656"/>
      <c r="I35" s="1656"/>
      <c r="J35" s="1656"/>
      <c r="K35" s="1656"/>
      <c r="L35" s="1656"/>
      <c r="M35" s="1656"/>
      <c r="N35" s="1656"/>
      <c r="O35" s="1656"/>
      <c r="P35" s="1656"/>
      <c r="Q35" s="1656"/>
      <c r="R35" s="1657"/>
      <c r="S35" s="1387" t="str">
        <f>VLOOKUP(13032,Languages!$A$5:$C$1032,Languages!$A$2,FALSE)</f>
        <v>The influences found in the Ishikawa-diagram need to be evaluated according to their plausibility. Therefore, the potential cause is proven by a comparison of a good versus a bad part. 
Example: You have found a noisy window regulator. One chosen influence from the Ishikawa is found in category "Man," which is "part lubricated". It is now checked on the OK and NOK-part if the lubricant is present or not. If so, the influence can be disregarded. If the response is negative (OK-part was lubricated, NOK-part wasn't), one plausible cause has been found.</v>
      </c>
      <c r="T35" s="1653"/>
      <c r="U35" s="1653"/>
      <c r="V35" s="1653"/>
      <c r="W35" s="1653"/>
      <c r="X35" s="1653"/>
      <c r="Y35" s="1653"/>
      <c r="Z35" s="1653"/>
      <c r="AA35" s="1653"/>
      <c r="AB35" s="1653"/>
      <c r="AC35" s="1653"/>
      <c r="AD35" s="1653"/>
      <c r="AE35" s="1653"/>
      <c r="AF35" s="1653"/>
      <c r="AG35" s="1653"/>
      <c r="AH35" s="1653"/>
      <c r="AI35" s="1653"/>
      <c r="AJ35" s="1653"/>
      <c r="AK35" s="1653"/>
      <c r="AL35" s="1653"/>
      <c r="AM35" s="1653"/>
      <c r="AN35" s="1653"/>
      <c r="AO35" s="1653"/>
      <c r="AP35" s="1653"/>
      <c r="AQ35" s="1653"/>
      <c r="AR35" s="1653"/>
      <c r="AS35" s="1653"/>
      <c r="AT35" s="1653"/>
      <c r="AU35" s="1653"/>
      <c r="AV35" s="1653"/>
      <c r="AW35" s="1653"/>
      <c r="AX35" s="1653"/>
      <c r="AY35" s="1653"/>
      <c r="AZ35" s="1653"/>
      <c r="BA35" s="1653"/>
      <c r="BB35" s="1653"/>
      <c r="BC35" s="1653"/>
      <c r="BD35" s="1653"/>
      <c r="BE35" s="1653"/>
      <c r="BF35" s="1653"/>
      <c r="BG35" s="1653"/>
      <c r="BH35" s="1653"/>
      <c r="BI35" s="1653"/>
      <c r="BJ35" s="1653"/>
      <c r="BK35" s="1653"/>
      <c r="BL35" s="1653"/>
      <c r="BM35" s="1653"/>
      <c r="BN35" s="1653"/>
      <c r="BO35" s="1653"/>
      <c r="BP35" s="1653"/>
      <c r="BQ35" s="1653"/>
      <c r="BR35" s="1653"/>
      <c r="BS35" s="1653"/>
      <c r="BT35" s="1653"/>
      <c r="BU35" s="1653"/>
      <c r="BV35" s="1653"/>
      <c r="BW35" s="1653"/>
      <c r="BX35" s="1653"/>
      <c r="BY35" s="1653"/>
      <c r="BZ35" s="1653"/>
      <c r="CA35" s="1654"/>
      <c r="CB35" s="416"/>
      <c r="CC35" s="411"/>
      <c r="CD35" s="411"/>
      <c r="CE35" s="411"/>
      <c r="CF35" s="411"/>
      <c r="CG35" s="411"/>
    </row>
    <row r="36" spans="2:149" s="408" customFormat="1" ht="60" customHeight="1">
      <c r="B36" s="411"/>
      <c r="C36" s="411"/>
      <c r="D36" s="1655" t="str">
        <f>VLOOKUP(13033,Languages!$A$5:$C$1032,Languages!$A$2,FALSE)</f>
        <v>5xWhy (TOOL)</v>
      </c>
      <c r="E36" s="1656"/>
      <c r="F36" s="1656"/>
      <c r="G36" s="1656"/>
      <c r="H36" s="1656"/>
      <c r="I36" s="1656"/>
      <c r="J36" s="1656"/>
      <c r="K36" s="1656"/>
      <c r="L36" s="1656"/>
      <c r="M36" s="1656"/>
      <c r="N36" s="1656"/>
      <c r="O36" s="1656"/>
      <c r="P36" s="1656"/>
      <c r="Q36" s="1656"/>
      <c r="R36" s="1657"/>
      <c r="S36" s="1387" t="str">
        <f>VLOOKUP(13034,Languages!$A$5:$C$1032,Languages!$A$2,FALSE)</f>
        <v>The 5xWhy is used to explore the root causes with why-questions. Note the subdivision into "occurence", "non-detection" and "systemic". Systemic means to investigate what process/system was not robust and thus was allowing the failure to be made.
Five questions are not always enough to find the root cause. Check this and continue the process if necessary.</v>
      </c>
      <c r="T36" s="1653"/>
      <c r="U36" s="1653"/>
      <c r="V36" s="1653"/>
      <c r="W36" s="1653"/>
      <c r="X36" s="1653"/>
      <c r="Y36" s="1653"/>
      <c r="Z36" s="1653"/>
      <c r="AA36" s="1653"/>
      <c r="AB36" s="1653"/>
      <c r="AC36" s="1653"/>
      <c r="AD36" s="1653"/>
      <c r="AE36" s="1653"/>
      <c r="AF36" s="1653"/>
      <c r="AG36" s="1653"/>
      <c r="AH36" s="1653"/>
      <c r="AI36" s="1653"/>
      <c r="AJ36" s="1653"/>
      <c r="AK36" s="1653"/>
      <c r="AL36" s="1653"/>
      <c r="AM36" s="1653"/>
      <c r="AN36" s="1653"/>
      <c r="AO36" s="1653"/>
      <c r="AP36" s="1653"/>
      <c r="AQ36" s="1653"/>
      <c r="AR36" s="1653"/>
      <c r="AS36" s="1653"/>
      <c r="AT36" s="1653"/>
      <c r="AU36" s="1653"/>
      <c r="AV36" s="1653"/>
      <c r="AW36" s="1653"/>
      <c r="AX36" s="1653"/>
      <c r="AY36" s="1653"/>
      <c r="AZ36" s="1653"/>
      <c r="BA36" s="1653"/>
      <c r="BB36" s="1653"/>
      <c r="BC36" s="1653"/>
      <c r="BD36" s="1653"/>
      <c r="BE36" s="1653"/>
      <c r="BF36" s="1653"/>
      <c r="BG36" s="1653"/>
      <c r="BH36" s="1653"/>
      <c r="BI36" s="1653"/>
      <c r="BJ36" s="1653"/>
      <c r="BK36" s="1653"/>
      <c r="BL36" s="1653"/>
      <c r="BM36" s="1653"/>
      <c r="BN36" s="1653"/>
      <c r="BO36" s="1653"/>
      <c r="BP36" s="1653"/>
      <c r="BQ36" s="1653"/>
      <c r="BR36" s="1653"/>
      <c r="BS36" s="1653"/>
      <c r="BT36" s="1653"/>
      <c r="BU36" s="1653"/>
      <c r="BV36" s="1653"/>
      <c r="BW36" s="1653"/>
      <c r="BX36" s="1653"/>
      <c r="BY36" s="1653"/>
      <c r="BZ36" s="1653"/>
      <c r="CA36" s="1654"/>
      <c r="CB36" s="411"/>
      <c r="CC36" s="411"/>
      <c r="CD36" s="411"/>
      <c r="CE36" s="411"/>
      <c r="CF36" s="411"/>
      <c r="CG36" s="411"/>
    </row>
    <row r="37" spans="2:149" s="408" customFormat="1" ht="15" customHeight="1" thickBot="1">
      <c r="B37" s="411"/>
      <c r="C37" s="411"/>
      <c r="D37" s="411"/>
      <c r="E37" s="411"/>
      <c r="F37" s="411"/>
      <c r="G37" s="411"/>
      <c r="H37" s="411"/>
      <c r="I37" s="411"/>
      <c r="J37" s="411"/>
      <c r="K37" s="411"/>
      <c r="L37" s="411"/>
      <c r="M37" s="411"/>
      <c r="N37" s="411"/>
      <c r="O37" s="411"/>
      <c r="P37" s="411"/>
      <c r="Q37" s="411"/>
      <c r="R37" s="411"/>
      <c r="S37" s="411"/>
      <c r="T37" s="411"/>
      <c r="U37" s="411"/>
      <c r="V37" s="411"/>
      <c r="W37" s="411"/>
      <c r="X37" s="411"/>
      <c r="Y37" s="411"/>
      <c r="Z37" s="411"/>
      <c r="AA37" s="411"/>
      <c r="AB37" s="411"/>
      <c r="AC37" s="411"/>
      <c r="AD37" s="411"/>
      <c r="AE37" s="411"/>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1"/>
      <c r="BB37" s="411"/>
      <c r="BC37" s="411"/>
      <c r="BD37" s="411"/>
      <c r="BE37" s="411"/>
      <c r="BF37" s="411"/>
      <c r="BG37" s="411"/>
      <c r="BH37" s="411"/>
      <c r="BI37" s="411"/>
      <c r="BJ37" s="411"/>
      <c r="BK37" s="411"/>
      <c r="BL37" s="411"/>
      <c r="BM37" s="411"/>
      <c r="BN37" s="411"/>
      <c r="BO37" s="411"/>
      <c r="BP37" s="411"/>
      <c r="BQ37" s="411"/>
      <c r="BR37" s="411"/>
      <c r="BS37" s="411"/>
      <c r="BT37" s="411"/>
      <c r="BU37" s="411"/>
      <c r="BV37" s="411"/>
      <c r="BW37" s="411"/>
      <c r="BX37" s="411"/>
      <c r="BY37" s="411"/>
      <c r="BZ37" s="411"/>
      <c r="CA37" s="411"/>
      <c r="CB37" s="411"/>
      <c r="CC37" s="411"/>
      <c r="CD37" s="411"/>
      <c r="CE37" s="411"/>
      <c r="CF37" s="411"/>
      <c r="CG37" s="411"/>
    </row>
    <row r="38" spans="2:149" s="408" customFormat="1" ht="18.75" customHeight="1" thickBot="1">
      <c r="C38" s="1644" t="str">
        <f>CONCATENATE("D5/D6 - ",VLOOKUP(13035,Languages!$A$5:$C$1032,Languages!$A$2,FALSE))</f>
        <v>D5/D6 - Corrective Actions</v>
      </c>
      <c r="D38" s="1645"/>
      <c r="E38" s="1645"/>
      <c r="F38" s="1645"/>
      <c r="G38" s="1645"/>
      <c r="H38" s="1645"/>
      <c r="I38" s="1645"/>
      <c r="J38" s="1645"/>
      <c r="K38" s="1645"/>
      <c r="L38" s="1645"/>
      <c r="M38" s="1645"/>
      <c r="N38" s="1645"/>
      <c r="O38" s="1645"/>
      <c r="P38" s="1645"/>
      <c r="Q38" s="1645"/>
      <c r="R38" s="1645"/>
      <c r="S38" s="1645"/>
      <c r="T38" s="1645"/>
      <c r="U38" s="1645"/>
      <c r="V38" s="1645"/>
      <c r="W38" s="1645"/>
      <c r="X38" s="1645"/>
      <c r="Y38" s="1645"/>
      <c r="Z38" s="1645"/>
      <c r="AA38" s="1645"/>
      <c r="AB38" s="1645"/>
      <c r="AC38" s="1645"/>
      <c r="AD38" s="1645"/>
      <c r="AE38" s="1645"/>
      <c r="AF38" s="1645"/>
      <c r="AG38" s="1645"/>
      <c r="AH38" s="1645"/>
      <c r="AI38" s="1645"/>
      <c r="AJ38" s="1645"/>
      <c r="AK38" s="1645"/>
      <c r="AL38" s="1645"/>
      <c r="AM38" s="1645"/>
      <c r="AN38" s="1645"/>
      <c r="AO38" s="1645"/>
      <c r="AP38" s="1645"/>
      <c r="AQ38" s="1645"/>
      <c r="AR38" s="1645"/>
      <c r="AS38" s="1645"/>
      <c r="AT38" s="1645"/>
      <c r="AU38" s="1645"/>
      <c r="AV38" s="1645"/>
      <c r="AW38" s="1645"/>
      <c r="AX38" s="1645"/>
      <c r="AY38" s="1645"/>
      <c r="AZ38" s="1645"/>
      <c r="BA38" s="1645"/>
      <c r="BB38" s="1645"/>
      <c r="BC38" s="1645"/>
      <c r="BD38" s="1645"/>
      <c r="BE38" s="1645"/>
      <c r="BF38" s="1645"/>
      <c r="BG38" s="1645"/>
      <c r="BH38" s="1645"/>
      <c r="BI38" s="1645"/>
      <c r="BJ38" s="1645"/>
      <c r="BK38" s="1645"/>
      <c r="BL38" s="1645"/>
      <c r="BM38" s="1645"/>
      <c r="BN38" s="1645"/>
      <c r="BO38" s="1645"/>
      <c r="BP38" s="1645"/>
      <c r="BQ38" s="1645"/>
      <c r="BR38" s="1645"/>
      <c r="BS38" s="1645"/>
      <c r="BT38" s="1645"/>
      <c r="BU38" s="1645"/>
      <c r="BV38" s="1645"/>
      <c r="BW38" s="1645"/>
      <c r="BX38" s="1645"/>
      <c r="BY38" s="1645"/>
      <c r="BZ38" s="1645"/>
      <c r="CA38" s="1645"/>
      <c r="CB38" s="1646"/>
      <c r="CC38" s="411"/>
      <c r="CD38" s="411"/>
      <c r="CE38" s="411"/>
      <c r="CF38" s="411"/>
      <c r="CG38" s="411"/>
    </row>
    <row r="39" spans="2:149" s="408" customFormat="1" ht="82.5" customHeight="1" thickBot="1">
      <c r="D39" s="1647" t="str">
        <f>VLOOKUP(13036,Languages!$A$5:$C$1032,Languages!$A$2,FALSE)</f>
        <v xml:space="preserve">In step D5/D6, permanent corrective actions are planned, their implementation is documented and the efficiency is verified.
First, corrective actions are defined for the root causes found. These actions must always include responsibilities, due dates and a current status. In general, there are actions for eliminating the failure occurence and the non-detection. Then, the actions' effectiveness must be verified and validated so that it can be ensured that the failure will not reocurr. </v>
      </c>
      <c r="E39" s="1648"/>
      <c r="F39" s="1648"/>
      <c r="G39" s="1648"/>
      <c r="H39" s="1648"/>
      <c r="I39" s="1648"/>
      <c r="J39" s="1648"/>
      <c r="K39" s="1648"/>
      <c r="L39" s="1648"/>
      <c r="M39" s="1648"/>
      <c r="N39" s="1648"/>
      <c r="O39" s="1648"/>
      <c r="P39" s="1648"/>
      <c r="Q39" s="1648"/>
      <c r="R39" s="1648"/>
      <c r="S39" s="1648"/>
      <c r="T39" s="1648"/>
      <c r="U39" s="1648"/>
      <c r="V39" s="1648"/>
      <c r="W39" s="1648"/>
      <c r="X39" s="1648"/>
      <c r="Y39" s="1648"/>
      <c r="Z39" s="1648"/>
      <c r="AA39" s="1648"/>
      <c r="AB39" s="1648"/>
      <c r="AC39" s="1648"/>
      <c r="AD39" s="1648"/>
      <c r="AE39" s="1648"/>
      <c r="AF39" s="1648"/>
      <c r="AG39" s="1648"/>
      <c r="AH39" s="1648"/>
      <c r="AI39" s="1648"/>
      <c r="AJ39" s="1648"/>
      <c r="AK39" s="1648"/>
      <c r="AL39" s="1648"/>
      <c r="AM39" s="1648"/>
      <c r="AN39" s="1648"/>
      <c r="AO39" s="1648"/>
      <c r="AP39" s="1648"/>
      <c r="AQ39" s="1648"/>
      <c r="AR39" s="1648"/>
      <c r="AS39" s="1648"/>
      <c r="AT39" s="1648"/>
      <c r="AU39" s="1648"/>
      <c r="AV39" s="1648"/>
      <c r="AW39" s="1648"/>
      <c r="AX39" s="1648"/>
      <c r="AY39" s="1648"/>
      <c r="AZ39" s="1648"/>
      <c r="BA39" s="1648"/>
      <c r="BB39" s="1648"/>
      <c r="BC39" s="1648"/>
      <c r="BD39" s="1648"/>
      <c r="BE39" s="1648"/>
      <c r="BF39" s="1648"/>
      <c r="BG39" s="1648"/>
      <c r="BH39" s="1648"/>
      <c r="BI39" s="1648"/>
      <c r="BJ39" s="1648"/>
      <c r="BK39" s="1648"/>
      <c r="BL39" s="1648"/>
      <c r="BM39" s="1648"/>
      <c r="BN39" s="1648"/>
      <c r="BO39" s="1648"/>
      <c r="BP39" s="1648"/>
      <c r="BQ39" s="1648"/>
      <c r="BR39" s="1648"/>
      <c r="BS39" s="1648"/>
      <c r="BT39" s="1648"/>
      <c r="BU39" s="1648"/>
      <c r="BV39" s="1648"/>
      <c r="BW39" s="1648"/>
      <c r="BX39" s="1648"/>
      <c r="BY39" s="1648"/>
      <c r="BZ39" s="1648"/>
      <c r="CA39" s="1649"/>
      <c r="CB39" s="413"/>
      <c r="CC39" s="411"/>
      <c r="CD39" s="411"/>
      <c r="CE39" s="411"/>
      <c r="CF39" s="411"/>
      <c r="CG39" s="411"/>
    </row>
    <row r="40" spans="2:149" s="409" customFormat="1" ht="15" customHeight="1">
      <c r="D40" s="445"/>
      <c r="E40" s="445"/>
      <c r="F40" s="445"/>
      <c r="G40" s="445"/>
      <c r="H40" s="445"/>
      <c r="I40" s="445"/>
      <c r="J40" s="445"/>
      <c r="K40" s="445"/>
      <c r="L40" s="445"/>
      <c r="M40" s="445"/>
      <c r="N40" s="445"/>
      <c r="O40" s="445"/>
      <c r="P40" s="445"/>
      <c r="Q40" s="445"/>
      <c r="R40" s="445"/>
      <c r="S40" s="445"/>
      <c r="T40" s="445"/>
      <c r="U40" s="445"/>
      <c r="V40" s="445"/>
      <c r="W40" s="445"/>
      <c r="X40" s="445"/>
      <c r="Y40" s="445"/>
      <c r="Z40" s="445"/>
      <c r="AA40" s="445"/>
      <c r="AB40" s="445"/>
      <c r="AC40" s="445"/>
      <c r="AD40" s="445"/>
      <c r="AE40" s="445"/>
      <c r="AF40" s="445"/>
      <c r="AG40" s="445"/>
      <c r="AH40" s="445"/>
      <c r="AI40" s="445"/>
      <c r="AJ40" s="445"/>
      <c r="AK40" s="445"/>
      <c r="AL40" s="445"/>
      <c r="AM40" s="445"/>
      <c r="AN40" s="445"/>
      <c r="AO40" s="445"/>
      <c r="AP40" s="445"/>
      <c r="AQ40" s="445"/>
      <c r="AR40" s="445"/>
      <c r="AS40" s="445"/>
      <c r="AT40" s="445"/>
      <c r="AU40" s="445"/>
      <c r="AV40" s="445"/>
      <c r="AW40" s="445"/>
      <c r="AX40" s="445"/>
      <c r="AY40" s="445"/>
      <c r="AZ40" s="445"/>
      <c r="BA40" s="445"/>
      <c r="BB40" s="445"/>
      <c r="BC40" s="445"/>
      <c r="BD40" s="445"/>
      <c r="BE40" s="445"/>
      <c r="BF40" s="445"/>
      <c r="BG40" s="445"/>
      <c r="BH40" s="445"/>
      <c r="BI40" s="445"/>
      <c r="BJ40" s="445"/>
      <c r="BK40" s="445"/>
      <c r="BL40" s="445"/>
      <c r="BM40" s="445"/>
      <c r="BN40" s="445"/>
      <c r="BO40" s="445"/>
      <c r="BP40" s="445"/>
      <c r="BQ40" s="445"/>
      <c r="BR40" s="445"/>
      <c r="BS40" s="445"/>
      <c r="BT40" s="445"/>
      <c r="BU40" s="445"/>
      <c r="BV40" s="445"/>
      <c r="BW40" s="445"/>
      <c r="BX40" s="445"/>
      <c r="BY40" s="445"/>
      <c r="BZ40" s="445"/>
      <c r="CA40" s="445"/>
      <c r="CB40" s="416"/>
      <c r="CC40" s="412"/>
      <c r="CD40" s="412"/>
      <c r="CE40" s="412"/>
      <c r="CF40" s="412"/>
      <c r="CG40" s="412"/>
      <c r="CK40" s="408"/>
      <c r="CL40" s="408"/>
      <c r="CM40" s="408"/>
      <c r="CN40" s="408"/>
      <c r="CO40" s="408"/>
      <c r="CP40" s="408"/>
      <c r="CQ40" s="408"/>
      <c r="CR40" s="408"/>
      <c r="CS40" s="408"/>
      <c r="CT40" s="408"/>
      <c r="CU40" s="408"/>
      <c r="CV40" s="408"/>
      <c r="CW40" s="408"/>
      <c r="CX40" s="408"/>
      <c r="CY40" s="408"/>
      <c r="CZ40" s="408"/>
      <c r="DA40" s="408"/>
      <c r="DB40" s="408"/>
      <c r="DC40" s="408"/>
      <c r="DD40" s="408"/>
      <c r="DE40" s="408"/>
      <c r="DF40" s="408"/>
      <c r="DG40" s="408"/>
      <c r="DH40" s="408"/>
      <c r="DI40" s="408"/>
      <c r="DJ40" s="408"/>
      <c r="DK40" s="408"/>
      <c r="DL40" s="408"/>
      <c r="DM40" s="408"/>
      <c r="DN40" s="408"/>
      <c r="DO40" s="408"/>
      <c r="DP40" s="408"/>
      <c r="DQ40" s="408"/>
      <c r="DR40" s="408"/>
      <c r="DS40" s="408"/>
      <c r="DT40" s="408"/>
      <c r="DU40" s="408"/>
      <c r="DV40" s="408"/>
      <c r="DW40" s="408"/>
      <c r="DX40" s="408"/>
      <c r="DY40" s="408"/>
      <c r="DZ40" s="408"/>
      <c r="EA40" s="408"/>
      <c r="EB40" s="408"/>
      <c r="EC40" s="408"/>
      <c r="ED40" s="408"/>
      <c r="EE40" s="408"/>
      <c r="EF40" s="408"/>
      <c r="EG40" s="408"/>
      <c r="EH40" s="408"/>
      <c r="EI40" s="408"/>
      <c r="EJ40" s="408"/>
      <c r="EK40" s="408"/>
      <c r="EL40" s="408"/>
      <c r="EM40" s="408"/>
      <c r="EN40" s="408"/>
      <c r="EO40" s="408"/>
      <c r="EP40" s="408"/>
      <c r="EQ40" s="408"/>
      <c r="ER40" s="408"/>
      <c r="ES40" s="408"/>
    </row>
    <row r="41" spans="2:149" s="408" customFormat="1" ht="45" customHeight="1">
      <c r="D41" s="1650" t="str">
        <f>VLOOKUP(13037,Languages!$A$5:$C$1032,Languages!$A$2,FALSE)</f>
        <v>Validation (TOOL)</v>
      </c>
      <c r="E41" s="1651"/>
      <c r="F41" s="1651"/>
      <c r="G41" s="1651"/>
      <c r="H41" s="1651"/>
      <c r="I41" s="1651"/>
      <c r="J41" s="1651"/>
      <c r="K41" s="1651"/>
      <c r="L41" s="1651"/>
      <c r="M41" s="1651"/>
      <c r="N41" s="1651"/>
      <c r="O41" s="1651"/>
      <c r="P41" s="1651"/>
      <c r="Q41" s="1651"/>
      <c r="R41" s="1652"/>
      <c r="S41" s="1387" t="str">
        <f>VLOOKUP(13038,Languages!$A$5:$C$1032,Languages!$A$2,FALSE)</f>
        <v>The link, like the Failure-Development (see above), leads to the tab "Statistic". In this step, the chart is used to show evidence. It must be shown that actions are implemented so that the failure will not reoccur.
(Note: verification = "It worked this time" vs. validation = "It works every time").</v>
      </c>
      <c r="T41" s="1653"/>
      <c r="U41" s="1653"/>
      <c r="V41" s="1653"/>
      <c r="W41" s="1653"/>
      <c r="X41" s="1653"/>
      <c r="Y41" s="1653"/>
      <c r="Z41" s="1653"/>
      <c r="AA41" s="1653"/>
      <c r="AB41" s="1653"/>
      <c r="AC41" s="1653"/>
      <c r="AD41" s="1653"/>
      <c r="AE41" s="1653"/>
      <c r="AF41" s="1653"/>
      <c r="AG41" s="1653"/>
      <c r="AH41" s="1653"/>
      <c r="AI41" s="1653"/>
      <c r="AJ41" s="1653"/>
      <c r="AK41" s="1653"/>
      <c r="AL41" s="1653"/>
      <c r="AM41" s="1653"/>
      <c r="AN41" s="1653"/>
      <c r="AO41" s="1653"/>
      <c r="AP41" s="1653"/>
      <c r="AQ41" s="1653"/>
      <c r="AR41" s="1653"/>
      <c r="AS41" s="1653"/>
      <c r="AT41" s="1653"/>
      <c r="AU41" s="1653"/>
      <c r="AV41" s="1653"/>
      <c r="AW41" s="1653"/>
      <c r="AX41" s="1653"/>
      <c r="AY41" s="1653"/>
      <c r="AZ41" s="1653"/>
      <c r="BA41" s="1653"/>
      <c r="BB41" s="1653"/>
      <c r="BC41" s="1653"/>
      <c r="BD41" s="1653"/>
      <c r="BE41" s="1653"/>
      <c r="BF41" s="1653"/>
      <c r="BG41" s="1653"/>
      <c r="BH41" s="1653"/>
      <c r="BI41" s="1653"/>
      <c r="BJ41" s="1653"/>
      <c r="BK41" s="1653"/>
      <c r="BL41" s="1653"/>
      <c r="BM41" s="1653"/>
      <c r="BN41" s="1653"/>
      <c r="BO41" s="1653"/>
      <c r="BP41" s="1653"/>
      <c r="BQ41" s="1653"/>
      <c r="BR41" s="1653"/>
      <c r="BS41" s="1653"/>
      <c r="BT41" s="1653"/>
      <c r="BU41" s="1653"/>
      <c r="BV41" s="1653"/>
      <c r="BW41" s="1653"/>
      <c r="BX41" s="1653"/>
      <c r="BY41" s="1653"/>
      <c r="BZ41" s="1653"/>
      <c r="CA41" s="1654"/>
      <c r="CB41" s="416"/>
      <c r="CC41" s="411"/>
      <c r="CD41" s="411"/>
      <c r="CE41" s="411"/>
      <c r="CF41" s="411"/>
      <c r="CG41" s="411"/>
    </row>
    <row r="42" spans="2:149" s="408" customFormat="1" ht="45" customHeight="1">
      <c r="B42" s="411"/>
      <c r="C42" s="411"/>
      <c r="D42" s="1655" t="str">
        <f>VLOOKUP(13039,Languages!$A$5:$C$1032,Languages!$A$2,FALSE)</f>
        <v>Read-Across (TOOL)</v>
      </c>
      <c r="E42" s="1656"/>
      <c r="F42" s="1656"/>
      <c r="G42" s="1656"/>
      <c r="H42" s="1656"/>
      <c r="I42" s="1656"/>
      <c r="J42" s="1656"/>
      <c r="K42" s="1656"/>
      <c r="L42" s="1656"/>
      <c r="M42" s="1656"/>
      <c r="N42" s="1656"/>
      <c r="O42" s="1656"/>
      <c r="P42" s="1656"/>
      <c r="Q42" s="1656"/>
      <c r="R42" s="1657"/>
      <c r="S42" s="1387" t="str">
        <f>VLOOKUP(13040,Languages!$A$5:$C$1032,Languages!$A$2,FALSE)</f>
        <v>With the help of the Read-Across it is possible to check if the chosen corrective actions can be applied to other projects, processes, plants or suppliers for the purpose of lessons learned. This time, please fill the rows with your chosen corrective actions and the columns with projects, processes etc. which could be affected as well. Then check for each line and column of the matrix if it is applicable and feasible.</v>
      </c>
      <c r="T42" s="1653"/>
      <c r="U42" s="1653"/>
      <c r="V42" s="1653"/>
      <c r="W42" s="1653"/>
      <c r="X42" s="1653"/>
      <c r="Y42" s="1653"/>
      <c r="Z42" s="1653"/>
      <c r="AA42" s="1653"/>
      <c r="AB42" s="1653"/>
      <c r="AC42" s="1653"/>
      <c r="AD42" s="1653"/>
      <c r="AE42" s="1653"/>
      <c r="AF42" s="1653"/>
      <c r="AG42" s="1653"/>
      <c r="AH42" s="1653"/>
      <c r="AI42" s="1653"/>
      <c r="AJ42" s="1653"/>
      <c r="AK42" s="1653"/>
      <c r="AL42" s="1653"/>
      <c r="AM42" s="1653"/>
      <c r="AN42" s="1653"/>
      <c r="AO42" s="1653"/>
      <c r="AP42" s="1653"/>
      <c r="AQ42" s="1653"/>
      <c r="AR42" s="1653"/>
      <c r="AS42" s="1653"/>
      <c r="AT42" s="1653"/>
      <c r="AU42" s="1653"/>
      <c r="AV42" s="1653"/>
      <c r="AW42" s="1653"/>
      <c r="AX42" s="1653"/>
      <c r="AY42" s="1653"/>
      <c r="AZ42" s="1653"/>
      <c r="BA42" s="1653"/>
      <c r="BB42" s="1653"/>
      <c r="BC42" s="1653"/>
      <c r="BD42" s="1653"/>
      <c r="BE42" s="1653"/>
      <c r="BF42" s="1653"/>
      <c r="BG42" s="1653"/>
      <c r="BH42" s="1653"/>
      <c r="BI42" s="1653"/>
      <c r="BJ42" s="1653"/>
      <c r="BK42" s="1653"/>
      <c r="BL42" s="1653"/>
      <c r="BM42" s="1653"/>
      <c r="BN42" s="1653"/>
      <c r="BO42" s="1653"/>
      <c r="BP42" s="1653"/>
      <c r="BQ42" s="1653"/>
      <c r="BR42" s="1653"/>
      <c r="BS42" s="1653"/>
      <c r="BT42" s="1653"/>
      <c r="BU42" s="1653"/>
      <c r="BV42" s="1653"/>
      <c r="BW42" s="1653"/>
      <c r="BX42" s="1653"/>
      <c r="BY42" s="1653"/>
      <c r="BZ42" s="1653"/>
      <c r="CA42" s="1654"/>
      <c r="CB42" s="411"/>
      <c r="CC42" s="411"/>
      <c r="CD42" s="411"/>
      <c r="CE42" s="411"/>
      <c r="CF42" s="411"/>
      <c r="CG42" s="411"/>
    </row>
    <row r="43" spans="2:149" s="408" customFormat="1" ht="17.25" customHeight="1" thickBot="1">
      <c r="B43" s="411"/>
      <c r="C43" s="411"/>
      <c r="D43" s="454"/>
      <c r="E43" s="454"/>
      <c r="F43" s="454"/>
      <c r="G43" s="454"/>
      <c r="H43" s="454"/>
      <c r="I43" s="454"/>
      <c r="J43" s="454"/>
      <c r="K43" s="454"/>
      <c r="L43" s="454"/>
      <c r="M43" s="454"/>
      <c r="N43" s="454"/>
      <c r="O43" s="454"/>
      <c r="P43" s="454"/>
      <c r="Q43" s="454"/>
      <c r="R43" s="454"/>
      <c r="S43" s="454"/>
      <c r="T43" s="454"/>
      <c r="U43" s="454"/>
      <c r="V43" s="454"/>
      <c r="W43" s="454"/>
      <c r="X43" s="454"/>
      <c r="Y43" s="454"/>
      <c r="Z43" s="454"/>
      <c r="AA43" s="454"/>
      <c r="AB43" s="454"/>
      <c r="AC43" s="454"/>
      <c r="AD43" s="454"/>
      <c r="AE43" s="454"/>
      <c r="AF43" s="454"/>
      <c r="AG43" s="454"/>
      <c r="AH43" s="454"/>
      <c r="AI43" s="454"/>
      <c r="AJ43" s="454"/>
      <c r="AK43" s="454"/>
      <c r="AL43" s="454"/>
      <c r="AM43" s="454"/>
      <c r="AN43" s="454"/>
      <c r="AO43" s="454"/>
      <c r="AP43" s="454"/>
      <c r="AQ43" s="454"/>
      <c r="AR43" s="454"/>
      <c r="AS43" s="454"/>
      <c r="AT43" s="454"/>
      <c r="AU43" s="454"/>
      <c r="AV43" s="454"/>
      <c r="AW43" s="454"/>
      <c r="AX43" s="454"/>
      <c r="AY43" s="454"/>
      <c r="AZ43" s="454"/>
      <c r="BA43" s="454"/>
      <c r="BB43" s="454"/>
      <c r="BC43" s="454"/>
      <c r="BD43" s="454"/>
      <c r="BE43" s="454"/>
      <c r="BF43" s="454"/>
      <c r="BG43" s="454"/>
      <c r="BH43" s="454"/>
      <c r="BI43" s="454"/>
      <c r="BJ43" s="454"/>
      <c r="BK43" s="454"/>
      <c r="BL43" s="454"/>
      <c r="BM43" s="454"/>
      <c r="BN43" s="454"/>
      <c r="BO43" s="454"/>
      <c r="BP43" s="454"/>
      <c r="BQ43" s="454"/>
      <c r="BR43" s="454"/>
      <c r="BS43" s="454"/>
      <c r="BT43" s="454"/>
      <c r="BU43" s="454"/>
      <c r="BV43" s="454"/>
      <c r="BW43" s="454"/>
      <c r="BX43" s="454"/>
      <c r="BY43" s="454"/>
      <c r="BZ43" s="454"/>
      <c r="CA43" s="454"/>
      <c r="CB43" s="411"/>
      <c r="CC43" s="411"/>
      <c r="CD43" s="411"/>
      <c r="CE43" s="411"/>
      <c r="CF43" s="411"/>
      <c r="CG43" s="411"/>
    </row>
    <row r="44" spans="2:149" s="408" customFormat="1" ht="17.25" customHeight="1" thickBot="1">
      <c r="C44" s="1644" t="str">
        <f>CONCATENATE("D7 - ",VLOOKUP(13041,Languages!$A$5:$C$1032,Languages!$A$2,FALSE))</f>
        <v>D7 - Lessons Learned / Read-Across</v>
      </c>
      <c r="D44" s="1645"/>
      <c r="E44" s="1645"/>
      <c r="F44" s="1645"/>
      <c r="G44" s="1645"/>
      <c r="H44" s="1645"/>
      <c r="I44" s="1645"/>
      <c r="J44" s="1645"/>
      <c r="K44" s="1645"/>
      <c r="L44" s="1645"/>
      <c r="M44" s="1645"/>
      <c r="N44" s="1645"/>
      <c r="O44" s="1645"/>
      <c r="P44" s="1645"/>
      <c r="Q44" s="1645"/>
      <c r="R44" s="1645"/>
      <c r="S44" s="1645"/>
      <c r="T44" s="1645"/>
      <c r="U44" s="1645"/>
      <c r="V44" s="1645"/>
      <c r="W44" s="1645"/>
      <c r="X44" s="1645"/>
      <c r="Y44" s="1645"/>
      <c r="Z44" s="1645"/>
      <c r="AA44" s="1645"/>
      <c r="AB44" s="1645"/>
      <c r="AC44" s="1645"/>
      <c r="AD44" s="1645"/>
      <c r="AE44" s="1645"/>
      <c r="AF44" s="1645"/>
      <c r="AG44" s="1645"/>
      <c r="AH44" s="1645"/>
      <c r="AI44" s="1645"/>
      <c r="AJ44" s="1645"/>
      <c r="AK44" s="1645"/>
      <c r="AL44" s="1645"/>
      <c r="AM44" s="1645"/>
      <c r="AN44" s="1645"/>
      <c r="AO44" s="1645"/>
      <c r="AP44" s="1645"/>
      <c r="AQ44" s="1645"/>
      <c r="AR44" s="1645"/>
      <c r="AS44" s="1645"/>
      <c r="AT44" s="1645"/>
      <c r="AU44" s="1645"/>
      <c r="AV44" s="1645"/>
      <c r="AW44" s="1645"/>
      <c r="AX44" s="1645"/>
      <c r="AY44" s="1645"/>
      <c r="AZ44" s="1645"/>
      <c r="BA44" s="1645"/>
      <c r="BB44" s="1645"/>
      <c r="BC44" s="1645"/>
      <c r="BD44" s="1645"/>
      <c r="BE44" s="1645"/>
      <c r="BF44" s="1645"/>
      <c r="BG44" s="1645"/>
      <c r="BH44" s="1645"/>
      <c r="BI44" s="1645"/>
      <c r="BJ44" s="1645"/>
      <c r="BK44" s="1645"/>
      <c r="BL44" s="1645"/>
      <c r="BM44" s="1645"/>
      <c r="BN44" s="1645"/>
      <c r="BO44" s="1645"/>
      <c r="BP44" s="1645"/>
      <c r="BQ44" s="1645"/>
      <c r="BR44" s="1645"/>
      <c r="BS44" s="1645"/>
      <c r="BT44" s="1645"/>
      <c r="BU44" s="1645"/>
      <c r="BV44" s="1645"/>
      <c r="BW44" s="1645"/>
      <c r="BX44" s="1645"/>
      <c r="BY44" s="1645"/>
      <c r="BZ44" s="1645"/>
      <c r="CA44" s="1645"/>
      <c r="CB44" s="1646"/>
      <c r="CC44" s="411"/>
      <c r="CD44" s="411"/>
      <c r="CE44" s="411"/>
      <c r="CF44" s="411"/>
      <c r="CG44" s="411"/>
    </row>
    <row r="45" spans="2:149" s="408" customFormat="1" ht="67.5" customHeight="1" thickBot="1">
      <c r="D45" s="1647" t="str">
        <f>VLOOKUP(13042,Languages!$A$5:$C$1032,Languages!$A$2,FALSE)</f>
        <v>In step D7, the recurrence of the failure shall be prevented for the purpose of lessons learned. Therefore, think beyond the immediate problem. For instance, where could the same problem occur? Modify the necessary systems, practices, and procedures to prevent the recurrence of this and similar problems.
In general, measures against the systemic root causes are discussed.</v>
      </c>
      <c r="E45" s="1648"/>
      <c r="F45" s="1648"/>
      <c r="G45" s="1648"/>
      <c r="H45" s="1648"/>
      <c r="I45" s="1648"/>
      <c r="J45" s="1648"/>
      <c r="K45" s="1648"/>
      <c r="L45" s="1648"/>
      <c r="M45" s="1648"/>
      <c r="N45" s="1648"/>
      <c r="O45" s="1648"/>
      <c r="P45" s="1648"/>
      <c r="Q45" s="1648"/>
      <c r="R45" s="1648"/>
      <c r="S45" s="1648"/>
      <c r="T45" s="1648"/>
      <c r="U45" s="1648"/>
      <c r="V45" s="1648"/>
      <c r="W45" s="1648"/>
      <c r="X45" s="1648"/>
      <c r="Y45" s="1648"/>
      <c r="Z45" s="1648"/>
      <c r="AA45" s="1648"/>
      <c r="AB45" s="1648"/>
      <c r="AC45" s="1648"/>
      <c r="AD45" s="1648"/>
      <c r="AE45" s="1648"/>
      <c r="AF45" s="1648"/>
      <c r="AG45" s="1648"/>
      <c r="AH45" s="1648"/>
      <c r="AI45" s="1648"/>
      <c r="AJ45" s="1648"/>
      <c r="AK45" s="1648"/>
      <c r="AL45" s="1648"/>
      <c r="AM45" s="1648"/>
      <c r="AN45" s="1648"/>
      <c r="AO45" s="1648"/>
      <c r="AP45" s="1648"/>
      <c r="AQ45" s="1648"/>
      <c r="AR45" s="1648"/>
      <c r="AS45" s="1648"/>
      <c r="AT45" s="1648"/>
      <c r="AU45" s="1648"/>
      <c r="AV45" s="1648"/>
      <c r="AW45" s="1648"/>
      <c r="AX45" s="1648"/>
      <c r="AY45" s="1648"/>
      <c r="AZ45" s="1648"/>
      <c r="BA45" s="1648"/>
      <c r="BB45" s="1648"/>
      <c r="BC45" s="1648"/>
      <c r="BD45" s="1648"/>
      <c r="BE45" s="1648"/>
      <c r="BF45" s="1648"/>
      <c r="BG45" s="1648"/>
      <c r="BH45" s="1648"/>
      <c r="BI45" s="1648"/>
      <c r="BJ45" s="1648"/>
      <c r="BK45" s="1648"/>
      <c r="BL45" s="1648"/>
      <c r="BM45" s="1648"/>
      <c r="BN45" s="1648"/>
      <c r="BO45" s="1648"/>
      <c r="BP45" s="1648"/>
      <c r="BQ45" s="1648"/>
      <c r="BR45" s="1648"/>
      <c r="BS45" s="1648"/>
      <c r="BT45" s="1648"/>
      <c r="BU45" s="1648"/>
      <c r="BV45" s="1648"/>
      <c r="BW45" s="1648"/>
      <c r="BX45" s="1648"/>
      <c r="BY45" s="1648"/>
      <c r="BZ45" s="1648"/>
      <c r="CA45" s="1649"/>
      <c r="CB45" s="413"/>
      <c r="CC45" s="411"/>
      <c r="CD45" s="411"/>
      <c r="CE45" s="411"/>
      <c r="CF45" s="411"/>
      <c r="CG45" s="411"/>
    </row>
    <row r="46" spans="2:149" s="408" customFormat="1" ht="17.25" customHeight="1">
      <c r="B46" s="411"/>
      <c r="C46" s="411"/>
      <c r="D46" s="454"/>
      <c r="E46" s="454"/>
      <c r="F46" s="454"/>
      <c r="G46" s="454"/>
      <c r="H46" s="454"/>
      <c r="I46" s="454"/>
      <c r="J46" s="454"/>
      <c r="K46" s="454"/>
      <c r="L46" s="454"/>
      <c r="M46" s="454"/>
      <c r="N46" s="454"/>
      <c r="O46" s="454"/>
      <c r="P46" s="454"/>
      <c r="Q46" s="454"/>
      <c r="R46" s="454"/>
      <c r="S46" s="454"/>
      <c r="T46" s="454"/>
      <c r="U46" s="454"/>
      <c r="V46" s="454"/>
      <c r="W46" s="454"/>
      <c r="X46" s="454"/>
      <c r="Y46" s="454"/>
      <c r="Z46" s="454"/>
      <c r="AA46" s="454"/>
      <c r="AB46" s="454"/>
      <c r="AC46" s="454"/>
      <c r="AD46" s="454"/>
      <c r="AE46" s="454"/>
      <c r="AF46" s="454"/>
      <c r="AG46" s="454"/>
      <c r="AH46" s="454"/>
      <c r="AI46" s="454"/>
      <c r="AJ46" s="454"/>
      <c r="AK46" s="454"/>
      <c r="AL46" s="454"/>
      <c r="AM46" s="454"/>
      <c r="AN46" s="454"/>
      <c r="AO46" s="454"/>
      <c r="AP46" s="454"/>
      <c r="AQ46" s="454"/>
      <c r="AR46" s="454"/>
      <c r="AS46" s="454"/>
      <c r="AT46" s="454"/>
      <c r="AU46" s="454"/>
      <c r="AV46" s="454"/>
      <c r="AW46" s="454"/>
      <c r="AX46" s="454"/>
      <c r="AY46" s="454"/>
      <c r="AZ46" s="454"/>
      <c r="BA46" s="454"/>
      <c r="BB46" s="454"/>
      <c r="BC46" s="454"/>
      <c r="BD46" s="454"/>
      <c r="BE46" s="454"/>
      <c r="BF46" s="454"/>
      <c r="BG46" s="454"/>
      <c r="BH46" s="454"/>
      <c r="BI46" s="454"/>
      <c r="BJ46" s="454"/>
      <c r="BK46" s="454"/>
      <c r="BL46" s="454"/>
      <c r="BM46" s="454"/>
      <c r="BN46" s="454"/>
      <c r="BO46" s="454"/>
      <c r="BP46" s="454"/>
      <c r="BQ46" s="454"/>
      <c r="BR46" s="454"/>
      <c r="BS46" s="454"/>
      <c r="BT46" s="454"/>
      <c r="BU46" s="454"/>
      <c r="BV46" s="454"/>
      <c r="BW46" s="454"/>
      <c r="BX46" s="454"/>
      <c r="BY46" s="454"/>
      <c r="BZ46" s="454"/>
      <c r="CA46" s="454"/>
      <c r="CB46" s="411"/>
      <c r="CC46" s="411"/>
      <c r="CD46" s="411"/>
      <c r="CE46" s="411"/>
      <c r="CF46" s="411"/>
      <c r="CG46" s="411"/>
    </row>
    <row r="47" spans="2:149" s="408" customFormat="1" ht="30" customHeight="1">
      <c r="B47" s="411"/>
      <c r="C47" s="411"/>
      <c r="D47" s="1658" t="str">
        <f>VLOOKUP(13043,Languages!$A$5:$C$1032,Languages!$A$2,FALSE)</f>
        <v>Read-Across (TOOL)</v>
      </c>
      <c r="E47" s="1651"/>
      <c r="F47" s="1651"/>
      <c r="G47" s="1651"/>
      <c r="H47" s="1651"/>
      <c r="I47" s="1651"/>
      <c r="J47" s="1651"/>
      <c r="K47" s="1651"/>
      <c r="L47" s="1651"/>
      <c r="M47" s="1651"/>
      <c r="N47" s="1651"/>
      <c r="O47" s="1651"/>
      <c r="P47" s="1651"/>
      <c r="Q47" s="1651"/>
      <c r="R47" s="1652"/>
      <c r="S47" s="1387" t="str">
        <f>VLOOKUP(13044,Languages!$A$5:$C$1032,Languages!$A$2,FALSE)</f>
        <v>The Read-Across-Analysis of previous steps (see above) can now be finalized. The goal is to share lessons learned and, thus, prevent the recurrence of this or similar problems.</v>
      </c>
      <c r="T47" s="1653"/>
      <c r="U47" s="1653"/>
      <c r="V47" s="1653"/>
      <c r="W47" s="1653"/>
      <c r="X47" s="1653"/>
      <c r="Y47" s="1653"/>
      <c r="Z47" s="1653"/>
      <c r="AA47" s="1653"/>
      <c r="AB47" s="1653"/>
      <c r="AC47" s="1653"/>
      <c r="AD47" s="1653"/>
      <c r="AE47" s="1653"/>
      <c r="AF47" s="1653"/>
      <c r="AG47" s="1653"/>
      <c r="AH47" s="1653"/>
      <c r="AI47" s="1653"/>
      <c r="AJ47" s="1653"/>
      <c r="AK47" s="1653"/>
      <c r="AL47" s="1653"/>
      <c r="AM47" s="1653"/>
      <c r="AN47" s="1653"/>
      <c r="AO47" s="1653"/>
      <c r="AP47" s="1653"/>
      <c r="AQ47" s="1653"/>
      <c r="AR47" s="1653"/>
      <c r="AS47" s="1653"/>
      <c r="AT47" s="1653"/>
      <c r="AU47" s="1653"/>
      <c r="AV47" s="1653"/>
      <c r="AW47" s="1653"/>
      <c r="AX47" s="1653"/>
      <c r="AY47" s="1653"/>
      <c r="AZ47" s="1653"/>
      <c r="BA47" s="1653"/>
      <c r="BB47" s="1653"/>
      <c r="BC47" s="1653"/>
      <c r="BD47" s="1653"/>
      <c r="BE47" s="1653"/>
      <c r="BF47" s="1653"/>
      <c r="BG47" s="1653"/>
      <c r="BH47" s="1653"/>
      <c r="BI47" s="1653"/>
      <c r="BJ47" s="1653"/>
      <c r="BK47" s="1653"/>
      <c r="BL47" s="1653"/>
      <c r="BM47" s="1653"/>
      <c r="BN47" s="1653"/>
      <c r="BO47" s="1653"/>
      <c r="BP47" s="1653"/>
      <c r="BQ47" s="1653"/>
      <c r="BR47" s="1653"/>
      <c r="BS47" s="1653"/>
      <c r="BT47" s="1653"/>
      <c r="BU47" s="1653"/>
      <c r="BV47" s="1653"/>
      <c r="BW47" s="1653"/>
      <c r="BX47" s="1653"/>
      <c r="BY47" s="1653"/>
      <c r="BZ47" s="1653"/>
      <c r="CA47" s="1654"/>
      <c r="CB47" s="411"/>
      <c r="CC47" s="411"/>
      <c r="CD47" s="411"/>
      <c r="CE47" s="411"/>
      <c r="CF47" s="411"/>
      <c r="CG47" s="411"/>
    </row>
    <row r="48" spans="2:149" s="408" customFormat="1" ht="17.25" customHeight="1" thickBot="1">
      <c r="B48" s="411"/>
      <c r="C48" s="411"/>
      <c r="D48" s="454"/>
      <c r="E48" s="454"/>
      <c r="F48" s="454"/>
      <c r="G48" s="454"/>
      <c r="H48" s="454"/>
      <c r="I48" s="454"/>
      <c r="J48" s="454"/>
      <c r="K48" s="454"/>
      <c r="L48" s="454"/>
      <c r="M48" s="454"/>
      <c r="N48" s="454"/>
      <c r="O48" s="454"/>
      <c r="P48" s="454"/>
      <c r="Q48" s="454"/>
      <c r="R48" s="454"/>
      <c r="S48" s="454"/>
      <c r="T48" s="454"/>
      <c r="U48" s="454"/>
      <c r="V48" s="454"/>
      <c r="W48" s="454"/>
      <c r="X48" s="454"/>
      <c r="Y48" s="454"/>
      <c r="Z48" s="454"/>
      <c r="AA48" s="454"/>
      <c r="AB48" s="454"/>
      <c r="AC48" s="454"/>
      <c r="AD48" s="454"/>
      <c r="AE48" s="454"/>
      <c r="AF48" s="454"/>
      <c r="AG48" s="454"/>
      <c r="AH48" s="454"/>
      <c r="AI48" s="454"/>
      <c r="AJ48" s="454"/>
      <c r="AK48" s="454"/>
      <c r="AL48" s="454"/>
      <c r="AM48" s="454"/>
      <c r="AN48" s="454"/>
      <c r="AO48" s="454"/>
      <c r="AP48" s="454"/>
      <c r="AQ48" s="454"/>
      <c r="AR48" s="454"/>
      <c r="AS48" s="454"/>
      <c r="AT48" s="454"/>
      <c r="AU48" s="454"/>
      <c r="AV48" s="454"/>
      <c r="AW48" s="454"/>
      <c r="AX48" s="454"/>
      <c r="AY48" s="454"/>
      <c r="AZ48" s="454"/>
      <c r="BA48" s="454"/>
      <c r="BB48" s="454"/>
      <c r="BC48" s="454"/>
      <c r="BD48" s="454"/>
      <c r="BE48" s="454"/>
      <c r="BF48" s="454"/>
      <c r="BG48" s="454"/>
      <c r="BH48" s="454"/>
      <c r="BI48" s="454"/>
      <c r="BJ48" s="454"/>
      <c r="BK48" s="454"/>
      <c r="BL48" s="454"/>
      <c r="BM48" s="454"/>
      <c r="BN48" s="454"/>
      <c r="BO48" s="454"/>
      <c r="BP48" s="454"/>
      <c r="BQ48" s="454"/>
      <c r="BR48" s="454"/>
      <c r="BS48" s="454"/>
      <c r="BT48" s="454"/>
      <c r="BU48" s="454"/>
      <c r="BV48" s="454"/>
      <c r="BW48" s="454"/>
      <c r="BX48" s="454"/>
      <c r="BY48" s="454"/>
      <c r="BZ48" s="454"/>
      <c r="CA48" s="454"/>
      <c r="CB48" s="411"/>
      <c r="CC48" s="411"/>
      <c r="CD48" s="411"/>
      <c r="CE48" s="411"/>
      <c r="CF48" s="411"/>
      <c r="CG48" s="411"/>
    </row>
    <row r="49" spans="2:85" s="408" customFormat="1" ht="17.25" customHeight="1" thickBot="1">
      <c r="C49" s="1644" t="str">
        <f>CONCATENATE("D8 - ",VLOOKUP(13045,Languages!$A$5:$C$1032,Languages!$A$2,FALSE))</f>
        <v>D8 - Closure</v>
      </c>
      <c r="D49" s="1645"/>
      <c r="E49" s="1645"/>
      <c r="F49" s="1645"/>
      <c r="G49" s="1645"/>
      <c r="H49" s="1645"/>
      <c r="I49" s="1645"/>
      <c r="J49" s="1645"/>
      <c r="K49" s="1645"/>
      <c r="L49" s="1645"/>
      <c r="M49" s="1645"/>
      <c r="N49" s="1645"/>
      <c r="O49" s="1645"/>
      <c r="P49" s="1645"/>
      <c r="Q49" s="1645"/>
      <c r="R49" s="1645"/>
      <c r="S49" s="1645"/>
      <c r="T49" s="1645"/>
      <c r="U49" s="1645"/>
      <c r="V49" s="1645"/>
      <c r="W49" s="1645"/>
      <c r="X49" s="1645"/>
      <c r="Y49" s="1645"/>
      <c r="Z49" s="1645"/>
      <c r="AA49" s="1645"/>
      <c r="AB49" s="1645"/>
      <c r="AC49" s="1645"/>
      <c r="AD49" s="1645"/>
      <c r="AE49" s="1645"/>
      <c r="AF49" s="1645"/>
      <c r="AG49" s="1645"/>
      <c r="AH49" s="1645"/>
      <c r="AI49" s="1645"/>
      <c r="AJ49" s="1645"/>
      <c r="AK49" s="1645"/>
      <c r="AL49" s="1645"/>
      <c r="AM49" s="1645"/>
      <c r="AN49" s="1645"/>
      <c r="AO49" s="1645"/>
      <c r="AP49" s="1645"/>
      <c r="AQ49" s="1645"/>
      <c r="AR49" s="1645"/>
      <c r="AS49" s="1645"/>
      <c r="AT49" s="1645"/>
      <c r="AU49" s="1645"/>
      <c r="AV49" s="1645"/>
      <c r="AW49" s="1645"/>
      <c r="AX49" s="1645"/>
      <c r="AY49" s="1645"/>
      <c r="AZ49" s="1645"/>
      <c r="BA49" s="1645"/>
      <c r="BB49" s="1645"/>
      <c r="BC49" s="1645"/>
      <c r="BD49" s="1645"/>
      <c r="BE49" s="1645"/>
      <c r="BF49" s="1645"/>
      <c r="BG49" s="1645"/>
      <c r="BH49" s="1645"/>
      <c r="BI49" s="1645"/>
      <c r="BJ49" s="1645"/>
      <c r="BK49" s="1645"/>
      <c r="BL49" s="1645"/>
      <c r="BM49" s="1645"/>
      <c r="BN49" s="1645"/>
      <c r="BO49" s="1645"/>
      <c r="BP49" s="1645"/>
      <c r="BQ49" s="1645"/>
      <c r="BR49" s="1645"/>
      <c r="BS49" s="1645"/>
      <c r="BT49" s="1645"/>
      <c r="BU49" s="1645"/>
      <c r="BV49" s="1645"/>
      <c r="BW49" s="1645"/>
      <c r="BX49" s="1645"/>
      <c r="BY49" s="1645"/>
      <c r="BZ49" s="1645"/>
      <c r="CA49" s="1645"/>
      <c r="CB49" s="1646"/>
      <c r="CC49" s="411"/>
      <c r="CD49" s="411"/>
      <c r="CE49" s="411"/>
      <c r="CF49" s="411"/>
      <c r="CG49" s="411"/>
    </row>
    <row r="50" spans="2:85" s="408" customFormat="1" ht="45" customHeight="1" thickBot="1">
      <c r="D50" s="1647" t="str">
        <f>VLOOKUP(13046,Languages!$A$5:$C$1025,Languages!$A$2,FALSE)</f>
        <v>In step D8, the problem solving process and, thus, the 8D-report is closed. Please make sure that the issue is officially closed in both the Brose and your system. It is important that the problem and its solution was documented and communicated.</v>
      </c>
      <c r="E50" s="1648"/>
      <c r="F50" s="1648"/>
      <c r="G50" s="1648"/>
      <c r="H50" s="1648"/>
      <c r="I50" s="1648"/>
      <c r="J50" s="1648"/>
      <c r="K50" s="1648"/>
      <c r="L50" s="1648"/>
      <c r="M50" s="1648"/>
      <c r="N50" s="1648"/>
      <c r="O50" s="1648"/>
      <c r="P50" s="1648"/>
      <c r="Q50" s="1648"/>
      <c r="R50" s="1648"/>
      <c r="S50" s="1648"/>
      <c r="T50" s="1648"/>
      <c r="U50" s="1648"/>
      <c r="V50" s="1648"/>
      <c r="W50" s="1648"/>
      <c r="X50" s="1648"/>
      <c r="Y50" s="1648"/>
      <c r="Z50" s="1648"/>
      <c r="AA50" s="1648"/>
      <c r="AB50" s="1648"/>
      <c r="AC50" s="1648"/>
      <c r="AD50" s="1648"/>
      <c r="AE50" s="1648"/>
      <c r="AF50" s="1648"/>
      <c r="AG50" s="1648"/>
      <c r="AH50" s="1648"/>
      <c r="AI50" s="1648"/>
      <c r="AJ50" s="1648"/>
      <c r="AK50" s="1648"/>
      <c r="AL50" s="1648"/>
      <c r="AM50" s="1648"/>
      <c r="AN50" s="1648"/>
      <c r="AO50" s="1648"/>
      <c r="AP50" s="1648"/>
      <c r="AQ50" s="1648"/>
      <c r="AR50" s="1648"/>
      <c r="AS50" s="1648"/>
      <c r="AT50" s="1648"/>
      <c r="AU50" s="1648"/>
      <c r="AV50" s="1648"/>
      <c r="AW50" s="1648"/>
      <c r="AX50" s="1648"/>
      <c r="AY50" s="1648"/>
      <c r="AZ50" s="1648"/>
      <c r="BA50" s="1648"/>
      <c r="BB50" s="1648"/>
      <c r="BC50" s="1648"/>
      <c r="BD50" s="1648"/>
      <c r="BE50" s="1648"/>
      <c r="BF50" s="1648"/>
      <c r="BG50" s="1648"/>
      <c r="BH50" s="1648"/>
      <c r="BI50" s="1648"/>
      <c r="BJ50" s="1648"/>
      <c r="BK50" s="1648"/>
      <c r="BL50" s="1648"/>
      <c r="BM50" s="1648"/>
      <c r="BN50" s="1648"/>
      <c r="BO50" s="1648"/>
      <c r="BP50" s="1648"/>
      <c r="BQ50" s="1648"/>
      <c r="BR50" s="1648"/>
      <c r="BS50" s="1648"/>
      <c r="BT50" s="1648"/>
      <c r="BU50" s="1648"/>
      <c r="BV50" s="1648"/>
      <c r="BW50" s="1648"/>
      <c r="BX50" s="1648"/>
      <c r="BY50" s="1648"/>
      <c r="BZ50" s="1648"/>
      <c r="CA50" s="1649"/>
      <c r="CB50" s="413"/>
      <c r="CC50" s="411"/>
      <c r="CD50" s="411"/>
      <c r="CE50" s="411"/>
      <c r="CF50" s="411"/>
      <c r="CG50" s="411"/>
    </row>
    <row r="51" spans="2:85" s="408" customFormat="1" ht="17.25" customHeight="1">
      <c r="B51" s="411"/>
      <c r="C51" s="411"/>
      <c r="D51" s="454"/>
      <c r="E51" s="454"/>
      <c r="F51" s="454"/>
      <c r="G51" s="454"/>
      <c r="H51" s="454"/>
      <c r="I51" s="454"/>
      <c r="J51" s="454"/>
      <c r="K51" s="454"/>
      <c r="L51" s="454"/>
      <c r="M51" s="454"/>
      <c r="N51" s="454"/>
      <c r="O51" s="454"/>
      <c r="P51" s="454"/>
      <c r="Q51" s="454"/>
      <c r="R51" s="454"/>
      <c r="S51" s="454"/>
      <c r="T51" s="454"/>
      <c r="U51" s="454"/>
      <c r="V51" s="454"/>
      <c r="W51" s="454"/>
      <c r="X51" s="454"/>
      <c r="Y51" s="454"/>
      <c r="Z51" s="454"/>
      <c r="AA51" s="454"/>
      <c r="AB51" s="454"/>
      <c r="AC51" s="454"/>
      <c r="AD51" s="454"/>
      <c r="AE51" s="454"/>
      <c r="AF51" s="454"/>
      <c r="AG51" s="454"/>
      <c r="AH51" s="454"/>
      <c r="AI51" s="454"/>
      <c r="AJ51" s="454"/>
      <c r="AK51" s="454"/>
      <c r="AL51" s="454"/>
      <c r="AM51" s="454"/>
      <c r="AN51" s="454"/>
      <c r="AO51" s="454"/>
      <c r="AP51" s="454"/>
      <c r="AQ51" s="454"/>
      <c r="AR51" s="454"/>
      <c r="AS51" s="454"/>
      <c r="AT51" s="454"/>
      <c r="AU51" s="454"/>
      <c r="AV51" s="454"/>
      <c r="AW51" s="454"/>
      <c r="AX51" s="454"/>
      <c r="AY51" s="454"/>
      <c r="AZ51" s="454"/>
      <c r="BA51" s="454"/>
      <c r="BB51" s="454"/>
      <c r="BC51" s="454"/>
      <c r="BD51" s="454"/>
      <c r="BE51" s="454"/>
      <c r="BF51" s="454"/>
      <c r="BG51" s="454"/>
      <c r="BH51" s="454"/>
      <c r="BI51" s="454"/>
      <c r="BJ51" s="454"/>
      <c r="BK51" s="454"/>
      <c r="BL51" s="454"/>
      <c r="BM51" s="454"/>
      <c r="BN51" s="454"/>
      <c r="BO51" s="454"/>
      <c r="BP51" s="454"/>
      <c r="BQ51" s="454"/>
      <c r="BR51" s="454"/>
      <c r="BS51" s="454"/>
      <c r="BT51" s="454"/>
      <c r="BU51" s="454"/>
      <c r="BV51" s="454"/>
      <c r="BW51" s="454"/>
      <c r="BX51" s="454"/>
      <c r="BY51" s="454"/>
      <c r="BZ51" s="454"/>
      <c r="CA51" s="454"/>
      <c r="CB51" s="411"/>
      <c r="CC51" s="411"/>
      <c r="CD51" s="411"/>
      <c r="CE51" s="411"/>
      <c r="CF51" s="411"/>
      <c r="CG51" s="411"/>
    </row>
    <row r="52" spans="2:85" s="408" customFormat="1" ht="45" customHeight="1">
      <c r="B52" s="411"/>
      <c r="C52" s="411"/>
      <c r="D52" s="1658" t="str">
        <f>VLOOKUP(13047,Languages!$A$5:$C$1025,Languages!$A$2,FALSE)</f>
        <v>Status 8D supplier</v>
      </c>
      <c r="E52" s="1659"/>
      <c r="F52" s="1659"/>
      <c r="G52" s="1659"/>
      <c r="H52" s="1659"/>
      <c r="I52" s="1659"/>
      <c r="J52" s="1659"/>
      <c r="K52" s="1659"/>
      <c r="L52" s="1659"/>
      <c r="M52" s="1659"/>
      <c r="N52" s="1659"/>
      <c r="O52" s="1659"/>
      <c r="P52" s="1659"/>
      <c r="Q52" s="1659"/>
      <c r="R52" s="1660"/>
      <c r="S52" s="1387" t="str">
        <f>VLOOKUP(13048,Languages!$A$5:$C$1025,Languages!$A$2,FALSE)</f>
        <v>Please enter here the current stauts of the problem solving. If you want to close the 8D, you need to set your intent to close the issue and set the acceptance-status in the last column by chosing an option from the drop-down menu (click on the field to open).
After review from Brose you will get a feedback if Brose accepts the closure of the 8D.</v>
      </c>
      <c r="T52" s="1653"/>
      <c r="U52" s="1653"/>
      <c r="V52" s="1653"/>
      <c r="W52" s="1653"/>
      <c r="X52" s="1653"/>
      <c r="Y52" s="1653"/>
      <c r="Z52" s="1653"/>
      <c r="AA52" s="1653"/>
      <c r="AB52" s="1653"/>
      <c r="AC52" s="1653"/>
      <c r="AD52" s="1653"/>
      <c r="AE52" s="1653"/>
      <c r="AF52" s="1653"/>
      <c r="AG52" s="1653"/>
      <c r="AH52" s="1653"/>
      <c r="AI52" s="1653"/>
      <c r="AJ52" s="1653"/>
      <c r="AK52" s="1653"/>
      <c r="AL52" s="1653"/>
      <c r="AM52" s="1653"/>
      <c r="AN52" s="1653"/>
      <c r="AO52" s="1653"/>
      <c r="AP52" s="1653"/>
      <c r="AQ52" s="1653"/>
      <c r="AR52" s="1653"/>
      <c r="AS52" s="1653"/>
      <c r="AT52" s="1653"/>
      <c r="AU52" s="1653"/>
      <c r="AV52" s="1653"/>
      <c r="AW52" s="1653"/>
      <c r="AX52" s="1653"/>
      <c r="AY52" s="1653"/>
      <c r="AZ52" s="1653"/>
      <c r="BA52" s="1653"/>
      <c r="BB52" s="1653"/>
      <c r="BC52" s="1653"/>
      <c r="BD52" s="1653"/>
      <c r="BE52" s="1653"/>
      <c r="BF52" s="1653"/>
      <c r="BG52" s="1653"/>
      <c r="BH52" s="1653"/>
      <c r="BI52" s="1653"/>
      <c r="BJ52" s="1653"/>
      <c r="BK52" s="1653"/>
      <c r="BL52" s="1653"/>
      <c r="BM52" s="1653"/>
      <c r="BN52" s="1653"/>
      <c r="BO52" s="1653"/>
      <c r="BP52" s="1653"/>
      <c r="BQ52" s="1653"/>
      <c r="BR52" s="1653"/>
      <c r="BS52" s="1653"/>
      <c r="BT52" s="1653"/>
      <c r="BU52" s="1653"/>
      <c r="BV52" s="1653"/>
      <c r="BW52" s="1653"/>
      <c r="BX52" s="1653"/>
      <c r="BY52" s="1653"/>
      <c r="BZ52" s="1653"/>
      <c r="CA52" s="1654"/>
      <c r="CB52" s="411"/>
      <c r="CC52" s="411"/>
      <c r="CD52" s="411"/>
      <c r="CE52" s="411"/>
      <c r="CF52" s="411"/>
      <c r="CG52" s="411"/>
    </row>
    <row r="53" spans="2:85" s="408" customFormat="1" ht="30" customHeight="1">
      <c r="B53" s="411"/>
      <c r="C53" s="411"/>
      <c r="D53" s="1655" t="str">
        <f>VLOOKUP(13049,Languages!$A$5:$C$1025,Languages!$A$2,FALSE)</f>
        <v>8D-Status Brose</v>
      </c>
      <c r="E53" s="1656"/>
      <c r="F53" s="1656"/>
      <c r="G53" s="1656"/>
      <c r="H53" s="1656"/>
      <c r="I53" s="1656"/>
      <c r="J53" s="1656"/>
      <c r="K53" s="1656"/>
      <c r="L53" s="1656"/>
      <c r="M53" s="1656"/>
      <c r="N53" s="1656"/>
      <c r="O53" s="1656"/>
      <c r="P53" s="1656"/>
      <c r="Q53" s="1656"/>
      <c r="R53" s="1657"/>
      <c r="S53" s="1387" t="str">
        <f>VLOOKUP(13050,Languages!$A$5:$C$1025,Languages!$A$2,FALSE)</f>
        <v>These fields are filled by Brose only - here you will get the feedback from Brose if the 8D has been accepted.</v>
      </c>
      <c r="T53" s="1653"/>
      <c r="U53" s="1653"/>
      <c r="V53" s="1653"/>
      <c r="W53" s="1653"/>
      <c r="X53" s="1653"/>
      <c r="Y53" s="1653"/>
      <c r="Z53" s="1653"/>
      <c r="AA53" s="1653"/>
      <c r="AB53" s="1653"/>
      <c r="AC53" s="1653"/>
      <c r="AD53" s="1653"/>
      <c r="AE53" s="1653"/>
      <c r="AF53" s="1653"/>
      <c r="AG53" s="1653"/>
      <c r="AH53" s="1653"/>
      <c r="AI53" s="1653"/>
      <c r="AJ53" s="1653"/>
      <c r="AK53" s="1653"/>
      <c r="AL53" s="1653"/>
      <c r="AM53" s="1653"/>
      <c r="AN53" s="1653"/>
      <c r="AO53" s="1653"/>
      <c r="AP53" s="1653"/>
      <c r="AQ53" s="1653"/>
      <c r="AR53" s="1653"/>
      <c r="AS53" s="1653"/>
      <c r="AT53" s="1653"/>
      <c r="AU53" s="1653"/>
      <c r="AV53" s="1653"/>
      <c r="AW53" s="1653"/>
      <c r="AX53" s="1653"/>
      <c r="AY53" s="1653"/>
      <c r="AZ53" s="1653"/>
      <c r="BA53" s="1653"/>
      <c r="BB53" s="1653"/>
      <c r="BC53" s="1653"/>
      <c r="BD53" s="1653"/>
      <c r="BE53" s="1653"/>
      <c r="BF53" s="1653"/>
      <c r="BG53" s="1653"/>
      <c r="BH53" s="1653"/>
      <c r="BI53" s="1653"/>
      <c r="BJ53" s="1653"/>
      <c r="BK53" s="1653"/>
      <c r="BL53" s="1653"/>
      <c r="BM53" s="1653"/>
      <c r="BN53" s="1653"/>
      <c r="BO53" s="1653"/>
      <c r="BP53" s="1653"/>
      <c r="BQ53" s="1653"/>
      <c r="BR53" s="1653"/>
      <c r="BS53" s="1653"/>
      <c r="BT53" s="1653"/>
      <c r="BU53" s="1653"/>
      <c r="BV53" s="1653"/>
      <c r="BW53" s="1653"/>
      <c r="BX53" s="1653"/>
      <c r="BY53" s="1653"/>
      <c r="BZ53" s="1653"/>
      <c r="CA53" s="1654"/>
      <c r="CB53" s="411"/>
      <c r="CC53" s="411"/>
      <c r="CD53" s="411"/>
      <c r="CE53" s="411"/>
      <c r="CF53" s="411"/>
      <c r="CG53" s="411"/>
    </row>
    <row r="54" spans="2:85" s="408" customFormat="1" ht="60" customHeight="1">
      <c r="B54" s="411"/>
      <c r="C54" s="411"/>
      <c r="D54" s="1655" t="str">
        <f>VLOOKUP(13051,Languages!$A$5:$C$1025,Languages!$A$2,FALSE)</f>
        <v>Evaluation (TOOL)</v>
      </c>
      <c r="E54" s="1656"/>
      <c r="F54" s="1656"/>
      <c r="G54" s="1656"/>
      <c r="H54" s="1656"/>
      <c r="I54" s="1656"/>
      <c r="J54" s="1656"/>
      <c r="K54" s="1656"/>
      <c r="L54" s="1656"/>
      <c r="M54" s="1656"/>
      <c r="N54" s="1656"/>
      <c r="O54" s="1656"/>
      <c r="P54" s="1656"/>
      <c r="Q54" s="1656"/>
      <c r="R54" s="1657"/>
      <c r="S54" s="1387" t="str">
        <f>VLOOKUP(13052,Languages!$A$5:$C$1025,Languages!$A$2,FALSE)</f>
        <v>The evaluation matrix is a tool to evaluate the 8D-report as objectively as possible. The evaluation criteria are categorized in 8 steps like the 8D-report itself. When evaluating by using the traffic light colours "red = not acceptable", "amber = acceptable" and "green = OK", a different number of points is awarded. The overall result will be expressed as a percentage. Using this evaluation, the necessary 8D-contents are reviewed and reports of high quality shall be ensured.</v>
      </c>
      <c r="T54" s="1653"/>
      <c r="U54" s="1653"/>
      <c r="V54" s="1653"/>
      <c r="W54" s="1653"/>
      <c r="X54" s="1653"/>
      <c r="Y54" s="1653"/>
      <c r="Z54" s="1653"/>
      <c r="AA54" s="1653"/>
      <c r="AB54" s="1653"/>
      <c r="AC54" s="1653"/>
      <c r="AD54" s="1653"/>
      <c r="AE54" s="1653"/>
      <c r="AF54" s="1653"/>
      <c r="AG54" s="1653"/>
      <c r="AH54" s="1653"/>
      <c r="AI54" s="1653"/>
      <c r="AJ54" s="1653"/>
      <c r="AK54" s="1653"/>
      <c r="AL54" s="1653"/>
      <c r="AM54" s="1653"/>
      <c r="AN54" s="1653"/>
      <c r="AO54" s="1653"/>
      <c r="AP54" s="1653"/>
      <c r="AQ54" s="1653"/>
      <c r="AR54" s="1653"/>
      <c r="AS54" s="1653"/>
      <c r="AT54" s="1653"/>
      <c r="AU54" s="1653"/>
      <c r="AV54" s="1653"/>
      <c r="AW54" s="1653"/>
      <c r="AX54" s="1653"/>
      <c r="AY54" s="1653"/>
      <c r="AZ54" s="1653"/>
      <c r="BA54" s="1653"/>
      <c r="BB54" s="1653"/>
      <c r="BC54" s="1653"/>
      <c r="BD54" s="1653"/>
      <c r="BE54" s="1653"/>
      <c r="BF54" s="1653"/>
      <c r="BG54" s="1653"/>
      <c r="BH54" s="1653"/>
      <c r="BI54" s="1653"/>
      <c r="BJ54" s="1653"/>
      <c r="BK54" s="1653"/>
      <c r="BL54" s="1653"/>
      <c r="BM54" s="1653"/>
      <c r="BN54" s="1653"/>
      <c r="BO54" s="1653"/>
      <c r="BP54" s="1653"/>
      <c r="BQ54" s="1653"/>
      <c r="BR54" s="1653"/>
      <c r="BS54" s="1653"/>
      <c r="BT54" s="1653"/>
      <c r="BU54" s="1653"/>
      <c r="BV54" s="1653"/>
      <c r="BW54" s="1653"/>
      <c r="BX54" s="1653"/>
      <c r="BY54" s="1653"/>
      <c r="BZ54" s="1653"/>
      <c r="CA54" s="1654"/>
      <c r="CB54" s="411"/>
      <c r="CC54" s="411"/>
      <c r="CD54" s="411"/>
      <c r="CE54" s="411"/>
      <c r="CF54" s="411"/>
      <c r="CG54" s="411"/>
    </row>
    <row r="55" spans="2:85" s="408" customFormat="1" ht="30" customHeight="1">
      <c r="B55" s="411"/>
      <c r="C55" s="411"/>
      <c r="D55" s="1655" t="str">
        <f>VLOOKUP(13055,Languages!$A$5:$C$1025,Languages!$A$2,FALSE)</f>
        <v>Internal action plan (TOOL)</v>
      </c>
      <c r="E55" s="1656"/>
      <c r="F55" s="1656"/>
      <c r="G55" s="1656"/>
      <c r="H55" s="1656"/>
      <c r="I55" s="1656"/>
      <c r="J55" s="1656"/>
      <c r="K55" s="1656"/>
      <c r="L55" s="1656"/>
      <c r="M55" s="1656"/>
      <c r="N55" s="1656"/>
      <c r="O55" s="1656"/>
      <c r="P55" s="1656"/>
      <c r="Q55" s="1656"/>
      <c r="R55" s="1657"/>
      <c r="S55" s="1387" t="str">
        <f>VLOOKUP(13056,Languages!$A$5:$C$1025,Languages!$A$2,FALSE)</f>
        <v>In the action plan, all actions can be documented. This list allows a clear overview of responsibilities, due dates and documents the status of every action. The implementation of actions can hereby be guarenteed.</v>
      </c>
      <c r="T55" s="1653"/>
      <c r="U55" s="1653"/>
      <c r="V55" s="1653"/>
      <c r="W55" s="1653"/>
      <c r="X55" s="1653"/>
      <c r="Y55" s="1653"/>
      <c r="Z55" s="1653"/>
      <c r="AA55" s="1653"/>
      <c r="AB55" s="1653"/>
      <c r="AC55" s="1653"/>
      <c r="AD55" s="1653"/>
      <c r="AE55" s="1653"/>
      <c r="AF55" s="1653"/>
      <c r="AG55" s="1653"/>
      <c r="AH55" s="1653"/>
      <c r="AI55" s="1653"/>
      <c r="AJ55" s="1653"/>
      <c r="AK55" s="1653"/>
      <c r="AL55" s="1653"/>
      <c r="AM55" s="1653"/>
      <c r="AN55" s="1653"/>
      <c r="AO55" s="1653"/>
      <c r="AP55" s="1653"/>
      <c r="AQ55" s="1653"/>
      <c r="AR55" s="1653"/>
      <c r="AS55" s="1653"/>
      <c r="AT55" s="1653"/>
      <c r="AU55" s="1653"/>
      <c r="AV55" s="1653"/>
      <c r="AW55" s="1653"/>
      <c r="AX55" s="1653"/>
      <c r="AY55" s="1653"/>
      <c r="AZ55" s="1653"/>
      <c r="BA55" s="1653"/>
      <c r="BB55" s="1653"/>
      <c r="BC55" s="1653"/>
      <c r="BD55" s="1653"/>
      <c r="BE55" s="1653"/>
      <c r="BF55" s="1653"/>
      <c r="BG55" s="1653"/>
      <c r="BH55" s="1653"/>
      <c r="BI55" s="1653"/>
      <c r="BJ55" s="1653"/>
      <c r="BK55" s="1653"/>
      <c r="BL55" s="1653"/>
      <c r="BM55" s="1653"/>
      <c r="BN55" s="1653"/>
      <c r="BO55" s="1653"/>
      <c r="BP55" s="1653"/>
      <c r="BQ55" s="1653"/>
      <c r="BR55" s="1653"/>
      <c r="BS55" s="1653"/>
      <c r="BT55" s="1653"/>
      <c r="BU55" s="1653"/>
      <c r="BV55" s="1653"/>
      <c r="BW55" s="1653"/>
      <c r="BX55" s="1653"/>
      <c r="BY55" s="1653"/>
      <c r="BZ55" s="1653"/>
      <c r="CA55" s="1654"/>
      <c r="CB55" s="411"/>
      <c r="CC55" s="411"/>
      <c r="CD55" s="411"/>
      <c r="CE55" s="411"/>
      <c r="CF55" s="411"/>
      <c r="CG55" s="411"/>
    </row>
    <row r="56" spans="2:85" s="408" customFormat="1">
      <c r="B56" s="411"/>
      <c r="C56" s="411"/>
      <c r="D56" s="454"/>
      <c r="E56" s="454"/>
      <c r="F56" s="454"/>
      <c r="G56" s="454"/>
      <c r="H56" s="454"/>
      <c r="I56" s="454"/>
      <c r="J56" s="454"/>
      <c r="K56" s="454"/>
      <c r="L56" s="454"/>
      <c r="M56" s="454"/>
      <c r="N56" s="454"/>
      <c r="O56" s="454"/>
      <c r="P56" s="454"/>
      <c r="Q56" s="454"/>
      <c r="R56" s="454"/>
      <c r="S56" s="454"/>
      <c r="T56" s="454"/>
      <c r="U56" s="454"/>
      <c r="V56" s="454"/>
      <c r="W56" s="454"/>
      <c r="X56" s="454"/>
      <c r="Y56" s="454"/>
      <c r="Z56" s="454"/>
      <c r="AA56" s="454"/>
      <c r="AB56" s="454"/>
      <c r="AC56" s="454"/>
      <c r="AD56" s="454"/>
      <c r="AE56" s="454"/>
      <c r="AF56" s="454"/>
      <c r="AG56" s="454"/>
      <c r="AH56" s="454"/>
      <c r="AI56" s="454"/>
      <c r="AJ56" s="454"/>
      <c r="AK56" s="454"/>
      <c r="AL56" s="454"/>
      <c r="AM56" s="454"/>
      <c r="AN56" s="454"/>
      <c r="AO56" s="454"/>
      <c r="AP56" s="454"/>
      <c r="AQ56" s="454"/>
      <c r="AR56" s="454"/>
      <c r="AS56" s="454"/>
      <c r="AT56" s="454"/>
      <c r="AU56" s="454"/>
      <c r="AV56" s="454"/>
      <c r="AW56" s="454"/>
      <c r="AX56" s="454"/>
      <c r="AY56" s="454"/>
      <c r="AZ56" s="454"/>
      <c r="BA56" s="454"/>
      <c r="BB56" s="454"/>
      <c r="BC56" s="454"/>
      <c r="BD56" s="454"/>
      <c r="BE56" s="454"/>
      <c r="BF56" s="454"/>
      <c r="BG56" s="454"/>
      <c r="BH56" s="454"/>
      <c r="BI56" s="454"/>
      <c r="BJ56" s="454"/>
      <c r="BK56" s="454"/>
      <c r="BL56" s="454"/>
      <c r="BM56" s="454"/>
      <c r="BN56" s="454"/>
      <c r="BO56" s="454"/>
      <c r="BP56" s="454"/>
      <c r="BQ56" s="454"/>
      <c r="BR56" s="454"/>
      <c r="BS56" s="454"/>
      <c r="BT56" s="454"/>
      <c r="BU56" s="454"/>
      <c r="BV56" s="454"/>
      <c r="BW56" s="454"/>
      <c r="BX56" s="454"/>
      <c r="BY56" s="454"/>
      <c r="BZ56" s="454"/>
      <c r="CA56" s="454"/>
      <c r="CB56" s="411"/>
      <c r="CC56" s="411"/>
      <c r="CD56" s="411"/>
      <c r="CE56" s="411"/>
      <c r="CF56" s="411"/>
      <c r="CG56" s="411"/>
    </row>
    <row r="57" spans="2:85" ht="12" customHeight="1">
      <c r="Q57" s="43"/>
      <c r="R57" s="43"/>
      <c r="S57" s="43"/>
      <c r="T57" s="43"/>
      <c r="CC57" s="43"/>
      <c r="CD57" s="43"/>
      <c r="CE57" s="43"/>
      <c r="CF57" s="43"/>
      <c r="CG57" s="43"/>
    </row>
    <row r="58" spans="2:85" ht="12" customHeight="1">
      <c r="Q58" s="43"/>
      <c r="R58" s="43"/>
      <c r="S58" s="43"/>
      <c r="T58" s="43"/>
      <c r="CC58" s="43"/>
      <c r="CD58" s="43"/>
      <c r="CE58" s="43"/>
      <c r="CF58" s="43"/>
      <c r="CG58" s="43"/>
    </row>
    <row r="59" spans="2:85" ht="12" customHeight="1">
      <c r="T59" s="32"/>
      <c r="CC59" s="43"/>
      <c r="CD59" s="43"/>
      <c r="CE59" s="43"/>
      <c r="CF59" s="43"/>
      <c r="CG59" s="43"/>
    </row>
    <row r="60" spans="2:85" ht="12" customHeight="1">
      <c r="CC60" s="43"/>
      <c r="CD60" s="43"/>
      <c r="CE60" s="43"/>
      <c r="CF60" s="43"/>
      <c r="CG60" s="43"/>
    </row>
    <row r="61" spans="2:85" ht="12" customHeight="1">
      <c r="CC61" s="43"/>
      <c r="CD61" s="43"/>
      <c r="CE61" s="43"/>
      <c r="CF61" s="43"/>
      <c r="CG61" s="43"/>
    </row>
    <row r="62" spans="2:85" ht="12" customHeight="1">
      <c r="CC62" s="43"/>
      <c r="CD62" s="43"/>
      <c r="CE62" s="43"/>
      <c r="CF62" s="43"/>
      <c r="CG62" s="43"/>
    </row>
    <row r="63" spans="2:85" ht="12" customHeight="1">
      <c r="CC63" s="43"/>
      <c r="CD63" s="43"/>
      <c r="CE63" s="43"/>
      <c r="CF63" s="43"/>
      <c r="CG63" s="43"/>
    </row>
    <row r="64" spans="2:85" ht="12" customHeight="1">
      <c r="CC64" s="43"/>
      <c r="CD64" s="43"/>
      <c r="CE64" s="43"/>
      <c r="CF64" s="43"/>
      <c r="CG64" s="43"/>
    </row>
    <row r="65" spans="81:85" ht="12" customHeight="1">
      <c r="CC65" s="43"/>
      <c r="CD65" s="43"/>
      <c r="CE65" s="43"/>
      <c r="CF65" s="43"/>
      <c r="CG65" s="43"/>
    </row>
    <row r="66" spans="81:85" ht="12" customHeight="1">
      <c r="CC66" s="43"/>
      <c r="CD66" s="43"/>
      <c r="CE66" s="43"/>
      <c r="CF66" s="43"/>
      <c r="CG66" s="43"/>
    </row>
    <row r="67" spans="81:85" ht="12" customHeight="1">
      <c r="CC67" s="43"/>
      <c r="CD67" s="43"/>
      <c r="CE67" s="43"/>
      <c r="CF67" s="43"/>
      <c r="CG67" s="43"/>
    </row>
    <row r="68" spans="81:85" ht="12" customHeight="1">
      <c r="CC68" s="43"/>
      <c r="CD68" s="43"/>
      <c r="CE68" s="43"/>
      <c r="CF68" s="43"/>
      <c r="CG68" s="43"/>
    </row>
    <row r="69" spans="81:85" ht="12" customHeight="1">
      <c r="CC69" s="43"/>
      <c r="CD69" s="43"/>
      <c r="CE69" s="43"/>
      <c r="CF69" s="43"/>
      <c r="CG69" s="43"/>
    </row>
    <row r="70" spans="81:85" ht="12" customHeight="1">
      <c r="CC70" s="43"/>
      <c r="CD70" s="43"/>
      <c r="CE70" s="43"/>
      <c r="CF70" s="43"/>
      <c r="CG70" s="43"/>
    </row>
    <row r="71" spans="81:85" ht="12" customHeight="1">
      <c r="CC71" s="43"/>
      <c r="CD71" s="43"/>
      <c r="CE71" s="43"/>
      <c r="CF71" s="43"/>
      <c r="CG71" s="43"/>
    </row>
    <row r="72" spans="81:85" ht="12" customHeight="1">
      <c r="CC72" s="43"/>
      <c r="CD72" s="43"/>
      <c r="CE72" s="43"/>
      <c r="CF72" s="43"/>
      <c r="CG72" s="43"/>
    </row>
    <row r="73" spans="81:85" ht="12" customHeight="1">
      <c r="CC73" s="43"/>
      <c r="CD73" s="43"/>
      <c r="CE73" s="43"/>
      <c r="CF73" s="43"/>
      <c r="CG73" s="43"/>
    </row>
    <row r="74" spans="81:85" ht="12" customHeight="1">
      <c r="CC74" s="43"/>
      <c r="CD74" s="43"/>
      <c r="CE74" s="43"/>
      <c r="CF74" s="43"/>
      <c r="CG74" s="43"/>
    </row>
    <row r="85" spans="82:85" ht="12.75" customHeight="1"/>
    <row r="89" spans="82:85" ht="12.75" customHeight="1">
      <c r="CD89" s="208"/>
      <c r="CE89" s="208"/>
      <c r="CF89" s="208"/>
      <c r="CG89" s="208"/>
    </row>
  </sheetData>
  <sheetProtection password="F797" sheet="1" objects="1" scenarios="1" selectLockedCells="1" selectUnlockedCells="1"/>
  <mergeCells count="58">
    <mergeCell ref="C30:CB30"/>
    <mergeCell ref="D25:CA25"/>
    <mergeCell ref="D27:R27"/>
    <mergeCell ref="S27:CA27"/>
    <mergeCell ref="D20:R20"/>
    <mergeCell ref="S20:CA20"/>
    <mergeCell ref="D21:R21"/>
    <mergeCell ref="S21:CA21"/>
    <mergeCell ref="C24:CB24"/>
    <mergeCell ref="D22:R22"/>
    <mergeCell ref="S22:CA22"/>
    <mergeCell ref="D28:R28"/>
    <mergeCell ref="S28:CA28"/>
    <mergeCell ref="D19:R19"/>
    <mergeCell ref="S19:CA19"/>
    <mergeCell ref="S13:CA13"/>
    <mergeCell ref="C7:CB7"/>
    <mergeCell ref="D8:CA8"/>
    <mergeCell ref="D11:CA11"/>
    <mergeCell ref="C16:CB16"/>
    <mergeCell ref="D14:R14"/>
    <mergeCell ref="S14:CA14"/>
    <mergeCell ref="D17:CA17"/>
    <mergeCell ref="B1:CB1"/>
    <mergeCell ref="C4:CB4"/>
    <mergeCell ref="D13:R13"/>
    <mergeCell ref="C10:CB10"/>
    <mergeCell ref="C3:CB3"/>
    <mergeCell ref="D5:CA5"/>
    <mergeCell ref="D55:R55"/>
    <mergeCell ref="S55:CA55"/>
    <mergeCell ref="D31:CA31"/>
    <mergeCell ref="D33:R33"/>
    <mergeCell ref="S33:CA33"/>
    <mergeCell ref="D34:R34"/>
    <mergeCell ref="S34:CA34"/>
    <mergeCell ref="S35:CA35"/>
    <mergeCell ref="D36:R36"/>
    <mergeCell ref="S36:CA36"/>
    <mergeCell ref="C38:CB38"/>
    <mergeCell ref="D54:R54"/>
    <mergeCell ref="S54:CA54"/>
    <mergeCell ref="D47:R47"/>
    <mergeCell ref="D35:R35"/>
    <mergeCell ref="D50:CA50"/>
    <mergeCell ref="D52:R52"/>
    <mergeCell ref="S52:CA52"/>
    <mergeCell ref="D53:R53"/>
    <mergeCell ref="S53:CA53"/>
    <mergeCell ref="S47:CA47"/>
    <mergeCell ref="C49:CB49"/>
    <mergeCell ref="C44:CB44"/>
    <mergeCell ref="D45:CA45"/>
    <mergeCell ref="D39:CA39"/>
    <mergeCell ref="D41:R41"/>
    <mergeCell ref="S41:CA41"/>
    <mergeCell ref="D42:R42"/>
    <mergeCell ref="S42:CA42"/>
  </mergeCells>
  <pageMargins left="0.70866141732283472" right="0.70866141732283472" top="0.86614173228346458" bottom="0.86614173228346458" header="0.23622047244094491" footer="0.23622047244094491"/>
  <pageSetup paperSize="9" scale="33" orientation="portrait" r:id="rId1"/>
  <headerFooter scaleWithDoc="0" alignWithMargins="0">
    <oddHeader>&amp;R&amp;G</oddHeader>
    <oddFooter>&amp;L&amp;8Index: 102
&amp;6Copyright by Brose. Alle Rechte vorbehalten&amp;C&amp;8Page: &amp;P/ &amp;N (&amp;A)&amp;R&amp;8Date saved: &amp;D
&amp;6Template version 2021</oddFooter>
  </headerFooter>
  <rowBreaks count="1" manualBreakCount="1">
    <brk id="34" max="16383" man="1"/>
  </row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06162-A5C4-4546-930D-7DC3C597908B}">
  <sheetPr>
    <pageSetUpPr fitToPage="1"/>
  </sheetPr>
  <dimension ref="A1:H11"/>
  <sheetViews>
    <sheetView tabSelected="1" zoomScaleNormal="100" workbookViewId="0">
      <pane ySplit="1" topLeftCell="A2" activePane="bottomLeft" state="frozen"/>
      <selection activeCell="D3" sqref="D3"/>
      <selection pane="bottomLeft" activeCell="D3" sqref="D3"/>
    </sheetView>
  </sheetViews>
  <sheetFormatPr baseColWidth="10" defaultColWidth="11" defaultRowHeight="12.75"/>
  <cols>
    <col min="1" max="6" width="11" style="601" customWidth="1"/>
    <col min="7" max="7" width="11" style="602" customWidth="1"/>
    <col min="8" max="9" width="11" style="601" customWidth="1"/>
    <col min="10" max="16384" width="11" style="601"/>
  </cols>
  <sheetData>
    <row r="1" spans="1:8" s="142" customFormat="1" ht="33.75" customHeight="1">
      <c r="A1" s="1666" t="str">
        <f>CONCATENATE(VLOOKUP(15001,Languages!A5:C549,Languages!A2,FALSE)," (1)")</f>
        <v>Attachments (1)</v>
      </c>
      <c r="B1" s="1666"/>
      <c r="C1" s="1666"/>
      <c r="D1" s="1666"/>
      <c r="E1" s="1666"/>
      <c r="F1" s="1666"/>
      <c r="G1" s="1666"/>
      <c r="H1" s="1666"/>
    </row>
    <row r="2" spans="1:8" s="142" customFormat="1" ht="11.25" customHeight="1">
      <c r="C2" s="603"/>
      <c r="D2" s="603"/>
      <c r="E2" s="603"/>
      <c r="F2" s="603"/>
      <c r="G2" s="604"/>
    </row>
    <row r="3" spans="1:8" s="142" customFormat="1">
      <c r="A3" s="142" t="str">
        <f>VLOOKUP(15002,Languages!A5:C550,Languages!A2,FALSE)</f>
        <v>Here you can store your own documents and add any data.</v>
      </c>
      <c r="G3" s="604"/>
    </row>
    <row r="7" spans="1:8">
      <c r="D7" s="605"/>
    </row>
    <row r="11" spans="1:8">
      <c r="D11" s="605"/>
    </row>
  </sheetData>
  <sheetProtection formatCells="0" insertRows="0" insertHyperlinks="0" deleteRows="0" selectLockedCells="1"/>
  <mergeCells count="1">
    <mergeCell ref="A1:H1"/>
  </mergeCells>
  <dataValidations count="1">
    <dataValidation type="list" allowBlank="1" showInputMessage="1" showErrorMessage="1" sqref="H3:H13 H15:H1048576 G1" xr:uid="{B12175FF-D3F3-4CEC-A8A5-03216A381005}">
      <formula1>#REF!</formula1>
    </dataValidation>
  </dataValidations>
  <pageMargins left="0.70866141732283472" right="0.70866141732283472" top="0.86614173228346458" bottom="0.86614173228346458" header="0.23622047244094491" footer="0.23622047244094491"/>
  <pageSetup paperSize="9" scale="79" orientation="portrait" r:id="rId1"/>
  <headerFooter scaleWithDoc="0" alignWithMargins="0">
    <oddHeader>&amp;R&amp;G</oddHeader>
    <oddFooter>&amp;L&amp;8Index: 102
&amp;6Copyright by Brose. Alle Rechte vorbehalten&amp;C&amp;8Page: &amp;P/ &amp;N (&amp;A)&amp;R&amp;8Date saved: &amp;D
&amp;6Template version 2021</oddFooter>
  </headerFooter>
  <legacyDrawingHF r:id="rId2"/>
  <extLst>
    <ext xmlns:x14="http://schemas.microsoft.com/office/spreadsheetml/2009/9/main" uri="{78C0D931-6437-407d-A8EE-F0AAD7539E65}">
      <x14:conditionalFormattings>
        <x14:conditionalFormatting xmlns:xm="http://schemas.microsoft.com/office/excel/2006/main">
          <x14:cfRule type="containsText" priority="520" operator="containsText" id="{D00446EE-F361-429A-A5C3-AD0C945B4AE1}">
            <xm:f>NOT(ISERROR(SEARCH(#REF!,G1)))</xm:f>
            <xm:f>#REF!</xm:f>
            <x14:dxf>
              <fill>
                <patternFill>
                  <bgColor rgb="FFFF0000"/>
                </patternFill>
              </fill>
            </x14:dxf>
          </x14:cfRule>
          <x14:cfRule type="containsText" priority="521" operator="containsText" id="{3F56DF15-8F67-47BD-AA97-49A14BF34612}">
            <xm:f>NOT(ISERROR(SEARCH(#REF!,G1)))</xm:f>
            <xm:f>#REF!</xm:f>
            <x14:dxf>
              <fill>
                <patternFill>
                  <bgColor rgb="FFFFFF00"/>
                </patternFill>
              </fill>
            </x14:dxf>
          </x14:cfRule>
          <x14:cfRule type="containsText" priority="522" operator="containsText" id="{E0D9E560-61F9-4121-83E7-3FBE84295FC5}">
            <xm:f>NOT(ISERROR(SEARCH(#REF!,G1)))</xm:f>
            <xm:f>#REF!</xm:f>
            <x14:dxf>
              <fill>
                <patternFill>
                  <bgColor theme="0"/>
                </patternFill>
              </fill>
            </x14:dxf>
          </x14:cfRule>
          <x14:cfRule type="containsText" priority="523" operator="containsText" id="{060986AA-4E7F-4604-8270-FC3DE6DE70A3}">
            <xm:f>NOT(ISERROR(SEARCH(#REF!,G1)))</xm:f>
            <xm:f>#REF!</xm:f>
            <x14:dxf>
              <fill>
                <patternFill>
                  <bgColor rgb="FF62E13F"/>
                </patternFill>
              </fill>
            </x14:dxf>
          </x14:cfRule>
          <xm:sqref>H3:H13 H15:H1048576 G1</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4F9A2-FC13-4281-8C0F-A9E66F8F7293}">
  <sheetPr>
    <pageSetUpPr fitToPage="1"/>
  </sheetPr>
  <dimension ref="A1:H3"/>
  <sheetViews>
    <sheetView tabSelected="1" zoomScaleNormal="100" workbookViewId="0">
      <pane ySplit="1" topLeftCell="A2" activePane="bottomLeft" state="frozen"/>
      <selection activeCell="D3" sqref="D3"/>
      <selection pane="bottomLeft" activeCell="D3" sqref="D3"/>
    </sheetView>
  </sheetViews>
  <sheetFormatPr baseColWidth="10" defaultColWidth="11" defaultRowHeight="12.75"/>
  <cols>
    <col min="1" max="6" width="11" style="601" customWidth="1"/>
    <col min="7" max="7" width="11" style="602" customWidth="1"/>
    <col min="8" max="10" width="11" style="601" customWidth="1"/>
    <col min="11" max="16384" width="11" style="601"/>
  </cols>
  <sheetData>
    <row r="1" spans="1:8" s="142" customFormat="1" ht="33.75" customHeight="1">
      <c r="A1" s="1666" t="str">
        <f>CONCATENATE(VLOOKUP(15001,Languages!A5:C549,Languages!A2,FALSE)," (2)")</f>
        <v>Attachments (2)</v>
      </c>
      <c r="B1" s="1666"/>
      <c r="C1" s="1666"/>
      <c r="D1" s="1666"/>
      <c r="E1" s="1666"/>
      <c r="F1" s="1666"/>
      <c r="G1" s="1666"/>
      <c r="H1" s="1666"/>
    </row>
    <row r="2" spans="1:8" s="142" customFormat="1" ht="11.25" customHeight="1">
      <c r="C2" s="603"/>
      <c r="D2" s="603"/>
      <c r="E2" s="603"/>
      <c r="F2" s="603"/>
      <c r="G2" s="604"/>
    </row>
    <row r="3" spans="1:8" s="142" customFormat="1">
      <c r="A3" s="142" t="str">
        <f>VLOOKUP(15002,Languages!A5:C550,Languages!A2,FALSE)</f>
        <v>Here you can store your own documents and add any data.</v>
      </c>
      <c r="G3" s="604"/>
    </row>
  </sheetData>
  <sheetProtection formatCells="0" insertRows="0" insertHyperlinks="0" deleteRows="0" selectLockedCells="1"/>
  <mergeCells count="1">
    <mergeCell ref="A1:H1"/>
  </mergeCells>
  <dataValidations disablePrompts="1" count="1">
    <dataValidation type="list" allowBlank="1" showInputMessage="1" showErrorMessage="1" sqref="H3:H11 H13:H1048576 H1" xr:uid="{03F655B5-6967-4600-A6A8-463D30865884}">
      <formula1>#REF!</formula1>
    </dataValidation>
  </dataValidations>
  <pageMargins left="0.70866141732283472" right="0.70866141732283472" top="0.86614173228346458" bottom="0.86614173228346458" header="0.23622047244094491" footer="0.23622047244094491"/>
  <pageSetup paperSize="9" scale="79" orientation="portrait" r:id="rId1"/>
  <headerFooter scaleWithDoc="0" alignWithMargins="0">
    <oddHeader>&amp;R&amp;G</oddHeader>
    <oddFooter>&amp;L&amp;8Index: 102
&amp;6Copyright by Brose. Alle Rechte vorbehalten&amp;C&amp;8Page: &amp;P/ &amp;N (&amp;A)&amp;R&amp;8Date saved: &amp;D
&amp;6Template version 2021</oddFooter>
  </headerFooter>
  <legacyDrawingHF r:id="rId2"/>
  <extLst>
    <ext xmlns:x14="http://schemas.microsoft.com/office/spreadsheetml/2009/9/main" uri="{78C0D931-6437-407d-A8EE-F0AAD7539E65}">
      <x14:conditionalFormattings>
        <x14:conditionalFormatting xmlns:xm="http://schemas.microsoft.com/office/excel/2006/main">
          <x14:cfRule type="containsText" priority="1" operator="containsText" id="{C47FD569-9592-4BA0-AE68-4E54E50423A0}">
            <xm:f>NOT(ISERROR(SEARCH(#REF!,H1)))</xm:f>
            <xm:f>#REF!</xm:f>
            <x14:dxf>
              <fill>
                <patternFill>
                  <bgColor rgb="FFFF0000"/>
                </patternFill>
              </fill>
            </x14:dxf>
          </x14:cfRule>
          <x14:cfRule type="containsText" priority="2" operator="containsText" id="{6662AB15-9374-4A35-9CEF-DBFAE085847D}">
            <xm:f>NOT(ISERROR(SEARCH(#REF!,H1)))</xm:f>
            <xm:f>#REF!</xm:f>
            <x14:dxf>
              <fill>
                <patternFill>
                  <bgColor rgb="FFFFFF00"/>
                </patternFill>
              </fill>
            </x14:dxf>
          </x14:cfRule>
          <x14:cfRule type="containsText" priority="3" operator="containsText" id="{EBC14EB4-FC59-45D9-9C1D-5079CE039BD5}">
            <xm:f>NOT(ISERROR(SEARCH(#REF!,H1)))</xm:f>
            <xm:f>#REF!</xm:f>
            <x14:dxf>
              <fill>
                <patternFill>
                  <bgColor theme="0"/>
                </patternFill>
              </fill>
            </x14:dxf>
          </x14:cfRule>
          <x14:cfRule type="containsText" priority="4" operator="containsText" id="{B86475FB-CF64-4F23-9041-4BDDEB618013}">
            <xm:f>NOT(ISERROR(SEARCH(#REF!,H1)))</xm:f>
            <xm:f>#REF!</xm:f>
            <x14:dxf>
              <fill>
                <patternFill>
                  <bgColor rgb="FF62E13F"/>
                </patternFill>
              </fill>
            </x14:dxf>
          </x14:cfRule>
          <xm:sqref>H3:H11 H13:H1048576 H1</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Tabelle1">
    <tabColor theme="4" tint="0.39997558519241921"/>
  </sheetPr>
  <dimension ref="A1:D3"/>
  <sheetViews>
    <sheetView zoomScale="110" zoomScaleNormal="110" workbookViewId="0">
      <selection activeCell="D3" sqref="D3"/>
    </sheetView>
  </sheetViews>
  <sheetFormatPr baseColWidth="10" defaultColWidth="11" defaultRowHeight="12.75"/>
  <cols>
    <col min="1" max="1" width="8.375" style="460" customWidth="1"/>
    <col min="2" max="2" width="12.375" style="460" customWidth="1"/>
    <col min="3" max="3" width="11.375" style="460" customWidth="1"/>
    <col min="4" max="4" width="59.75" style="460" customWidth="1"/>
    <col min="5" max="16384" width="11" style="461"/>
  </cols>
  <sheetData>
    <row r="1" spans="1:4">
      <c r="A1" s="463" t="s">
        <v>816</v>
      </c>
      <c r="B1" s="463" t="s">
        <v>817</v>
      </c>
      <c r="C1" s="463" t="s">
        <v>818</v>
      </c>
      <c r="D1" s="463" t="s">
        <v>820</v>
      </c>
    </row>
    <row r="2" spans="1:4" ht="63.75">
      <c r="A2" s="460">
        <v>2020</v>
      </c>
      <c r="B2" s="462">
        <v>43811</v>
      </c>
      <c r="C2" s="460" t="s">
        <v>819</v>
      </c>
      <c r="D2" s="464" t="s">
        <v>861</v>
      </c>
    </row>
    <row r="3" spans="1:4" ht="51" customHeight="1">
      <c r="A3" s="460">
        <v>2021</v>
      </c>
      <c r="B3" s="462">
        <v>44312</v>
      </c>
      <c r="C3" s="599" t="s">
        <v>819</v>
      </c>
      <c r="D3" s="600" t="s">
        <v>877</v>
      </c>
    </row>
  </sheetData>
  <sheetProtection selectLockedCells="1" selectUnlockedCells="1"/>
  <pageMargins left="0.70866141732283472" right="0.55118110236220474" top="0.98425196850393704" bottom="0.9055118110236221" header="0.23622047244094491" footer="0.27559055118110237"/>
  <pageSetup paperSize="9" scale="87" orientation="portrait" r:id="rId1"/>
  <headerFooter scaleWithDoc="0">
    <oddHeader>&amp;R&amp;"Univers,Fett"
&amp;G</oddHeader>
    <oddFooter>&amp;L&amp;8Index: 101
Copyright by Brose. Alle Rechte vorbehalten&amp;C&amp;8Page: &amp;P/ &amp;N (&amp;A)
&amp;R&amp;8Date saved: &amp;D
Template version 2020</oddFooter>
  </headerFooter>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BroseExcelMarginSettings xmlns:xsi="http://www.w3.org/2001/XMLSchema-instance" xmlns:xsd="http://www.w3.org/2001/XMLSchema" xmlns="http://brose.net/Office/BroseExcelMarginSettings">
  <SheetSettings>
    <item>
      <key>
        <string xmlns="">8D-Report</string>
      </key>
      <value>
        <ExcelMargins xmlns="" TopMargin="62.362204724409452" BottomMargin="62.362204724409452" LeftMargin="51.0236220472441" RightMargin="51.0236220472441" HeaderDistance="17.007874015748033" FooterDistance="17.007874015748033"/>
      </value>
    </item>
    <item>
      <key>
        <string xmlns="">Schadenstisch</string>
      </key>
      <value>
        <ExcelMargins xmlns="" TopMargin="70.866141732283467" BottomMargin="65.196850393700785" LeftMargin="51.0236220472441" RightMargin="39.685039370078741" HeaderDistance="17.007874015748033" FooterDistance="19.84251968503937"/>
      </value>
    </item>
    <item>
      <key>
        <string xmlns="">Evaluation</string>
      </key>
      <value>
        <ExcelMargins xmlns="" TopMargin="62.362204724409452" BottomMargin="62.362204724409452" LeftMargin="51.0236220472441" RightMargin="51.0236220472441" HeaderDistance="17.007874015748033" FooterDistance="17.007874015748033"/>
      </value>
    </item>
    <item>
      <key>
        <string xmlns="">PBM</string>
      </key>
      <value>
        <ExcelMargins xmlns="" TopMargin="70.866141732283467" BottomMargin="65.196850393700785" LeftMargin="51.0236220472441" RightMargin="39.685039370078741" HeaderDistance="17.007874015748033" FooterDistance="19.84251968503937"/>
      </value>
    </item>
    <item>
      <key>
        <string xmlns="">5x_Warum</string>
      </key>
      <value>
        <ExcelMargins xmlns="" TopMargin="70.866141732283467" BottomMargin="70.866141732283467" LeftMargin="56.692913385826778" RightMargin="56.692913385826778" HeaderDistance="48.188976377952756" FooterDistance="36.8503937007874"/>
      </value>
    </item>
    <item>
      <key>
        <string xmlns="">FBA</string>
      </key>
      <value>
        <ExcelMargins xmlns="" TopMargin="70.866141732283467" BottomMargin="70.866141732283467" LeftMargin="56.692913385826778" RightMargin="56.692913385826778" HeaderDistance="48.188976377952756" FooterDistance="36.8503937007874"/>
      </value>
    </item>
    <item>
      <key>
        <string xmlns="">Ishikawa</string>
      </key>
      <value>
        <ExcelMargins xmlns="" TopMargin="62.362204724409452" BottomMargin="62.362204724409452" LeftMargin="51.0236220472441" RightMargin="51.0236220472441" HeaderDistance="17.007874015748033" FooterDistance="17.007874015748033"/>
      </value>
    </item>
    <item>
      <key>
        <string xmlns="">Containment</string>
      </key>
      <value>
        <ExcelMargins xmlns="" TopMargin="70.866141732283467" BottomMargin="70.866141732283467" LeftMargin="56.692913385826778" RightMargin="56.692913385826778" HeaderDistance="48.188976377952756" FooterDistance="36.8503937007874"/>
      </value>
    </item>
    <item>
      <key>
        <string xmlns="">Is IsNot</string>
      </key>
      <value>
        <ExcelMargins xmlns="" TopMargin="62.362204724409452" BottomMargin="62.362204724409452" LeftMargin="51.0236220472441" RightMargin="51.0236220472441" HeaderDistance="17.007874015748033" FooterDistance="17.007874015748033"/>
      </value>
    </item>
    <item>
      <key>
        <string xmlns="">PLS</string>
      </key>
      <value>
        <ExcelMargins xmlns="" TopMargin="53.858267716535437" BottomMargin="53.858267716535437" LeftMargin="17.007874015748033" RightMargin="17.007874015748033" HeaderDistance="22.677165354330707" FooterDistance="22.677165354330707"/>
      </value>
    </item>
    <item>
      <key>
        <string xmlns="">PMP</string>
      </key>
      <value>
        <ExcelMargins xmlns="" TopMargin="54" BottomMargin="54" LeftMargin="50.4" RightMargin="50.4" HeaderDistance="21.599999999999998" FooterDistance="21.599999999999998"/>
      </value>
    </item>
    <item>
      <key>
        <string xmlns="">Tabelle1</string>
      </key>
      <value>
        <ExcelMargins xmlns="" TopMargin="56.692913399999995" BottomMargin="56.692913399999995" LeftMargin="50.4" RightMargin="50.4" HeaderDistance="21.599999999999998" FooterDistance="21.599999999999998"/>
      </value>
    </item>
    <item>
      <key>
        <string xmlns="">Befehle</string>
      </key>
      <value>
        <ExcelMargins xmlns="" TopMargin="56.692913399999995" BottomMargin="56.692913399999995" LeftMargin="50.4" RightMargin="50.4" HeaderDistance="21.599999999999998" FooterDistance="21.599999999999998"/>
      </value>
    </item>
    <item>
      <key>
        <string xmlns="">5x_Warum (2)</string>
      </key>
      <value>
        <ExcelMargins xmlns="" TopMargin="70.866141768" BottomMargin="70.866141768" LeftMargin="56.692913399999995" RightMargin="56.692913399999995" HeaderDistance="48.25" FooterDistance="35.433070884"/>
      </value>
    </item>
    <item>
      <key>
        <string xmlns="">Ishikawa (2)</string>
      </key>
      <value>
        <ExcelMargins xmlns="" TopMargin="56.692913385826778" BottomMargin="56.692913385826778" LeftMargin="51.0236220472441" RightMargin="51.0236220472441" HeaderDistance="22.677165354330707" FooterDistance="22.677165354330707"/>
      </value>
    </item>
    <item>
      <key>
        <string xmlns="">PMP (2)</string>
      </key>
      <value>
        <ExcelMargins xmlns="" TopMargin="54" BottomMargin="54" LeftMargin="50.4" RightMargin="50.4" HeaderDistance="21.599999999999998" FooterDistance="21.599999999999998"/>
      </value>
    </item>
    <item>
      <key>
        <string xmlns="">PLS (2)</string>
      </key>
      <value>
        <ExcelMargins xmlns="" TopMargin="53.858267716535437" BottomMargin="53.858267716535437" LeftMargin="17.007874015748033" RightMargin="17.007874015748033" HeaderDistance="22.677165354330707" FooterDistance="22.677165354330707"/>
      </value>
    </item>
    <item>
      <key>
        <string xmlns="">Containment (2)</string>
      </key>
      <value>
        <ExcelMargins xmlns="" TopMargin="70.866141768" BottomMargin="70.866141768" LeftMargin="56.692913399999995" RightMargin="56.692913399999995" HeaderDistance="48.25" FooterDistance="35.433070884"/>
      </value>
    </item>
    <item>
      <key>
        <string xmlns="">Tabelle2</string>
      </key>
      <value>
        <ExcelMargins xmlns="" TopMargin="56.692913399999995" BottomMargin="56.692913399999995" LeftMargin="50.4" RightMargin="50.4" HeaderDistance="21.599999999999998" FooterDistance="21.599999999999998"/>
      </value>
    </item>
    <item>
      <key>
        <string xmlns="">Tabelle3</string>
      </key>
      <value>
        <ExcelMargins xmlns="" TopMargin="56.692913399999995" BottomMargin="56.692913399999995" LeftMargin="50.4" RightMargin="50.4" HeaderDistance="21.599999999999998" FooterDistance="21.599999999999998"/>
      </value>
    </item>
    <item>
      <key>
        <string xmlns="">PLS 2 (2)</string>
      </key>
      <value>
        <ExcelMargins xmlns="" TopMargin="53.858267716535437" BottomMargin="53.858267716535437" LeftMargin="17.007874015748033" RightMargin="17.007874015748033" HeaderDistance="22.677165354330707" FooterDistance="22.677165354330707"/>
      </value>
    </item>
    <item>
      <key>
        <string xmlns="">PLS 2</string>
      </key>
      <value>
        <ExcelMargins xmlns="" TopMargin="53.858267716535437" BottomMargin="53.858267716535437" LeftMargin="17.007874015748033" RightMargin="17.007874015748033" HeaderDistance="22.677165354330707" FooterDistance="22.677165354330707"/>
      </value>
    </item>
    <item>
      <key>
        <string xmlns="">Sprachen</string>
      </key>
      <value>
        <ExcelMargins xmlns="" TopMargin="56.692913399999995" BottomMargin="56.692913399999995" LeftMargin="50.4" RightMargin="50.4" HeaderDistance="21.599999999999998" FooterDistance="21.599999999999998"/>
      </value>
    </item>
    <item>
      <key>
        <string xmlns="">PMP Start</string>
      </key>
      <value>
        <ExcelMargins xmlns="" TopMargin="62.362204724409452" BottomMargin="62.362204724409452" LeftMargin="51.0236220472441" RightMargin="51.0236220472441" HeaderDistance="17.007874015748033" FooterDistance="17.007874015748033"/>
      </value>
    </item>
    <item>
      <key>
        <string xmlns="">Languages</string>
      </key>
      <value>
        <ExcelMargins xmlns="" TopMargin="56.692913399999995" BottomMargin="56.692913399999995" LeftMargin="50.4" RightMargin="50.4" HeaderDistance="21.599999999999998" FooterDistance="21.599999999999998"/>
      </value>
    </item>
    <item>
      <key>
        <string xmlns="">Buttons</string>
      </key>
      <value>
        <ExcelMargins xmlns="" TopMargin="56.692913399999995" BottomMargin="56.692913399999995" LeftMargin="50.4" RightMargin="50.4" HeaderDistance="21.599999999999998" FooterDistance="21.599999999999998"/>
      </value>
    </item>
    <item>
      <key>
        <string xmlns="">PSS</string>
      </key>
      <value>
        <ExcelMargins xmlns="" TopMargin="62.362204724409452" BottomMargin="62.362204724409452" LeftMargin="51.0236220472441" RightMargin="51.0236220472441" HeaderDistance="17.007874015748033" FooterDistance="17.007874015748033"/>
      </value>
    </item>
    <item>
      <key>
        <string xmlns="">Action plan</string>
      </key>
      <value>
        <ExcelMargins xmlns="" TopMargin="62.362204724409452" BottomMargin="62.362204724409452" LeftMargin="51.0236220472441" RightMargin="51.0236220472441" HeaderDistance="17.007874015748033" FooterDistance="17.007874015748033"/>
      </value>
    </item>
    <item>
      <key>
        <string xmlns="">Failure Visualisation</string>
      </key>
      <value>
        <ExcelMargins xmlns="" TopMargin="62.362204724409452" BottomMargin="62.362204724409452" LeftMargin="51.0236220472441" RightMargin="51.0236220472441" HeaderDistance="17.007874015748033" FooterDistance="17.007874015748033"/>
      </value>
    </item>
    <item>
      <key>
        <string xmlns="">C&amp;E</string>
      </key>
      <value>
        <ExcelMargins xmlns="" TopMargin="62.362204724409452" BottomMargin="62.362204724409452" LeftMargin="51.0236220472441" RightMargin="51.0236220472441" HeaderDistance="17.007874015748033" FooterDistance="17.007874015748033"/>
      </value>
    </item>
    <item>
      <key>
        <string xmlns="">5Why</string>
      </key>
      <value>
        <ExcelMargins xmlns="" TopMargin="62.362204724409452" BottomMargin="62.362204724409452" LeftMargin="51.0236220472441" RightMargin="51.0236220472441" HeaderDistance="17.007874015748033" FooterDistance="17.007874015748033"/>
      </value>
    </item>
    <item>
      <key>
        <string xmlns="">FTA</string>
      </key>
      <value>
        <ExcelMargins xmlns="" TopMargin="70.866141732283467" BottomMargin="70.866141732283467" LeftMargin="56.692913385826778" RightMargin="56.692913385826778" HeaderDistance="48.188976377952756" FooterDistance="36.8503937007874"/>
      </value>
    </item>
    <item>
      <key>
        <string xmlns="">Statistic</string>
      </key>
      <value>
        <ExcelMargins xmlns="" TopMargin="62.362204724409452" BottomMargin="62.362204724409452" LeftMargin="51.0236220472441" RightMargin="51.0236220472441" HeaderDistance="17.007874015748033" FooterDistance="17.007874015748033"/>
      </value>
    </item>
    <item>
      <key>
        <string xmlns="">PSS2</string>
      </key>
      <value>
        <ExcelMargins xmlns="" TopMargin="56.692913385826778" BottomMargin="56.692913385826778" LeftMargin="51.0236220472441" RightMargin="51.0236220472441" HeaderDistance="22.677165354330707" FooterDistance="22.677165354330707"/>
      </value>
    </item>
    <item>
      <key>
        <string xmlns="">Help</string>
      </key>
      <value>
        <ExcelMargins xmlns="" TopMargin="62.362204724409452" BottomMargin="62.362204724409452" LeftMargin="51.0236220472441" RightMargin="51.0236220472441" HeaderDistance="17.007874015748033" FooterDistance="17.007874015748033"/>
      </value>
    </item>
    <item>
      <key>
        <string xmlns="">IFT</string>
      </key>
      <value>
        <ExcelMargins xmlns="" TopMargin="70.866141732283467" BottomMargin="70.866141732283467" LeftMargin="56.692913385826778" RightMargin="56.692913385826778" HeaderDistance="48.188976377952756" FooterDistance="36.8503937007874"/>
      </value>
    </item>
    <item>
      <key>
        <string xmlns="">Read-Across</string>
      </key>
      <value>
        <ExcelMargins xmlns="" TopMargin="62.362204724409452" BottomMargin="62.362204724409452" LeftMargin="51.0236220472441" RightMargin="51.0236220472441" HeaderDistance="17.007874015748033" FooterDistance="17.007874015748033"/>
      </value>
    </item>
    <item>
      <key>
        <string xmlns="">Verify</string>
      </key>
      <value>
        <ExcelMargins xmlns="" TopMargin="62.362204724409452" BottomMargin="62.362204724409452" LeftMargin="51.0236220472441" RightMargin="51.0236220472441" HeaderDistance="17.007874015748033" FooterDistance="17.007874015748033"/>
      </value>
    </item>
    <item>
      <key>
        <string xmlns="">8D-Report (2)</string>
      </key>
      <value>
        <ExcelMargins xmlns="" TopMargin="53.858267716535437" BottomMargin="53.858267716535437" LeftMargin="51.0236220472441" RightMargin="51.0236220472441" HeaderDistance="22.677165354330707" FooterDistance="22.677165354330707"/>
      </value>
    </item>
    <item>
      <key>
        <string xmlns="">Changelog</string>
      </key>
      <value>
        <ExcelMargins xmlns="" TopMargin="56.692913399999995" BottomMargin="56.692913399999995" LeftMargin="50.4" RightMargin="50.4" HeaderDistance="21.599999999999998" FooterDistance="21.599999999999998"/>
      </value>
    </item>
  </SheetSettings>
</BroseExcelMarginSettings>
</file>

<file path=customXml/item2.xml><?xml version="1.0" encoding="utf-8"?>
<BroseExcelWorkbookSettings xmlns:xsi="http://www.w3.org/2001/XMLSchema-instance" xmlns:xsd="http://www.w3.org/2001/XMLSchema" xmlns="http://brose.net/Office/BroseWorkbookSettings">
  <SheetSettings>
    <item>
      <key>
        <string xmlns="">PBM</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Evaluation</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Schadenstisch</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8D-Report</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PMP</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Containment</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PLS</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Is IsNot</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Ishikawa</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5x_Warum</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FBA</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Tabelle1</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Befehle</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PMP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Ishikawa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5x_Warum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Containment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PLS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PLS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Tabelle3</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PLS 3</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PLS 2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Sprachen</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PMP Start</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Sprachen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Languages</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Befehle (2)</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Buttons</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PSS</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Statistic</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FTA</string>
      </key>
      <value>
        <BroseDocumentSettings xmlns="http://brose.net/Office/BroseDocumentSettings">
          <Creator>Jakunin, Waldemar</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5Why</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C&amp;E</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Failure Visualisation</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Action plan</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PSS2</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Help</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IFT</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Evaluation (2)</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Read-Across</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Verify</string>
      </key>
      <value>
        <BroseDocumentSettings xmlns="http://brose.net/Office/BroseDocumentSettings">
          <Creator>Mors, Patrick</Creator>
          <DisplayDate>Modified</DisplayDate>
          <Function>ZQU/PQ</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8D-Report (2)</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Changelog</string>
      </key>
      <value>
        <BroseDocumentSettings xmlns="http://brose.net/Office/BroseDocumentSettings">
          <Creator>Mors, Patrick</Creator>
          <DisplayDate>Modified</DisplayDate>
          <Function>ZQU/PQ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SheetSettings>
</BroseExcelWorkbookSettings>
</file>

<file path=customXml/itemProps1.xml><?xml version="1.0" encoding="utf-8"?>
<ds:datastoreItem xmlns:ds="http://schemas.openxmlformats.org/officeDocument/2006/customXml" ds:itemID="{7D2FBFE5-E0B5-48C0-AC2E-16382E8FD8A4}">
  <ds:schemaRefs>
    <ds:schemaRef ds:uri="http://www.w3.org/2001/XMLSchema"/>
    <ds:schemaRef ds:uri="http://brose.net/Office/BroseExcelMarginSettings"/>
    <ds:schemaRef ds:uri=""/>
  </ds:schemaRefs>
</ds:datastoreItem>
</file>

<file path=customXml/itemProps2.xml><?xml version="1.0" encoding="utf-8"?>
<ds:datastoreItem xmlns:ds="http://schemas.openxmlformats.org/officeDocument/2006/customXml" ds:itemID="{08561B67-D225-4434-B143-7A95270B8F2E}">
  <ds:schemaRefs>
    <ds:schemaRef ds:uri="http://www.w3.org/2001/XMLSchema"/>
    <ds:schemaRef ds:uri="http://brose.net/Office/BroseWorkbookSettings"/>
    <ds:schemaRef ds:uri=""/>
    <ds:schemaRef ds:uri="http://brose.net/Office/BroseDocumentSetting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18</vt:i4>
      </vt:variant>
    </vt:vector>
  </HeadingPairs>
  <TitlesOfParts>
    <vt:vector size="35" baseType="lpstr">
      <vt:lpstr>PMP Start</vt:lpstr>
      <vt:lpstr>8D-Report</vt:lpstr>
      <vt:lpstr>Statistic</vt:lpstr>
      <vt:lpstr>Is IsNot</vt:lpstr>
      <vt:lpstr>Ishikawa</vt:lpstr>
      <vt:lpstr>C&amp;E</vt:lpstr>
      <vt:lpstr>Verify</vt:lpstr>
      <vt:lpstr>5Why</vt:lpstr>
      <vt:lpstr>Read-Across</vt:lpstr>
      <vt:lpstr>Action plan</vt:lpstr>
      <vt:lpstr>Buttons</vt:lpstr>
      <vt:lpstr>Languages</vt:lpstr>
      <vt:lpstr>Evaluation</vt:lpstr>
      <vt:lpstr>Help</vt:lpstr>
      <vt:lpstr>Attachment 1</vt:lpstr>
      <vt:lpstr>Attachment 2</vt:lpstr>
      <vt:lpstr>Changelog</vt:lpstr>
      <vt:lpstr>'PMP Start'!bmStatusEnd</vt:lpstr>
      <vt:lpstr>'PMP Start'!bmStatusSart</vt:lpstr>
      <vt:lpstr>'8D-Report'!Druckbereich</vt:lpstr>
      <vt:lpstr>'Action plan'!Druckbereich</vt:lpstr>
      <vt:lpstr>'Attachment 1'!Druckbereich</vt:lpstr>
      <vt:lpstr>'Attachment 2'!Druckbereich</vt:lpstr>
      <vt:lpstr>'C&amp;E'!Druckbereich</vt:lpstr>
      <vt:lpstr>Changelog!Druckbereich</vt:lpstr>
      <vt:lpstr>Evaluation!Druckbereich</vt:lpstr>
      <vt:lpstr>Help!Druckbereich</vt:lpstr>
      <vt:lpstr>'Is IsNot'!Druckbereich</vt:lpstr>
      <vt:lpstr>Ishikawa!Druckbereich</vt:lpstr>
      <vt:lpstr>'PMP Start'!Druckbereich</vt:lpstr>
      <vt:lpstr>'Read-Across'!Druckbereich</vt:lpstr>
      <vt:lpstr>Statistic!Druckbereich</vt:lpstr>
      <vt:lpstr>Verify!Druckbereich</vt:lpstr>
      <vt:lpstr>Evaluation!Drucktitel</vt:lpstr>
      <vt:lpstr>'Read-Across'!Drucktitel</vt:lpstr>
    </vt:vector>
  </TitlesOfParts>
  <Manager/>
  <Company>Brose Fahrzeugteile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Problemmanagement Lieferanten</dc:title>
  <dc:creator>Seiler, Christina</dc:creator>
  <cp:keywords>Release 2020 (08.01.2020)</cp:keywords>
  <cp:lastModifiedBy>Seiler, Christina</cp:lastModifiedBy>
  <cp:lastPrinted>2021-04-27T05:38:09Z</cp:lastPrinted>
  <dcterms:created xsi:type="dcterms:W3CDTF">2010-08-24T09:08:37Z</dcterms:created>
  <dcterms:modified xsi:type="dcterms:W3CDTF">2021-04-27T07:57:52Z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ate">
    <vt:lpwstr>24. Aug. 10</vt:lpwstr>
  </property>
  <property fmtid="{D5CDD505-2E9C-101B-9397-08002B2CF9AE}" pid="3" name="SaveDate">
    <vt:lpwstr>22. Dez. 10</vt:lpwstr>
  </property>
  <property fmtid="{D5CDD505-2E9C-101B-9397-08002B2CF9AE}" pid="4" name="sysVersion">
    <vt:lpwstr>2.0</vt:lpwstr>
  </property>
  <property fmtid="{D5CDD505-2E9C-101B-9397-08002B2CF9AE}" pid="5" name="sysIndex">
    <vt:lpwstr>202</vt:lpwstr>
  </property>
  <property fmtid="{D5CDD505-2E9C-101B-9397-08002B2CF9AE}" pid="6" name="sysCurrentUsername">
    <vt:lpwstr>Mors, Patrick</vt:lpwstr>
  </property>
  <property fmtid="{D5CDD505-2E9C-101B-9397-08002B2CF9AE}" pid="7" name="sysCurrentUserFunction">
    <vt:lpwstr>ZQU/PQ</vt:lpwstr>
  </property>
  <property fmtid="{D5CDD505-2E9C-101B-9397-08002B2CF9AE}" pid="8" name="sysCurrentUserLocation">
    <vt:lpwstr>COB</vt:lpwstr>
  </property>
  <property fmtid="{D5CDD505-2E9C-101B-9397-08002B2CF9AE}" pid="9" name="sysFilePathFull">
    <vt:lpwstr>G:\Func\ZQU\10_Prod_Qualitaet\60_Methoden\00_In Bearbeitung\2016_02_Überarbeitung Lieferanten-8D-Vorlage (morspat)\Lieferanten8D_11.xlsx</vt:lpwstr>
  </property>
  <property fmtid="{D5CDD505-2E9C-101B-9397-08002B2CF9AE}" pid="10" name="sysDontSetMargins">
    <vt:lpwstr>true</vt:lpwstr>
  </property>
</Properties>
</file>