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customProperty4.bin" ContentType="application/vnd.openxmlformats-officedocument.spreadsheetml.customProperty"/>
  <Override PartName="/xl/drawings/drawing3.xml" ContentType="application/vnd.openxmlformats-officedocument.drawing+xml"/>
  <Override PartName="/xl/ctrlProps/ctrlProp3.xml" ContentType="application/vnd.ms-excel.controlproperties+xml"/>
  <Override PartName="/xl/customProperty5.bin" ContentType="application/vnd.openxmlformats-officedocument.spreadsheetml.customProperty"/>
  <Override PartName="/xl/drawings/drawing4.xml" ContentType="application/vnd.openxmlformats-officedocument.drawing+xml"/>
  <Override PartName="/xl/ctrlProps/ctrlProp4.xml" ContentType="application/vnd.ms-excel.controlproperties+xml"/>
  <Override PartName="/xl/customProperty6.bin" ContentType="application/vnd.openxmlformats-officedocument.spreadsheetml.customProperty"/>
  <Override PartName="/xl/drawings/drawing5.xml" ContentType="application/vnd.openxmlformats-officedocument.drawing+xml"/>
  <Override PartName="/xl/ctrlProps/ctrlProp5.xml" ContentType="application/vnd.ms-excel.controlproperties+xml"/>
  <Override PartName="/xl/comments2.xml" ContentType="application/vnd.openxmlformats-officedocument.spreadsheetml.comments+xml"/>
  <Override PartName="/xl/customProperty7.bin" ContentType="application/vnd.openxmlformats-officedocument.spreadsheetml.customProperty"/>
  <Override PartName="/xl/drawings/drawing6.xml" ContentType="application/vnd.openxmlformats-officedocument.drawing+xml"/>
  <Override PartName="/xl/ctrlProps/ctrlProp6.xml" ContentType="application/vnd.ms-excel.controlproperties+xml"/>
  <Override PartName="/xl/comments3.xml" ContentType="application/vnd.openxmlformats-officedocument.spreadsheetml.comments+xml"/>
  <Override PartName="/xl/customProperty8.bin" ContentType="application/vnd.openxmlformats-officedocument.spreadsheetml.customProperty"/>
  <Override PartName="/xl/drawings/drawing7.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customProperty9.bin" ContentType="application/vnd.openxmlformats-officedocument.spreadsheetml.customProperty"/>
  <Override PartName="/xl/drawings/drawing8.xml" ContentType="application/vnd.openxmlformats-officedocument.drawing+xml"/>
  <Override PartName="/xl/ctrlProps/ctrlProp8.xml" ContentType="application/vnd.ms-excel.controlproperties+xml"/>
  <Override PartName="/xl/customProperty10.bin" ContentType="application/vnd.openxmlformats-officedocument.spreadsheetml.customProperty"/>
  <Override PartName="/xl/drawings/drawing9.xml" ContentType="application/vnd.openxmlformats-officedocument.drawing+xml"/>
  <Override PartName="/xl/ctrlProps/ctrlProp9.xml" ContentType="application/vnd.ms-excel.controlproperties+xml"/>
  <Override PartName="/xl/comments5.xml" ContentType="application/vnd.openxmlformats-officedocument.spreadsheetml.comments+xml"/>
  <Override PartName="/xl/customProperty11.bin" ContentType="application/vnd.openxmlformats-officedocument.spreadsheetml.customProperty"/>
  <Override PartName="/xl/drawings/drawing10.xml" ContentType="application/vnd.openxmlformats-officedocument.drawing+xml"/>
  <Override PartName="/xl/ctrlProps/ctrlProp10.xml" ContentType="application/vnd.ms-excel.controlproperties+xml"/>
  <Override PartName="/xl/comments6.xml" ContentType="application/vnd.openxmlformats-officedocument.spreadsheetml.comments+xml"/>
  <Override PartName="/xl/customProperty12.bin" ContentType="application/vnd.openxmlformats-officedocument.spreadsheetml.customProperty"/>
  <Override PartName="/xl/drawings/drawing11.xml" ContentType="application/vnd.openxmlformats-officedocument.drawing+xml"/>
  <Override PartName="/xl/ctrlProps/ctrlProp11.xml" ContentType="application/vnd.ms-excel.controlproperties+xml"/>
  <Override PartName="/xl/comments7.xml" ContentType="application/vnd.openxmlformats-officedocument.spreadsheetml.comments+xml"/>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drawings/drawing12.xml" ContentType="application/vnd.openxmlformats-officedocument.drawing+xml"/>
  <Override PartName="/xl/ctrlProps/ctrlProp12.xml" ContentType="application/vnd.ms-excel.controlproperties+xml"/>
  <Override PartName="/xl/comments8.xml" ContentType="application/vnd.openxmlformats-officedocument.spreadsheetml.comments+xml"/>
  <Override PartName="/xl/customProperty18.bin" ContentType="application/vnd.openxmlformats-officedocument.spreadsheetml.customProperty"/>
  <Override PartName="/xl/customProperty19.bin" ContentType="application/vnd.openxmlformats-officedocument.spreadsheetml.customProperty"/>
  <Override PartName="/xl/drawings/drawing13.xml" ContentType="application/vnd.openxmlformats-officedocument.drawing+xml"/>
  <Override PartName="/xl/comments9.xml" ContentType="application/vnd.openxmlformats-officedocument.spreadsheetml.comments+xml"/>
  <Override PartName="/xl/customProperty20.bin" ContentType="application/vnd.openxmlformats-officedocument.spreadsheetml.customProperty"/>
  <Override PartName="/xl/drawings/drawing14.xml" ContentType="application/vnd.openxmlformats-officedocument.drawing+xml"/>
  <Override PartName="/xl/ctrlProps/ctrlProp13.xml" ContentType="application/vnd.ms-excel.controlproperties+xml"/>
  <Override PartName="/xl/customProperty21.bin" ContentType="application/vnd.openxmlformats-officedocument.spreadsheetml.customProperty"/>
  <Override PartName="/xl/drawings/drawing15.xml" ContentType="application/vnd.openxmlformats-officedocument.drawing+xml"/>
  <Override PartName="/xl/ctrlProps/ctrlProp14.xml" ContentType="application/vnd.ms-excel.controlproperties+xml"/>
  <Override PartName="/xl/customProperty22.bin" ContentType="application/vnd.openxmlformats-officedocument.spreadsheetml.customProperty"/>
  <Override PartName="/xl/drawings/drawing16.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ustomProperty23.bin" ContentType="application/vnd.openxmlformats-officedocument.spreadsheetml.customProperty"/>
  <Override PartName="/xl/drawings/drawing17.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ustomProperty24.bin" ContentType="application/vnd.openxmlformats-officedocument.spreadsheetml.customProperty"/>
  <Override PartName="/xl/drawings/drawing18.xml" ContentType="application/vnd.openxmlformats-officedocument.drawing+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ustomProperty25.bin" ContentType="application/vnd.openxmlformats-officedocument.spreadsheetml.customProperty"/>
  <Override PartName="/xl/drawings/drawing19.xml" ContentType="application/vnd.openxmlformats-officedocument.drawing+xml"/>
  <Override PartName="/xl/ctrlProps/ctrlProp249.xml" ContentType="application/vnd.ms-excel.controlproperties+xml"/>
  <Override PartName="/xl/customProperty26.bin" ContentType="application/vnd.openxmlformats-officedocument.spreadsheetml.customProperty"/>
  <Override PartName="/xl/drawings/drawing20.xml" ContentType="application/vnd.openxmlformats-officedocument.drawing+xml"/>
  <Override PartName="/xl/ctrlProps/ctrlProp25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updateLinks="never" codeName="DieseArbeitsmappe"/>
  <mc:AlternateContent xmlns:mc="http://schemas.openxmlformats.org/markup-compatibility/2006">
    <mc:Choice Requires="x15">
      <x15ac:absPath xmlns:x15ac="http://schemas.microsoft.com/office/spreadsheetml/2010/11/ac" url="https://brosecloud.sharepoint.com/sites/Teams-001189/Shared Documents/General/04_Prozesse_Supplier_Quality/06_Supplier-Quality_Gates_FRT/2_Templates/221/"/>
    </mc:Choice>
  </mc:AlternateContent>
  <xr:revisionPtr revIDLastSave="334" documentId="8_{48058AF1-6071-425B-8708-2103C32FA80F}" xr6:coauthVersionLast="47" xr6:coauthVersionMax="47" xr10:uidLastSave="{AC0BBC01-B737-4F0B-AEDF-D42A04851D54}"/>
  <bookViews>
    <workbookView xWindow="-113" yWindow="-113" windowWidth="24267" windowHeight="14526" tabRatio="948" firstSheet="2" activeTab="2" xr2:uid="{00000000-000D-0000-FFFF-FFFF00000000}"/>
  </bookViews>
  <sheets>
    <sheet name="LANGUAGE" sheetId="44" state="hidden" r:id="rId1"/>
    <sheet name="Hilfstabelle SQG DEEN" sheetId="42" state="hidden" r:id="rId2"/>
    <sheet name="Instruction" sheetId="43" r:id="rId3"/>
    <sheet name="Basic_Data" sheetId="23" r:id="rId4"/>
    <sheet name="DSQG_Result" sheetId="53" state="hidden" r:id="rId5"/>
    <sheet name="DSQG_0" sheetId="54" state="hidden" r:id="rId6"/>
    <sheet name="DSQG_1" sheetId="55" state="hidden" r:id="rId7"/>
    <sheet name="DSQG_2" sheetId="56" state="hidden" r:id="rId8"/>
    <sheet name="SQG_Result" sheetId="14" state="hidden" r:id="rId9"/>
    <sheet name="SQG_1" sheetId="45" state="hidden" r:id="rId10"/>
    <sheet name="SQG_2" sheetId="46" state="hidden" r:id="rId11"/>
    <sheet name="SQG_3" sheetId="47" state="hidden" r:id="rId12"/>
    <sheet name="LQG-Ergebnis" sheetId="18" state="hidden" r:id="rId13"/>
    <sheet name="LQG1" sheetId="19" state="hidden" r:id="rId14"/>
    <sheet name="LQG2" sheetId="20" state="hidden" r:id="rId15"/>
    <sheet name="LQG3" sheetId="21" state="hidden" r:id="rId16"/>
    <sheet name="FRT" sheetId="59" r:id="rId17"/>
    <sheet name="Gewichte" sheetId="36" state="hidden" r:id="rId18"/>
    <sheet name="optional TP DE" sheetId="39" state="hidden" r:id="rId19"/>
    <sheet name="Weights" sheetId="52" r:id="rId20"/>
    <sheet name="opt. Timing" sheetId="49" state="hidden" r:id="rId21"/>
    <sheet name="opt. Mixed_Part_Audit" sheetId="27" state="hidden" r:id="rId22"/>
    <sheet name="opt. Drawing_Review" sheetId="24" state="hidden" r:id="rId23"/>
    <sheet name="opt. MA_1" sheetId="50" state="hidden" r:id="rId24"/>
    <sheet name="opt. MA_2" sheetId="51" state="hidden" r:id="rId25"/>
    <sheet name="opt. MA_3" sheetId="58" state="hidden" r:id="rId26"/>
    <sheet name="Failure Provocation Check" sheetId="61" r:id="rId27"/>
    <sheet name="Listen_Lists" sheetId="62" state="hidden" r:id="rId28"/>
    <sheet name="Version History" sheetId="60" r:id="rId29"/>
  </sheets>
  <externalReferences>
    <externalReference r:id="rId30"/>
    <externalReference r:id="rId31"/>
    <externalReference r:id="rId32"/>
    <externalReference r:id="rId33"/>
  </externalReferences>
  <definedNames>
    <definedName name="_xlnm._FilterDatabase" localSheetId="5" hidden="1">DSQG_0!#REF!</definedName>
    <definedName name="_xlnm._FilterDatabase" localSheetId="6" hidden="1">DSQG_1!#REF!</definedName>
    <definedName name="_xlnm._FilterDatabase" localSheetId="7" hidden="1">DSQG_2!#REF!</definedName>
    <definedName name="_xlnm._FilterDatabase" localSheetId="26" hidden="1">'Failure Provocation Check'!$A$13:$J$73</definedName>
    <definedName name="_xlnm._FilterDatabase" localSheetId="0" hidden="1">LANGUAGE!$A$13:$F$2533</definedName>
    <definedName name="_xlnm._FilterDatabase" localSheetId="9" hidden="1">SQG_1!#REF!</definedName>
    <definedName name="_xlnm._FilterDatabase" localSheetId="10" hidden="1">SQG_2!$B$47:$AG$47</definedName>
    <definedName name="_xlnm._FilterDatabase" localSheetId="11" hidden="1">SQG_3!$B$50:$AG$50</definedName>
    <definedName name="Aktuelle_SOLL_Spezifikation">'[1]AWE-Antrag'!$AB$2:$AB$4</definedName>
    <definedName name="Aktueller_IST_Stand">'[1]AWE-Antrag'!$AC$2:$AC$4</definedName>
    <definedName name="Auswahlfeld_FRT_Durchführung" localSheetId="19">[2]LANGUAGE!$H$4:$H$5</definedName>
    <definedName name="Auswahlfeld_FRT_Durchführung">LANGUAGE!$H$4:$H$5</definedName>
    <definedName name="Auswahlfeld_FRT_Wiederholung" localSheetId="19">[2]LANGUAGE!$I$4:$I$5</definedName>
    <definedName name="Auswahlfeld_FRT_Wiederholung">LANGUAGE!$I$4:$I$5</definedName>
    <definedName name="bmColorStatus">[3]Ref!$B$2:$B$5</definedName>
    <definedName name="bmGreen2">[3]Ref!$B$3</definedName>
    <definedName name="bmLanguages">[3]Ref!$A$2:$A$4</definedName>
    <definedName name="bmRed2">[3]Ref!$B$5</definedName>
    <definedName name="bmWhite2">[3]Ref!$B$2</definedName>
    <definedName name="bmYellow2">[3]Ref!$B$4</definedName>
    <definedName name="Brose_Entscheid">[1]Anlage!$U$6:$U$8</definedName>
    <definedName name="contact_persons">LANGUAGE!$K$4:$K$12</definedName>
    <definedName name="D_Teil?">'[1]AWE-Antrag'!$AA$2:$AA$4</definedName>
    <definedName name="_xlnm.Print_Area" localSheetId="3">Basic_Data!$B$1:$X$40</definedName>
    <definedName name="_xlnm.Print_Area" localSheetId="5">DSQG_0!$B$1:$AK$63</definedName>
    <definedName name="_xlnm.Print_Area" localSheetId="6">DSQG_1!$B$1:$AK$51</definedName>
    <definedName name="_xlnm.Print_Area" localSheetId="7">DSQG_2!$B$1:$AK$56</definedName>
    <definedName name="_xlnm.Print_Area" localSheetId="4">DSQG_Result!$B$1:$AM$36</definedName>
    <definedName name="_xlnm.Print_Area" localSheetId="16">FRT!$B$1:$AL$207</definedName>
    <definedName name="_xlnm.Print_Area" localSheetId="17">Gewichte!$A$1:$W$62</definedName>
    <definedName name="_xlnm.Print_Area" localSheetId="2">Instruction!$A$1:$U$10</definedName>
    <definedName name="_xlnm.Print_Area" localSheetId="0">LANGUAGE!$A$13:$D$502</definedName>
    <definedName name="_xlnm.Print_Area" localSheetId="13">'LQG1'!$A$1:$AB$66</definedName>
    <definedName name="_xlnm.Print_Area" localSheetId="14">'LQG2'!$A$1:$AB$66</definedName>
    <definedName name="_xlnm.Print_Area" localSheetId="15">'LQG3'!$A$1:$AB$67</definedName>
    <definedName name="_xlnm.Print_Area" localSheetId="12">'LQG-Ergebnis'!$A$1:$BQ$62</definedName>
    <definedName name="_xlnm.Print_Area" localSheetId="22">'opt. Drawing_Review'!$A$1:$AM$41</definedName>
    <definedName name="_xlnm.Print_Area" localSheetId="23">'opt. MA_1'!$B$1:$AB$53</definedName>
    <definedName name="_xlnm.Print_Area" localSheetId="24">'opt. MA_2'!$B$1:$Y$121</definedName>
    <definedName name="_xlnm.Print_Area" localSheetId="25">'opt. MA_3'!$B$1:$AB$51</definedName>
    <definedName name="_xlnm.Print_Area" localSheetId="21">'opt. Mixed_Part_Audit'!$B$1:$AR$52</definedName>
    <definedName name="_xlnm.Print_Area" localSheetId="20">'opt. Timing'!$A$5:$CJ$63</definedName>
    <definedName name="_xlnm.Print_Area" localSheetId="18">'optional TP DE'!$A$2:$BR$65</definedName>
    <definedName name="_xlnm.Print_Area" localSheetId="9">SQG_1!$B$1:$AK$70</definedName>
    <definedName name="_xlnm.Print_Area" localSheetId="10">SQG_2!$B$1:$AK$57</definedName>
    <definedName name="_xlnm.Print_Area" localSheetId="11">SQG_3!$B$1:$AK$59</definedName>
    <definedName name="_xlnm.Print_Area" localSheetId="8">SQG_Result!$B$1:$AM$35</definedName>
    <definedName name="_xlnm.Print_Area" localSheetId="19">Weights!$B$1:$U$108</definedName>
    <definedName name="_xlnm.Print_Titles" localSheetId="20">'opt. Timing'!$14:$21</definedName>
    <definedName name="_xlnm.Print_Titles" localSheetId="18">'optional TP DE'!$4:$22</definedName>
    <definedName name="Entscheidung">'[1]AWE-Antrag'!$Y$2</definedName>
    <definedName name="Farben" localSheetId="9">#REF!</definedName>
    <definedName name="Farben" localSheetId="10">#REF!</definedName>
    <definedName name="Farben" localSheetId="11">#REF!</definedName>
    <definedName name="Farben" localSheetId="19">#REF!</definedName>
    <definedName name="Farben">#REF!</definedName>
    <definedName name="FuL">LANGUAGE!$J$4:$J$21</definedName>
    <definedName name="Maßnahme">[1]Anlage!$T$6:$T$8</definedName>
    <definedName name="MPR">LANGUAGE!$L$4:$L$12</definedName>
    <definedName name="Status_Bewertung" localSheetId="19">[2]LANGUAGE!$F$4:$F$7</definedName>
    <definedName name="Status_Bewertung">LANGUAGE!$F$4:$F$7</definedName>
    <definedName name="Status_Maßnahme" localSheetId="19">[2]LANGUAGE!$G$4:$G$5</definedName>
    <definedName name="Status_Maßnahme">LANGUAGE!$G$4:$G$5</definedName>
    <definedName name="Temporäre_SOLL_Vorgabe">'[1]AWE-Antrag'!$AD$2:$AD$4</definedName>
    <definedName name="Verantwortlich">[1]Anlage!$V$6:$V$7</definedName>
    <definedName name="Z_04585631_B123_49CF_BAF8_E976C7D57715_.wvu.Cols" localSheetId="16" hidden="1">FRT!#REF!,FRT!#REF!,FRT!#REF!</definedName>
    <definedName name="Z_04585631_B123_49CF_BAF8_E976C7D57715_.wvu.PrintArea" localSheetId="16" hidden="1">FRT!$B$47:$AP$177</definedName>
    <definedName name="Z_04585631_B123_49CF_BAF8_E976C7D57715_.wvu.Rows" localSheetId="16" hidden="1">FRT!#REF!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62" l="1"/>
  <c r="B1" i="62"/>
  <c r="E69" i="61"/>
  <c r="D69" i="61"/>
  <c r="C69" i="61"/>
  <c r="B69" i="61"/>
  <c r="E64" i="61"/>
  <c r="D64" i="61"/>
  <c r="C64" i="61"/>
  <c r="B64" i="61"/>
  <c r="E59" i="61"/>
  <c r="D59" i="61"/>
  <c r="C59" i="61"/>
  <c r="B59" i="61"/>
  <c r="E54" i="61"/>
  <c r="D54" i="61"/>
  <c r="C54" i="61"/>
  <c r="B54" i="61"/>
  <c r="E49" i="61"/>
  <c r="D49" i="61"/>
  <c r="C49" i="61"/>
  <c r="B49" i="61"/>
  <c r="E44" i="61"/>
  <c r="D44" i="61"/>
  <c r="C44" i="61"/>
  <c r="B44" i="61"/>
  <c r="E39" i="61"/>
  <c r="D39" i="61"/>
  <c r="C39" i="61"/>
  <c r="B39" i="61"/>
  <c r="E34" i="61"/>
  <c r="D34" i="61"/>
  <c r="C34" i="61"/>
  <c r="B34" i="61"/>
  <c r="E29" i="61"/>
  <c r="D29" i="61"/>
  <c r="C29" i="61"/>
  <c r="B29" i="61"/>
  <c r="E24" i="61"/>
  <c r="D24" i="61"/>
  <c r="C24" i="61"/>
  <c r="B24" i="61"/>
  <c r="E19" i="61"/>
  <c r="D19" i="61"/>
  <c r="C19" i="61"/>
  <c r="B19" i="61"/>
  <c r="E14" i="61"/>
  <c r="D14" i="61"/>
  <c r="C14" i="61"/>
  <c r="B14" i="61"/>
  <c r="J13" i="61"/>
  <c r="I13" i="61"/>
  <c r="H13" i="61"/>
  <c r="G13" i="61"/>
  <c r="F13" i="61"/>
  <c r="E13" i="61"/>
  <c r="D13" i="61"/>
  <c r="C13" i="61"/>
  <c r="B13" i="61"/>
  <c r="A13" i="61"/>
  <c r="A10" i="61"/>
  <c r="F8" i="61"/>
  <c r="A8" i="61"/>
  <c r="F7" i="61"/>
  <c r="A7" i="61"/>
  <c r="F6" i="61"/>
  <c r="A6" i="61"/>
  <c r="F5" i="61"/>
  <c r="A5" i="61"/>
  <c r="A3" i="61"/>
  <c r="J1" i="61"/>
  <c r="A1" i="61"/>
  <c r="D5" i="43"/>
  <c r="D6" i="43"/>
  <c r="I14" i="52"/>
  <c r="I16" i="52"/>
  <c r="N20" i="51"/>
  <c r="M164" i="59" l="1"/>
  <c r="E164" i="59"/>
  <c r="BA164" i="59"/>
  <c r="AY164" i="59"/>
  <c r="C164" i="59"/>
  <c r="L10" i="44"/>
  <c r="L9" i="44"/>
  <c r="M16" i="52"/>
  <c r="M17" i="52"/>
  <c r="M18" i="52"/>
  <c r="M19" i="52"/>
  <c r="M15" i="52"/>
  <c r="I17" i="52"/>
  <c r="I18" i="52"/>
  <c r="I19" i="52"/>
  <c r="I15" i="52"/>
  <c r="B16" i="52"/>
  <c r="B17" i="52"/>
  <c r="B18" i="52"/>
  <c r="B19" i="52"/>
  <c r="F19" i="52"/>
  <c r="F18" i="52"/>
  <c r="F17" i="52"/>
  <c r="F16" i="52"/>
  <c r="F15" i="52"/>
  <c r="B15" i="52"/>
  <c r="M25" i="46"/>
  <c r="M187" i="59"/>
  <c r="BB164" i="59" l="1"/>
  <c r="E187" i="59"/>
  <c r="BA187" i="59" l="1"/>
  <c r="AY187" i="59"/>
  <c r="C187" i="59"/>
  <c r="M202" i="59"/>
  <c r="M44" i="45"/>
  <c r="BB187" i="59" l="1"/>
  <c r="E44" i="45"/>
  <c r="M98" i="59" l="1"/>
  <c r="M95" i="59"/>
  <c r="M34" i="46"/>
  <c r="M205" i="59"/>
  <c r="E205" i="59"/>
  <c r="C205" i="59"/>
  <c r="BA202" i="59"/>
  <c r="AY202" i="59"/>
  <c r="E202" i="59"/>
  <c r="C202" i="59"/>
  <c r="BA199" i="59"/>
  <c r="AY199" i="59"/>
  <c r="M199" i="59"/>
  <c r="E199" i="59"/>
  <c r="C199" i="59"/>
  <c r="BA196" i="59"/>
  <c r="AY196" i="59"/>
  <c r="M196" i="59"/>
  <c r="E196" i="59"/>
  <c r="C196" i="59"/>
  <c r="BA193" i="59"/>
  <c r="AY193" i="59"/>
  <c r="M193" i="59"/>
  <c r="E193" i="59"/>
  <c r="C193" i="59"/>
  <c r="BA190" i="59"/>
  <c r="AY190" i="59"/>
  <c r="M190" i="59"/>
  <c r="E190" i="59"/>
  <c r="C190" i="59"/>
  <c r="BA184" i="59"/>
  <c r="AY184" i="59"/>
  <c r="M184" i="59"/>
  <c r="E184" i="59"/>
  <c r="C184" i="59"/>
  <c r="AJ182" i="59"/>
  <c r="BA182" i="59" s="1"/>
  <c r="AH182" i="59"/>
  <c r="AE182" i="59"/>
  <c r="AB182" i="59"/>
  <c r="Z182" i="59"/>
  <c r="AY182" i="59" s="1"/>
  <c r="U182" i="59"/>
  <c r="M182" i="59"/>
  <c r="E182" i="59"/>
  <c r="C182" i="59"/>
  <c r="B182" i="59"/>
  <c r="B180" i="59"/>
  <c r="C178" i="59"/>
  <c r="BA175" i="59"/>
  <c r="AY175" i="59"/>
  <c r="M175" i="59"/>
  <c r="E175" i="59"/>
  <c r="C175" i="59"/>
  <c r="BA172" i="59"/>
  <c r="AY172" i="59"/>
  <c r="M172" i="59"/>
  <c r="E172" i="59"/>
  <c r="C172" i="59"/>
  <c r="AJ170" i="59"/>
  <c r="AH170" i="59"/>
  <c r="AE170" i="59"/>
  <c r="AB170" i="59"/>
  <c r="Z170" i="59"/>
  <c r="U170" i="59"/>
  <c r="M170" i="59"/>
  <c r="E170" i="59"/>
  <c r="C170" i="59"/>
  <c r="B170" i="59"/>
  <c r="B168" i="59"/>
  <c r="BA161" i="59"/>
  <c r="AY161" i="59"/>
  <c r="M161" i="59"/>
  <c r="E161" i="59"/>
  <c r="C161" i="59"/>
  <c r="BA158" i="59"/>
  <c r="AY158" i="59"/>
  <c r="M158" i="59"/>
  <c r="E158" i="59"/>
  <c r="C158" i="59"/>
  <c r="AJ156" i="59"/>
  <c r="AH156" i="59"/>
  <c r="AE156" i="59"/>
  <c r="AB156" i="59"/>
  <c r="Z156" i="59"/>
  <c r="U156" i="59"/>
  <c r="M156" i="59"/>
  <c r="E156" i="59"/>
  <c r="C156" i="59"/>
  <c r="B156" i="59"/>
  <c r="M152" i="59"/>
  <c r="BA151" i="59"/>
  <c r="AY151" i="59"/>
  <c r="M151" i="59"/>
  <c r="E151" i="59"/>
  <c r="AJ149" i="59"/>
  <c r="AH149" i="59"/>
  <c r="AE149" i="59"/>
  <c r="AB149" i="59"/>
  <c r="Z149" i="59"/>
  <c r="U149" i="59"/>
  <c r="M149" i="59"/>
  <c r="E149" i="59"/>
  <c r="C149" i="59"/>
  <c r="B149" i="59"/>
  <c r="BA143" i="59"/>
  <c r="AY143" i="59"/>
  <c r="M143" i="59"/>
  <c r="E143" i="59"/>
  <c r="C143" i="59"/>
  <c r="BA140" i="59"/>
  <c r="AY140" i="59"/>
  <c r="M140" i="59"/>
  <c r="E140" i="59"/>
  <c r="C140" i="59"/>
  <c r="BA137" i="59"/>
  <c r="AY137" i="59"/>
  <c r="BB137" i="59" s="1"/>
  <c r="M137" i="59"/>
  <c r="E137" i="59"/>
  <c r="C137" i="59"/>
  <c r="BA134" i="59"/>
  <c r="AY134" i="59"/>
  <c r="M134" i="59"/>
  <c r="E134" i="59"/>
  <c r="C134" i="59"/>
  <c r="BA131" i="59"/>
  <c r="AY131" i="59"/>
  <c r="M131" i="59"/>
  <c r="E131" i="59"/>
  <c r="C131" i="59"/>
  <c r="BA128" i="59"/>
  <c r="AY128" i="59"/>
  <c r="M128" i="59"/>
  <c r="E128" i="59"/>
  <c r="C128" i="59"/>
  <c r="E127" i="59"/>
  <c r="BA124" i="59"/>
  <c r="AY124" i="59"/>
  <c r="M124" i="59"/>
  <c r="E124" i="59"/>
  <c r="C124" i="59"/>
  <c r="BA121" i="59"/>
  <c r="AY121" i="59"/>
  <c r="M121" i="59"/>
  <c r="E121" i="59"/>
  <c r="C121" i="59"/>
  <c r="BA118" i="59"/>
  <c r="AY118" i="59"/>
  <c r="M118" i="59"/>
  <c r="E118" i="59"/>
  <c r="C118" i="59"/>
  <c r="AJ116" i="59"/>
  <c r="AH116" i="59"/>
  <c r="AE116" i="59"/>
  <c r="AB116" i="59"/>
  <c r="Z116" i="59"/>
  <c r="U116" i="59"/>
  <c r="M116" i="59"/>
  <c r="E116" i="59"/>
  <c r="C116" i="59"/>
  <c r="B116" i="59"/>
  <c r="B114" i="59"/>
  <c r="BA112" i="59"/>
  <c r="AY112" i="59"/>
  <c r="BA111" i="59"/>
  <c r="AY111" i="59"/>
  <c r="BA110" i="59"/>
  <c r="AY110" i="59"/>
  <c r="M110" i="59"/>
  <c r="E110" i="59"/>
  <c r="C110" i="59"/>
  <c r="BA109" i="59"/>
  <c r="AY109" i="59"/>
  <c r="BA108" i="59"/>
  <c r="AY108" i="59"/>
  <c r="BA107" i="59"/>
  <c r="AY107" i="59"/>
  <c r="M107" i="59"/>
  <c r="E107" i="59"/>
  <c r="C107" i="59"/>
  <c r="BA106" i="59"/>
  <c r="AY106" i="59"/>
  <c r="BA105" i="59"/>
  <c r="AY105" i="59"/>
  <c r="BA104" i="59"/>
  <c r="AY104" i="59"/>
  <c r="M104" i="59"/>
  <c r="E104" i="59"/>
  <c r="C104" i="59"/>
  <c r="BA103" i="59"/>
  <c r="AY103" i="59"/>
  <c r="BA102" i="59"/>
  <c r="AY102" i="59"/>
  <c r="BA101" i="59"/>
  <c r="AY101" i="59"/>
  <c r="M101" i="59"/>
  <c r="E101" i="59"/>
  <c r="C101" i="59"/>
  <c r="BA100" i="59"/>
  <c r="AY100" i="59"/>
  <c r="BA99" i="59"/>
  <c r="AY99" i="59"/>
  <c r="BA98" i="59"/>
  <c r="AY98" i="59"/>
  <c r="E98" i="59"/>
  <c r="C98" i="59"/>
  <c r="BA97" i="59"/>
  <c r="AY97" i="59"/>
  <c r="BA96" i="59"/>
  <c r="AY96" i="59"/>
  <c r="BA95" i="59"/>
  <c r="AY95" i="59"/>
  <c r="E95" i="59"/>
  <c r="C95" i="59"/>
  <c r="AJ93" i="59"/>
  <c r="AH93" i="59"/>
  <c r="AE93" i="59"/>
  <c r="AB93" i="59"/>
  <c r="Z93" i="59"/>
  <c r="U93" i="59"/>
  <c r="M93" i="59"/>
  <c r="E93" i="59"/>
  <c r="C93" i="59"/>
  <c r="B93" i="59"/>
  <c r="B91" i="59"/>
  <c r="BA87" i="59"/>
  <c r="AY87" i="59"/>
  <c r="M87" i="59"/>
  <c r="E87" i="59"/>
  <c r="C87" i="59"/>
  <c r="BA84" i="59"/>
  <c r="AY84" i="59"/>
  <c r="M84" i="59"/>
  <c r="E84" i="59"/>
  <c r="C84" i="59"/>
  <c r="BA81" i="59"/>
  <c r="AY81" i="59"/>
  <c r="BB81" i="59" s="1"/>
  <c r="M81" i="59"/>
  <c r="E81" i="59"/>
  <c r="C81" i="59"/>
  <c r="BA78" i="59"/>
  <c r="AY78" i="59"/>
  <c r="M78" i="59"/>
  <c r="E78" i="59"/>
  <c r="C78" i="59"/>
  <c r="BA75" i="59"/>
  <c r="AY75" i="59"/>
  <c r="M75" i="59"/>
  <c r="E75" i="59"/>
  <c r="C75" i="59"/>
  <c r="AJ73" i="59"/>
  <c r="AH73" i="59"/>
  <c r="AE73" i="59"/>
  <c r="AB73" i="59"/>
  <c r="Z73" i="59"/>
  <c r="U73" i="59"/>
  <c r="M73" i="59"/>
  <c r="E73" i="59"/>
  <c r="C73" i="59"/>
  <c r="B73" i="59"/>
  <c r="B71" i="59"/>
  <c r="BD67" i="59"/>
  <c r="M67" i="59"/>
  <c r="E67" i="59"/>
  <c r="C67" i="59"/>
  <c r="AJ65" i="59"/>
  <c r="AH65" i="59"/>
  <c r="AE65" i="59"/>
  <c r="AB65" i="59"/>
  <c r="Z65" i="59"/>
  <c r="U65" i="59"/>
  <c r="M65" i="59"/>
  <c r="E65" i="59"/>
  <c r="C65" i="59"/>
  <c r="B65" i="59"/>
  <c r="B63" i="59"/>
  <c r="AZ62" i="59"/>
  <c r="AY62" i="59"/>
  <c r="AH61" i="59"/>
  <c r="AA61" i="59"/>
  <c r="X61" i="59"/>
  <c r="AK61" i="59" s="1"/>
  <c r="AG61" i="59" s="1"/>
  <c r="AZ61" i="59" s="1"/>
  <c r="AH60" i="59"/>
  <c r="AA60" i="59"/>
  <c r="X60" i="59"/>
  <c r="AK60" i="59" s="1"/>
  <c r="AG60" i="59" s="1"/>
  <c r="AZ60" i="59" s="1"/>
  <c r="P60" i="59"/>
  <c r="AH59" i="59"/>
  <c r="AA59" i="59"/>
  <c r="X59" i="59"/>
  <c r="P59" i="59" s="1"/>
  <c r="AH58" i="59"/>
  <c r="AA58" i="59"/>
  <c r="X58" i="59"/>
  <c r="P58" i="59" s="1"/>
  <c r="AH57" i="59"/>
  <c r="AA57" i="59"/>
  <c r="X57" i="59"/>
  <c r="AK57" i="59" s="1"/>
  <c r="AG57" i="59" s="1"/>
  <c r="AZ57" i="59" s="1"/>
  <c r="AH56" i="59"/>
  <c r="AA56" i="59"/>
  <c r="X56" i="59"/>
  <c r="P56" i="59" s="1"/>
  <c r="AH55" i="59"/>
  <c r="AA55" i="59"/>
  <c r="X55" i="59"/>
  <c r="AK55" i="59" s="1"/>
  <c r="AG55" i="59" s="1"/>
  <c r="AZ55" i="59" s="1"/>
  <c r="AH54" i="59"/>
  <c r="AA54" i="59"/>
  <c r="X54" i="59"/>
  <c r="P54" i="59" s="1"/>
  <c r="AH53" i="59"/>
  <c r="AA53" i="59"/>
  <c r="X53" i="59"/>
  <c r="AK53" i="59" s="1"/>
  <c r="AG53" i="59" s="1"/>
  <c r="AZ53" i="59" s="1"/>
  <c r="AH52" i="59"/>
  <c r="AA52" i="59"/>
  <c r="X52" i="59"/>
  <c r="AK52" i="59" s="1"/>
  <c r="AG52" i="59" s="1"/>
  <c r="AZ52" i="59" s="1"/>
  <c r="AH51" i="59"/>
  <c r="AA51" i="59"/>
  <c r="X51" i="59"/>
  <c r="P51" i="59" s="1"/>
  <c r="AH50" i="59"/>
  <c r="AA50" i="59"/>
  <c r="X50" i="59"/>
  <c r="P50" i="59" s="1"/>
  <c r="AH49" i="59"/>
  <c r="AA49" i="59"/>
  <c r="X49" i="59"/>
  <c r="P49" i="59" s="1"/>
  <c r="AH48" i="59"/>
  <c r="AA48" i="59"/>
  <c r="X48" i="59"/>
  <c r="AK48" i="59" s="1"/>
  <c r="AG48" i="59" s="1"/>
  <c r="AZ48" i="59" s="1"/>
  <c r="AH47" i="59"/>
  <c r="AA47" i="59"/>
  <c r="X47" i="59"/>
  <c r="AK47" i="59" s="1"/>
  <c r="AG47" i="59" s="1"/>
  <c r="AY44" i="59"/>
  <c r="AY43" i="59"/>
  <c r="AK39" i="59"/>
  <c r="AG39" i="59"/>
  <c r="AC39" i="59"/>
  <c r="AA39" i="59"/>
  <c r="Z39" i="59"/>
  <c r="Y39" i="59"/>
  <c r="X39" i="59"/>
  <c r="W39" i="59"/>
  <c r="V39" i="59"/>
  <c r="T39" i="59"/>
  <c r="R39" i="59"/>
  <c r="P39" i="59"/>
  <c r="N39" i="59"/>
  <c r="L39" i="59"/>
  <c r="J39" i="59"/>
  <c r="I39" i="59"/>
  <c r="G39" i="59"/>
  <c r="B39" i="59"/>
  <c r="X36" i="59"/>
  <c r="M36" i="59"/>
  <c r="B36" i="59"/>
  <c r="AH23" i="59"/>
  <c r="O23" i="59"/>
  <c r="AH22" i="59"/>
  <c r="AB22" i="59"/>
  <c r="U22" i="59"/>
  <c r="O22" i="59"/>
  <c r="I22" i="59"/>
  <c r="B22" i="59"/>
  <c r="B17" i="59"/>
  <c r="Q12" i="59"/>
  <c r="Q10" i="59"/>
  <c r="M10" i="59"/>
  <c r="I10" i="59"/>
  <c r="F10" i="59"/>
  <c r="B10" i="59"/>
  <c r="AG9" i="59"/>
  <c r="Q9" i="59"/>
  <c r="B9" i="59"/>
  <c r="V7" i="59"/>
  <c r="Q7" i="59"/>
  <c r="G7" i="59"/>
  <c r="B7" i="59"/>
  <c r="V6" i="59"/>
  <c r="Q6" i="59"/>
  <c r="G6" i="59"/>
  <c r="B6" i="59"/>
  <c r="AG5" i="59"/>
  <c r="Q5" i="59"/>
  <c r="B5" i="59"/>
  <c r="Q3" i="59"/>
  <c r="B1" i="59"/>
  <c r="P55" i="59" l="1"/>
  <c r="BB102" i="59"/>
  <c r="P52" i="59"/>
  <c r="BB128" i="59"/>
  <c r="BB111" i="59"/>
  <c r="P53" i="59"/>
  <c r="BB75" i="59"/>
  <c r="BB108" i="59"/>
  <c r="BB196" i="59"/>
  <c r="P47" i="59"/>
  <c r="AK59" i="59"/>
  <c r="AG59" i="59" s="1"/>
  <c r="AZ59" i="59" s="1"/>
  <c r="BB103" i="59"/>
  <c r="BB121" i="59"/>
  <c r="BB118" i="59"/>
  <c r="BB101" i="59"/>
  <c r="BB175" i="59"/>
  <c r="BB112" i="59"/>
  <c r="BB104" i="59"/>
  <c r="BB109" i="59"/>
  <c r="BB124" i="59"/>
  <c r="BB106" i="59"/>
  <c r="BB199" i="59"/>
  <c r="BB110" i="59"/>
  <c r="P48" i="59"/>
  <c r="P57" i="59"/>
  <c r="BB84" i="59"/>
  <c r="BB100" i="59"/>
  <c r="BB140" i="59"/>
  <c r="BB161" i="59"/>
  <c r="BB172" i="59"/>
  <c r="BB158" i="59"/>
  <c r="BB190" i="59"/>
  <c r="BB95" i="59"/>
  <c r="BB98" i="59"/>
  <c r="BB87" i="59"/>
  <c r="BB96" i="59"/>
  <c r="BB99" i="59"/>
  <c r="BB143" i="59"/>
  <c r="BB107" i="59"/>
  <c r="BB184" i="59"/>
  <c r="AY47" i="59"/>
  <c r="AZ47" i="59"/>
  <c r="AK49" i="59"/>
  <c r="AG49" i="59" s="1"/>
  <c r="AZ49" i="59" s="1"/>
  <c r="AK56" i="59"/>
  <c r="AG56" i="59" s="1"/>
  <c r="AZ56" i="59" s="1"/>
  <c r="BB97" i="59"/>
  <c r="BB131" i="59"/>
  <c r="P61" i="59"/>
  <c r="BB105" i="59"/>
  <c r="AK51" i="59"/>
  <c r="AG51" i="59" s="1"/>
  <c r="AZ51" i="59" s="1"/>
  <c r="BB78" i="59"/>
  <c r="BB134" i="59"/>
  <c r="BB151" i="59"/>
  <c r="BB193" i="59"/>
  <c r="BB202" i="59"/>
  <c r="AK50" i="59"/>
  <c r="AG50" i="59" s="1"/>
  <c r="AZ50" i="59" s="1"/>
  <c r="AK54" i="59"/>
  <c r="AG54" i="59" s="1"/>
  <c r="AZ54" i="59" s="1"/>
  <c r="AK58" i="59"/>
  <c r="AG58" i="59" s="1"/>
  <c r="AZ58" i="59" s="1"/>
  <c r="AY48" i="59"/>
  <c r="AY52" i="59"/>
  <c r="AY53" i="59"/>
  <c r="AY55" i="59"/>
  <c r="AY57" i="59"/>
  <c r="AY60" i="59"/>
  <c r="AY61" i="59"/>
  <c r="BB182" i="59"/>
  <c r="AY59" i="59" l="1"/>
  <c r="AY51" i="59"/>
  <c r="AY49" i="59"/>
  <c r="AY54" i="59"/>
  <c r="AY56" i="59"/>
  <c r="AY58" i="59"/>
  <c r="AY50" i="59"/>
  <c r="M35" i="47"/>
  <c r="AY45" i="59" l="1"/>
  <c r="Z67" i="59" s="1"/>
  <c r="AY67" i="59" s="1"/>
  <c r="BA67" i="59" s="1"/>
  <c r="BB67" i="59" s="1"/>
  <c r="BB66" i="59" s="1"/>
  <c r="AG11" i="59" s="1"/>
  <c r="E34" i="46"/>
  <c r="BA40" i="46" l="1"/>
  <c r="AZ40" i="46"/>
  <c r="BA39" i="46"/>
  <c r="AZ39" i="46"/>
  <c r="BB40" i="46" l="1"/>
  <c r="BB39" i="46"/>
  <c r="C30" i="49" l="1"/>
  <c r="C28" i="49"/>
  <c r="C26" i="49"/>
  <c r="C24" i="49"/>
  <c r="C22" i="49"/>
  <c r="M40" i="46" l="1"/>
  <c r="E40" i="46"/>
  <c r="C40" i="46"/>
  <c r="M39" i="46"/>
  <c r="E39" i="46"/>
  <c r="C39" i="46" l="1"/>
  <c r="AY32" i="43"/>
  <c r="AY31" i="43"/>
  <c r="L8" i="44"/>
  <c r="L7" i="44"/>
  <c r="L6" i="44"/>
  <c r="L5" i="44"/>
  <c r="L4" i="44"/>
  <c r="K12" i="44"/>
  <c r="K11" i="44"/>
  <c r="K10" i="44"/>
  <c r="K9" i="44"/>
  <c r="K8" i="44"/>
  <c r="K7" i="44"/>
  <c r="K6" i="44"/>
  <c r="K5" i="44"/>
  <c r="K4" i="44"/>
  <c r="AA35" i="43"/>
  <c r="B20" i="43" l="1"/>
  <c r="R46" i="43"/>
  <c r="R45" i="43"/>
  <c r="R44" i="43"/>
  <c r="AA37" i="43"/>
  <c r="X37" i="43"/>
  <c r="AA36" i="43"/>
  <c r="X36" i="43"/>
  <c r="AK36" i="43" s="1"/>
  <c r="AG36" i="43" s="1"/>
  <c r="X35" i="43"/>
  <c r="AK35" i="43" s="1"/>
  <c r="AK27" i="43"/>
  <c r="AG27" i="43"/>
  <c r="AC27" i="43"/>
  <c r="AA27" i="43"/>
  <c r="Z27" i="43"/>
  <c r="Y27" i="43"/>
  <c r="X27" i="43"/>
  <c r="W27" i="43"/>
  <c r="V27" i="43"/>
  <c r="T27" i="43"/>
  <c r="R27" i="43"/>
  <c r="P27" i="43"/>
  <c r="N27" i="43"/>
  <c r="L27" i="43"/>
  <c r="J27" i="43"/>
  <c r="I27" i="43"/>
  <c r="G27" i="43"/>
  <c r="B27" i="43"/>
  <c r="X24" i="43"/>
  <c r="M24" i="43"/>
  <c r="B24" i="43"/>
  <c r="C42" i="45"/>
  <c r="M53" i="50"/>
  <c r="P53" i="50"/>
  <c r="B53" i="50"/>
  <c r="B18" i="50"/>
  <c r="AK37" i="43" l="1"/>
  <c r="AG37" i="43" s="1"/>
  <c r="P37" i="43"/>
  <c r="P35" i="43"/>
  <c r="P36" i="43"/>
  <c r="AG35" i="43"/>
  <c r="AZ36" i="43"/>
  <c r="AY36" i="43"/>
  <c r="AH36" i="43" s="1"/>
  <c r="W18" i="50"/>
  <c r="R6" i="58"/>
  <c r="R7" i="58"/>
  <c r="R8" i="58"/>
  <c r="R5" i="58"/>
  <c r="D6" i="58"/>
  <c r="D7" i="58"/>
  <c r="D8" i="58"/>
  <c r="D5" i="58"/>
  <c r="D5" i="51"/>
  <c r="D6" i="51"/>
  <c r="D7" i="51"/>
  <c r="D8" i="51"/>
  <c r="K8" i="51"/>
  <c r="K6" i="51"/>
  <c r="K7" i="51"/>
  <c r="K5" i="51"/>
  <c r="M33" i="47"/>
  <c r="B20" i="58"/>
  <c r="AA12" i="58"/>
  <c r="F12" i="58"/>
  <c r="D12" i="58"/>
  <c r="B12" i="58"/>
  <c r="B10" i="58"/>
  <c r="I10" i="51"/>
  <c r="B10" i="51"/>
  <c r="I10" i="50"/>
  <c r="B10" i="50"/>
  <c r="AZ37" i="43" l="1"/>
  <c r="AY37" i="43"/>
  <c r="AH37" i="43" s="1"/>
  <c r="AZ35" i="43"/>
  <c r="AY35" i="43"/>
  <c r="I8" i="51"/>
  <c r="B8" i="51"/>
  <c r="I7" i="51"/>
  <c r="B7" i="51"/>
  <c r="I6" i="51"/>
  <c r="B6" i="51"/>
  <c r="I5" i="51"/>
  <c r="B5" i="51"/>
  <c r="B4" i="51"/>
  <c r="B1" i="58"/>
  <c r="P8" i="58"/>
  <c r="B8" i="58"/>
  <c r="P7" i="58"/>
  <c r="B7" i="58"/>
  <c r="P6" i="58"/>
  <c r="B6" i="58"/>
  <c r="P5" i="58"/>
  <c r="B5" i="58"/>
  <c r="B4" i="58"/>
  <c r="J21" i="44"/>
  <c r="J20" i="44"/>
  <c r="J19" i="44"/>
  <c r="J18" i="44"/>
  <c r="J17" i="44"/>
  <c r="J16" i="44"/>
  <c r="J15" i="44"/>
  <c r="J14" i="44"/>
  <c r="J13" i="44"/>
  <c r="J12" i="44"/>
  <c r="J11" i="44"/>
  <c r="J10" i="44"/>
  <c r="J9" i="44"/>
  <c r="J8" i="44"/>
  <c r="J7" i="44"/>
  <c r="J6" i="44"/>
  <c r="J5" i="44"/>
  <c r="J4" i="44"/>
  <c r="AH48" i="56"/>
  <c r="Z48" i="56"/>
  <c r="U48" i="56"/>
  <c r="O48" i="56"/>
  <c r="G48" i="56"/>
  <c r="B48" i="56"/>
  <c r="AH43" i="55"/>
  <c r="Z43" i="55"/>
  <c r="U43" i="55"/>
  <c r="O43" i="55"/>
  <c r="G43" i="55"/>
  <c r="B43" i="55"/>
  <c r="AH55" i="54"/>
  <c r="Z55" i="54"/>
  <c r="U55" i="54"/>
  <c r="O55" i="54"/>
  <c r="G55" i="54"/>
  <c r="B55" i="54"/>
  <c r="P42" i="50"/>
  <c r="P41" i="50"/>
  <c r="D20" i="51"/>
  <c r="AH35" i="43" l="1"/>
  <c r="AY33" i="43"/>
  <c r="D51" i="50"/>
  <c r="AH51" i="47"/>
  <c r="Z51" i="47"/>
  <c r="U51" i="47"/>
  <c r="O51" i="47"/>
  <c r="G51" i="47"/>
  <c r="B51" i="47"/>
  <c r="AH48" i="46"/>
  <c r="Z48" i="46"/>
  <c r="U48" i="46"/>
  <c r="O48" i="46"/>
  <c r="G48" i="46"/>
  <c r="B48" i="46"/>
  <c r="U62" i="45"/>
  <c r="Z62" i="45"/>
  <c r="G62" i="45"/>
  <c r="B62" i="45"/>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58" i="51"/>
  <c r="W59" i="51"/>
  <c r="W60" i="51"/>
  <c r="W61" i="51"/>
  <c r="W62" i="51"/>
  <c r="W63" i="51"/>
  <c r="W64" i="51"/>
  <c r="W65" i="51"/>
  <c r="W66" i="51"/>
  <c r="W67" i="51"/>
  <c r="W68" i="51"/>
  <c r="W69" i="51"/>
  <c r="W70" i="51"/>
  <c r="W71" i="51"/>
  <c r="W72" i="51"/>
  <c r="W73" i="51"/>
  <c r="W74" i="51"/>
  <c r="W75" i="51"/>
  <c r="W76" i="51"/>
  <c r="W77" i="51"/>
  <c r="W78" i="51"/>
  <c r="W79" i="51"/>
  <c r="W80" i="51"/>
  <c r="W81" i="51"/>
  <c r="W82" i="51"/>
  <c r="W83" i="51"/>
  <c r="W84" i="51"/>
  <c r="W85" i="51"/>
  <c r="W86" i="51"/>
  <c r="W87" i="51"/>
  <c r="W88" i="51"/>
  <c r="W89" i="51"/>
  <c r="W90" i="51"/>
  <c r="W91" i="51"/>
  <c r="W92" i="51"/>
  <c r="W93" i="51"/>
  <c r="W94" i="51"/>
  <c r="W95" i="51"/>
  <c r="W96" i="51"/>
  <c r="W97" i="51"/>
  <c r="W98" i="51"/>
  <c r="W99" i="51"/>
  <c r="W100" i="51"/>
  <c r="W101" i="51"/>
  <c r="W102" i="51"/>
  <c r="W103" i="51"/>
  <c r="W104" i="51"/>
  <c r="W105" i="51"/>
  <c r="W106" i="51"/>
  <c r="W107" i="51"/>
  <c r="W108" i="51"/>
  <c r="W109" i="51"/>
  <c r="W110" i="51"/>
  <c r="W111" i="51"/>
  <c r="W112" i="51"/>
  <c r="W113" i="51"/>
  <c r="W114" i="51"/>
  <c r="W115" i="51"/>
  <c r="W116" i="51"/>
  <c r="W117" i="51"/>
  <c r="W118" i="51"/>
  <c r="W119" i="51"/>
  <c r="W120" i="51"/>
  <c r="W121" i="51"/>
  <c r="U121" i="51"/>
  <c r="S121" i="51"/>
  <c r="H121" i="51"/>
  <c r="X121" i="51" s="1"/>
  <c r="U120" i="51"/>
  <c r="S120" i="51"/>
  <c r="H120" i="51"/>
  <c r="X120" i="51" s="1"/>
  <c r="U119" i="51"/>
  <c r="S119" i="51"/>
  <c r="H119" i="51"/>
  <c r="T119" i="51" s="1"/>
  <c r="U118" i="51"/>
  <c r="S118" i="51"/>
  <c r="H118" i="51"/>
  <c r="X118" i="51" s="1"/>
  <c r="U117" i="51"/>
  <c r="S117" i="51"/>
  <c r="H117" i="51"/>
  <c r="V117" i="51" s="1"/>
  <c r="U116" i="51"/>
  <c r="S116" i="51"/>
  <c r="H116" i="51"/>
  <c r="X116" i="51" s="1"/>
  <c r="U115" i="51"/>
  <c r="S115" i="51"/>
  <c r="H115" i="51"/>
  <c r="X115" i="51" s="1"/>
  <c r="U114" i="51"/>
  <c r="S114" i="51"/>
  <c r="H114" i="51"/>
  <c r="X114" i="51" s="1"/>
  <c r="U113" i="51"/>
  <c r="S113" i="51"/>
  <c r="H113" i="51"/>
  <c r="T113" i="51" s="1"/>
  <c r="U112" i="51"/>
  <c r="S112" i="51"/>
  <c r="H112" i="51"/>
  <c r="T112" i="51" s="1"/>
  <c r="U111" i="51"/>
  <c r="S111" i="51"/>
  <c r="H111" i="51"/>
  <c r="T111" i="51" s="1"/>
  <c r="U110" i="51"/>
  <c r="S110" i="51"/>
  <c r="H110" i="51"/>
  <c r="X110" i="51" s="1"/>
  <c r="U109" i="51"/>
  <c r="S109" i="51"/>
  <c r="H109" i="51"/>
  <c r="X109" i="51" s="1"/>
  <c r="U108" i="51"/>
  <c r="S108" i="51"/>
  <c r="H108" i="51"/>
  <c r="T108" i="51" s="1"/>
  <c r="U107" i="51"/>
  <c r="S107" i="51"/>
  <c r="H107" i="51"/>
  <c r="T107" i="51" s="1"/>
  <c r="U106" i="51"/>
  <c r="S106" i="51"/>
  <c r="H106" i="51"/>
  <c r="X106" i="51" s="1"/>
  <c r="U105" i="51"/>
  <c r="S105" i="51"/>
  <c r="H105" i="51"/>
  <c r="V105" i="51" s="1"/>
  <c r="U104" i="51"/>
  <c r="S104" i="51"/>
  <c r="H104" i="51"/>
  <c r="X104" i="51" s="1"/>
  <c r="U103" i="51"/>
  <c r="S103" i="51"/>
  <c r="H103" i="51"/>
  <c r="T103" i="51" s="1"/>
  <c r="U102" i="51"/>
  <c r="S102" i="51"/>
  <c r="H102" i="51"/>
  <c r="X102" i="51" s="1"/>
  <c r="U101" i="51"/>
  <c r="S101" i="51"/>
  <c r="H101" i="51"/>
  <c r="X101" i="51" s="1"/>
  <c r="U100" i="51"/>
  <c r="S100" i="51"/>
  <c r="H100" i="51"/>
  <c r="T100" i="51" s="1"/>
  <c r="U99" i="51"/>
  <c r="S99" i="51"/>
  <c r="H99" i="51"/>
  <c r="X99" i="51" s="1"/>
  <c r="U98" i="51"/>
  <c r="S98" i="51"/>
  <c r="H98" i="51"/>
  <c r="T98" i="51" s="1"/>
  <c r="U97" i="51"/>
  <c r="S97" i="51"/>
  <c r="H97" i="51"/>
  <c r="X97" i="51" s="1"/>
  <c r="U96" i="51"/>
  <c r="S96" i="51"/>
  <c r="H96" i="51"/>
  <c r="V96" i="51" s="1"/>
  <c r="U95" i="51"/>
  <c r="S95" i="51"/>
  <c r="H95" i="51"/>
  <c r="X95" i="51" s="1"/>
  <c r="U94" i="51"/>
  <c r="S94" i="51"/>
  <c r="H94" i="51"/>
  <c r="X94" i="51" s="1"/>
  <c r="U93" i="51"/>
  <c r="S93" i="51"/>
  <c r="H93" i="51"/>
  <c r="X93" i="51" s="1"/>
  <c r="U92" i="51"/>
  <c r="S92" i="51"/>
  <c r="H92" i="51"/>
  <c r="X92" i="51" s="1"/>
  <c r="U91" i="51"/>
  <c r="S91" i="51"/>
  <c r="H91" i="51"/>
  <c r="T91" i="51" s="1"/>
  <c r="U90" i="51"/>
  <c r="S90" i="51"/>
  <c r="H90" i="51"/>
  <c r="T90" i="51" s="1"/>
  <c r="U89" i="51"/>
  <c r="S89" i="51"/>
  <c r="H89" i="51"/>
  <c r="V89" i="51" s="1"/>
  <c r="U88" i="51"/>
  <c r="S88" i="51"/>
  <c r="H88" i="51"/>
  <c r="T88" i="51" s="1"/>
  <c r="U87" i="51"/>
  <c r="S87" i="51"/>
  <c r="H87" i="51"/>
  <c r="X87" i="51" s="1"/>
  <c r="U86" i="51"/>
  <c r="S86" i="51"/>
  <c r="H86" i="51"/>
  <c r="T86" i="51" s="1"/>
  <c r="U85" i="51"/>
  <c r="S85" i="51"/>
  <c r="H85" i="51"/>
  <c r="T85" i="51" s="1"/>
  <c r="U84" i="51"/>
  <c r="S84" i="51"/>
  <c r="H84" i="51"/>
  <c r="V84" i="51" s="1"/>
  <c r="U83" i="51"/>
  <c r="S83" i="51"/>
  <c r="H83" i="51"/>
  <c r="T83" i="51" s="1"/>
  <c r="U82" i="51"/>
  <c r="S82" i="51"/>
  <c r="H82" i="51"/>
  <c r="X82" i="51" s="1"/>
  <c r="U81" i="51"/>
  <c r="S81" i="51"/>
  <c r="H81" i="51"/>
  <c r="X81" i="51" s="1"/>
  <c r="U80" i="51"/>
  <c r="S80" i="51"/>
  <c r="H80" i="51"/>
  <c r="X80" i="51" s="1"/>
  <c r="U79" i="51"/>
  <c r="S79" i="51"/>
  <c r="H79" i="51"/>
  <c r="V79" i="51" s="1"/>
  <c r="U78" i="51"/>
  <c r="S78" i="51"/>
  <c r="H78" i="51"/>
  <c r="X78" i="51" s="1"/>
  <c r="U77" i="51"/>
  <c r="S77" i="51"/>
  <c r="H77" i="51"/>
  <c r="T77" i="51" s="1"/>
  <c r="U76" i="51"/>
  <c r="S76" i="51"/>
  <c r="H76" i="51"/>
  <c r="V76" i="51" s="1"/>
  <c r="U75" i="51"/>
  <c r="S75" i="51"/>
  <c r="H75" i="51"/>
  <c r="V75" i="51" s="1"/>
  <c r="U74" i="51"/>
  <c r="S74" i="51"/>
  <c r="H74" i="51"/>
  <c r="T74" i="51" s="1"/>
  <c r="U73" i="51"/>
  <c r="S73" i="51"/>
  <c r="H73" i="51"/>
  <c r="X73" i="51" s="1"/>
  <c r="U72" i="51"/>
  <c r="S72" i="51"/>
  <c r="H72" i="51"/>
  <c r="T72" i="51" s="1"/>
  <c r="U71" i="51"/>
  <c r="S71" i="51"/>
  <c r="H71" i="51"/>
  <c r="T71" i="51" s="1"/>
  <c r="U70" i="51"/>
  <c r="S70" i="51"/>
  <c r="H70" i="51"/>
  <c r="V70" i="51" s="1"/>
  <c r="U69" i="51"/>
  <c r="S69" i="51"/>
  <c r="H69" i="51"/>
  <c r="T69" i="51" s="1"/>
  <c r="U68" i="51"/>
  <c r="S68" i="51"/>
  <c r="H68" i="51"/>
  <c r="X68" i="51" s="1"/>
  <c r="U67" i="51"/>
  <c r="S67" i="51"/>
  <c r="H67" i="51"/>
  <c r="X67" i="51" s="1"/>
  <c r="U66" i="51"/>
  <c r="S66" i="51"/>
  <c r="H66" i="51"/>
  <c r="X66" i="51" s="1"/>
  <c r="U65" i="51"/>
  <c r="S65" i="51"/>
  <c r="H65" i="51"/>
  <c r="T65" i="51" s="1"/>
  <c r="U64" i="51"/>
  <c r="S64" i="51"/>
  <c r="H64" i="51"/>
  <c r="V64" i="51" s="1"/>
  <c r="U63" i="51"/>
  <c r="S63" i="51"/>
  <c r="H63" i="51"/>
  <c r="V63" i="51" s="1"/>
  <c r="U62" i="51"/>
  <c r="S62" i="51"/>
  <c r="H62" i="51"/>
  <c r="X62" i="51" s="1"/>
  <c r="U61" i="51"/>
  <c r="S61" i="51"/>
  <c r="H61" i="51"/>
  <c r="X61" i="51" s="1"/>
  <c r="U60" i="51"/>
  <c r="S60" i="51"/>
  <c r="H60" i="51"/>
  <c r="T60" i="51" s="1"/>
  <c r="U59" i="51"/>
  <c r="S59" i="51"/>
  <c r="H59" i="51"/>
  <c r="T59" i="51" s="1"/>
  <c r="U58" i="51"/>
  <c r="S58" i="51"/>
  <c r="H58" i="51"/>
  <c r="V58" i="51" s="1"/>
  <c r="U57" i="51"/>
  <c r="S57" i="51"/>
  <c r="H57" i="51"/>
  <c r="V57" i="51" s="1"/>
  <c r="U56" i="51"/>
  <c r="S56" i="51"/>
  <c r="H56" i="51"/>
  <c r="X56" i="51" s="1"/>
  <c r="U55" i="51"/>
  <c r="S55" i="51"/>
  <c r="H55" i="51"/>
  <c r="T55" i="51" s="1"/>
  <c r="U54" i="51"/>
  <c r="S54" i="51"/>
  <c r="H54" i="51"/>
  <c r="T54" i="51" s="1"/>
  <c r="U53" i="51"/>
  <c r="S53" i="51"/>
  <c r="H53" i="51"/>
  <c r="T53" i="51" s="1"/>
  <c r="U52" i="51"/>
  <c r="S52" i="51"/>
  <c r="H52" i="51"/>
  <c r="T52" i="51" s="1"/>
  <c r="U51" i="51"/>
  <c r="S51" i="51"/>
  <c r="H51" i="51"/>
  <c r="V51" i="51" s="1"/>
  <c r="U50" i="51"/>
  <c r="S50" i="51"/>
  <c r="H50" i="51"/>
  <c r="X50" i="51" s="1"/>
  <c r="U49" i="51"/>
  <c r="S49" i="51"/>
  <c r="H49" i="51"/>
  <c r="X49" i="51" s="1"/>
  <c r="U48" i="51"/>
  <c r="S48" i="51"/>
  <c r="H48" i="51"/>
  <c r="T48" i="51" s="1"/>
  <c r="U47" i="51"/>
  <c r="S47" i="51"/>
  <c r="H47" i="51"/>
  <c r="T47" i="51" s="1"/>
  <c r="U46" i="51"/>
  <c r="S46" i="51"/>
  <c r="H46" i="51"/>
  <c r="V46" i="51" s="1"/>
  <c r="U45" i="51"/>
  <c r="S45" i="51"/>
  <c r="H45" i="51"/>
  <c r="X45" i="51" s="1"/>
  <c r="U44" i="51"/>
  <c r="S44" i="51"/>
  <c r="H44" i="51"/>
  <c r="X44" i="51" s="1"/>
  <c r="U43" i="51"/>
  <c r="S43" i="51"/>
  <c r="H43" i="51"/>
  <c r="X43" i="51" s="1"/>
  <c r="U42" i="51"/>
  <c r="S42" i="51"/>
  <c r="H42" i="51"/>
  <c r="X42" i="51" s="1"/>
  <c r="U41" i="51"/>
  <c r="S41" i="51"/>
  <c r="H41" i="51"/>
  <c r="T41" i="51" s="1"/>
  <c r="U40" i="51"/>
  <c r="S40" i="51"/>
  <c r="H40" i="51"/>
  <c r="T40" i="51" s="1"/>
  <c r="W22" i="51"/>
  <c r="I18" i="51"/>
  <c r="I17" i="51"/>
  <c r="R21" i="51"/>
  <c r="Q21" i="51"/>
  <c r="M21" i="51"/>
  <c r="L21" i="51"/>
  <c r="B18" i="51"/>
  <c r="T52" i="50"/>
  <c r="X51" i="51" l="1"/>
  <c r="V50" i="51"/>
  <c r="T50" i="51"/>
  <c r="T62" i="51"/>
  <c r="V62" i="51"/>
  <c r="V121" i="51"/>
  <c r="V88" i="51"/>
  <c r="X88" i="51"/>
  <c r="X63" i="51"/>
  <c r="V74" i="51"/>
  <c r="X74" i="51"/>
  <c r="T64" i="51"/>
  <c r="T110" i="51"/>
  <c r="V110" i="51"/>
  <c r="T114" i="51"/>
  <c r="T121" i="51"/>
  <c r="X103" i="51"/>
  <c r="T76" i="51"/>
  <c r="T115" i="51"/>
  <c r="V48" i="51"/>
  <c r="T67" i="51"/>
  <c r="T81" i="51"/>
  <c r="T93" i="51"/>
  <c r="T104" i="51"/>
  <c r="X65" i="51"/>
  <c r="X79" i="51"/>
  <c r="V108" i="51"/>
  <c r="T116" i="51"/>
  <c r="X75" i="51"/>
  <c r="X89" i="51"/>
  <c r="X96" i="51"/>
  <c r="V103" i="51"/>
  <c r="V114" i="51"/>
  <c r="X108" i="51"/>
  <c r="X112" i="51"/>
  <c r="T43" i="51"/>
  <c r="T95" i="51"/>
  <c r="V109" i="51"/>
  <c r="V111" i="51"/>
  <c r="V43" i="51"/>
  <c r="V55" i="51"/>
  <c r="V72" i="51"/>
  <c r="T79" i="51"/>
  <c r="V86" i="51"/>
  <c r="V95" i="51"/>
  <c r="V102" i="51"/>
  <c r="V115" i="51"/>
  <c r="V41" i="51"/>
  <c r="X48" i="51"/>
  <c r="V53" i="51"/>
  <c r="X60" i="51"/>
  <c r="V67" i="51"/>
  <c r="V81" i="51"/>
  <c r="V93" i="51"/>
  <c r="V100" i="51"/>
  <c r="X113" i="51"/>
  <c r="V113" i="51"/>
  <c r="X55" i="51"/>
  <c r="V65" i="51"/>
  <c r="X72" i="51"/>
  <c r="X86" i="51"/>
  <c r="V91" i="51"/>
  <c r="V98" i="51"/>
  <c r="X111" i="51"/>
  <c r="V60" i="51"/>
  <c r="V120" i="51"/>
  <c r="X46" i="51"/>
  <c r="X53" i="51"/>
  <c r="X58" i="51"/>
  <c r="V77" i="51"/>
  <c r="X100" i="51"/>
  <c r="X70" i="51"/>
  <c r="X84" i="51"/>
  <c r="X91" i="51"/>
  <c r="X98" i="51"/>
  <c r="T102" i="51"/>
  <c r="X41" i="51"/>
  <c r="X77" i="51"/>
  <c r="V112" i="51"/>
  <c r="X105" i="51"/>
  <c r="V107" i="51"/>
  <c r="T109" i="51"/>
  <c r="X117" i="51"/>
  <c r="V119" i="51"/>
  <c r="X119" i="51"/>
  <c r="V104" i="51"/>
  <c r="V116" i="51"/>
  <c r="X107" i="51"/>
  <c r="T106" i="51"/>
  <c r="T118" i="51"/>
  <c r="V106" i="51"/>
  <c r="V118" i="51"/>
  <c r="T120" i="51"/>
  <c r="T105" i="51"/>
  <c r="T117" i="51"/>
  <c r="V83" i="51"/>
  <c r="T80" i="51"/>
  <c r="V90" i="51"/>
  <c r="X83" i="51"/>
  <c r="V85" i="51"/>
  <c r="T87" i="51"/>
  <c r="V97" i="51"/>
  <c r="T99" i="51"/>
  <c r="T97" i="51"/>
  <c r="T92" i="51"/>
  <c r="V80" i="51"/>
  <c r="X90" i="51"/>
  <c r="V92" i="51"/>
  <c r="T94" i="51"/>
  <c r="X85" i="51"/>
  <c r="V87" i="51"/>
  <c r="T89" i="51"/>
  <c r="V99" i="51"/>
  <c r="T101" i="51"/>
  <c r="V82" i="51"/>
  <c r="T84" i="51"/>
  <c r="V94" i="51"/>
  <c r="T96" i="51"/>
  <c r="V101" i="51"/>
  <c r="T82" i="51"/>
  <c r="V45" i="51"/>
  <c r="V59" i="51"/>
  <c r="T61" i="51"/>
  <c r="X69" i="51"/>
  <c r="V71" i="51"/>
  <c r="T73" i="51"/>
  <c r="X57" i="51"/>
  <c r="X40" i="51"/>
  <c r="V42" i="51"/>
  <c r="T44" i="51"/>
  <c r="X52" i="51"/>
  <c r="V54" i="51"/>
  <c r="T56" i="51"/>
  <c r="X64" i="51"/>
  <c r="V66" i="51"/>
  <c r="T68" i="51"/>
  <c r="X76" i="51"/>
  <c r="V78" i="51"/>
  <c r="T57" i="51"/>
  <c r="V40" i="51"/>
  <c r="T78" i="51"/>
  <c r="V47" i="51"/>
  <c r="T49" i="51"/>
  <c r="X47" i="51"/>
  <c r="V49" i="51"/>
  <c r="T51" i="51"/>
  <c r="X59" i="51"/>
  <c r="V61" i="51"/>
  <c r="T63" i="51"/>
  <c r="X71" i="51"/>
  <c r="V73" i="51"/>
  <c r="T75" i="51"/>
  <c r="T45" i="51"/>
  <c r="V69" i="51"/>
  <c r="T42" i="51"/>
  <c r="V52" i="51"/>
  <c r="T66" i="51"/>
  <c r="V44" i="51"/>
  <c r="T46" i="51"/>
  <c r="X54" i="51"/>
  <c r="V56" i="51"/>
  <c r="T58" i="51"/>
  <c r="V68" i="51"/>
  <c r="T70" i="51"/>
  <c r="H89" i="52"/>
  <c r="H81" i="52"/>
  <c r="L83" i="52"/>
  <c r="L85" i="52"/>
  <c r="L79" i="52"/>
  <c r="M27" i="47"/>
  <c r="E27" i="47"/>
  <c r="C27" i="47"/>
  <c r="BE26" i="47"/>
  <c r="BD26" i="47"/>
  <c r="BA26" i="47"/>
  <c r="AZ26" i="47"/>
  <c r="M26" i="47"/>
  <c r="E26" i="47"/>
  <c r="C26" i="47"/>
  <c r="S22" i="51"/>
  <c r="S23" i="51"/>
  <c r="S24" i="51"/>
  <c r="S25" i="51"/>
  <c r="S26" i="51"/>
  <c r="S27" i="51"/>
  <c r="S28" i="51"/>
  <c r="S29" i="51"/>
  <c r="S30" i="51"/>
  <c r="S31" i="51"/>
  <c r="S32" i="51"/>
  <c r="S33" i="51"/>
  <c r="S34" i="51"/>
  <c r="S35" i="51"/>
  <c r="S36" i="51"/>
  <c r="S37" i="51"/>
  <c r="S38" i="51"/>
  <c r="S39" i="51"/>
  <c r="BB26" i="47" l="1"/>
  <c r="K37" i="52"/>
  <c r="AZ21" i="56"/>
  <c r="BE22" i="56"/>
  <c r="BD22" i="56"/>
  <c r="BA22" i="56"/>
  <c r="AZ22" i="56"/>
  <c r="M22" i="56"/>
  <c r="E22" i="56"/>
  <c r="C22" i="56"/>
  <c r="M27" i="46"/>
  <c r="E27" i="46"/>
  <c r="C27" i="46"/>
  <c r="BE27" i="46"/>
  <c r="BD27" i="46"/>
  <c r="BA27" i="46"/>
  <c r="AZ27" i="46"/>
  <c r="BD41" i="56"/>
  <c r="BE41" i="56"/>
  <c r="AZ41" i="56"/>
  <c r="BA41" i="56"/>
  <c r="M41" i="56"/>
  <c r="E41" i="56"/>
  <c r="C41" i="56"/>
  <c r="Q15" i="56"/>
  <c r="Q14" i="56"/>
  <c r="Q13" i="56"/>
  <c r="Q12" i="56"/>
  <c r="Q11" i="56"/>
  <c r="F13" i="53"/>
  <c r="BB22" i="56" l="1"/>
  <c r="BB27" i="46"/>
  <c r="BB41" i="56"/>
  <c r="B1" i="56"/>
  <c r="V7" i="56"/>
  <c r="G7" i="56"/>
  <c r="V6" i="56"/>
  <c r="G6" i="56"/>
  <c r="V7" i="55"/>
  <c r="G7" i="55"/>
  <c r="V6" i="55"/>
  <c r="G6" i="55"/>
  <c r="V7" i="54"/>
  <c r="G7" i="54"/>
  <c r="V6" i="54"/>
  <c r="G6" i="54"/>
  <c r="B43" i="56"/>
  <c r="BE40" i="56"/>
  <c r="BE39" i="56" s="1"/>
  <c r="BD40" i="56"/>
  <c r="BD39" i="56" s="1"/>
  <c r="BA40" i="56"/>
  <c r="AZ40" i="56"/>
  <c r="M40" i="56"/>
  <c r="E40" i="56"/>
  <c r="C40" i="56"/>
  <c r="AJ38" i="56"/>
  <c r="AH38" i="56"/>
  <c r="AE38" i="56"/>
  <c r="AB38" i="56"/>
  <c r="Z38" i="56"/>
  <c r="U38" i="56"/>
  <c r="M38" i="56"/>
  <c r="E38" i="56"/>
  <c r="C38" i="56"/>
  <c r="B38" i="56"/>
  <c r="B36" i="56"/>
  <c r="BE34" i="56"/>
  <c r="BD34" i="56"/>
  <c r="BA34" i="56"/>
  <c r="AZ34" i="56"/>
  <c r="M34" i="56"/>
  <c r="E34" i="56"/>
  <c r="C34" i="56"/>
  <c r="BE33" i="56"/>
  <c r="BD33" i="56"/>
  <c r="BA33" i="56"/>
  <c r="AZ33" i="56"/>
  <c r="M33" i="56"/>
  <c r="E33" i="56"/>
  <c r="C33" i="56"/>
  <c r="BE32" i="56"/>
  <c r="BD32" i="56"/>
  <c r="BA32" i="56"/>
  <c r="AZ32" i="56"/>
  <c r="M32" i="56"/>
  <c r="E32" i="56"/>
  <c r="C32" i="56"/>
  <c r="BE31" i="56"/>
  <c r="BD31" i="56"/>
  <c r="BA31" i="56"/>
  <c r="AZ31" i="56"/>
  <c r="M31" i="56"/>
  <c r="E31" i="56"/>
  <c r="C31" i="56"/>
  <c r="BE30" i="56"/>
  <c r="BD30" i="56"/>
  <c r="BA30" i="56"/>
  <c r="AZ30" i="56"/>
  <c r="M30" i="56"/>
  <c r="E30" i="56"/>
  <c r="C30" i="56"/>
  <c r="BE29" i="56"/>
  <c r="BD29" i="56"/>
  <c r="BA29" i="56"/>
  <c r="AZ29" i="56"/>
  <c r="M29" i="56"/>
  <c r="E29" i="56"/>
  <c r="C29" i="56"/>
  <c r="BE28" i="56"/>
  <c r="BD28" i="56"/>
  <c r="BA28" i="56"/>
  <c r="AZ28" i="56"/>
  <c r="M28" i="56"/>
  <c r="E28" i="56"/>
  <c r="C28" i="56"/>
  <c r="AJ26" i="56"/>
  <c r="AH26" i="56"/>
  <c r="AE26" i="56"/>
  <c r="AB26" i="56"/>
  <c r="Z26" i="56"/>
  <c r="U26" i="56"/>
  <c r="M26" i="56"/>
  <c r="E26" i="56"/>
  <c r="C26" i="56"/>
  <c r="B26" i="56"/>
  <c r="B24" i="56"/>
  <c r="BE21" i="56"/>
  <c r="BE20" i="56" s="1"/>
  <c r="BD21" i="56"/>
  <c r="BD20" i="56" s="1"/>
  <c r="BA21" i="56"/>
  <c r="M21" i="56"/>
  <c r="E21" i="56"/>
  <c r="C21" i="56"/>
  <c r="AJ19" i="56"/>
  <c r="AH19" i="56"/>
  <c r="AE19" i="56"/>
  <c r="AB19" i="56"/>
  <c r="Z19" i="56"/>
  <c r="U19" i="56"/>
  <c r="M19" i="56"/>
  <c r="E19" i="56"/>
  <c r="C19" i="56"/>
  <c r="B19" i="56"/>
  <c r="B17" i="56"/>
  <c r="AA10" i="56"/>
  <c r="V10" i="56"/>
  <c r="Q10" i="56"/>
  <c r="M10" i="56"/>
  <c r="I10" i="56"/>
  <c r="F10" i="56"/>
  <c r="B10" i="56"/>
  <c r="AG9" i="56"/>
  <c r="Q9" i="56"/>
  <c r="B9" i="56"/>
  <c r="Q7" i="56"/>
  <c r="B7" i="56"/>
  <c r="Q6" i="56"/>
  <c r="B6" i="56"/>
  <c r="AG5" i="56"/>
  <c r="Q5" i="56"/>
  <c r="B5" i="56"/>
  <c r="Q3" i="56"/>
  <c r="B3" i="56"/>
  <c r="B38" i="55"/>
  <c r="BE37" i="55"/>
  <c r="BD37" i="55"/>
  <c r="BE36" i="55"/>
  <c r="BD36" i="55"/>
  <c r="BA36" i="55"/>
  <c r="AZ36" i="55"/>
  <c r="M36" i="55"/>
  <c r="E36" i="55"/>
  <c r="C36" i="55"/>
  <c r="BE35" i="55"/>
  <c r="BD35" i="55"/>
  <c r="BA35" i="55"/>
  <c r="AZ35" i="55"/>
  <c r="M35" i="55"/>
  <c r="E35" i="55"/>
  <c r="C35" i="55"/>
  <c r="BE34" i="55"/>
  <c r="BD34" i="55"/>
  <c r="BA34" i="55"/>
  <c r="AZ34" i="55"/>
  <c r="M34" i="55"/>
  <c r="E34" i="55"/>
  <c r="C34" i="55"/>
  <c r="BE33" i="55"/>
  <c r="BD33" i="55"/>
  <c r="BA33" i="55"/>
  <c r="AZ33" i="55"/>
  <c r="M33" i="55"/>
  <c r="E33" i="55"/>
  <c r="C33" i="55"/>
  <c r="BE32" i="55"/>
  <c r="BD32" i="55"/>
  <c r="BA32" i="55"/>
  <c r="AZ32" i="55"/>
  <c r="M32" i="55"/>
  <c r="E32" i="55"/>
  <c r="C32" i="55"/>
  <c r="BE31" i="55"/>
  <c r="BD31" i="55"/>
  <c r="BA31" i="55"/>
  <c r="AZ31" i="55"/>
  <c r="M31" i="55"/>
  <c r="E31" i="55"/>
  <c r="C31" i="55"/>
  <c r="BE30" i="55"/>
  <c r="BD30" i="55"/>
  <c r="BA30" i="55"/>
  <c r="AZ30" i="55"/>
  <c r="M30" i="55"/>
  <c r="E30" i="55"/>
  <c r="C30" i="55"/>
  <c r="BE29" i="55"/>
  <c r="BD29" i="55"/>
  <c r="BA29" i="55"/>
  <c r="AZ29" i="55"/>
  <c r="M29" i="55"/>
  <c r="E29" i="55"/>
  <c r="C29" i="55"/>
  <c r="BE28" i="55"/>
  <c r="BD28" i="55"/>
  <c r="BA28" i="55"/>
  <c r="AZ28" i="55"/>
  <c r="M28" i="55"/>
  <c r="E28" i="55"/>
  <c r="C28" i="55"/>
  <c r="AJ26" i="55"/>
  <c r="BE26" i="55" s="1"/>
  <c r="AH26" i="55"/>
  <c r="AE26" i="55"/>
  <c r="AB26" i="55"/>
  <c r="Z26" i="55"/>
  <c r="U26" i="55"/>
  <c r="M26" i="55"/>
  <c r="E26" i="55"/>
  <c r="C26" i="55"/>
  <c r="B26" i="55"/>
  <c r="BE25" i="55"/>
  <c r="BD25" i="55"/>
  <c r="BE24" i="55"/>
  <c r="BD24" i="55"/>
  <c r="B24" i="55"/>
  <c r="BE23" i="55"/>
  <c r="BD23" i="55"/>
  <c r="BE22" i="55"/>
  <c r="BD22" i="55"/>
  <c r="BA22" i="55"/>
  <c r="AZ22" i="55"/>
  <c r="M22" i="55"/>
  <c r="E22" i="55"/>
  <c r="C22" i="55"/>
  <c r="AJ20" i="55"/>
  <c r="AH20" i="55"/>
  <c r="AE20" i="55"/>
  <c r="AB20" i="55"/>
  <c r="Z20" i="55"/>
  <c r="U20" i="55"/>
  <c r="M20" i="55"/>
  <c r="E20" i="55"/>
  <c r="C20" i="55"/>
  <c r="B20" i="55"/>
  <c r="B18" i="55"/>
  <c r="Q15" i="55"/>
  <c r="Q14" i="55"/>
  <c r="Q13" i="55"/>
  <c r="Q12" i="55"/>
  <c r="Q11" i="55"/>
  <c r="AA10" i="55"/>
  <c r="V10" i="55"/>
  <c r="Q10" i="55"/>
  <c r="M10" i="55"/>
  <c r="I10" i="55"/>
  <c r="F10" i="55"/>
  <c r="B10" i="55"/>
  <c r="AG9" i="55"/>
  <c r="Q9" i="55"/>
  <c r="B9" i="55"/>
  <c r="Q7" i="55"/>
  <c r="B7" i="55"/>
  <c r="Q6" i="55"/>
  <c r="B6" i="55"/>
  <c r="AG5" i="55"/>
  <c r="Q5" i="55"/>
  <c r="B5" i="55"/>
  <c r="Q3" i="55"/>
  <c r="B3" i="55"/>
  <c r="B1" i="55"/>
  <c r="B50" i="54"/>
  <c r="BE49" i="54"/>
  <c r="BD49" i="54"/>
  <c r="BE48" i="54"/>
  <c r="BE47" i="54" s="1"/>
  <c r="BD48" i="54"/>
  <c r="BA48" i="54"/>
  <c r="AZ48" i="54"/>
  <c r="M48" i="54"/>
  <c r="E48" i="54"/>
  <c r="C48" i="54"/>
  <c r="AJ46" i="54"/>
  <c r="BD46" i="54" s="1"/>
  <c r="AH46" i="54"/>
  <c r="AE46" i="54"/>
  <c r="AB46" i="54"/>
  <c r="Z46" i="54"/>
  <c r="U46" i="54"/>
  <c r="M46" i="54"/>
  <c r="E46" i="54"/>
  <c r="C46" i="54"/>
  <c r="B46" i="54"/>
  <c r="BE45" i="54"/>
  <c r="BD45" i="54"/>
  <c r="BE44" i="54"/>
  <c r="BD44" i="54"/>
  <c r="B44" i="54"/>
  <c r="BE43" i="54"/>
  <c r="BD43" i="54"/>
  <c r="BE42" i="54"/>
  <c r="BD42" i="54"/>
  <c r="BA42" i="54"/>
  <c r="AZ42" i="54"/>
  <c r="M42" i="54"/>
  <c r="E42" i="54"/>
  <c r="C42" i="54"/>
  <c r="BE41" i="54"/>
  <c r="BD41" i="54"/>
  <c r="BA41" i="54"/>
  <c r="AZ41" i="54"/>
  <c r="M41" i="54"/>
  <c r="E41" i="54"/>
  <c r="C41" i="54"/>
  <c r="BE40" i="54"/>
  <c r="BD40" i="54"/>
  <c r="BA40" i="54"/>
  <c r="AZ40" i="54"/>
  <c r="M40" i="54"/>
  <c r="E40" i="54"/>
  <c r="C40" i="54"/>
  <c r="BE39" i="54"/>
  <c r="BD39" i="54"/>
  <c r="BA39" i="54"/>
  <c r="AZ39" i="54"/>
  <c r="M39" i="54"/>
  <c r="E39" i="54"/>
  <c r="C39" i="54"/>
  <c r="BE38" i="54"/>
  <c r="BD38" i="54"/>
  <c r="BA38" i="54"/>
  <c r="AZ38" i="54"/>
  <c r="M38" i="54"/>
  <c r="E38" i="54"/>
  <c r="C38" i="54"/>
  <c r="BE37" i="54"/>
  <c r="BD37" i="54"/>
  <c r="BA37" i="54"/>
  <c r="AZ37" i="54"/>
  <c r="M37" i="54"/>
  <c r="E37" i="54"/>
  <c r="C37" i="54"/>
  <c r="BE36" i="54"/>
  <c r="BD36" i="54"/>
  <c r="BA36" i="54"/>
  <c r="AZ36" i="54"/>
  <c r="M36" i="54"/>
  <c r="E36" i="54"/>
  <c r="C36" i="54"/>
  <c r="BE35" i="54"/>
  <c r="BD35" i="54"/>
  <c r="BA35" i="54"/>
  <c r="AZ35" i="54"/>
  <c r="M35" i="54"/>
  <c r="E35" i="54"/>
  <c r="C35" i="54"/>
  <c r="BE34" i="54"/>
  <c r="BD34" i="54"/>
  <c r="BA34" i="54"/>
  <c r="AZ34" i="54"/>
  <c r="M34" i="54"/>
  <c r="E34" i="54"/>
  <c r="C34" i="54"/>
  <c r="AJ32" i="54"/>
  <c r="BD32" i="54" s="1"/>
  <c r="AH32" i="54"/>
  <c r="AE32" i="54"/>
  <c r="AB32" i="54"/>
  <c r="Z32" i="54"/>
  <c r="U32" i="54"/>
  <c r="M32" i="54"/>
  <c r="E32" i="54"/>
  <c r="C32" i="54"/>
  <c r="B32" i="54"/>
  <c r="BE31" i="54"/>
  <c r="BD31" i="54"/>
  <c r="BE30" i="54"/>
  <c r="BD30" i="54"/>
  <c r="B30" i="54"/>
  <c r="BE29" i="54"/>
  <c r="BD29" i="54"/>
  <c r="BE28" i="54"/>
  <c r="BD28" i="54"/>
  <c r="BA28" i="54"/>
  <c r="AZ28" i="54"/>
  <c r="M28" i="54"/>
  <c r="E28" i="54"/>
  <c r="C28" i="54"/>
  <c r="AJ26" i="54"/>
  <c r="AH26" i="54"/>
  <c r="AE26" i="54"/>
  <c r="AB26" i="54"/>
  <c r="Z26" i="54"/>
  <c r="U26" i="54"/>
  <c r="M26" i="54"/>
  <c r="E26" i="54"/>
  <c r="C26" i="54"/>
  <c r="B26" i="54"/>
  <c r="B24" i="54"/>
  <c r="BE22" i="54"/>
  <c r="BD22" i="54"/>
  <c r="BA22" i="54"/>
  <c r="AZ22" i="54"/>
  <c r="M22" i="54"/>
  <c r="E22" i="54"/>
  <c r="C22" i="54"/>
  <c r="AJ20" i="54"/>
  <c r="AH20" i="54"/>
  <c r="AE20" i="54"/>
  <c r="AB20" i="54"/>
  <c r="Z20" i="54"/>
  <c r="U20" i="54"/>
  <c r="M20" i="54"/>
  <c r="E20" i="54"/>
  <c r="C20" i="54"/>
  <c r="B20" i="54"/>
  <c r="B18" i="54"/>
  <c r="Q15" i="54"/>
  <c r="Q14" i="54"/>
  <c r="Q13" i="54"/>
  <c r="Q12" i="54"/>
  <c r="Q11" i="54"/>
  <c r="AA10" i="54"/>
  <c r="V10" i="54"/>
  <c r="Q10" i="54"/>
  <c r="M10" i="54"/>
  <c r="I10" i="54"/>
  <c r="F10" i="54"/>
  <c r="B10" i="54"/>
  <c r="AG9" i="54"/>
  <c r="Q9" i="54"/>
  <c r="B9" i="54"/>
  <c r="Q7" i="54"/>
  <c r="B7" i="54"/>
  <c r="Q6" i="54"/>
  <c r="B6" i="54"/>
  <c r="AG5" i="54"/>
  <c r="Q5" i="54"/>
  <c r="B5" i="54"/>
  <c r="Q3" i="54"/>
  <c r="B3" i="54"/>
  <c r="B1" i="54"/>
  <c r="F35" i="53"/>
  <c r="S7" i="53"/>
  <c r="F7" i="53"/>
  <c r="S6" i="53"/>
  <c r="F6" i="53"/>
  <c r="AB35" i="53"/>
  <c r="O35" i="53"/>
  <c r="B35" i="53"/>
  <c r="AB30" i="53"/>
  <c r="O30" i="53"/>
  <c r="B30" i="53"/>
  <c r="AB27" i="53"/>
  <c r="O27" i="53"/>
  <c r="B27" i="53"/>
  <c r="AB25" i="53"/>
  <c r="B25" i="53"/>
  <c r="AB23" i="53"/>
  <c r="O23" i="53"/>
  <c r="B23" i="53"/>
  <c r="AB21" i="53"/>
  <c r="O21" i="53"/>
  <c r="B21" i="53"/>
  <c r="B19" i="53"/>
  <c r="AH18" i="53"/>
  <c r="AF18" i="53"/>
  <c r="AB18" i="53"/>
  <c r="U18" i="53"/>
  <c r="S18" i="53"/>
  <c r="O18" i="53"/>
  <c r="H18" i="53"/>
  <c r="F18" i="53"/>
  <c r="B18" i="53"/>
  <c r="AL10" i="53"/>
  <c r="AH10" i="53"/>
  <c r="AF10" i="53"/>
  <c r="AB10" i="53"/>
  <c r="Y10" i="53"/>
  <c r="U10" i="53"/>
  <c r="S10" i="53"/>
  <c r="O10" i="53"/>
  <c r="L10" i="53"/>
  <c r="H10" i="53"/>
  <c r="F10" i="53"/>
  <c r="B10" i="53"/>
  <c r="AB9" i="53"/>
  <c r="O9" i="53"/>
  <c r="B9" i="53"/>
  <c r="O7" i="53"/>
  <c r="B7" i="53"/>
  <c r="O6" i="53"/>
  <c r="B6" i="53"/>
  <c r="O5" i="53"/>
  <c r="B5" i="53"/>
  <c r="B3" i="53"/>
  <c r="B1" i="53"/>
  <c r="AH49" i="56"/>
  <c r="O49" i="56"/>
  <c r="AH44" i="55"/>
  <c r="O44" i="55"/>
  <c r="AH56" i="54"/>
  <c r="O56" i="54"/>
  <c r="AF35" i="53"/>
  <c r="S35" i="53"/>
  <c r="AF30" i="53"/>
  <c r="S30" i="53"/>
  <c r="F30" i="53"/>
  <c r="AL16" i="53"/>
  <c r="AH16" i="53"/>
  <c r="AF16" i="53"/>
  <c r="AB16" i="53"/>
  <c r="Y16" i="53"/>
  <c r="U16" i="53"/>
  <c r="S16" i="53"/>
  <c r="O16" i="53"/>
  <c r="L16" i="53"/>
  <c r="H16" i="53"/>
  <c r="F16" i="53"/>
  <c r="B16" i="53"/>
  <c r="AL15" i="53"/>
  <c r="AH15" i="53"/>
  <c r="AF15" i="53"/>
  <c r="AB15" i="53"/>
  <c r="Y15" i="53"/>
  <c r="U15" i="53"/>
  <c r="S15" i="53"/>
  <c r="O15" i="53"/>
  <c r="L15" i="53"/>
  <c r="H15" i="53"/>
  <c r="F15" i="53"/>
  <c r="B15" i="53"/>
  <c r="AL14" i="53"/>
  <c r="AH14" i="53"/>
  <c r="AF14" i="53"/>
  <c r="AB14" i="53"/>
  <c r="Y14" i="53"/>
  <c r="U14" i="53"/>
  <c r="S14" i="53"/>
  <c r="O14" i="53"/>
  <c r="L14" i="53"/>
  <c r="H14" i="53"/>
  <c r="F14" i="53"/>
  <c r="B14" i="53"/>
  <c r="AL13" i="53"/>
  <c r="AH13" i="53"/>
  <c r="AF13" i="53"/>
  <c r="AB13" i="53"/>
  <c r="Y13" i="53"/>
  <c r="U13" i="53"/>
  <c r="S13" i="53"/>
  <c r="O13" i="53"/>
  <c r="L13" i="53"/>
  <c r="H13" i="53"/>
  <c r="B13" i="53"/>
  <c r="AL12" i="53"/>
  <c r="AH12" i="53"/>
  <c r="AF12" i="53"/>
  <c r="AB12" i="53"/>
  <c r="Y12" i="53"/>
  <c r="U12" i="53"/>
  <c r="S12" i="53"/>
  <c r="O12" i="53"/>
  <c r="L12" i="53"/>
  <c r="H12" i="53"/>
  <c r="F12" i="53"/>
  <c r="B12" i="53"/>
  <c r="BD27" i="56" l="1"/>
  <c r="BE27" i="56"/>
  <c r="AH21" i="53"/>
  <c r="BB31" i="56"/>
  <c r="BB40" i="56"/>
  <c r="BB32" i="56"/>
  <c r="BB30" i="56"/>
  <c r="BB28" i="56"/>
  <c r="BB21" i="56"/>
  <c r="BB29" i="56"/>
  <c r="BB33" i="56"/>
  <c r="BB34" i="56"/>
  <c r="BB31" i="55"/>
  <c r="BB35" i="55"/>
  <c r="BD33" i="54"/>
  <c r="BB40" i="54"/>
  <c r="BD47" i="54"/>
  <c r="BE33" i="54"/>
  <c r="BB28" i="55"/>
  <c r="BB33" i="55"/>
  <c r="BB36" i="55"/>
  <c r="BB34" i="55"/>
  <c r="BB32" i="55"/>
  <c r="BB30" i="55"/>
  <c r="BB29" i="55"/>
  <c r="BD27" i="55"/>
  <c r="BE27" i="55"/>
  <c r="BB28" i="54"/>
  <c r="BB34" i="54"/>
  <c r="BB38" i="54"/>
  <c r="BB42" i="54"/>
  <c r="BB39" i="54"/>
  <c r="BB41" i="54"/>
  <c r="BB48" i="54"/>
  <c r="BB37" i="54"/>
  <c r="BB36" i="54"/>
  <c r="BB35" i="54"/>
  <c r="BB22" i="54"/>
  <c r="BE32" i="54"/>
  <c r="BD26" i="55"/>
  <c r="BE46" i="54"/>
  <c r="BB22" i="55"/>
  <c r="BB20" i="56" l="1"/>
  <c r="BB21" i="55"/>
  <c r="BB21" i="54"/>
  <c r="M43" i="47" l="1"/>
  <c r="E43" i="47"/>
  <c r="C43" i="47"/>
  <c r="BE42" i="47"/>
  <c r="BD42" i="47"/>
  <c r="BA42" i="47"/>
  <c r="AZ42" i="47"/>
  <c r="M42" i="47"/>
  <c r="E42" i="47"/>
  <c r="C42" i="47"/>
  <c r="M48" i="45"/>
  <c r="E48" i="45"/>
  <c r="C48" i="45"/>
  <c r="M38" i="46"/>
  <c r="E38" i="46"/>
  <c r="C38" i="46"/>
  <c r="BE48" i="45"/>
  <c r="BD48" i="45"/>
  <c r="BA48" i="45"/>
  <c r="AZ48" i="45"/>
  <c r="BE38" i="46"/>
  <c r="BD38" i="46"/>
  <c r="BA38" i="46"/>
  <c r="AZ38" i="46"/>
  <c r="BB38" i="46" l="1"/>
  <c r="BB48" i="45"/>
  <c r="BB42" i="47"/>
  <c r="N107" i="52" l="1"/>
  <c r="N105" i="52"/>
  <c r="N103" i="52"/>
  <c r="N100" i="52"/>
  <c r="N98" i="52"/>
  <c r="N97" i="52"/>
  <c r="N96" i="52"/>
  <c r="N95" i="52"/>
  <c r="N94" i="52"/>
  <c r="K93" i="52"/>
  <c r="H93" i="52"/>
  <c r="C107" i="52"/>
  <c r="C105" i="52"/>
  <c r="C103" i="52"/>
  <c r="C100" i="52"/>
  <c r="C98" i="52"/>
  <c r="C97" i="52"/>
  <c r="C96" i="52"/>
  <c r="C95" i="52"/>
  <c r="C94" i="52"/>
  <c r="C91" i="52"/>
  <c r="L87" i="52"/>
  <c r="L77" i="52"/>
  <c r="C89" i="52"/>
  <c r="C87" i="52"/>
  <c r="C85" i="52"/>
  <c r="C83" i="52"/>
  <c r="C81" i="52"/>
  <c r="C79" i="52"/>
  <c r="C77" i="52"/>
  <c r="C75" i="52"/>
  <c r="C73" i="52"/>
  <c r="C71" i="52"/>
  <c r="C69" i="52"/>
  <c r="C67" i="52"/>
  <c r="C65" i="52"/>
  <c r="O65" i="52"/>
  <c r="O67" i="52"/>
  <c r="O69" i="52"/>
  <c r="O71" i="52"/>
  <c r="C61" i="52"/>
  <c r="O61" i="52"/>
  <c r="O58" i="52"/>
  <c r="O57" i="52"/>
  <c r="O54" i="52"/>
  <c r="B57" i="52"/>
  <c r="C59" i="52"/>
  <c r="C57" i="52"/>
  <c r="C55" i="52"/>
  <c r="C53" i="52"/>
  <c r="O53" i="52"/>
  <c r="O52" i="52"/>
  <c r="J52" i="52"/>
  <c r="L52" i="52"/>
  <c r="H52" i="52"/>
  <c r="C51" i="52"/>
  <c r="C49" i="52"/>
  <c r="C47" i="52"/>
  <c r="L45" i="52"/>
  <c r="L43" i="52"/>
  <c r="L41" i="52"/>
  <c r="L39" i="52"/>
  <c r="L37" i="52"/>
  <c r="K35" i="52"/>
  <c r="K33" i="52"/>
  <c r="L33" i="52"/>
  <c r="L31" i="52"/>
  <c r="L29" i="52"/>
  <c r="L27" i="52"/>
  <c r="L25" i="52"/>
  <c r="C45" i="52"/>
  <c r="C43" i="52"/>
  <c r="C41" i="52"/>
  <c r="C39" i="52"/>
  <c r="C37" i="52"/>
  <c r="C35" i="52"/>
  <c r="C33" i="52"/>
  <c r="C31" i="52"/>
  <c r="C29" i="52"/>
  <c r="C27" i="52"/>
  <c r="C25" i="52"/>
  <c r="C23" i="52"/>
  <c r="C21" i="52"/>
  <c r="M14" i="52"/>
  <c r="F14" i="52"/>
  <c r="B14" i="52"/>
  <c r="B13" i="52"/>
  <c r="G11" i="52"/>
  <c r="G10" i="52"/>
  <c r="B11" i="52"/>
  <c r="B10" i="52"/>
  <c r="B9" i="52"/>
  <c r="G6" i="52"/>
  <c r="G7" i="52"/>
  <c r="B7" i="52"/>
  <c r="B6" i="52"/>
  <c r="B5" i="52"/>
  <c r="Q5" i="52"/>
  <c r="P1" i="52"/>
  <c r="B1" i="52"/>
  <c r="J101" i="52"/>
  <c r="H101" i="52"/>
  <c r="L63" i="52"/>
  <c r="J63" i="52"/>
  <c r="H63" i="52"/>
  <c r="L62" i="52"/>
  <c r="J62" i="52"/>
  <c r="H62" i="52"/>
  <c r="H39" i="52"/>
  <c r="H103" i="52" l="1"/>
  <c r="H67" i="52"/>
  <c r="H65" i="52"/>
  <c r="B1" i="51"/>
  <c r="Y20" i="51"/>
  <c r="S20" i="51"/>
  <c r="I20" i="51"/>
  <c r="H20" i="51"/>
  <c r="G20" i="51"/>
  <c r="F20" i="51"/>
  <c r="E20" i="51"/>
  <c r="C20" i="51"/>
  <c r="B20" i="51"/>
  <c r="B19" i="51"/>
  <c r="I16" i="51"/>
  <c r="I15" i="51"/>
  <c r="I14" i="51"/>
  <c r="I13" i="51"/>
  <c r="I12" i="51"/>
  <c r="B17" i="51"/>
  <c r="B16" i="51"/>
  <c r="B15" i="51"/>
  <c r="B14" i="51"/>
  <c r="B13" i="51"/>
  <c r="B12" i="51"/>
  <c r="B52" i="50"/>
  <c r="B51" i="50"/>
  <c r="Y49" i="50"/>
  <c r="T49" i="50"/>
  <c r="N49" i="50"/>
  <c r="H49" i="50"/>
  <c r="B49" i="50"/>
  <c r="B47" i="50"/>
  <c r="P45" i="50"/>
  <c r="P44" i="50"/>
  <c r="Z41" i="50"/>
  <c r="V41" i="50"/>
  <c r="P40" i="50"/>
  <c r="P39" i="50"/>
  <c r="P38" i="50"/>
  <c r="P36" i="50"/>
  <c r="B38" i="50"/>
  <c r="B37" i="50"/>
  <c r="B14" i="50"/>
  <c r="P52" i="50"/>
  <c r="AA45" i="50"/>
  <c r="AA40" i="50"/>
  <c r="AA39" i="50"/>
  <c r="AA38" i="50"/>
  <c r="AA37" i="50"/>
  <c r="M52" i="50"/>
  <c r="Y45" i="50"/>
  <c r="Y40" i="50"/>
  <c r="Y39" i="50"/>
  <c r="Y38" i="50"/>
  <c r="Y37" i="50"/>
  <c r="P37" i="50"/>
  <c r="B36" i="50"/>
  <c r="AA28" i="50"/>
  <c r="AA27" i="50"/>
  <c r="Y28" i="50"/>
  <c r="Y27" i="50"/>
  <c r="P29" i="50"/>
  <c r="P28" i="50"/>
  <c r="P27" i="50"/>
  <c r="B27" i="50"/>
  <c r="B26" i="50"/>
  <c r="W23" i="50"/>
  <c r="W22" i="50"/>
  <c r="P22" i="50"/>
  <c r="P21" i="50"/>
  <c r="AA20" i="50"/>
  <c r="Y20" i="50"/>
  <c r="P20" i="50"/>
  <c r="AA19" i="50"/>
  <c r="Y19" i="50"/>
  <c r="P19" i="50"/>
  <c r="P18" i="50"/>
  <c r="H24" i="50"/>
  <c r="H23" i="50"/>
  <c r="H22" i="50"/>
  <c r="B22" i="50"/>
  <c r="B21" i="50"/>
  <c r="M20" i="50"/>
  <c r="K20" i="50"/>
  <c r="H20" i="50"/>
  <c r="B20" i="50"/>
  <c r="B19" i="50"/>
  <c r="B16" i="50"/>
  <c r="P14" i="50"/>
  <c r="X13" i="50"/>
  <c r="P13" i="50"/>
  <c r="G13" i="50"/>
  <c r="G14" i="50"/>
  <c r="B13" i="50"/>
  <c r="B12" i="50"/>
  <c r="P8" i="50"/>
  <c r="B8" i="50"/>
  <c r="P7" i="50"/>
  <c r="B7" i="50"/>
  <c r="P6" i="50"/>
  <c r="B6" i="50"/>
  <c r="P5" i="50"/>
  <c r="B5" i="50"/>
  <c r="B4" i="50"/>
  <c r="B1" i="50"/>
  <c r="B1" i="43" l="1"/>
  <c r="U39" i="51" l="1"/>
  <c r="H39" i="51"/>
  <c r="U38" i="51"/>
  <c r="H38" i="51"/>
  <c r="U37" i="51"/>
  <c r="H37" i="51"/>
  <c r="U36" i="51"/>
  <c r="H36" i="51"/>
  <c r="U35" i="51"/>
  <c r="H35" i="51"/>
  <c r="U34" i="51"/>
  <c r="H34" i="51"/>
  <c r="U33" i="51"/>
  <c r="H33" i="51"/>
  <c r="U32" i="51"/>
  <c r="H32" i="51"/>
  <c r="U31" i="51"/>
  <c r="H31" i="51"/>
  <c r="U30" i="51"/>
  <c r="H30" i="51"/>
  <c r="U29" i="51"/>
  <c r="H29" i="51"/>
  <c r="U28" i="51"/>
  <c r="H28" i="51"/>
  <c r="U27" i="51"/>
  <c r="H27" i="51"/>
  <c r="U26" i="51"/>
  <c r="H26" i="51"/>
  <c r="U25" i="51"/>
  <c r="H25" i="51"/>
  <c r="U24" i="51"/>
  <c r="H24" i="51"/>
  <c r="U23" i="51"/>
  <c r="H23" i="51"/>
  <c r="U22" i="51"/>
  <c r="H22" i="51"/>
  <c r="T28" i="51" l="1"/>
  <c r="X28" i="51"/>
  <c r="V28" i="51"/>
  <c r="T33" i="51"/>
  <c r="X33" i="51"/>
  <c r="V33" i="51"/>
  <c r="X24" i="51"/>
  <c r="V24" i="51"/>
  <c r="T24" i="51"/>
  <c r="T29" i="51"/>
  <c r="V29" i="51"/>
  <c r="X29" i="51"/>
  <c r="V32" i="51"/>
  <c r="T32" i="51"/>
  <c r="X32" i="51"/>
  <c r="X37" i="51"/>
  <c r="V37" i="51"/>
  <c r="T37" i="51"/>
  <c r="X36" i="51"/>
  <c r="V36" i="51"/>
  <c r="T36" i="51"/>
  <c r="X25" i="51"/>
  <c r="V25" i="51"/>
  <c r="T25" i="51"/>
  <c r="T26" i="51"/>
  <c r="V26" i="51"/>
  <c r="X26" i="51"/>
  <c r="V30" i="51"/>
  <c r="T30" i="51"/>
  <c r="X30" i="51"/>
  <c r="V34" i="51"/>
  <c r="T34" i="51"/>
  <c r="X34" i="51"/>
  <c r="X38" i="51"/>
  <c r="T38" i="51"/>
  <c r="V38" i="51"/>
  <c r="V23" i="51"/>
  <c r="T23" i="51"/>
  <c r="X23" i="51"/>
  <c r="T27" i="51"/>
  <c r="X27" i="51"/>
  <c r="V27" i="51"/>
  <c r="X31" i="51"/>
  <c r="T31" i="51"/>
  <c r="V31" i="51"/>
  <c r="V35" i="51"/>
  <c r="T35" i="51"/>
  <c r="X35" i="51"/>
  <c r="V39" i="51"/>
  <c r="X39" i="51"/>
  <c r="T39" i="51"/>
  <c r="V22" i="51"/>
  <c r="X22" i="51"/>
  <c r="T22" i="51"/>
  <c r="AZ22" i="45" l="1"/>
  <c r="AZ34" i="46" l="1"/>
  <c r="AZ35" i="46"/>
  <c r="AZ36" i="46"/>
  <c r="AZ37" i="46"/>
  <c r="AZ33" i="46"/>
  <c r="AZ23" i="46"/>
  <c r="AZ24" i="46"/>
  <c r="AZ25" i="46"/>
  <c r="AZ26" i="46"/>
  <c r="AZ22" i="46"/>
  <c r="AZ54" i="45"/>
  <c r="AZ42" i="45"/>
  <c r="AZ43" i="45"/>
  <c r="AZ44" i="45"/>
  <c r="AZ45" i="45"/>
  <c r="AZ46" i="45"/>
  <c r="AZ47" i="45"/>
  <c r="AZ41" i="45"/>
  <c r="AZ29" i="45"/>
  <c r="AZ30" i="45"/>
  <c r="AZ31" i="45"/>
  <c r="AZ32" i="45"/>
  <c r="AZ33" i="45"/>
  <c r="AZ34" i="45"/>
  <c r="AZ35" i="45"/>
  <c r="AZ28" i="45"/>
  <c r="B4" i="43" l="1"/>
  <c r="AZ27" i="47" l="1"/>
  <c r="AZ28" i="47"/>
  <c r="AZ29" i="47"/>
  <c r="AZ30" i="47"/>
  <c r="AZ32" i="47"/>
  <c r="AZ33" i="47"/>
  <c r="AZ34" i="47"/>
  <c r="AZ35" i="47"/>
  <c r="AZ36" i="47"/>
  <c r="AZ37" i="47"/>
  <c r="AZ38" i="47"/>
  <c r="AZ39" i="47"/>
  <c r="AZ40" i="47"/>
  <c r="AZ41" i="47"/>
  <c r="AZ43" i="47"/>
  <c r="AZ23" i="47"/>
  <c r="AZ24" i="47"/>
  <c r="AZ25" i="47"/>
  <c r="AZ22" i="47"/>
  <c r="F7" i="44"/>
  <c r="F4" i="44"/>
  <c r="G7" i="49" l="1"/>
  <c r="AL16" i="24"/>
  <c r="AH16" i="24"/>
  <c r="AF16" i="24"/>
  <c r="AB16" i="24"/>
  <c r="AL15" i="24"/>
  <c r="AH15" i="24"/>
  <c r="AF15" i="24"/>
  <c r="AB15" i="24"/>
  <c r="AL14" i="24"/>
  <c r="AH14" i="24"/>
  <c r="AF14" i="24"/>
  <c r="AB14" i="24"/>
  <c r="AL13" i="24"/>
  <c r="AH13" i="24"/>
  <c r="AF13" i="24"/>
  <c r="AB13" i="24"/>
  <c r="AL12" i="24"/>
  <c r="AH12" i="24"/>
  <c r="AF12" i="24"/>
  <c r="AB12" i="24"/>
  <c r="Y16" i="24"/>
  <c r="U16" i="24"/>
  <c r="S16" i="24"/>
  <c r="O16" i="24"/>
  <c r="Y15" i="24"/>
  <c r="U15" i="24"/>
  <c r="S15" i="24"/>
  <c r="O15" i="24"/>
  <c r="Y14" i="24"/>
  <c r="U14" i="24"/>
  <c r="S14" i="24"/>
  <c r="O14" i="24"/>
  <c r="Y13" i="24"/>
  <c r="U13" i="24"/>
  <c r="S13" i="24"/>
  <c r="O13" i="24"/>
  <c r="Y12" i="24"/>
  <c r="U12" i="24"/>
  <c r="S12" i="24"/>
  <c r="O12" i="24"/>
  <c r="L13" i="24"/>
  <c r="L14" i="24"/>
  <c r="L15" i="24"/>
  <c r="L16" i="24"/>
  <c r="H13" i="24"/>
  <c r="H14" i="24"/>
  <c r="H15" i="24"/>
  <c r="H16" i="24"/>
  <c r="F13" i="24"/>
  <c r="F14" i="24"/>
  <c r="F15" i="24"/>
  <c r="F16" i="24"/>
  <c r="B13" i="24"/>
  <c r="B14" i="24"/>
  <c r="B15" i="24"/>
  <c r="B16" i="24"/>
  <c r="L12" i="24"/>
  <c r="H12" i="24"/>
  <c r="F12" i="24"/>
  <c r="B12" i="24"/>
  <c r="AL15" i="27"/>
  <c r="AL16" i="27"/>
  <c r="AL17" i="27"/>
  <c r="AL18" i="27"/>
  <c r="AH15" i="27"/>
  <c r="AH16" i="27"/>
  <c r="AH17" i="27"/>
  <c r="AH18" i="27"/>
  <c r="AF15" i="27"/>
  <c r="AF16" i="27"/>
  <c r="AF17" i="27"/>
  <c r="AF18" i="27"/>
  <c r="AB15" i="27"/>
  <c r="AB16" i="27"/>
  <c r="AB17" i="27"/>
  <c r="AB18" i="27"/>
  <c r="AL14" i="27"/>
  <c r="AH14" i="27"/>
  <c r="AF14" i="27"/>
  <c r="AB14" i="27"/>
  <c r="Y15" i="27"/>
  <c r="Y16" i="27"/>
  <c r="Y17" i="27"/>
  <c r="Y18" i="27"/>
  <c r="U15" i="27"/>
  <c r="U16" i="27"/>
  <c r="U17" i="27"/>
  <c r="U18" i="27"/>
  <c r="S15" i="27"/>
  <c r="S16" i="27"/>
  <c r="S17" i="27"/>
  <c r="S18" i="27"/>
  <c r="O15" i="27"/>
  <c r="O16" i="27"/>
  <c r="O17" i="27"/>
  <c r="O18" i="27"/>
  <c r="Y14" i="27"/>
  <c r="U14" i="27"/>
  <c r="S14" i="27"/>
  <c r="O14" i="27"/>
  <c r="AL16" i="14"/>
  <c r="AL15" i="14"/>
  <c r="AL14" i="14"/>
  <c r="AL13" i="14"/>
  <c r="AL12" i="14"/>
  <c r="AH16" i="14"/>
  <c r="AH15" i="14"/>
  <c r="AH14" i="14"/>
  <c r="AH13" i="14"/>
  <c r="AH12" i="14"/>
  <c r="AF16" i="14"/>
  <c r="AF15" i="14"/>
  <c r="AF14" i="14"/>
  <c r="AF13" i="14"/>
  <c r="AF12" i="14"/>
  <c r="AB16" i="14"/>
  <c r="AB15" i="14"/>
  <c r="AB14" i="14"/>
  <c r="AB13" i="14"/>
  <c r="AB12" i="14"/>
  <c r="Y16" i="14"/>
  <c r="Y15" i="14"/>
  <c r="Y14" i="14"/>
  <c r="Y13" i="14"/>
  <c r="Y12" i="14"/>
  <c r="U16" i="14"/>
  <c r="U15" i="14"/>
  <c r="U14" i="14"/>
  <c r="U13" i="14"/>
  <c r="U12" i="14"/>
  <c r="S16" i="14"/>
  <c r="S15" i="14"/>
  <c r="S14" i="14"/>
  <c r="S13" i="14"/>
  <c r="S12" i="14"/>
  <c r="O16" i="14"/>
  <c r="O15" i="14"/>
  <c r="O14" i="14"/>
  <c r="O13" i="14"/>
  <c r="O12" i="14"/>
  <c r="L15" i="27"/>
  <c r="L16" i="27"/>
  <c r="L17" i="27"/>
  <c r="L18" i="27"/>
  <c r="H15" i="27"/>
  <c r="H16" i="27"/>
  <c r="H17" i="27"/>
  <c r="H18" i="27"/>
  <c r="F15" i="27"/>
  <c r="F16" i="27"/>
  <c r="F17" i="27"/>
  <c r="F18" i="27"/>
  <c r="B15" i="27"/>
  <c r="B16" i="27"/>
  <c r="B17" i="27"/>
  <c r="B18" i="27"/>
  <c r="L14" i="27"/>
  <c r="H14" i="27"/>
  <c r="F14" i="27"/>
  <c r="B14" i="27"/>
  <c r="L16" i="14"/>
  <c r="L15" i="14"/>
  <c r="L14" i="14"/>
  <c r="L13" i="14"/>
  <c r="L12" i="14"/>
  <c r="H16" i="14"/>
  <c r="H15" i="14"/>
  <c r="H14" i="14"/>
  <c r="H13" i="14"/>
  <c r="H12" i="14"/>
  <c r="F16" i="14"/>
  <c r="F15" i="14"/>
  <c r="F14" i="14"/>
  <c r="F13" i="14"/>
  <c r="F12" i="14"/>
  <c r="B16" i="14"/>
  <c r="B15" i="14"/>
  <c r="B14" i="14"/>
  <c r="B13" i="14"/>
  <c r="B12" i="14"/>
  <c r="CJ18" i="49" l="1"/>
  <c r="CI18" i="49" s="1"/>
  <c r="AH41" i="27" l="1"/>
  <c r="O41" i="27"/>
  <c r="B40" i="27"/>
  <c r="AB5" i="27"/>
  <c r="D1015" i="44" l="1"/>
  <c r="AB35" i="14" l="1"/>
  <c r="O35" i="14"/>
  <c r="B35" i="14"/>
  <c r="U31" i="47"/>
  <c r="U20" i="47"/>
  <c r="U31" i="46"/>
  <c r="U20" i="46"/>
  <c r="B56" i="45"/>
  <c r="U52" i="45"/>
  <c r="U39" i="45"/>
  <c r="U26" i="45"/>
  <c r="U20" i="45"/>
  <c r="B10" i="43" l="1"/>
  <c r="B9" i="43"/>
  <c r="B8" i="43"/>
  <c r="M10" i="43"/>
  <c r="D10" i="43"/>
  <c r="M9" i="43"/>
  <c r="D9" i="43"/>
  <c r="D8" i="43"/>
  <c r="D7" i="43"/>
  <c r="B7" i="43"/>
  <c r="M8" i="43"/>
  <c r="M7" i="43"/>
  <c r="M6" i="43"/>
  <c r="M5" i="43" l="1"/>
  <c r="BZ34" i="27" l="1"/>
  <c r="CX32" i="27"/>
  <c r="CR32" i="27"/>
  <c r="CL32" i="27"/>
  <c r="CF32" i="27"/>
  <c r="BZ32" i="27"/>
  <c r="BL40" i="24"/>
  <c r="BF40" i="24"/>
  <c r="AZ40" i="24"/>
  <c r="BD23" i="47"/>
  <c r="BE23" i="47"/>
  <c r="BD24" i="47"/>
  <c r="BE24" i="47"/>
  <c r="BD25" i="47"/>
  <c r="BE25" i="47"/>
  <c r="BD27" i="47"/>
  <c r="BE27" i="47"/>
  <c r="BD28" i="47"/>
  <c r="BE28" i="47"/>
  <c r="BD29" i="47"/>
  <c r="BE29" i="47"/>
  <c r="BD30" i="47"/>
  <c r="BE30" i="47"/>
  <c r="BD33" i="47"/>
  <c r="BE33" i="47"/>
  <c r="BD34" i="47"/>
  <c r="BE34" i="47"/>
  <c r="BD35" i="47"/>
  <c r="BE35" i="47"/>
  <c r="BD36" i="47"/>
  <c r="BE36" i="47"/>
  <c r="BD37" i="47"/>
  <c r="BE37" i="47"/>
  <c r="BD38" i="47"/>
  <c r="BE38" i="47"/>
  <c r="BD39" i="47"/>
  <c r="BE39" i="47"/>
  <c r="BD40" i="47"/>
  <c r="BE40" i="47"/>
  <c r="BD41" i="47"/>
  <c r="BE41" i="47"/>
  <c r="BD43" i="47"/>
  <c r="BE43" i="47"/>
  <c r="BE22" i="47"/>
  <c r="BD22" i="47"/>
  <c r="BA23" i="47"/>
  <c r="BA24" i="47"/>
  <c r="BA25" i="47"/>
  <c r="BA27" i="47"/>
  <c r="BA33" i="47"/>
  <c r="BA34" i="47"/>
  <c r="BA35" i="47"/>
  <c r="BA36" i="47"/>
  <c r="BA37" i="47"/>
  <c r="BA38" i="47"/>
  <c r="BA39" i="47"/>
  <c r="BA40" i="47"/>
  <c r="BA41" i="47"/>
  <c r="BA43" i="47"/>
  <c r="BA22" i="47"/>
  <c r="BD34" i="46"/>
  <c r="BE34" i="46"/>
  <c r="BD35" i="46"/>
  <c r="BE35" i="46"/>
  <c r="BD36" i="46"/>
  <c r="BE36" i="46"/>
  <c r="BD37" i="46"/>
  <c r="BE37" i="46"/>
  <c r="BE33" i="46"/>
  <c r="BD33" i="46"/>
  <c r="BD23" i="46"/>
  <c r="BE23" i="46"/>
  <c r="BD24" i="46"/>
  <c r="BE24" i="46"/>
  <c r="BD25" i="46"/>
  <c r="BE25" i="46"/>
  <c r="BD26" i="46"/>
  <c r="BE26" i="46"/>
  <c r="BE22" i="46"/>
  <c r="BD22" i="46"/>
  <c r="BA23" i="46"/>
  <c r="BA24" i="46"/>
  <c r="BA25" i="46"/>
  <c r="BA26" i="46"/>
  <c r="BA33" i="46"/>
  <c r="BA34" i="46"/>
  <c r="BA35" i="46"/>
  <c r="BA36" i="46"/>
  <c r="BA37" i="46"/>
  <c r="BA22" i="46"/>
  <c r="BD21" i="46" l="1"/>
  <c r="BD32" i="46"/>
  <c r="BE21" i="46"/>
  <c r="BE32" i="46"/>
  <c r="BE32" i="47"/>
  <c r="BD32" i="47"/>
  <c r="BD23" i="45"/>
  <c r="BE23" i="45"/>
  <c r="BD24" i="45"/>
  <c r="BE24" i="45"/>
  <c r="BD25" i="45"/>
  <c r="BE25" i="45"/>
  <c r="BD28" i="45"/>
  <c r="BE28" i="45"/>
  <c r="BD29" i="45"/>
  <c r="BE29" i="45"/>
  <c r="BD30" i="45"/>
  <c r="BE30" i="45"/>
  <c r="BD31" i="45"/>
  <c r="BE31" i="45"/>
  <c r="BD32" i="45"/>
  <c r="BE32" i="45"/>
  <c r="BD33" i="45"/>
  <c r="BE33" i="45"/>
  <c r="BD34" i="45"/>
  <c r="BE34" i="45"/>
  <c r="BD35" i="45"/>
  <c r="BE35" i="45"/>
  <c r="BD36" i="45"/>
  <c r="BE36" i="45"/>
  <c r="BD37" i="45"/>
  <c r="BE37" i="45"/>
  <c r="BD38" i="45"/>
  <c r="BE38" i="45"/>
  <c r="BD41" i="45"/>
  <c r="BE41" i="45"/>
  <c r="BD42" i="45"/>
  <c r="BE42" i="45"/>
  <c r="BD43" i="45"/>
  <c r="BE43" i="45"/>
  <c r="BD44" i="45"/>
  <c r="BE44" i="45"/>
  <c r="BD45" i="45"/>
  <c r="BE45" i="45"/>
  <c r="BD46" i="45"/>
  <c r="BE46" i="45"/>
  <c r="BD47" i="45"/>
  <c r="BE47" i="45"/>
  <c r="BD49" i="45"/>
  <c r="BE49" i="45"/>
  <c r="BD50" i="45"/>
  <c r="BE50" i="45"/>
  <c r="BD51" i="45"/>
  <c r="BE51" i="45"/>
  <c r="BD54" i="45"/>
  <c r="BD53" i="45" s="1"/>
  <c r="BE54" i="45"/>
  <c r="BE53" i="45" s="1"/>
  <c r="BE22" i="45"/>
  <c r="BD22" i="45"/>
  <c r="BA29" i="45"/>
  <c r="BA30" i="45"/>
  <c r="BA31" i="45"/>
  <c r="BA32" i="45"/>
  <c r="BA33" i="45"/>
  <c r="BA34" i="45"/>
  <c r="BA35" i="45"/>
  <c r="BA41" i="45"/>
  <c r="BA42" i="45"/>
  <c r="BA43" i="45"/>
  <c r="BA44" i="45"/>
  <c r="BA45" i="45"/>
  <c r="BA46" i="45"/>
  <c r="BA47" i="45"/>
  <c r="BA54" i="45"/>
  <c r="BA28" i="45"/>
  <c r="BA22" i="45"/>
  <c r="BE40" i="45" l="1"/>
  <c r="BD40" i="45"/>
  <c r="BE27" i="45"/>
  <c r="BD27" i="45"/>
  <c r="L39" i="24" l="1"/>
  <c r="B40" i="24"/>
  <c r="X19" i="24"/>
  <c r="R19" i="24"/>
  <c r="L19" i="24"/>
  <c r="AB20" i="24"/>
  <c r="V20" i="24"/>
  <c r="P20" i="24"/>
  <c r="AL10" i="24"/>
  <c r="AH10" i="24"/>
  <c r="AF10" i="24"/>
  <c r="AB10" i="24"/>
  <c r="Y10" i="24"/>
  <c r="U10" i="24"/>
  <c r="S10" i="24"/>
  <c r="O10" i="24"/>
  <c r="L10" i="24"/>
  <c r="H10" i="24"/>
  <c r="F10" i="24"/>
  <c r="B10" i="24"/>
  <c r="AB9" i="24"/>
  <c r="O9" i="24"/>
  <c r="B9" i="24"/>
  <c r="AB5" i="24"/>
  <c r="S7" i="24"/>
  <c r="S7" i="27"/>
  <c r="S6" i="24"/>
  <c r="S6" i="27"/>
  <c r="F7" i="24"/>
  <c r="F7" i="27"/>
  <c r="F6" i="24"/>
  <c r="B1" i="24"/>
  <c r="O7" i="24"/>
  <c r="B7" i="24"/>
  <c r="O6" i="24"/>
  <c r="B6" i="24"/>
  <c r="O5" i="24"/>
  <c r="B5" i="24"/>
  <c r="Q3" i="24"/>
  <c r="AH40" i="27"/>
  <c r="Z40" i="27"/>
  <c r="U40" i="27"/>
  <c r="O40" i="27"/>
  <c r="G40" i="27"/>
  <c r="B36" i="27"/>
  <c r="O31" i="27"/>
  <c r="O33" i="27" l="1"/>
  <c r="AQ25" i="27"/>
  <c r="AK25" i="27"/>
  <c r="AE25" i="27"/>
  <c r="Y25" i="27"/>
  <c r="S25" i="27"/>
  <c r="M9" i="27"/>
  <c r="K9" i="27"/>
  <c r="F6" i="27"/>
  <c r="AA9" i="49"/>
  <c r="AA7" i="49"/>
  <c r="O7" i="27" l="1"/>
  <c r="B7" i="27"/>
  <c r="O6" i="27"/>
  <c r="B6" i="27"/>
  <c r="O5" i="27"/>
  <c r="B5" i="27"/>
  <c r="AL12" i="27"/>
  <c r="AH12" i="27"/>
  <c r="AF12" i="27"/>
  <c r="AB12" i="27"/>
  <c r="Y12" i="27"/>
  <c r="U12" i="27"/>
  <c r="S12" i="27"/>
  <c r="O12" i="27"/>
  <c r="L12" i="27"/>
  <c r="H12" i="27"/>
  <c r="F12" i="27"/>
  <c r="B12" i="27"/>
  <c r="AB11" i="27"/>
  <c r="O11" i="27"/>
  <c r="B11" i="27"/>
  <c r="B1" i="27"/>
  <c r="Q3" i="27"/>
  <c r="B1" i="49" l="1"/>
  <c r="V6" i="47"/>
  <c r="G6" i="47"/>
  <c r="B9" i="47"/>
  <c r="V7" i="47"/>
  <c r="V6" i="46"/>
  <c r="G7" i="47"/>
  <c r="G6" i="46"/>
  <c r="B9" i="46" l="1"/>
  <c r="V7" i="46"/>
  <c r="G7" i="46"/>
  <c r="G6" i="45"/>
  <c r="V7" i="45"/>
  <c r="V6" i="45"/>
  <c r="G7" i="45"/>
  <c r="S7" i="14"/>
  <c r="S6" i="14"/>
  <c r="F6" i="14"/>
  <c r="F7" i="14"/>
  <c r="C1015" i="44" l="1"/>
  <c r="G6" i="44" l="1"/>
  <c r="G5" i="44"/>
  <c r="G4" i="44"/>
  <c r="F6" i="44"/>
  <c r="F5" i="44"/>
  <c r="AG11" i="56" l="1"/>
  <c r="AF27" i="53" s="1"/>
  <c r="AG11" i="54"/>
  <c r="F27" i="53" s="1"/>
  <c r="AG11" i="55"/>
  <c r="S27" i="53" s="1"/>
  <c r="BD18" i="45"/>
  <c r="H19" i="14" s="1"/>
  <c r="BD21" i="55"/>
  <c r="BD17" i="56"/>
  <c r="BD18" i="54"/>
  <c r="BE18" i="45"/>
  <c r="BE17" i="56"/>
  <c r="BE18" i="54"/>
  <c r="BE21" i="55"/>
  <c r="U21" i="53" s="1"/>
  <c r="U27" i="53"/>
  <c r="AH27" i="53"/>
  <c r="H27" i="53"/>
  <c r="U27" i="14"/>
  <c r="H27" i="14"/>
  <c r="BB31" i="45"/>
  <c r="H4" i="44"/>
  <c r="U23" i="53" l="1"/>
  <c r="AH25" i="53"/>
  <c r="AH23" i="53"/>
  <c r="H19" i="53"/>
  <c r="H25" i="53"/>
  <c r="H21" i="53"/>
  <c r="H23" i="53"/>
  <c r="BB34" i="46"/>
  <c r="BB35" i="46"/>
  <c r="BB25" i="46"/>
  <c r="BB37" i="46"/>
  <c r="BB33" i="46"/>
  <c r="BB23" i="46"/>
  <c r="BB24" i="46"/>
  <c r="BB36" i="46"/>
  <c r="BB26" i="46"/>
  <c r="BB54" i="45"/>
  <c r="BB29" i="45"/>
  <c r="BB30" i="45"/>
  <c r="BB22" i="45"/>
  <c r="BB28" i="45"/>
  <c r="BB42" i="45"/>
  <c r="BB44" i="45"/>
  <c r="BB34" i="45"/>
  <c r="BB41" i="45"/>
  <c r="BB32" i="45"/>
  <c r="BB43" i="45"/>
  <c r="BB46" i="45"/>
  <c r="BB33" i="45"/>
  <c r="BB35" i="45"/>
  <c r="BB45" i="45"/>
  <c r="BB47" i="45"/>
  <c r="B38" i="24"/>
  <c r="B37" i="24"/>
  <c r="B36" i="24"/>
  <c r="B35" i="24"/>
  <c r="B34" i="24"/>
  <c r="B33" i="24"/>
  <c r="B32" i="24"/>
  <c r="B31" i="24"/>
  <c r="B30" i="24"/>
  <c r="B29" i="24"/>
  <c r="B28" i="24"/>
  <c r="B27" i="24"/>
  <c r="B26" i="24"/>
  <c r="B25" i="24"/>
  <c r="B24" i="24"/>
  <c r="B23" i="24"/>
  <c r="B22" i="24"/>
  <c r="B21" i="24"/>
  <c r="B19" i="24"/>
  <c r="B34" i="27"/>
  <c r="B32" i="27"/>
  <c r="B30" i="27"/>
  <c r="B29" i="27"/>
  <c r="B28" i="27"/>
  <c r="D27" i="27"/>
  <c r="D26" i="27"/>
  <c r="B24" i="27"/>
  <c r="B20" i="27"/>
  <c r="AG20" i="27"/>
  <c r="AA20" i="27"/>
  <c r="U20" i="27"/>
  <c r="O20" i="27"/>
  <c r="B9" i="27"/>
  <c r="B10" i="14"/>
  <c r="I9" i="27"/>
  <c r="B9" i="14"/>
  <c r="B7" i="14"/>
  <c r="N10" i="23"/>
  <c r="N9" i="23"/>
  <c r="N8" i="23"/>
  <c r="N6" i="23"/>
  <c r="AF30" i="14"/>
  <c r="S30" i="14"/>
  <c r="F30" i="14"/>
  <c r="AF35" i="14"/>
  <c r="S35" i="14"/>
  <c r="F35" i="14"/>
  <c r="N7" i="23"/>
  <c r="B7" i="45"/>
  <c r="AG5" i="45"/>
  <c r="BB21" i="45" l="1"/>
  <c r="AG11" i="45" s="1"/>
  <c r="AJ39" i="45"/>
  <c r="AU13" i="49"/>
  <c r="AU12" i="49"/>
  <c r="AU11" i="49"/>
  <c r="F28" i="49"/>
  <c r="F30" i="49"/>
  <c r="F32" i="49"/>
  <c r="F36" i="49"/>
  <c r="F38" i="49"/>
  <c r="F40" i="49"/>
  <c r="F42" i="49"/>
  <c r="F44" i="49"/>
  <c r="F48" i="49"/>
  <c r="F52" i="49"/>
  <c r="F54" i="49"/>
  <c r="F58" i="49"/>
  <c r="CH18" i="49"/>
  <c r="CJ19" i="49"/>
  <c r="CI19" i="49"/>
  <c r="CH19" i="49"/>
  <c r="C19" i="49"/>
  <c r="F18" i="49"/>
  <c r="F19" i="49"/>
  <c r="F51" i="49"/>
  <c r="F50" i="49"/>
  <c r="F56" i="49"/>
  <c r="F57" i="49"/>
  <c r="F59" i="49"/>
  <c r="F61" i="49"/>
  <c r="F63" i="49"/>
  <c r="F55" i="49"/>
  <c r="F53" i="49"/>
  <c r="F49" i="49"/>
  <c r="F47" i="49"/>
  <c r="F45" i="49"/>
  <c r="F43" i="49"/>
  <c r="F41" i="49"/>
  <c r="F39" i="49"/>
  <c r="F37" i="49"/>
  <c r="F35" i="49"/>
  <c r="F33" i="49"/>
  <c r="F31" i="49"/>
  <c r="F29" i="49"/>
  <c r="F27" i="49"/>
  <c r="F25" i="49"/>
  <c r="F62" i="49"/>
  <c r="F60" i="49"/>
  <c r="F46" i="49"/>
  <c r="F34" i="49"/>
  <c r="F26" i="49"/>
  <c r="F24" i="49"/>
  <c r="F23" i="49"/>
  <c r="F22" i="49"/>
  <c r="C54" i="49"/>
  <c r="C52" i="49"/>
  <c r="C50" i="49"/>
  <c r="C48" i="49"/>
  <c r="C46" i="49"/>
  <c r="C44" i="49"/>
  <c r="C42" i="49"/>
  <c r="C40" i="49"/>
  <c r="C38" i="49"/>
  <c r="C56" i="49"/>
  <c r="C58" i="49"/>
  <c r="C60" i="49"/>
  <c r="C62" i="49"/>
  <c r="M3" i="49"/>
  <c r="C5" i="49"/>
  <c r="S11" i="49"/>
  <c r="S10" i="49"/>
  <c r="AQ7" i="49"/>
  <c r="O9" i="49"/>
  <c r="E9" i="49"/>
  <c r="G9" i="49"/>
  <c r="F10" i="47"/>
  <c r="C9" i="49"/>
  <c r="S13" i="49"/>
  <c r="S7" i="49"/>
  <c r="C7" i="49"/>
  <c r="S9" i="49"/>
  <c r="Q9" i="47"/>
  <c r="Q9" i="46"/>
  <c r="Q3" i="47"/>
  <c r="Q3" i="46"/>
  <c r="Q3" i="45"/>
  <c r="B10" i="23"/>
  <c r="B6" i="23"/>
  <c r="BD39" i="45" l="1"/>
  <c r="BE39" i="45"/>
  <c r="M46" i="45"/>
  <c r="G17" i="49"/>
  <c r="G16" i="49" s="1"/>
  <c r="G18" i="49" s="1"/>
  <c r="CK22" i="49"/>
  <c r="CL22" i="49"/>
  <c r="CO22" i="49"/>
  <c r="CP22" i="49"/>
  <c r="CK23" i="49"/>
  <c r="CL23" i="49"/>
  <c r="CO23" i="49"/>
  <c r="CP23" i="49"/>
  <c r="CQ23" i="49"/>
  <c r="CK24" i="49"/>
  <c r="CL24" i="49"/>
  <c r="CO24" i="49"/>
  <c r="CP24" i="49"/>
  <c r="CQ24" i="49"/>
  <c r="CK25" i="49"/>
  <c r="CL25" i="49"/>
  <c r="CO25" i="49"/>
  <c r="CP25" i="49"/>
  <c r="CQ25" i="49"/>
  <c r="CK26" i="49"/>
  <c r="CL26" i="49"/>
  <c r="CO26" i="49"/>
  <c r="CP26" i="49"/>
  <c r="CQ26" i="49"/>
  <c r="CK27" i="49"/>
  <c r="CL27" i="49"/>
  <c r="CO27" i="49"/>
  <c r="CP27" i="49"/>
  <c r="CQ27" i="49"/>
  <c r="CK28" i="49"/>
  <c r="CL28" i="49"/>
  <c r="CO28" i="49"/>
  <c r="CP28" i="49"/>
  <c r="CQ28" i="49"/>
  <c r="CK29" i="49"/>
  <c r="CL29" i="49"/>
  <c r="CO29" i="49"/>
  <c r="CP29" i="49"/>
  <c r="CQ29" i="49"/>
  <c r="CK30" i="49"/>
  <c r="CL30" i="49"/>
  <c r="CO30" i="49"/>
  <c r="CP30" i="49"/>
  <c r="CQ30" i="49"/>
  <c r="CK31" i="49"/>
  <c r="CL31" i="49"/>
  <c r="CO31" i="49"/>
  <c r="CP31" i="49"/>
  <c r="CQ31" i="49"/>
  <c r="CK32" i="49"/>
  <c r="CL32" i="49"/>
  <c r="CO32" i="49"/>
  <c r="CP32" i="49"/>
  <c r="CQ32" i="49"/>
  <c r="CK33" i="49"/>
  <c r="CL33" i="49"/>
  <c r="CO33" i="49"/>
  <c r="CP33" i="49"/>
  <c r="CQ33" i="49"/>
  <c r="CK34" i="49"/>
  <c r="CL34" i="49"/>
  <c r="CO34" i="49"/>
  <c r="CP34" i="49"/>
  <c r="CQ34" i="49"/>
  <c r="CK35" i="49"/>
  <c r="CL35" i="49"/>
  <c r="CO35" i="49"/>
  <c r="CP35" i="49"/>
  <c r="CQ35" i="49"/>
  <c r="CK36" i="49"/>
  <c r="CL36" i="49"/>
  <c r="CO36" i="49"/>
  <c r="CP36" i="49"/>
  <c r="CQ36" i="49"/>
  <c r="CK37" i="49"/>
  <c r="CL37" i="49"/>
  <c r="CO37" i="49"/>
  <c r="CP37" i="49"/>
  <c r="CQ37" i="49"/>
  <c r="CK38" i="49"/>
  <c r="CL38" i="49"/>
  <c r="CO38" i="49"/>
  <c r="CP38" i="49"/>
  <c r="CQ38" i="49"/>
  <c r="CK39" i="49"/>
  <c r="CL39" i="49"/>
  <c r="CO39" i="49"/>
  <c r="CP39" i="49"/>
  <c r="CQ39" i="49"/>
  <c r="CK40" i="49"/>
  <c r="CL40" i="49"/>
  <c r="CO40" i="49"/>
  <c r="CP40" i="49"/>
  <c r="CQ40" i="49"/>
  <c r="CK41" i="49"/>
  <c r="CL41" i="49"/>
  <c r="CO41" i="49"/>
  <c r="CP41" i="49"/>
  <c r="CQ41" i="49"/>
  <c r="CK42" i="49"/>
  <c r="CL42" i="49"/>
  <c r="CO42" i="49"/>
  <c r="CP42" i="49"/>
  <c r="CQ42" i="49"/>
  <c r="CK43" i="49"/>
  <c r="CL43" i="49"/>
  <c r="CO43" i="49"/>
  <c r="CP43" i="49"/>
  <c r="CQ43" i="49"/>
  <c r="CK44" i="49"/>
  <c r="CL44" i="49"/>
  <c r="CO44" i="49"/>
  <c r="CP44" i="49"/>
  <c r="CQ44" i="49"/>
  <c r="CK45" i="49"/>
  <c r="CL45" i="49"/>
  <c r="CO45" i="49"/>
  <c r="CP45" i="49"/>
  <c r="CQ45" i="49"/>
  <c r="CK46" i="49"/>
  <c r="CL46" i="49"/>
  <c r="CO46" i="49"/>
  <c r="CP46" i="49"/>
  <c r="CQ46" i="49"/>
  <c r="CK47" i="49"/>
  <c r="CL47" i="49"/>
  <c r="CO47" i="49"/>
  <c r="CP47" i="49"/>
  <c r="CQ47" i="49"/>
  <c r="CK48" i="49"/>
  <c r="CL48" i="49"/>
  <c r="CO48" i="49"/>
  <c r="CP48" i="49"/>
  <c r="CQ48" i="49"/>
  <c r="CK49" i="49"/>
  <c r="CL49" i="49"/>
  <c r="CO49" i="49"/>
  <c r="CP49" i="49"/>
  <c r="CQ49" i="49"/>
  <c r="CK50" i="49"/>
  <c r="CL50" i="49"/>
  <c r="CO50" i="49"/>
  <c r="CP50" i="49"/>
  <c r="CQ50" i="49"/>
  <c r="CK51" i="49"/>
  <c r="CL51" i="49"/>
  <c r="CO51" i="49"/>
  <c r="CP51" i="49"/>
  <c r="CQ51" i="49"/>
  <c r="CK52" i="49"/>
  <c r="CL52" i="49"/>
  <c r="CO52" i="49"/>
  <c r="CP52" i="49"/>
  <c r="CQ52" i="49"/>
  <c r="CK53" i="49"/>
  <c r="CL53" i="49"/>
  <c r="CO53" i="49"/>
  <c r="CP53" i="49"/>
  <c r="CQ53" i="49"/>
  <c r="CK54" i="49"/>
  <c r="CL54" i="49"/>
  <c r="CO54" i="49"/>
  <c r="CP54" i="49"/>
  <c r="CQ54" i="49"/>
  <c r="CK55" i="49"/>
  <c r="CL55" i="49"/>
  <c r="CO55" i="49"/>
  <c r="CP55" i="49"/>
  <c r="CQ55" i="49"/>
  <c r="CK56" i="49"/>
  <c r="CL56" i="49"/>
  <c r="CO56" i="49"/>
  <c r="CP56" i="49"/>
  <c r="CQ56" i="49"/>
  <c r="CK57" i="49"/>
  <c r="CL57" i="49"/>
  <c r="CO57" i="49"/>
  <c r="CP57" i="49"/>
  <c r="CQ57" i="49"/>
  <c r="CK58" i="49"/>
  <c r="CL58" i="49"/>
  <c r="CO58" i="49"/>
  <c r="CP58" i="49"/>
  <c r="CQ58" i="49"/>
  <c r="CK59" i="49"/>
  <c r="CL59" i="49"/>
  <c r="CO59" i="49"/>
  <c r="CP59" i="49"/>
  <c r="CQ59" i="49"/>
  <c r="CK60" i="49"/>
  <c r="CL60" i="49"/>
  <c r="CO60" i="49"/>
  <c r="CP60" i="49"/>
  <c r="CQ60" i="49"/>
  <c r="CK61" i="49"/>
  <c r="CL61" i="49"/>
  <c r="CO61" i="49"/>
  <c r="CP61" i="49"/>
  <c r="CQ61" i="49"/>
  <c r="CK62" i="49"/>
  <c r="CL62" i="49"/>
  <c r="CO62" i="49"/>
  <c r="CP62" i="49"/>
  <c r="CQ62" i="49"/>
  <c r="CK63" i="49"/>
  <c r="CL63" i="49"/>
  <c r="CO63" i="49"/>
  <c r="CP63" i="49"/>
  <c r="CQ63" i="49"/>
  <c r="CM22" i="49" l="1"/>
  <c r="CM62" i="49"/>
  <c r="CM50" i="49"/>
  <c r="CM30" i="49"/>
  <c r="CM26" i="49"/>
  <c r="CM34" i="49"/>
  <c r="W17" i="49"/>
  <c r="W16" i="49" s="1"/>
  <c r="CB17" i="49"/>
  <c r="BL17" i="49"/>
  <c r="BL16" i="49" s="1"/>
  <c r="CM58" i="49"/>
  <c r="CM57" i="49"/>
  <c r="CM53" i="49"/>
  <c r="CM46" i="49"/>
  <c r="CM42" i="49"/>
  <c r="CM41" i="49"/>
  <c r="CM37" i="49"/>
  <c r="AY17" i="49"/>
  <c r="AY16" i="49" s="1"/>
  <c r="CM25" i="49"/>
  <c r="AM17" i="49"/>
  <c r="AM16" i="49" s="1"/>
  <c r="CM63" i="49"/>
  <c r="CM60" i="49"/>
  <c r="CM56" i="49"/>
  <c r="CM52" i="49"/>
  <c r="CM49" i="49"/>
  <c r="CM38" i="49"/>
  <c r="CM35" i="49"/>
  <c r="CM28" i="49"/>
  <c r="CM24" i="49"/>
  <c r="CE17" i="49"/>
  <c r="CE16" i="49" s="1"/>
  <c r="BS17" i="49"/>
  <c r="BS16" i="49" s="1"/>
  <c r="BC17" i="49"/>
  <c r="BC16" i="49" s="1"/>
  <c r="AN17" i="49"/>
  <c r="AN16" i="49" s="1"/>
  <c r="AA17" i="49"/>
  <c r="AA16" i="49" s="1"/>
  <c r="H17" i="49"/>
  <c r="H16" i="49" s="1"/>
  <c r="H18" i="49" s="1"/>
  <c r="CM54" i="49"/>
  <c r="CM44" i="49"/>
  <c r="CM40" i="49"/>
  <c r="CM36" i="49"/>
  <c r="CM33" i="49"/>
  <c r="BW17" i="49"/>
  <c r="BK17" i="49"/>
  <c r="BK16" i="49" s="1"/>
  <c r="AV17" i="49"/>
  <c r="AV16" i="49" s="1"/>
  <c r="AF17" i="49"/>
  <c r="AF16" i="49" s="1"/>
  <c r="S17" i="49"/>
  <c r="S16" i="49" s="1"/>
  <c r="BT17" i="49"/>
  <c r="BG17" i="49"/>
  <c r="BG16" i="49" s="1"/>
  <c r="AQ17" i="49"/>
  <c r="AQ16" i="49" s="1"/>
  <c r="AE17" i="49"/>
  <c r="AE16" i="49" s="1"/>
  <c r="P17" i="49"/>
  <c r="P16" i="49" s="1"/>
  <c r="K17" i="49"/>
  <c r="K16" i="49" s="1"/>
  <c r="CM47" i="49"/>
  <c r="CM31" i="49"/>
  <c r="CM59" i="49"/>
  <c r="CM43" i="49"/>
  <c r="CM27" i="49"/>
  <c r="CM61" i="49"/>
  <c r="CM55" i="49"/>
  <c r="CM51" i="49"/>
  <c r="CM48" i="49"/>
  <c r="CM45" i="49"/>
  <c r="CM39" i="49"/>
  <c r="CM32" i="49"/>
  <c r="CM29" i="49"/>
  <c r="CM23" i="49"/>
  <c r="CA17" i="49"/>
  <c r="BO17" i="49"/>
  <c r="BO16" i="49" s="1"/>
  <c r="BD17" i="49"/>
  <c r="BD16" i="49" s="1"/>
  <c r="AU17" i="49"/>
  <c r="AU16" i="49" s="1"/>
  <c r="AI17" i="49"/>
  <c r="AI16" i="49" s="1"/>
  <c r="X17" i="49"/>
  <c r="X16" i="49" s="1"/>
  <c r="O17" i="49"/>
  <c r="O16" i="49" s="1"/>
  <c r="CF17" i="49"/>
  <c r="BX17" i="49"/>
  <c r="BP17" i="49"/>
  <c r="BP16" i="49" s="1"/>
  <c r="BH17" i="49"/>
  <c r="BH16" i="49" s="1"/>
  <c r="AZ17" i="49"/>
  <c r="AZ16" i="49" s="1"/>
  <c r="AR17" i="49"/>
  <c r="AR16" i="49" s="1"/>
  <c r="AJ17" i="49"/>
  <c r="AJ16" i="49" s="1"/>
  <c r="AB17" i="49"/>
  <c r="AB16" i="49" s="1"/>
  <c r="T17" i="49"/>
  <c r="T16" i="49" s="1"/>
  <c r="T18" i="49" s="1"/>
  <c r="L17" i="49"/>
  <c r="L16" i="49" s="1"/>
  <c r="CD17" i="49"/>
  <c r="CD16" i="49" s="1"/>
  <c r="BZ17" i="49"/>
  <c r="CA18" i="49" s="1"/>
  <c r="BV17" i="49"/>
  <c r="BR17" i="49"/>
  <c r="BR16" i="49" s="1"/>
  <c r="BN17" i="49"/>
  <c r="BN16" i="49" s="1"/>
  <c r="BJ17" i="49"/>
  <c r="BJ16" i="49" s="1"/>
  <c r="BF17" i="49"/>
  <c r="BB17" i="49"/>
  <c r="BT18" i="49" s="1"/>
  <c r="AX17" i="49"/>
  <c r="AT17" i="49"/>
  <c r="AP17" i="49"/>
  <c r="AP16" i="49" s="1"/>
  <c r="AL17" i="49"/>
  <c r="AH17" i="49"/>
  <c r="AD17" i="49"/>
  <c r="AD16" i="49" s="1"/>
  <c r="Z17" i="49"/>
  <c r="Z16" i="49" s="1"/>
  <c r="V17" i="49"/>
  <c r="R17" i="49"/>
  <c r="N17" i="49"/>
  <c r="N16" i="49" s="1"/>
  <c r="J17" i="49"/>
  <c r="CC17" i="49"/>
  <c r="BY17" i="49"/>
  <c r="BU17" i="49"/>
  <c r="BQ17" i="49"/>
  <c r="BQ16" i="49" s="1"/>
  <c r="BM17" i="49"/>
  <c r="BM16" i="49" s="1"/>
  <c r="BI17" i="49"/>
  <c r="BI16" i="49" s="1"/>
  <c r="BE17" i="49"/>
  <c r="BE16" i="49" s="1"/>
  <c r="BA17" i="49"/>
  <c r="BA16" i="49" s="1"/>
  <c r="AW17" i="49"/>
  <c r="AW16" i="49" s="1"/>
  <c r="AS17" i="49"/>
  <c r="AS16" i="49" s="1"/>
  <c r="AO17" i="49"/>
  <c r="AO16" i="49" s="1"/>
  <c r="AK17" i="49"/>
  <c r="AK16" i="49" s="1"/>
  <c r="AG17" i="49"/>
  <c r="AG16" i="49" s="1"/>
  <c r="AC17" i="49"/>
  <c r="AC16" i="49" s="1"/>
  <c r="Y17" i="49"/>
  <c r="Y16" i="49" s="1"/>
  <c r="U17" i="49"/>
  <c r="U16" i="49" s="1"/>
  <c r="Q17" i="49"/>
  <c r="Q16" i="49" s="1"/>
  <c r="M17" i="49"/>
  <c r="M16" i="49" s="1"/>
  <c r="I17" i="49"/>
  <c r="I16" i="49" s="1"/>
  <c r="CN25" i="49"/>
  <c r="CN27" i="49"/>
  <c r="CN34" i="49"/>
  <c r="CN43" i="49"/>
  <c r="CN50" i="49"/>
  <c r="CN59" i="49"/>
  <c r="CN23" i="49"/>
  <c r="CN30" i="49"/>
  <c r="CN39" i="49"/>
  <c r="CN46" i="49"/>
  <c r="CN55" i="49"/>
  <c r="CN62" i="49"/>
  <c r="CN26" i="49"/>
  <c r="CN35" i="49"/>
  <c r="CN42" i="49"/>
  <c r="CN58" i="49"/>
  <c r="CN54" i="49"/>
  <c r="CN51" i="49"/>
  <c r="CN31" i="49"/>
  <c r="CN38" i="49"/>
  <c r="CN47" i="49"/>
  <c r="CN63" i="49"/>
  <c r="CN53" i="49"/>
  <c r="CN57" i="49"/>
  <c r="CN36" i="49"/>
  <c r="CN48" i="49"/>
  <c r="CN37" i="49"/>
  <c r="CN32" i="49"/>
  <c r="CN52" i="49"/>
  <c r="CN41" i="49"/>
  <c r="CN61" i="49"/>
  <c r="CN56" i="49"/>
  <c r="CN45" i="49"/>
  <c r="CN40" i="49"/>
  <c r="CN29" i="49"/>
  <c r="CN24" i="49"/>
  <c r="CN60" i="49"/>
  <c r="CN49" i="49"/>
  <c r="CN44" i="49"/>
  <c r="CN33" i="49"/>
  <c r="CN28" i="49"/>
  <c r="BE18" i="49" l="1"/>
  <c r="CG22" i="49"/>
  <c r="BJ18" i="49"/>
  <c r="AO18" i="49"/>
  <c r="BL18" i="49"/>
  <c r="AN18" i="49"/>
  <c r="AA18" i="49"/>
  <c r="Q18" i="49"/>
  <c r="W18" i="49"/>
  <c r="AM18" i="49"/>
  <c r="X18" i="49"/>
  <c r="S18" i="49"/>
  <c r="K18" i="49"/>
  <c r="AZ18" i="49"/>
  <c r="BG18" i="49"/>
  <c r="BF16" i="49"/>
  <c r="BF18" i="49" s="1"/>
  <c r="BY18" i="49"/>
  <c r="AB18" i="49"/>
  <c r="I18" i="49"/>
  <c r="Y18" i="49"/>
  <c r="BH18" i="49"/>
  <c r="AQ18" i="49"/>
  <c r="AW18" i="49"/>
  <c r="L18" i="49"/>
  <c r="BP18" i="49"/>
  <c r="BR18" i="49"/>
  <c r="AF18" i="49"/>
  <c r="U18" i="49"/>
  <c r="BA18" i="49"/>
  <c r="BQ18" i="49"/>
  <c r="AR18" i="49"/>
  <c r="BU18" i="49"/>
  <c r="AI18" i="49"/>
  <c r="CF16" i="49"/>
  <c r="CF18" i="49" s="1"/>
  <c r="BD18" i="49"/>
  <c r="AV18" i="49"/>
  <c r="BK18" i="49"/>
  <c r="AE18" i="49"/>
  <c r="AG18" i="49"/>
  <c r="CC16" i="49"/>
  <c r="CC18" i="49" s="1"/>
  <c r="J16" i="49"/>
  <c r="J18" i="49" s="1"/>
  <c r="AJ18" i="49"/>
  <c r="CD18" i="49"/>
  <c r="M18" i="49"/>
  <c r="AS18" i="49"/>
  <c r="P18" i="49"/>
  <c r="AX16" i="49"/>
  <c r="AX18" i="49" s="1"/>
  <c r="O18" i="49"/>
  <c r="AU18" i="49"/>
  <c r="CB18" i="49"/>
  <c r="BB16" i="49"/>
  <c r="BB18" i="49" s="1"/>
  <c r="AK18" i="49"/>
  <c r="BX18" i="49"/>
  <c r="BV18" i="49"/>
  <c r="AH16" i="49"/>
  <c r="AH18" i="49" s="1"/>
  <c r="BO18" i="49"/>
  <c r="R16" i="49"/>
  <c r="R18" i="49" s="1"/>
  <c r="AL16" i="49"/>
  <c r="AL18" i="49" s="1"/>
  <c r="AY18" i="49"/>
  <c r="CE18" i="49"/>
  <c r="V16" i="49"/>
  <c r="V18" i="49" s="1"/>
  <c r="BC18" i="49"/>
  <c r="AC18" i="49"/>
  <c r="N18" i="49"/>
  <c r="AD18" i="49"/>
  <c r="BZ18" i="49"/>
  <c r="AT16" i="49"/>
  <c r="AT18" i="49" s="1"/>
  <c r="BM18" i="49"/>
  <c r="BS18" i="49"/>
  <c r="Z18" i="49"/>
  <c r="AP18" i="49"/>
  <c r="BN18" i="49"/>
  <c r="BI18" i="49"/>
  <c r="BW18" i="49"/>
  <c r="M39" i="47" l="1"/>
  <c r="D1208" i="44" l="1"/>
  <c r="C1208" i="44"/>
  <c r="B154" i="59" s="1"/>
  <c r="D1203" i="44"/>
  <c r="C1203" i="44"/>
  <c r="C1204" i="44" l="1"/>
  <c r="B147" i="59"/>
  <c r="C36" i="49"/>
  <c r="C32" i="49"/>
  <c r="C34" i="49"/>
  <c r="D1204" i="44"/>
  <c r="C151" i="59" l="1"/>
  <c r="M41" i="47"/>
  <c r="E41" i="47"/>
  <c r="C41" i="47"/>
  <c r="C40" i="47"/>
  <c r="M40" i="47"/>
  <c r="E40" i="47"/>
  <c r="E39" i="47"/>
  <c r="C39" i="47"/>
  <c r="M38" i="47"/>
  <c r="E38" i="47"/>
  <c r="C38" i="47"/>
  <c r="M37" i="47"/>
  <c r="E37" i="47"/>
  <c r="C37" i="47"/>
  <c r="M36" i="47"/>
  <c r="E36" i="47"/>
  <c r="C36" i="47"/>
  <c r="C35" i="47"/>
  <c r="E35" i="47"/>
  <c r="M34" i="47"/>
  <c r="E34" i="47"/>
  <c r="C34" i="47"/>
  <c r="E33" i="47"/>
  <c r="C33" i="47"/>
  <c r="M25" i="47"/>
  <c r="E25" i="47"/>
  <c r="C25" i="47"/>
  <c r="M24" i="47"/>
  <c r="E24" i="47"/>
  <c r="C24" i="47"/>
  <c r="M23" i="47"/>
  <c r="E23" i="47"/>
  <c r="C23" i="47"/>
  <c r="M22" i="47"/>
  <c r="E22" i="47"/>
  <c r="C22" i="47"/>
  <c r="M37" i="46"/>
  <c r="E37" i="46"/>
  <c r="C37" i="46"/>
  <c r="M36" i="46"/>
  <c r="E36" i="46"/>
  <c r="C36" i="46"/>
  <c r="M35" i="46"/>
  <c r="E35" i="46"/>
  <c r="C35" i="46"/>
  <c r="C34" i="46"/>
  <c r="M33" i="46"/>
  <c r="E33" i="46"/>
  <c r="C33" i="46"/>
  <c r="M26" i="46"/>
  <c r="E26" i="46"/>
  <c r="C26" i="46"/>
  <c r="E25" i="46"/>
  <c r="C25" i="46"/>
  <c r="M24" i="46"/>
  <c r="E24" i="46"/>
  <c r="C24" i="46"/>
  <c r="C23" i="46"/>
  <c r="M23" i="46"/>
  <c r="E23" i="46"/>
  <c r="M22" i="46"/>
  <c r="E22" i="46"/>
  <c r="C22" i="46"/>
  <c r="M54" i="45"/>
  <c r="E54" i="45"/>
  <c r="C54" i="45"/>
  <c r="M47" i="45"/>
  <c r="E47" i="45"/>
  <c r="C47" i="45"/>
  <c r="E46" i="45"/>
  <c r="C46" i="45"/>
  <c r="M45" i="45"/>
  <c r="E45" i="45"/>
  <c r="C45" i="45"/>
  <c r="C44" i="45"/>
  <c r="M43" i="45"/>
  <c r="E43" i="45"/>
  <c r="C43" i="45"/>
  <c r="M42" i="45"/>
  <c r="E42" i="45"/>
  <c r="M41" i="45"/>
  <c r="E41" i="45"/>
  <c r="C41" i="45"/>
  <c r="M35" i="45"/>
  <c r="E35" i="45"/>
  <c r="C35" i="45"/>
  <c r="M34" i="45"/>
  <c r="E34" i="45"/>
  <c r="C34" i="45"/>
  <c r="M33" i="45"/>
  <c r="E33" i="45"/>
  <c r="C33" i="45"/>
  <c r="M32" i="45"/>
  <c r="E32" i="45"/>
  <c r="C32" i="45"/>
  <c r="M31" i="45"/>
  <c r="E31" i="45"/>
  <c r="C31" i="45"/>
  <c r="M30" i="45"/>
  <c r="E30" i="45"/>
  <c r="C30" i="45"/>
  <c r="M29" i="45"/>
  <c r="E29" i="45"/>
  <c r="C29" i="45"/>
  <c r="M28" i="45"/>
  <c r="E28" i="45"/>
  <c r="C28" i="45"/>
  <c r="M22" i="45"/>
  <c r="E22" i="45"/>
  <c r="C22" i="45"/>
  <c r="C20" i="45"/>
  <c r="H5" i="44" l="1"/>
  <c r="B5" i="47"/>
  <c r="B3" i="47"/>
  <c r="B1" i="47"/>
  <c r="B45" i="47"/>
  <c r="B42" i="46"/>
  <c r="B3" i="46"/>
  <c r="B1" i="46"/>
  <c r="AH62" i="45"/>
  <c r="O62" i="45"/>
  <c r="B6" i="45"/>
  <c r="B29" i="47"/>
  <c r="B29" i="46"/>
  <c r="AJ31" i="47"/>
  <c r="AH31" i="47"/>
  <c r="AE31" i="47"/>
  <c r="AB31" i="47"/>
  <c r="Z31" i="47"/>
  <c r="AZ31" i="47" s="1"/>
  <c r="AH27" i="14" s="1"/>
  <c r="M31" i="47"/>
  <c r="E31" i="47"/>
  <c r="C31" i="47"/>
  <c r="B31" i="47"/>
  <c r="AJ20" i="47"/>
  <c r="AH20" i="47"/>
  <c r="AE20" i="47"/>
  <c r="AB20" i="47"/>
  <c r="Z20" i="47"/>
  <c r="M20" i="47"/>
  <c r="E20" i="47"/>
  <c r="C20" i="47"/>
  <c r="B20" i="47"/>
  <c r="AJ31" i="46"/>
  <c r="AH31" i="46"/>
  <c r="AE31" i="46"/>
  <c r="AB31" i="46"/>
  <c r="Z31" i="46"/>
  <c r="M31" i="46"/>
  <c r="E31" i="46"/>
  <c r="C31" i="46"/>
  <c r="B31" i="46"/>
  <c r="AJ20" i="46"/>
  <c r="AH20" i="46"/>
  <c r="AE20" i="46"/>
  <c r="AB20" i="46"/>
  <c r="Z20" i="46"/>
  <c r="M20" i="46"/>
  <c r="E20" i="46"/>
  <c r="C20" i="46"/>
  <c r="B20" i="46"/>
  <c r="B18" i="47"/>
  <c r="B18" i="46"/>
  <c r="AJ52" i="45"/>
  <c r="AH52" i="45"/>
  <c r="AE52" i="45"/>
  <c r="AB52" i="45"/>
  <c r="Z52" i="45"/>
  <c r="M52" i="45"/>
  <c r="E52" i="45"/>
  <c r="C52" i="45"/>
  <c r="B52" i="45"/>
  <c r="AH39" i="45"/>
  <c r="AE39" i="45"/>
  <c r="AB39" i="45"/>
  <c r="Z39" i="45"/>
  <c r="M39" i="45"/>
  <c r="E39" i="45"/>
  <c r="C39" i="45"/>
  <c r="B39" i="45"/>
  <c r="AJ26" i="45"/>
  <c r="AH26" i="45"/>
  <c r="AE26" i="45"/>
  <c r="AB26" i="45"/>
  <c r="Z26" i="45"/>
  <c r="M26" i="45"/>
  <c r="E26" i="45"/>
  <c r="C26" i="45"/>
  <c r="B26" i="45"/>
  <c r="Z20" i="45"/>
  <c r="AJ20" i="45"/>
  <c r="AH20" i="45"/>
  <c r="AE20" i="45"/>
  <c r="AB20" i="45"/>
  <c r="M20" i="45"/>
  <c r="E20" i="45"/>
  <c r="B20" i="45"/>
  <c r="B50" i="45"/>
  <c r="B37" i="45"/>
  <c r="B24" i="45"/>
  <c r="B18" i="45"/>
  <c r="AG9" i="47"/>
  <c r="AG9" i="46"/>
  <c r="Q15" i="47"/>
  <c r="Q14" i="47"/>
  <c r="Q13" i="47"/>
  <c r="Q12" i="47"/>
  <c r="Q11" i="47"/>
  <c r="Q15" i="46"/>
  <c r="Q14" i="46"/>
  <c r="Q13" i="46"/>
  <c r="Q12" i="46"/>
  <c r="Q11" i="46"/>
  <c r="AA10" i="47"/>
  <c r="V10" i="47"/>
  <c r="Q10" i="47"/>
  <c r="AA10" i="46"/>
  <c r="V10" i="46"/>
  <c r="Q10" i="46"/>
  <c r="AG9" i="45"/>
  <c r="Q15" i="45"/>
  <c r="Q14" i="45"/>
  <c r="Q13" i="45"/>
  <c r="Q12" i="45"/>
  <c r="Q11" i="45"/>
  <c r="AA10" i="45"/>
  <c r="V10" i="45"/>
  <c r="Q10" i="45"/>
  <c r="Q9" i="45"/>
  <c r="I10" i="47"/>
  <c r="I10" i="46"/>
  <c r="I10" i="45"/>
  <c r="H10" i="14"/>
  <c r="M10" i="47"/>
  <c r="M10" i="46"/>
  <c r="F10" i="46"/>
  <c r="M10" i="45"/>
  <c r="F10" i="45"/>
  <c r="B10" i="47"/>
  <c r="B10" i="46"/>
  <c r="B10" i="45"/>
  <c r="B9" i="45"/>
  <c r="AG5" i="47"/>
  <c r="AG5" i="46"/>
  <c r="Q7" i="47"/>
  <c r="Q7" i="46"/>
  <c r="Q7" i="45"/>
  <c r="O7" i="14"/>
  <c r="Q6" i="47"/>
  <c r="Q6" i="46"/>
  <c r="Q6" i="45"/>
  <c r="O6" i="14"/>
  <c r="Q5" i="47"/>
  <c r="Q5" i="46"/>
  <c r="Q5" i="45"/>
  <c r="O5" i="14"/>
  <c r="B7" i="47"/>
  <c r="B7" i="46"/>
  <c r="B6" i="47"/>
  <c r="B6" i="46"/>
  <c r="B6" i="14"/>
  <c r="B5" i="46"/>
  <c r="B5" i="45"/>
  <c r="B5" i="14"/>
  <c r="B3" i="45"/>
  <c r="B1" i="45"/>
  <c r="AB30" i="14"/>
  <c r="O30" i="14"/>
  <c r="B30" i="14"/>
  <c r="AB27" i="14"/>
  <c r="O27" i="14"/>
  <c r="AB23" i="14"/>
  <c r="AB21" i="14"/>
  <c r="O23" i="14"/>
  <c r="O21" i="14"/>
  <c r="AH18" i="14"/>
  <c r="AF18" i="14"/>
  <c r="AB18" i="14"/>
  <c r="U18" i="14"/>
  <c r="S18" i="14"/>
  <c r="O18" i="14"/>
  <c r="B27" i="14"/>
  <c r="B25" i="14"/>
  <c r="B23" i="14"/>
  <c r="B21" i="14"/>
  <c r="B19" i="14"/>
  <c r="H18" i="14"/>
  <c r="F18" i="14"/>
  <c r="B18" i="14"/>
  <c r="AL10" i="14"/>
  <c r="AH10" i="14"/>
  <c r="AF10" i="14"/>
  <c r="AB10" i="14"/>
  <c r="Y10" i="14"/>
  <c r="U10" i="14"/>
  <c r="S10" i="14"/>
  <c r="O10" i="14"/>
  <c r="L10" i="14"/>
  <c r="F10" i="14"/>
  <c r="AB9" i="14"/>
  <c r="O9" i="14"/>
  <c r="N5" i="23"/>
  <c r="B5" i="23"/>
  <c r="B3" i="14"/>
  <c r="B1" i="14"/>
  <c r="U30" i="23"/>
  <c r="Q30" i="23"/>
  <c r="K30" i="23"/>
  <c r="J30" i="23"/>
  <c r="I30" i="23"/>
  <c r="G30" i="23"/>
  <c r="F30" i="23"/>
  <c r="B30" i="23"/>
  <c r="B29" i="23"/>
  <c r="B27" i="23"/>
  <c r="B26" i="23"/>
  <c r="B25" i="23"/>
  <c r="B24" i="23"/>
  <c r="B23" i="23"/>
  <c r="B22" i="23"/>
  <c r="B21" i="23"/>
  <c r="B20" i="23"/>
  <c r="B19" i="23"/>
  <c r="B18" i="23"/>
  <c r="B17" i="23"/>
  <c r="B16" i="23"/>
  <c r="B15" i="23"/>
  <c r="B14" i="23"/>
  <c r="U13" i="23"/>
  <c r="Q13" i="23"/>
  <c r="K13" i="23"/>
  <c r="F13" i="23"/>
  <c r="B13" i="23"/>
  <c r="B12" i="23"/>
  <c r="B8" i="23"/>
  <c r="B7" i="23"/>
  <c r="B1" i="23"/>
  <c r="I5" i="44"/>
  <c r="I4" i="44"/>
  <c r="Q14" i="59" l="1"/>
  <c r="BD31" i="47"/>
  <c r="BE31" i="47"/>
  <c r="BD52" i="45"/>
  <c r="BE52" i="45"/>
  <c r="BD26" i="45"/>
  <c r="BE26" i="45"/>
  <c r="X20" i="24"/>
  <c r="L20" i="24"/>
  <c r="R20" i="24"/>
  <c r="U25" i="27"/>
  <c r="AA25" i="27"/>
  <c r="AG25" i="27"/>
  <c r="O25" i="27"/>
  <c r="AM25" i="27"/>
  <c r="N20" i="24"/>
  <c r="T20" i="24"/>
  <c r="Z20" i="24"/>
  <c r="AC25" i="27"/>
  <c r="AI25" i="27"/>
  <c r="Q25" i="27"/>
  <c r="AO25" i="27"/>
  <c r="W25" i="27"/>
  <c r="AH49" i="46"/>
  <c r="O49" i="46"/>
  <c r="AH63" i="45"/>
  <c r="O63" i="45"/>
  <c r="F27" i="14"/>
  <c r="D1027" i="44" l="1"/>
  <c r="C1027" i="44"/>
  <c r="AM20" i="27" l="1"/>
  <c r="BX64" i="39"/>
  <c r="BW64" i="39"/>
  <c r="BV64" i="39"/>
  <c r="BS64" i="39"/>
  <c r="BR64" i="39"/>
  <c r="BX63" i="39"/>
  <c r="BW63" i="39"/>
  <c r="BV63" i="39"/>
  <c r="BS63" i="39"/>
  <c r="BR63" i="39"/>
  <c r="BX62" i="39"/>
  <c r="BW62" i="39"/>
  <c r="BV62" i="39"/>
  <c r="BS62" i="39"/>
  <c r="BR62" i="39"/>
  <c r="BX61" i="39"/>
  <c r="BW61" i="39"/>
  <c r="BV61" i="39"/>
  <c r="BS61" i="39"/>
  <c r="BR61" i="39"/>
  <c r="BX60" i="39"/>
  <c r="BW60" i="39"/>
  <c r="BV60" i="39"/>
  <c r="BS60" i="39"/>
  <c r="BR60" i="39"/>
  <c r="BX59" i="39"/>
  <c r="BW59" i="39"/>
  <c r="BV59" i="39"/>
  <c r="BS59" i="39"/>
  <c r="BR59" i="39"/>
  <c r="BX58" i="39"/>
  <c r="BW58" i="39"/>
  <c r="BV58" i="39"/>
  <c r="BS58" i="39"/>
  <c r="BR58" i="39"/>
  <c r="BX57" i="39"/>
  <c r="BW57" i="39"/>
  <c r="BV57" i="39"/>
  <c r="BS57" i="39"/>
  <c r="BR57" i="39"/>
  <c r="BX56" i="39"/>
  <c r="BW56" i="39"/>
  <c r="BV56" i="39"/>
  <c r="BS56" i="39"/>
  <c r="BR56" i="39"/>
  <c r="BX55" i="39"/>
  <c r="BW55" i="39"/>
  <c r="BV55" i="39"/>
  <c r="BS55" i="39"/>
  <c r="BR55" i="39"/>
  <c r="BX54" i="39"/>
  <c r="BW54" i="39"/>
  <c r="BV54" i="39"/>
  <c r="BS54" i="39"/>
  <c r="BR54" i="39"/>
  <c r="BX53" i="39"/>
  <c r="BW53" i="39"/>
  <c r="BV53" i="39"/>
  <c r="BS53" i="39"/>
  <c r="BR53" i="39"/>
  <c r="BX52" i="39"/>
  <c r="BW52" i="39"/>
  <c r="BV52" i="39"/>
  <c r="BS52" i="39"/>
  <c r="BR52" i="39"/>
  <c r="BX51" i="39"/>
  <c r="BW51" i="39"/>
  <c r="BV51" i="39"/>
  <c r="BS51" i="39"/>
  <c r="BR51" i="39"/>
  <c r="BX50" i="39"/>
  <c r="BW50" i="39"/>
  <c r="BV50" i="39"/>
  <c r="BS50" i="39"/>
  <c r="BR50" i="39"/>
  <c r="BX49" i="39"/>
  <c r="BW49" i="39"/>
  <c r="BV49" i="39"/>
  <c r="BS49" i="39"/>
  <c r="BR49" i="39"/>
  <c r="BX48" i="39"/>
  <c r="BW48" i="39"/>
  <c r="BV48" i="39"/>
  <c r="BS48" i="39"/>
  <c r="BR48" i="39"/>
  <c r="BX47" i="39"/>
  <c r="BW47" i="39"/>
  <c r="BV47" i="39"/>
  <c r="BS47" i="39"/>
  <c r="BR47" i="39"/>
  <c r="BX46" i="39"/>
  <c r="BW46" i="39"/>
  <c r="BV46" i="39"/>
  <c r="BS46" i="39"/>
  <c r="BR46" i="39"/>
  <c r="BX45" i="39"/>
  <c r="BW45" i="39"/>
  <c r="BV45" i="39"/>
  <c r="BS45" i="39"/>
  <c r="BR45" i="39"/>
  <c r="BX44" i="39"/>
  <c r="BW44" i="39"/>
  <c r="BV44" i="39"/>
  <c r="BS44" i="39"/>
  <c r="BR44" i="39"/>
  <c r="BX43" i="39"/>
  <c r="BW43" i="39"/>
  <c r="BV43" i="39"/>
  <c r="BS43" i="39"/>
  <c r="BR43" i="39"/>
  <c r="BX42" i="39"/>
  <c r="BW42" i="39"/>
  <c r="BV42" i="39"/>
  <c r="BS42" i="39"/>
  <c r="BR42" i="39"/>
  <c r="BX41" i="39"/>
  <c r="BW41" i="39"/>
  <c r="BV41" i="39"/>
  <c r="BS41" i="39"/>
  <c r="BR41" i="39"/>
  <c r="BX40" i="39"/>
  <c r="BW40" i="39"/>
  <c r="BV40" i="39"/>
  <c r="BS40" i="39"/>
  <c r="BR40" i="39"/>
  <c r="BX39" i="39"/>
  <c r="BW39" i="39"/>
  <c r="BV39" i="39"/>
  <c r="BS39" i="39"/>
  <c r="BR39" i="39"/>
  <c r="BX38" i="39"/>
  <c r="BW38" i="39"/>
  <c r="BV38" i="39"/>
  <c r="BS38" i="39"/>
  <c r="BR38" i="39"/>
  <c r="BX37" i="39"/>
  <c r="BW37" i="39"/>
  <c r="BV37" i="39"/>
  <c r="BS37" i="39"/>
  <c r="BR37" i="39"/>
  <c r="BX36" i="39"/>
  <c r="BW36" i="39"/>
  <c r="BV36" i="39"/>
  <c r="BS36" i="39"/>
  <c r="BR36" i="39"/>
  <c r="BX35" i="39"/>
  <c r="BW35" i="39"/>
  <c r="BV35" i="39"/>
  <c r="BS35" i="39"/>
  <c r="BR35" i="39"/>
  <c r="BX34" i="39"/>
  <c r="BW34" i="39"/>
  <c r="BV34" i="39"/>
  <c r="BS34" i="39"/>
  <c r="BR34" i="39"/>
  <c r="BX33" i="39"/>
  <c r="BW33" i="39"/>
  <c r="BV33" i="39"/>
  <c r="BS33" i="39"/>
  <c r="BR33" i="39"/>
  <c r="BX32" i="39"/>
  <c r="BW32" i="39"/>
  <c r="BV32" i="39"/>
  <c r="BS32" i="39"/>
  <c r="BR32" i="39"/>
  <c r="BX31" i="39"/>
  <c r="BW31" i="39"/>
  <c r="BV31" i="39"/>
  <c r="BS31" i="39"/>
  <c r="BR31" i="39"/>
  <c r="BX30" i="39"/>
  <c r="BW30" i="39"/>
  <c r="BV30" i="39"/>
  <c r="BS30" i="39"/>
  <c r="BR30" i="39"/>
  <c r="BX29" i="39"/>
  <c r="BW29" i="39"/>
  <c r="BV29" i="39"/>
  <c r="BS29" i="39"/>
  <c r="BR29" i="39"/>
  <c r="BX28" i="39"/>
  <c r="BW28" i="39"/>
  <c r="BV28" i="39"/>
  <c r="BS28" i="39"/>
  <c r="BR28" i="39"/>
  <c r="BX27" i="39"/>
  <c r="BW27" i="39"/>
  <c r="BV27" i="39"/>
  <c r="BS27" i="39"/>
  <c r="BR27" i="39"/>
  <c r="BX26" i="39"/>
  <c r="BW26" i="39"/>
  <c r="BV26" i="39"/>
  <c r="BS26" i="39"/>
  <c r="BR26" i="39"/>
  <c r="BX25" i="39"/>
  <c r="BW25" i="39"/>
  <c r="BV25" i="39"/>
  <c r="BS25" i="39"/>
  <c r="BR25" i="39"/>
  <c r="BX24" i="39"/>
  <c r="BW24" i="39"/>
  <c r="BV24" i="39"/>
  <c r="BS24" i="39"/>
  <c r="BR24" i="39"/>
  <c r="BW23" i="39"/>
  <c r="BV23" i="39"/>
  <c r="BS23" i="39"/>
  <c r="BR23" i="39"/>
  <c r="BQ19" i="39"/>
  <c r="BP19" i="39" s="1"/>
  <c r="G18" i="39"/>
  <c r="BM18" i="39" s="1"/>
  <c r="BM17" i="39" s="1"/>
  <c r="AK15" i="39"/>
  <c r="AC15" i="39"/>
  <c r="Y15" i="39"/>
  <c r="R15" i="39"/>
  <c r="AK14" i="39"/>
  <c r="AC14" i="39"/>
  <c r="Y14" i="39"/>
  <c r="R14" i="39"/>
  <c r="AK13" i="39"/>
  <c r="AC13" i="39"/>
  <c r="Y13" i="39"/>
  <c r="R16" i="39" s="1"/>
  <c r="R13" i="39"/>
  <c r="D8" i="39"/>
  <c r="D6" i="39"/>
  <c r="D4" i="39"/>
  <c r="H60" i="36"/>
  <c r="H48" i="36"/>
  <c r="H31" i="36"/>
  <c r="U12" i="36"/>
  <c r="Q12" i="36"/>
  <c r="K12" i="36"/>
  <c r="E12" i="36"/>
  <c r="U11" i="36"/>
  <c r="Q11" i="36"/>
  <c r="K11" i="36"/>
  <c r="E11" i="36"/>
  <c r="U10" i="36"/>
  <c r="Q10" i="36"/>
  <c r="K10" i="36"/>
  <c r="E10" i="36"/>
  <c r="U9" i="36"/>
  <c r="Q9" i="36"/>
  <c r="K9" i="36"/>
  <c r="E9" i="36"/>
  <c r="K7" i="36"/>
  <c r="K6" i="36"/>
  <c r="T5" i="36"/>
  <c r="K5" i="36"/>
  <c r="D5" i="36"/>
  <c r="T3" i="36"/>
  <c r="K3" i="36"/>
  <c r="X61" i="21"/>
  <c r="K61" i="21"/>
  <c r="K13" i="21"/>
  <c r="I13" i="21"/>
  <c r="H13" i="21"/>
  <c r="F13" i="21"/>
  <c r="K12" i="21"/>
  <c r="I12" i="21"/>
  <c r="H12" i="21"/>
  <c r="F12" i="21"/>
  <c r="K11" i="21"/>
  <c r="I11" i="21"/>
  <c r="H11" i="21"/>
  <c r="F11" i="21"/>
  <c r="K10" i="21"/>
  <c r="I10" i="21"/>
  <c r="H10" i="21"/>
  <c r="F10" i="21"/>
  <c r="H7" i="21"/>
  <c r="H6" i="21"/>
  <c r="O5" i="21"/>
  <c r="H5" i="21"/>
  <c r="C5" i="21"/>
  <c r="H3" i="21"/>
  <c r="C3" i="21"/>
  <c r="X61" i="20"/>
  <c r="K61" i="20"/>
  <c r="K13" i="20"/>
  <c r="I13" i="20"/>
  <c r="H13" i="20"/>
  <c r="F13" i="20"/>
  <c r="K12" i="20"/>
  <c r="I12" i="20"/>
  <c r="H12" i="20"/>
  <c r="F12" i="20"/>
  <c r="K11" i="20"/>
  <c r="I11" i="20"/>
  <c r="H11" i="20"/>
  <c r="F11" i="20"/>
  <c r="K10" i="20"/>
  <c r="I10" i="20"/>
  <c r="H10" i="20"/>
  <c r="F10" i="20"/>
  <c r="H7" i="20"/>
  <c r="H6" i="20"/>
  <c r="O5" i="20"/>
  <c r="H5" i="20"/>
  <c r="C5" i="20"/>
  <c r="H3" i="20"/>
  <c r="C3" i="20"/>
  <c r="X61" i="19"/>
  <c r="K61" i="19"/>
  <c r="K13" i="19"/>
  <c r="I13" i="19"/>
  <c r="H13" i="19"/>
  <c r="F13" i="19"/>
  <c r="K12" i="19"/>
  <c r="I12" i="19"/>
  <c r="H12" i="19"/>
  <c r="F12" i="19"/>
  <c r="K11" i="19"/>
  <c r="I11" i="19"/>
  <c r="H11" i="19"/>
  <c r="F11" i="19"/>
  <c r="K10" i="19"/>
  <c r="I10" i="19"/>
  <c r="H10" i="19"/>
  <c r="F10" i="19"/>
  <c r="H7" i="19"/>
  <c r="H6" i="19"/>
  <c r="O5" i="19"/>
  <c r="H5" i="19"/>
  <c r="C5" i="19"/>
  <c r="H3" i="19"/>
  <c r="C3" i="19"/>
  <c r="BB61" i="18"/>
  <c r="AE61" i="18"/>
  <c r="H61" i="18"/>
  <c r="BB57" i="18"/>
  <c r="AE57" i="18"/>
  <c r="H57" i="18"/>
  <c r="BF56" i="18"/>
  <c r="BB56" i="18"/>
  <c r="AI56" i="18"/>
  <c r="AE56" i="18"/>
  <c r="L56" i="18"/>
  <c r="H56" i="18"/>
  <c r="BF55" i="18"/>
  <c r="BB55" i="18"/>
  <c r="AI55" i="18"/>
  <c r="AE55" i="18"/>
  <c r="L55" i="18"/>
  <c r="H55" i="18"/>
  <c r="BF54" i="18"/>
  <c r="BB54" i="18"/>
  <c r="AI54" i="18"/>
  <c r="AE54" i="18"/>
  <c r="L54" i="18"/>
  <c r="H54" i="18"/>
  <c r="BF53" i="18"/>
  <c r="BB53" i="18"/>
  <c r="AI53" i="18"/>
  <c r="AE53" i="18"/>
  <c r="L53" i="18"/>
  <c r="H53" i="18"/>
  <c r="BF52" i="18"/>
  <c r="BB52" i="18"/>
  <c r="AI52" i="18"/>
  <c r="AE52" i="18"/>
  <c r="L52" i="18"/>
  <c r="H52" i="18"/>
  <c r="BF51" i="18"/>
  <c r="BB51" i="18"/>
  <c r="AI51" i="18"/>
  <c r="AE51" i="18"/>
  <c r="L51" i="18"/>
  <c r="H51" i="18"/>
  <c r="BF50" i="18"/>
  <c r="BB50" i="18"/>
  <c r="AI50" i="18"/>
  <c r="AE50" i="18"/>
  <c r="L50" i="18"/>
  <c r="H50" i="18"/>
  <c r="BF49" i="18"/>
  <c r="BB49" i="18"/>
  <c r="AI49" i="18"/>
  <c r="AE49" i="18"/>
  <c r="L49" i="18"/>
  <c r="H49" i="18"/>
  <c r="BF48" i="18"/>
  <c r="BB48" i="18"/>
  <c r="AI48" i="18"/>
  <c r="AE48" i="18"/>
  <c r="L48" i="18"/>
  <c r="H48" i="18"/>
  <c r="BF47" i="18"/>
  <c r="BB47" i="18"/>
  <c r="AI47" i="18"/>
  <c r="AE47" i="18"/>
  <c r="L47" i="18"/>
  <c r="H47" i="18"/>
  <c r="BF46" i="18"/>
  <c r="BB46" i="18"/>
  <c r="AI46" i="18"/>
  <c r="AE46" i="18"/>
  <c r="L46" i="18"/>
  <c r="H46" i="18"/>
  <c r="BF45" i="18"/>
  <c r="BB45" i="18"/>
  <c r="AI45" i="18"/>
  <c r="AE45" i="18"/>
  <c r="L45" i="18"/>
  <c r="H45" i="18"/>
  <c r="BF44" i="18"/>
  <c r="BB44" i="18"/>
  <c r="AI44" i="18"/>
  <c r="AE44" i="18"/>
  <c r="L44" i="18"/>
  <c r="H44" i="18"/>
  <c r="BF43" i="18"/>
  <c r="BB43" i="18"/>
  <c r="AI43" i="18"/>
  <c r="AE43" i="18"/>
  <c r="L43" i="18"/>
  <c r="H43" i="18"/>
  <c r="BF42" i="18"/>
  <c r="BB42" i="18"/>
  <c r="AI42" i="18"/>
  <c r="AE42" i="18"/>
  <c r="L42" i="18"/>
  <c r="H42" i="18"/>
  <c r="BF41" i="18"/>
  <c r="BB41" i="18"/>
  <c r="AI41" i="18"/>
  <c r="AE41" i="18"/>
  <c r="L41" i="18"/>
  <c r="H41" i="18"/>
  <c r="BF40" i="18"/>
  <c r="BB40" i="18"/>
  <c r="AI40" i="18"/>
  <c r="AE40" i="18"/>
  <c r="L40" i="18"/>
  <c r="H40" i="18"/>
  <c r="BF39" i="18"/>
  <c r="BB39" i="18"/>
  <c r="AI39" i="18"/>
  <c r="AE39" i="18"/>
  <c r="L39" i="18"/>
  <c r="H39" i="18"/>
  <c r="BF38" i="18"/>
  <c r="BB38" i="18"/>
  <c r="AI38" i="18"/>
  <c r="AE38" i="18"/>
  <c r="L38" i="18"/>
  <c r="H38" i="18"/>
  <c r="BF37" i="18"/>
  <c r="BB37" i="18"/>
  <c r="AI37" i="18"/>
  <c r="AE37" i="18"/>
  <c r="L37" i="18"/>
  <c r="H37" i="18"/>
  <c r="BF36" i="18"/>
  <c r="BB36" i="18"/>
  <c r="AI36" i="18"/>
  <c r="AE36" i="18"/>
  <c r="L36" i="18"/>
  <c r="H36" i="18"/>
  <c r="BF35" i="18"/>
  <c r="BB35" i="18"/>
  <c r="AI35" i="18"/>
  <c r="AE35" i="18"/>
  <c r="L35" i="18"/>
  <c r="H35" i="18"/>
  <c r="BF34" i="18"/>
  <c r="BB34" i="18"/>
  <c r="AI34" i="18"/>
  <c r="AE34" i="18"/>
  <c r="L34" i="18"/>
  <c r="H34" i="18"/>
  <c r="BF33" i="18"/>
  <c r="BB33" i="18"/>
  <c r="AI33" i="18"/>
  <c r="AE33" i="18"/>
  <c r="L33" i="18"/>
  <c r="H33" i="18"/>
  <c r="BF32" i="18"/>
  <c r="BB32" i="18"/>
  <c r="AI32" i="18"/>
  <c r="AE32" i="18"/>
  <c r="L32" i="18"/>
  <c r="H32" i="18"/>
  <c r="BF31" i="18"/>
  <c r="BB31" i="18"/>
  <c r="AI31" i="18"/>
  <c r="AE31" i="18"/>
  <c r="L31" i="18"/>
  <c r="H31" i="18"/>
  <c r="BF30" i="18"/>
  <c r="BB30" i="18"/>
  <c r="AI30" i="18"/>
  <c r="AE30" i="18"/>
  <c r="L30" i="18"/>
  <c r="H30" i="18"/>
  <c r="BF29" i="18"/>
  <c r="BB29" i="18"/>
  <c r="AI29" i="18"/>
  <c r="AE29" i="18"/>
  <c r="L29" i="18"/>
  <c r="H29" i="18"/>
  <c r="BF28" i="18"/>
  <c r="BB28" i="18"/>
  <c r="AI28" i="18"/>
  <c r="AE28" i="18"/>
  <c r="L28" i="18"/>
  <c r="H28" i="18"/>
  <c r="BF27" i="18"/>
  <c r="BB27" i="18"/>
  <c r="AI27" i="18"/>
  <c r="AE27" i="18"/>
  <c r="L27" i="18"/>
  <c r="H27" i="18"/>
  <c r="BF26" i="18"/>
  <c r="BB26" i="18"/>
  <c r="AI26" i="18"/>
  <c r="AE26" i="18"/>
  <c r="L26" i="18"/>
  <c r="H26" i="18"/>
  <c r="BF25" i="18"/>
  <c r="BB25" i="18"/>
  <c r="AI25" i="18"/>
  <c r="AE25" i="18"/>
  <c r="L25" i="18"/>
  <c r="H25" i="18"/>
  <c r="BF24" i="18"/>
  <c r="BB24" i="18"/>
  <c r="AI24" i="18"/>
  <c r="AE24" i="18"/>
  <c r="L24" i="18"/>
  <c r="H24" i="18"/>
  <c r="BF23" i="18"/>
  <c r="BB23" i="18"/>
  <c r="AI23" i="18"/>
  <c r="AE23" i="18"/>
  <c r="L23" i="18"/>
  <c r="H23" i="18"/>
  <c r="BF22" i="18"/>
  <c r="BB22" i="18"/>
  <c r="AI22" i="18"/>
  <c r="AE22" i="18"/>
  <c r="L22" i="18"/>
  <c r="H22" i="18"/>
  <c r="BF21" i="18"/>
  <c r="BB21" i="18"/>
  <c r="AI21" i="18"/>
  <c r="AE21" i="18"/>
  <c r="L21" i="18"/>
  <c r="H21" i="18"/>
  <c r="BF20" i="18"/>
  <c r="BB20" i="18"/>
  <c r="AI20" i="18"/>
  <c r="AE20" i="18"/>
  <c r="L20" i="18"/>
  <c r="H20" i="18"/>
  <c r="BF19" i="18"/>
  <c r="BB19" i="18"/>
  <c r="AI19" i="18"/>
  <c r="AE19" i="18"/>
  <c r="L19" i="18"/>
  <c r="H19" i="18"/>
  <c r="BF18" i="18"/>
  <c r="BB18" i="18"/>
  <c r="AI18" i="18"/>
  <c r="AE18" i="18"/>
  <c r="L18" i="18"/>
  <c r="H18" i="18"/>
  <c r="AF7" i="18"/>
  <c r="AF6" i="18"/>
  <c r="BB5" i="18"/>
  <c r="AF5" i="18"/>
  <c r="H5" i="18"/>
  <c r="AF3" i="18"/>
  <c r="H3" i="18"/>
  <c r="AH52" i="47"/>
  <c r="O52" i="47"/>
  <c r="J13" i="23"/>
  <c r="I13" i="23"/>
  <c r="G13" i="23"/>
  <c r="G244" i="42"/>
  <c r="B14" i="44"/>
  <c r="J18" i="39" l="1"/>
  <c r="J17" i="39" s="1"/>
  <c r="Z18" i="39"/>
  <c r="Z17" i="39" s="1"/>
  <c r="AX18" i="39"/>
  <c r="AX17" i="39" s="1"/>
  <c r="BT44" i="39"/>
  <c r="BF18" i="39"/>
  <c r="BF17" i="39" s="1"/>
  <c r="BT28" i="39"/>
  <c r="BT57" i="39"/>
  <c r="BT36" i="39"/>
  <c r="AP18" i="39"/>
  <c r="AP17" i="39" s="1"/>
  <c r="BJ18" i="39"/>
  <c r="BJ17" i="39" s="1"/>
  <c r="N18" i="39"/>
  <c r="N17" i="39" s="1"/>
  <c r="R18" i="39"/>
  <c r="R17" i="39" s="1"/>
  <c r="AT18" i="39"/>
  <c r="AT17" i="39" s="1"/>
  <c r="BT24" i="39"/>
  <c r="BT32" i="39"/>
  <c r="BT40" i="39"/>
  <c r="BT48" i="39"/>
  <c r="BT64" i="39"/>
  <c r="BT53" i="39"/>
  <c r="BT61" i="39"/>
  <c r="AD18" i="39"/>
  <c r="AD17" i="39" s="1"/>
  <c r="AH18" i="39"/>
  <c r="AH17" i="39" s="1"/>
  <c r="BT25" i="39"/>
  <c r="BT29" i="39"/>
  <c r="BT33" i="39"/>
  <c r="BT37" i="39"/>
  <c r="BT41" i="39"/>
  <c r="BT45" i="39"/>
  <c r="BT49" i="39"/>
  <c r="BT26" i="39"/>
  <c r="BT30" i="39"/>
  <c r="BT34" i="39"/>
  <c r="BT38" i="39"/>
  <c r="BT42" i="39"/>
  <c r="BT46" i="39"/>
  <c r="BT50" i="39"/>
  <c r="BT54" i="39"/>
  <c r="BT58" i="39"/>
  <c r="BT62" i="39"/>
  <c r="V18" i="39"/>
  <c r="V17" i="39" s="1"/>
  <c r="AL18" i="39"/>
  <c r="AL17" i="39" s="1"/>
  <c r="BB18" i="39"/>
  <c r="BB17" i="39" s="1"/>
  <c r="BT27" i="39"/>
  <c r="BT31" i="39"/>
  <c r="BT35" i="39"/>
  <c r="BT39" i="39"/>
  <c r="BT43" i="39"/>
  <c r="BT47" i="39"/>
  <c r="BT51" i="39"/>
  <c r="BT55" i="39"/>
  <c r="BT59" i="39"/>
  <c r="BT63" i="39"/>
  <c r="BT52" i="39"/>
  <c r="BT56" i="39"/>
  <c r="BT60" i="39"/>
  <c r="BT23" i="39"/>
  <c r="AA18" i="39"/>
  <c r="BG18" i="39"/>
  <c r="O18" i="39"/>
  <c r="S18" i="39"/>
  <c r="AE18" i="39"/>
  <c r="AM18" i="39"/>
  <c r="AU18" i="39"/>
  <c r="BC18" i="39"/>
  <c r="BK18" i="39"/>
  <c r="G17" i="39"/>
  <c r="G19" i="39" s="1"/>
  <c r="H18" i="39"/>
  <c r="L18" i="39"/>
  <c r="P18" i="39"/>
  <c r="T18" i="39"/>
  <c r="X18" i="39"/>
  <c r="AB18" i="39"/>
  <c r="AF18" i="39"/>
  <c r="AJ18" i="39"/>
  <c r="AN18" i="39"/>
  <c r="AR18" i="39"/>
  <c r="AV18" i="39"/>
  <c r="AZ18" i="39"/>
  <c r="BD18" i="39"/>
  <c r="BH18" i="39"/>
  <c r="BL18" i="39"/>
  <c r="K18" i="39"/>
  <c r="W18" i="39"/>
  <c r="AI18" i="39"/>
  <c r="AQ18" i="39"/>
  <c r="AY18" i="39"/>
  <c r="I18" i="39"/>
  <c r="M18" i="39"/>
  <c r="Q18" i="39"/>
  <c r="U18" i="39"/>
  <c r="Y18" i="39"/>
  <c r="AC18" i="39"/>
  <c r="AG18" i="39"/>
  <c r="AK18" i="39"/>
  <c r="AO18" i="39"/>
  <c r="AS18" i="39"/>
  <c r="AW18" i="39"/>
  <c r="BA18" i="39"/>
  <c r="BE18" i="39"/>
  <c r="BI18" i="39"/>
  <c r="Y16" i="39"/>
  <c r="AC16" i="39"/>
  <c r="AK16" i="39"/>
  <c r="BD18" i="47"/>
  <c r="BE18" i="47"/>
  <c r="BD18" i="46"/>
  <c r="BE18" i="46"/>
  <c r="BB38" i="47"/>
  <c r="BB23" i="47"/>
  <c r="BB24" i="47"/>
  <c r="BB25" i="47"/>
  <c r="BB27" i="47"/>
  <c r="BB39" i="47"/>
  <c r="BB40" i="47"/>
  <c r="BB41" i="47"/>
  <c r="BB43" i="47"/>
  <c r="BB33" i="47"/>
  <c r="BB34" i="47"/>
  <c r="BB35" i="47"/>
  <c r="BB36" i="47"/>
  <c r="BB37" i="47"/>
  <c r="BU62" i="39"/>
  <c r="BU58" i="39"/>
  <c r="BU54" i="39"/>
  <c r="BU50" i="39"/>
  <c r="BU46" i="39"/>
  <c r="BU42" i="39"/>
  <c r="BU38" i="39"/>
  <c r="BU34" i="39"/>
  <c r="BU30" i="39"/>
  <c r="BU26" i="39"/>
  <c r="BU61" i="39"/>
  <c r="BU53" i="39"/>
  <c r="BU41" i="39"/>
  <c r="BU29" i="39"/>
  <c r="BU63" i="39"/>
  <c r="BU59" i="39"/>
  <c r="BU55" i="39"/>
  <c r="BU51" i="39"/>
  <c r="BU47" i="39"/>
  <c r="BU43" i="39"/>
  <c r="BU39" i="39"/>
  <c r="BU35" i="39"/>
  <c r="BU31" i="39"/>
  <c r="BU27" i="39"/>
  <c r="BU64" i="39"/>
  <c r="BU60" i="39"/>
  <c r="BU56" i="39"/>
  <c r="BU52" i="39"/>
  <c r="BU48" i="39"/>
  <c r="BU44" i="39"/>
  <c r="BU40" i="39"/>
  <c r="BU36" i="39"/>
  <c r="BU32" i="39"/>
  <c r="BU28" i="39"/>
  <c r="BU24" i="39"/>
  <c r="BU57" i="39"/>
  <c r="BU49" i="39"/>
  <c r="BU45" i="39"/>
  <c r="BU37" i="39"/>
  <c r="BU33" i="39"/>
  <c r="BU25" i="39"/>
  <c r="BF19" i="39" l="1"/>
  <c r="BE17" i="39"/>
  <c r="BE19" i="39" s="1"/>
  <c r="Z19" i="39"/>
  <c r="Y17" i="39"/>
  <c r="Y19" i="39" s="1"/>
  <c r="AI17" i="39"/>
  <c r="AI19" i="39" s="1"/>
  <c r="BH17" i="39"/>
  <c r="BH19" i="39" s="1"/>
  <c r="AB17" i="39"/>
  <c r="AB19" i="39" s="1"/>
  <c r="L17" i="39"/>
  <c r="L19" i="39" s="1"/>
  <c r="BC17" i="39"/>
  <c r="BC19" i="39" s="1"/>
  <c r="X17" i="39"/>
  <c r="X19" i="39" s="1"/>
  <c r="AX19" i="39"/>
  <c r="AW17" i="39"/>
  <c r="AW19" i="39" s="1"/>
  <c r="AH19" i="39"/>
  <c r="AG17" i="39"/>
  <c r="AG19" i="39" s="1"/>
  <c r="R19" i="39"/>
  <c r="Q17" i="39"/>
  <c r="Q19" i="39" s="1"/>
  <c r="AY17" i="39"/>
  <c r="AY19" i="39" s="1"/>
  <c r="K17" i="39"/>
  <c r="K19" i="39" s="1"/>
  <c r="AZ17" i="39"/>
  <c r="AZ19" i="39" s="1"/>
  <c r="AJ17" i="39"/>
  <c r="AJ19" i="39" s="1"/>
  <c r="T17" i="39"/>
  <c r="T19" i="39" s="1"/>
  <c r="AM17" i="39"/>
  <c r="AM19" i="39" s="1"/>
  <c r="BG17" i="39"/>
  <c r="BG19" i="39" s="1"/>
  <c r="AP19" i="39"/>
  <c r="AO17" i="39"/>
  <c r="J19" i="39"/>
  <c r="I17" i="39"/>
  <c r="I19" i="39" s="1"/>
  <c r="AR17" i="39"/>
  <c r="AR19" i="39" s="1"/>
  <c r="S17" i="39"/>
  <c r="S19" i="39" s="1"/>
  <c r="BB19" i="39"/>
  <c r="BA17" i="39"/>
  <c r="BA19" i="39" s="1"/>
  <c r="AL19" i="39"/>
  <c r="AK17" i="39"/>
  <c r="AK19" i="39" s="1"/>
  <c r="V19" i="39"/>
  <c r="U17" i="39"/>
  <c r="U19" i="39" s="1"/>
  <c r="W17" i="39"/>
  <c r="W19" i="39" s="1"/>
  <c r="BD17" i="39"/>
  <c r="BD19" i="39" s="1"/>
  <c r="AN17" i="39"/>
  <c r="AN19" i="39" s="1"/>
  <c r="AO19" i="39"/>
  <c r="H17" i="39"/>
  <c r="H19" i="39" s="1"/>
  <c r="AU17" i="39"/>
  <c r="AU19" i="39" s="1"/>
  <c r="O17" i="39"/>
  <c r="O19" i="39" s="1"/>
  <c r="BN23" i="39"/>
  <c r="BJ19" i="39"/>
  <c r="BI17" i="39"/>
  <c r="BI19" i="39" s="1"/>
  <c r="AT19" i="39"/>
  <c r="AS17" i="39"/>
  <c r="AS19" i="39" s="1"/>
  <c r="AD19" i="39"/>
  <c r="AC17" i="39"/>
  <c r="AC19" i="39" s="1"/>
  <c r="N19" i="39"/>
  <c r="M17" i="39"/>
  <c r="M19" i="39" s="1"/>
  <c r="AQ17" i="39"/>
  <c r="AQ19" i="39" s="1"/>
  <c r="BL17" i="39"/>
  <c r="BL19" i="39" s="1"/>
  <c r="BM19" i="39"/>
  <c r="AV17" i="39"/>
  <c r="AV19" i="39" s="1"/>
  <c r="AF17" i="39"/>
  <c r="AF19" i="39" s="1"/>
  <c r="P17" i="39"/>
  <c r="P19" i="39" s="1"/>
  <c r="BK17" i="39"/>
  <c r="BK19" i="39" s="1"/>
  <c r="AE17" i="39"/>
  <c r="AE19" i="39" s="1"/>
  <c r="AA17" i="39"/>
  <c r="AA19" i="39" s="1"/>
  <c r="AH23" i="14"/>
  <c r="BB22" i="47"/>
  <c r="BB21" i="47" s="1"/>
  <c r="AG11" i="47" s="1"/>
  <c r="BB22" i="46"/>
  <c r="BB21" i="46" s="1"/>
  <c r="BD21" i="47"/>
  <c r="BE21" i="47"/>
  <c r="H25" i="14"/>
  <c r="AG11" i="46" l="1"/>
  <c r="S27" i="14" s="1"/>
  <c r="U23" i="14"/>
  <c r="U21" i="14"/>
  <c r="AH21" i="14"/>
  <c r="H23" i="14"/>
  <c r="H21" i="14"/>
  <c r="AF27"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Reinhardt, Olga</author>
    <author>Oliver Schäfer, QMSCHAE</author>
    <author>Christine Bätz, baetzcr</author>
    <author>Benjamin Reu, reubenj</author>
    <author>Schluchter, Philipp</author>
  </authors>
  <commentList>
    <comment ref="G24" authorId="0" shapeId="0" xr:uid="{00000000-0006-0000-0200-000001000000}">
      <text>
        <r>
          <rPr>
            <sz val="9"/>
            <color indexed="81"/>
            <rFont val="Segoe UI"/>
            <family val="2"/>
          </rPr>
          <t>Dezimalzahlen müssen mit einem Komma getrennt werden. 
Decimal numbers must be separated with a comma.</t>
        </r>
      </text>
    </comment>
    <comment ref="G27" authorId="1" shapeId="0" xr:uid="{00000000-0006-0000-0200-000002000000}">
      <text>
        <r>
          <rPr>
            <sz val="10"/>
            <color indexed="81"/>
            <rFont val="Tahoma"/>
            <family val="2"/>
          </rPr>
          <t>Für Prozessabnahme geplante Teile-Anzahl bzw. Zeit gemäß GR_00221
Number of parts planned or time for process release according GR_00221</t>
        </r>
      </text>
    </comment>
    <comment ref="L27" authorId="1" shapeId="0" xr:uid="{00000000-0006-0000-0200-000003000000}">
      <text>
        <r>
          <rPr>
            <sz val="10"/>
            <color indexed="8"/>
            <rFont val="Tahoma"/>
            <family val="2"/>
          </rPr>
          <t>Prozentsatz mit dem die Maschine/ Anlage für das  getestete Teil belegt ist im Verhältnis zu anderen Teile die ebenfalls darauf gefertig werden.
Z.B.: die Anlage wird zu 100% für das getestete Teil genutzt /
Percentage of capacity of the machine/ system used for the tested product in relation to other parts also manufactured there
E.g.. system is used at 100% for the part.</t>
        </r>
      </text>
    </comment>
    <comment ref="N27" authorId="2" shapeId="0" xr:uid="{00000000-0006-0000-0200-000004000000}">
      <text>
        <r>
          <rPr>
            <sz val="10"/>
            <color indexed="81"/>
            <rFont val="Univers"/>
            <family val="2"/>
            <scheme val="minor"/>
          </rPr>
          <t>Prozentsatz mit dem die Maschine / Anlage für das  getestete Teil belegt ist im Verhältnis zu geplanter Wartung, Reinigung, Stillstand.
Z.B.: Die Anlage wird zu 80% für das getestete Teil belegt. Rest ist Wartung, Ausfall.
Plausibilität bezüglich Produktionszeit und Standzeiten prüfen während FRT.
Percentage of capacity of the machine / system used for the tested product in relation to planned maintenance, cleaning, breakdown.
E.g. the system is used at 80% for the part. The rest is maintenance or breakdown.
Plausibility check during FRT regarding production time and down times necessary.</t>
        </r>
      </text>
    </comment>
    <comment ref="V27" authorId="3" shapeId="0" xr:uid="{00000000-0006-0000-0200-000005000000}">
      <text>
        <r>
          <rPr>
            <sz val="10"/>
            <color indexed="81"/>
            <rFont val="Univers"/>
            <family val="2"/>
            <scheme val="minor"/>
          </rPr>
          <t>Standzeit wird von Produktionszeit abgezogen als Ergebnis Nettoproduktionszeit
Downtimes are subtructed from production time result is net production time</t>
        </r>
      </text>
    </comment>
    <comment ref="AA27" authorId="4" shapeId="0" xr:uid="{00000000-0006-0000-0200-000006000000}">
      <text>
        <r>
          <rPr>
            <b/>
            <sz val="9"/>
            <color indexed="81"/>
            <rFont val="Segoe UI"/>
            <family val="2"/>
          </rPr>
          <t xml:space="preserve">Zykluszeit berechnet sich aus der produzierten Menge und der Netto-Produktionszeit
Cycle Time calculated by produced quantity and Net-Production Time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Abou-Rakha, Atif</author>
  </authors>
  <commentList>
    <comment ref="Q9" authorId="0" shapeId="0" xr:uid="{00000000-0006-0000-0500-000001000000}">
      <text>
        <r>
          <rPr>
            <sz val="9"/>
            <color indexed="81"/>
            <rFont val="Segoe UI"/>
            <family val="2"/>
          </rPr>
          <t xml:space="preserve">
</t>
        </r>
        <r>
          <rPr>
            <b/>
            <sz val="9"/>
            <color indexed="81"/>
            <rFont val="Segoe UI"/>
            <family val="2"/>
          </rPr>
          <t xml:space="preserve"> - Only by brose purchasing confirmed dates.
 - Nur durch brose Einkauf bestätigte Termine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Abou-Rakha, Atif</author>
  </authors>
  <commentList>
    <comment ref="Q9" authorId="0" shapeId="0" xr:uid="{00000000-0006-0000-0600-000001000000}">
      <text>
        <r>
          <rPr>
            <sz val="9"/>
            <color indexed="81"/>
            <rFont val="Segoe UI"/>
            <family val="2"/>
          </rPr>
          <t xml:space="preserve">
</t>
        </r>
        <r>
          <rPr>
            <b/>
            <sz val="9"/>
            <color indexed="81"/>
            <rFont val="Segoe UI"/>
            <family val="2"/>
          </rPr>
          <t xml:space="preserve"> - Only by brose purchasing confirmed dates.
 - Nur durch brose Einkauf bestätigte Termine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Abou-Rakha, Atif</author>
  </authors>
  <commentList>
    <comment ref="Q9" authorId="0" shapeId="0" xr:uid="{00000000-0006-0000-0700-000001000000}">
      <text>
        <r>
          <rPr>
            <sz val="9"/>
            <color indexed="81"/>
            <rFont val="Segoe UI"/>
            <family val="2"/>
          </rPr>
          <t xml:space="preserve">
</t>
        </r>
        <r>
          <rPr>
            <b/>
            <sz val="9"/>
            <color indexed="81"/>
            <rFont val="Segoe UI"/>
            <family val="2"/>
          </rPr>
          <t xml:space="preserve"> - Only by brose purchasing confirmed dates.
 - Nur durch brose Einkauf bestätigte Termine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Abou-Rakha, Atif</author>
  </authors>
  <commentList>
    <comment ref="Q9" authorId="0" shapeId="0" xr:uid="{00000000-0006-0000-0900-000001000000}">
      <text>
        <r>
          <rPr>
            <sz val="9"/>
            <color indexed="81"/>
            <rFont val="Segoe UI"/>
            <family val="2"/>
          </rPr>
          <t xml:space="preserve">
</t>
        </r>
        <r>
          <rPr>
            <b/>
            <sz val="9"/>
            <color indexed="81"/>
            <rFont val="Segoe UI"/>
            <family val="2"/>
          </rPr>
          <t xml:space="preserve"> - Only by brose purchasing confirmed dates.
 - Nur durch brose Einkauf bestätigte Termine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Abou-Rakha, Atif</author>
  </authors>
  <commentList>
    <comment ref="Q9" authorId="0" shapeId="0" xr:uid="{00000000-0006-0000-0A00-000001000000}">
      <text>
        <r>
          <rPr>
            <sz val="9"/>
            <color indexed="81"/>
            <rFont val="Segoe UI"/>
            <family val="2"/>
          </rPr>
          <t xml:space="preserve">
</t>
        </r>
        <r>
          <rPr>
            <b/>
            <sz val="9"/>
            <color indexed="81"/>
            <rFont val="Segoe UI"/>
            <family val="2"/>
          </rPr>
          <t xml:space="preserve"> - Only by brose purchasing confirmed dates.
 - Nur durch brose Einkauf bestätigte Termine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Abou-Rakha, Atif</author>
  </authors>
  <commentList>
    <comment ref="Q9" authorId="0" shapeId="0" xr:uid="{00000000-0006-0000-0B00-000001000000}">
      <text>
        <r>
          <rPr>
            <sz val="9"/>
            <color indexed="81"/>
            <rFont val="Segoe UI"/>
            <family val="2"/>
          </rPr>
          <t xml:space="preserve">
</t>
        </r>
        <r>
          <rPr>
            <b/>
            <sz val="9"/>
            <color indexed="81"/>
            <rFont val="Segoe UI"/>
            <family val="2"/>
          </rPr>
          <t xml:space="preserve"> - Only by brose purchasing confirmed dates.
 - Nur durch brose Einkauf bestätigte Termine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Reinhardt, Olga</author>
    <author>Oliver Schäfer, QMSCHAE</author>
    <author>Christine Bätz, baetzcr</author>
    <author>Benjamin Reu, reubenj</author>
    <author>Schluchter, Philipp</author>
  </authors>
  <commentList>
    <comment ref="G36" authorId="0" shapeId="0" xr:uid="{00000000-0006-0000-1000-000001000000}">
      <text>
        <r>
          <rPr>
            <sz val="9"/>
            <color indexed="81"/>
            <rFont val="Segoe UI"/>
            <family val="2"/>
          </rPr>
          <t>Dezimalzahlen müssen mit einem Komma getrennt werden. 
Decimal numbers must be separated with a comma.</t>
        </r>
      </text>
    </comment>
    <comment ref="G39" authorId="1" shapeId="0" xr:uid="{00000000-0006-0000-1000-000002000000}">
      <text>
        <r>
          <rPr>
            <sz val="10"/>
            <color indexed="81"/>
            <rFont val="Tahoma"/>
            <family val="2"/>
          </rPr>
          <t>Für Prozessabnahme geplante Teile-Anzahl bzw. Zeit gemäß GR_00221
Number of parts planned or time for process release according GR_00221</t>
        </r>
      </text>
    </comment>
    <comment ref="L39" authorId="1" shapeId="0" xr:uid="{00000000-0006-0000-1000-000003000000}">
      <text>
        <r>
          <rPr>
            <sz val="10"/>
            <color indexed="8"/>
            <rFont val="Tahoma"/>
            <family val="2"/>
          </rPr>
          <t>Prozentsatz mit dem die Maschine/ Anlage für das  getestete Teil belegt ist im Verhältnis zu anderen Teile die ebenfalls darauf gefertig werden.
Z.B.: die Anlage wird zu 100% für das getestete Teil genutzt /
Percentage of capacity of the machine/ system used for the tested product in relation to other parts also manufactured there
E.g.. system is used at 100% for the part.</t>
        </r>
      </text>
    </comment>
    <comment ref="N39" authorId="2" shapeId="0" xr:uid="{00000000-0006-0000-1000-000004000000}">
      <text>
        <r>
          <rPr>
            <sz val="10"/>
            <color indexed="81"/>
            <rFont val="Univers"/>
            <family val="2"/>
            <scheme val="minor"/>
          </rPr>
          <t>Prozentsatz mit dem die Maschine / Anlage für das  getestete Teil belegt ist im Verhältnis zu geplanter Wartung, Reinigung, Stillstand.
Z.B.: Die Anlage wird zu 80% für das getestete Teil belegt. Rest ist Wartung, Ausfall.
Plausibilität bezüglich Produktionszeit und Standzeiten prüfen während FRT.
Percentage of capacity of the machine / system used for the tested product in relation to planned maintenance, cleaning, breakdown.
E.g. the system is used at 80% for the part. The rest is maintenance or breakdown.
Plausibility check during FRT regarding production time and down times necessary.</t>
        </r>
      </text>
    </comment>
    <comment ref="V39" authorId="3" shapeId="0" xr:uid="{00000000-0006-0000-1000-000005000000}">
      <text>
        <r>
          <rPr>
            <sz val="10"/>
            <color indexed="81"/>
            <rFont val="Univers"/>
            <family val="2"/>
            <scheme val="minor"/>
          </rPr>
          <t>Standzeit wird von Produktionszeit abgezogen als Ergebnis Nettoproduktionszeit
Downtimes are subtructed from production time result is net production time</t>
        </r>
      </text>
    </comment>
    <comment ref="AA39" authorId="4" shapeId="0" xr:uid="{00000000-0006-0000-1000-000006000000}">
      <text>
        <r>
          <rPr>
            <b/>
            <sz val="9"/>
            <color indexed="81"/>
            <rFont val="Segoe UI"/>
            <family val="2"/>
          </rPr>
          <t xml:space="preserve">Zykluszeit berechnet sich aus der produzierten Menge (Endstückzahl-Anfangsstückzahl) und der Netto-Produktionszeit
Cycle Time calculated by produced quantity (Final Quantity - initial quantity) and Net-Production Time
</t>
        </r>
      </text>
    </comment>
    <comment ref="BA67" authorId="0" shapeId="0" xr:uid="{00000000-0006-0000-1000-000007000000}">
      <text>
        <r>
          <rPr>
            <b/>
            <sz val="9"/>
            <color indexed="81"/>
            <rFont val="Segoe UI"/>
            <family val="2"/>
          </rPr>
          <t>Reinhardt, Olga:</t>
        </r>
        <r>
          <rPr>
            <sz val="9"/>
            <color indexed="81"/>
            <rFont val="Segoe UI"/>
            <family val="2"/>
          </rPr>
          <t xml:space="preserve">
Fixer Wert! Wenn die Maßnahmen abgeschlossen wurden, müssen auch die angepassten Zahlen oben zu einem grünen Ergebniss führen!!! </t>
        </r>
      </text>
    </comment>
    <comment ref="BD67" authorId="0" shapeId="0" xr:uid="{00000000-0006-0000-1000-000008000000}">
      <text>
        <r>
          <rPr>
            <b/>
            <sz val="9"/>
            <color indexed="81"/>
            <rFont val="Segoe UI"/>
            <family val="2"/>
          </rPr>
          <t>Reinhardt, Olga:</t>
        </r>
        <r>
          <rPr>
            <sz val="9"/>
            <color indexed="81"/>
            <rFont val="Segoe UI"/>
            <family val="2"/>
          </rPr>
          <t xml:space="preserve">
Für die Formatierung</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Heimberger Alexander, heimbal</author>
  </authors>
  <commentList>
    <comment ref="AQ4" authorId="0" shapeId="0" xr:uid="{00000000-0006-0000-1200-000001000000}">
      <text>
        <r>
          <rPr>
            <sz val="10"/>
            <color indexed="81"/>
            <rFont val="Univers"/>
            <family val="2"/>
          </rPr>
          <t>Nur bei Papierausdruck</t>
        </r>
      </text>
    </comment>
  </commentList>
</comments>
</file>

<file path=xl/sharedStrings.xml><?xml version="1.0" encoding="utf-8"?>
<sst xmlns="http://schemas.openxmlformats.org/spreadsheetml/2006/main" count="5777" uniqueCount="2324">
  <si>
    <t>►</t>
  </si>
  <si>
    <t xml:space="preserve">      Festlegung der Sprache</t>
  </si>
  <si>
    <t>Sprachauswahl</t>
  </si>
  <si>
    <t>Status "Bewertung"</t>
  </si>
  <si>
    <t>Status "Maßnahme"</t>
  </si>
  <si>
    <t>Auswahlfeld FRT Durchführung</t>
  </si>
  <si>
    <t>Auswahlfeld Wiederholung FRT notwendig</t>
  </si>
  <si>
    <t>FuL</t>
  </si>
  <si>
    <t>Ansprechpartner</t>
  </si>
  <si>
    <t>MPR</t>
  </si>
  <si>
    <t>Version:</t>
  </si>
  <si>
    <t>Deutsch</t>
  </si>
  <si>
    <t>English</t>
  </si>
  <si>
    <t>rote Eingaben sind nicht konform zur deutschen Variante!</t>
  </si>
  <si>
    <t>Erläuterungen zum Versionswechsel - siehe Startseite</t>
  </si>
  <si>
    <t>Czech</t>
  </si>
  <si>
    <t>Chinese</t>
  </si>
  <si>
    <t xml:space="preserve"> Auswahl für Analyse-Seite</t>
  </si>
  <si>
    <t>Reiter</t>
  </si>
  <si>
    <t>Chinesisch</t>
  </si>
  <si>
    <t>Português (BRA)</t>
  </si>
  <si>
    <t>Español</t>
  </si>
  <si>
    <t>General</t>
  </si>
  <si>
    <t>Achtung!!!     Nur gelb markierte Felder ausfüllen.</t>
  </si>
  <si>
    <t>Attention!!!        Only yellow fields has to be filled</t>
  </si>
  <si>
    <t>Beauftragung vom</t>
  </si>
  <si>
    <t>Initial order from</t>
  </si>
  <si>
    <t>Bestellnummer</t>
  </si>
  <si>
    <t>Purchase order no.</t>
  </si>
  <si>
    <t>Terminplan (nur zur Information, verbindlich ist der vereinbarte Terminplan mit Einkauf Brose)</t>
  </si>
  <si>
    <t>Timing plan (For information only - timing plan agreed with purchase is mendatory</t>
  </si>
  <si>
    <t>Terminplan</t>
  </si>
  <si>
    <t>Timing plan</t>
  </si>
  <si>
    <t>Projektdaten</t>
  </si>
  <si>
    <t>Project Data</t>
  </si>
  <si>
    <t>Projekt</t>
  </si>
  <si>
    <t>Project</t>
  </si>
  <si>
    <t>Teilebezeichnung(en)</t>
  </si>
  <si>
    <t>Part Name(s)</t>
  </si>
  <si>
    <t>Datum</t>
  </si>
  <si>
    <t>Date</t>
  </si>
  <si>
    <t>Lieferantendaten</t>
  </si>
  <si>
    <t>Supplier Data</t>
  </si>
  <si>
    <t>Lieferant</t>
  </si>
  <si>
    <t>Supplier</t>
  </si>
  <si>
    <t>Adresse</t>
  </si>
  <si>
    <t>Address</t>
  </si>
  <si>
    <t>Materialdaten</t>
  </si>
  <si>
    <t>Material Data</t>
  </si>
  <si>
    <t>Brose Teile Nr.</t>
  </si>
  <si>
    <t>Brose Part No.</t>
  </si>
  <si>
    <t>Index</t>
  </si>
  <si>
    <t>Brose Zeichnungs Nr.</t>
  </si>
  <si>
    <t>Brose Drawing No.</t>
  </si>
  <si>
    <t>Termine</t>
  </si>
  <si>
    <t>Deadlines</t>
  </si>
  <si>
    <t>Meilenstein</t>
  </si>
  <si>
    <t>Milestones</t>
  </si>
  <si>
    <t>Soll-Termin (gemäß Bestellung)</t>
  </si>
  <si>
    <t>Target date (acc. Order)</t>
  </si>
  <si>
    <t>Ist-Termin (nach Terminplan)</t>
  </si>
  <si>
    <t>Actual date (acc. Timing plan)</t>
  </si>
  <si>
    <t>Beauftragt am</t>
  </si>
  <si>
    <t>Nominated at</t>
  </si>
  <si>
    <t>Fertigstellung WZ-Konstruktion</t>
  </si>
  <si>
    <t>Completion Tool design</t>
  </si>
  <si>
    <t xml:space="preserve">Erste WZ-fallende Teile </t>
  </si>
  <si>
    <t>First of tool parts</t>
  </si>
  <si>
    <t xml:space="preserve">Besondere Merkmale i.O. </t>
  </si>
  <si>
    <t>Special characteristics OK</t>
  </si>
  <si>
    <t>Erstmustertermin</t>
  </si>
  <si>
    <t>Initial sampling date</t>
  </si>
  <si>
    <t>Keine Bewertung möglich! Bitte Status Maßnahmen pflegen!</t>
  </si>
  <si>
    <t>Evaluation impossible! Please define action status!</t>
  </si>
  <si>
    <t>Thema</t>
  </si>
  <si>
    <t>Topic</t>
  </si>
  <si>
    <t>Bewertung</t>
  </si>
  <si>
    <t>Evaluation</t>
  </si>
  <si>
    <t>Status Maßnahme</t>
  </si>
  <si>
    <t>Action status</t>
  </si>
  <si>
    <t>Kommerziell</t>
  </si>
  <si>
    <t>Commercial</t>
  </si>
  <si>
    <t>Projekt Management</t>
  </si>
  <si>
    <t>Project management</t>
  </si>
  <si>
    <t>Qualität</t>
  </si>
  <si>
    <t>Quality</t>
  </si>
  <si>
    <t>Unterlieferanten</t>
  </si>
  <si>
    <t>Sub-supplier</t>
  </si>
  <si>
    <t>Gesamtstatus</t>
  </si>
  <si>
    <t>Overal status</t>
  </si>
  <si>
    <t>Nr.</t>
  </si>
  <si>
    <t>No.</t>
  </si>
  <si>
    <t>Frage</t>
  </si>
  <si>
    <t>Question</t>
  </si>
  <si>
    <t>Hinweise</t>
  </si>
  <si>
    <t>Notes</t>
  </si>
  <si>
    <t>Maßnahme</t>
  </si>
  <si>
    <t>Action</t>
  </si>
  <si>
    <t>Verantwortlich</t>
  </si>
  <si>
    <t>Responsible</t>
  </si>
  <si>
    <t>Unterschrift</t>
  </si>
  <si>
    <t>Signature</t>
  </si>
  <si>
    <t>Firma</t>
  </si>
  <si>
    <t>Company</t>
  </si>
  <si>
    <t>Abt. / Teilnehmer</t>
  </si>
  <si>
    <t>Dep. / Participants</t>
  </si>
  <si>
    <t>Bemerkungen</t>
  </si>
  <si>
    <t>Remarks</t>
  </si>
  <si>
    <t>Abteilung</t>
  </si>
  <si>
    <t>Department</t>
  </si>
  <si>
    <t>Teilnehmer Lieferant</t>
  </si>
  <si>
    <t>Participants Supplier</t>
  </si>
  <si>
    <t>Teilnehmer Brose</t>
  </si>
  <si>
    <t>NREL</t>
  </si>
  <si>
    <t>N/A</t>
  </si>
  <si>
    <t>grün</t>
  </si>
  <si>
    <t>green</t>
  </si>
  <si>
    <t>gelb</t>
  </si>
  <si>
    <t>yellow</t>
  </si>
  <si>
    <t>rot</t>
  </si>
  <si>
    <t>red</t>
  </si>
  <si>
    <t>in Arbeit</t>
  </si>
  <si>
    <t>in progress</t>
  </si>
  <si>
    <t>erledigt</t>
  </si>
  <si>
    <t>completed</t>
  </si>
  <si>
    <t>offen</t>
  </si>
  <si>
    <t>open</t>
  </si>
  <si>
    <t>basic_data</t>
  </si>
  <si>
    <t>Basis Daten &amp; Kontakte</t>
  </si>
  <si>
    <t>Basic Data &amp; Contacts</t>
  </si>
  <si>
    <t>Projektnummer</t>
  </si>
  <si>
    <t>Project number</t>
  </si>
  <si>
    <t>Projektname</t>
  </si>
  <si>
    <t>Project name</t>
  </si>
  <si>
    <t>Lieferantenname</t>
  </si>
  <si>
    <t>Supplier name</t>
  </si>
  <si>
    <t>Lieferantennummer</t>
  </si>
  <si>
    <t>Supplier code</t>
  </si>
  <si>
    <t>Adresse (Straße)</t>
  </si>
  <si>
    <t>Address (street)</t>
  </si>
  <si>
    <t>Adresse (PLZ, Ort)</t>
  </si>
  <si>
    <t>Address (ZIP code, city)</t>
  </si>
  <si>
    <t>Land</t>
  </si>
  <si>
    <t>Country</t>
  </si>
  <si>
    <t>Kontaktdaten Lieferant</t>
  </si>
  <si>
    <t>Contact data supplier</t>
  </si>
  <si>
    <t>Funktion</t>
  </si>
  <si>
    <t>Function</t>
  </si>
  <si>
    <t>Name</t>
  </si>
  <si>
    <t>E-Mail</t>
  </si>
  <si>
    <t>Telefon</t>
  </si>
  <si>
    <t>Phone</t>
  </si>
  <si>
    <t>Mobil</t>
  </si>
  <si>
    <t>Mobile</t>
  </si>
  <si>
    <t>Projektleitung</t>
  </si>
  <si>
    <t>Vertrieb</t>
  </si>
  <si>
    <t>Sales</t>
  </si>
  <si>
    <t>Prozess-/Werkzeugtechnologe</t>
  </si>
  <si>
    <t>Process-/tool technologist</t>
  </si>
  <si>
    <t>Folgende Kontakte können optional gepflegt werden</t>
  </si>
  <si>
    <t>Following contacts can be filled optional</t>
  </si>
  <si>
    <t>Geschäftsführung</t>
  </si>
  <si>
    <t>CEO</t>
  </si>
  <si>
    <t>Werksleitung</t>
  </si>
  <si>
    <t>Plant manager</t>
  </si>
  <si>
    <t>Betriebsleitung</t>
  </si>
  <si>
    <t>Head of operations</t>
  </si>
  <si>
    <t>Qualitätsleitung</t>
  </si>
  <si>
    <t>Head of quality</t>
  </si>
  <si>
    <t>24 Stunden Notfallkontakt</t>
  </si>
  <si>
    <t>24 hour emergency contact</t>
  </si>
  <si>
    <t>Entwicklungsleitung</t>
  </si>
  <si>
    <t>Engineering manager</t>
  </si>
  <si>
    <t>Entwicklungsingenieur</t>
  </si>
  <si>
    <t>Engineering</t>
  </si>
  <si>
    <t>Logistikleitung</t>
  </si>
  <si>
    <t>Logistics Manager</t>
  </si>
  <si>
    <t>Logistikplaner</t>
  </si>
  <si>
    <t>Logistics Planner</t>
  </si>
  <si>
    <t>Kontaktdaten Brose</t>
  </si>
  <si>
    <t>Contact data Brose</t>
  </si>
  <si>
    <t>Projekt-Einkauf</t>
  </si>
  <si>
    <t>Project Purchasing</t>
  </si>
  <si>
    <t>Commodity Einkauf</t>
  </si>
  <si>
    <t>Commodity Purchasing</t>
  </si>
  <si>
    <t>Konstruktion</t>
  </si>
  <si>
    <t>Design</t>
  </si>
  <si>
    <t>Entwicklung</t>
  </si>
  <si>
    <t>Development</t>
  </si>
  <si>
    <t>SQG_Result</t>
  </si>
  <si>
    <t>Übersicht Lieferanten Quality Gates</t>
  </si>
  <si>
    <t>Supplier Quality Gates Overview</t>
  </si>
  <si>
    <t>Ziel: den Reifegrad des Projekts zu bewerten und ggfs. Maßnahmen bei Abweichungen einzuleiten, um eine termingerechte i.O.-Bemusterung sicher zu stellen.</t>
  </si>
  <si>
    <t>Target:to ensure the maturaty level of the project and if necessary to implement actions to assure OK PPAP on time.</t>
  </si>
  <si>
    <t>LQG 1</t>
  </si>
  <si>
    <t>SQG 1</t>
  </si>
  <si>
    <t>LQG 2</t>
  </si>
  <si>
    <t>SQG 2</t>
  </si>
  <si>
    <t>LQG 3</t>
  </si>
  <si>
    <t>SQG 3</t>
  </si>
  <si>
    <t>SQG_1</t>
  </si>
  <si>
    <t>Lieferanten Quality Gate 1</t>
  </si>
  <si>
    <t>Supplier Quality Gate 1</t>
  </si>
  <si>
    <t>Ziel: Alle notwendigen Informationen/ Unterlagen liegen zum Projektstart vor.</t>
  </si>
  <si>
    <t>Target: All required information/ documents are available at the project kick-off.</t>
  </si>
  <si>
    <t>Gesamtstatus
Lieferanten Quality Gate 1</t>
  </si>
  <si>
    <t>Overall status
Supplier Quality Gate 1</t>
  </si>
  <si>
    <t>Vertrag</t>
  </si>
  <si>
    <t>Liegen gültige Verträge (Bestellungen, Entwicklungsauftrag) vor?</t>
  </si>
  <si>
    <t>Are valid contracts available? (Orders, development contract)</t>
  </si>
  <si>
    <t>Eine unterschriebene Bestellung ist vorhanden.</t>
  </si>
  <si>
    <t>Signed order necessary.</t>
  </si>
  <si>
    <t>Projekt Terminplan</t>
  </si>
  <si>
    <t>Project timing plan</t>
  </si>
  <si>
    <t>Beinhaltet der Lieferantenterminplan alle Meilensteine? 
Sind die Termine mit dem Einkauf Brose vereinbart?</t>
  </si>
  <si>
    <t>Does the supplier has timing plan that contains all milestones? 
Is the timing plan agreed with purchasing Brose?</t>
  </si>
  <si>
    <t>SOLL/ IST-Vergleich Lieferantenterminplan:
- mit der Bestellung von Brose
- mit Brose Qualitätsmeilensteinen gem. FS (PEPsi)
- mit Safe Launch Zeitplan für die Vorserie und die Anlaufphase</t>
  </si>
  <si>
    <t>Target/ current comparison of supplier timing plan:
- with Brose order
- with Brose quality milestones acc. FS (PEPsi)
- prelaunch and ramp-up timing to plan for Safe Launch containment
- with commissioned modifications from Brose</t>
  </si>
  <si>
    <t>Maßnahmen aus FS</t>
  </si>
  <si>
    <t>Actions from FS</t>
  </si>
  <si>
    <t>Wurden alle Maßnahmen aus der FS termingerecht umgesetzt?</t>
  </si>
  <si>
    <t>Have been all actions from feasibilty study (FS) realised in time?</t>
  </si>
  <si>
    <t>Überprüfen Sie den Maßnahmenplan zusammen mit dem Lieferanten.</t>
  </si>
  <si>
    <t>Review the action plan with the supplier.</t>
  </si>
  <si>
    <t>Spezifikation</t>
  </si>
  <si>
    <t>Specification</t>
  </si>
  <si>
    <t>Arbeitet der Lieferant mit dem beauftragten CAD- und Zeichnungsindex? Hat der Lieferant alle erforderlichen Normen und Spezifikationen für das Teil erhalten und überprüft?</t>
  </si>
  <si>
    <t>Do the supplier work with the ordered revision level of CAD and drawing?  Has the supplier received and reviewed all necessary standards and specifications relevant for the part?</t>
  </si>
  <si>
    <t>Überprüfen Sie den aktuellen Zeichnungs- und CAD-Index. Wenn Zeichnungen und CAD-Daten nicht mit dem richtigen Index oder garnicht vorliegen, ist die sofortige Eskalation an das Kundenteam und den Einkauf (Rating 'Rot') notwendig. 
Der Lieferant kann die geforderten Normen und Spezifikationen vorzeigen.</t>
  </si>
  <si>
    <t>Validate the correct drawing and CAD revision levels.
If drawings and CAD are not to the correct level or not available, escalation to the customer team is necessary. Rating must be "red" if correct drawing and CAD revisions are not available.
Supplier can show the required standards and specification.</t>
  </si>
  <si>
    <t>Herstellbarkeit</t>
  </si>
  <si>
    <t>Feasibility study</t>
  </si>
  <si>
    <t>Gibt es für den aktuellen Zeichnungsindex eine Herstellbarkeitsbestätigung?</t>
  </si>
  <si>
    <t>Is a feasibility study for the actual drawing index available?</t>
  </si>
  <si>
    <t>Der Lieferant kann eine unterschriebene FS/ Änderungs-FS zum aktuellen Zeichnungsindex vorzeigen.</t>
  </si>
  <si>
    <t>Supplier can show signed feasibility study /Feasibility study for index change.</t>
  </si>
  <si>
    <t>Prozessablauf</t>
  </si>
  <si>
    <t>Process flow</t>
  </si>
  <si>
    <t>Ist ein grober Prozessablaufplan für dieses Produkt vorhanden?</t>
  </si>
  <si>
    <t>Is a rough process flow chart for this product available?</t>
  </si>
  <si>
    <t>Der Prozessablaufplan enthält jeden Haupt-Prozessschritt.</t>
  </si>
  <si>
    <t>The process flow considers all main process steps.</t>
  </si>
  <si>
    <t>Werkzeug/ Prozess Design Konzept</t>
  </si>
  <si>
    <t>Tooling/ process design concept</t>
  </si>
  <si>
    <t>Entspricht der geplante Stand dem beauftragten technischen Konzept? Wenn "Nein", Erklärung durch Lieferant notwendig.</t>
  </si>
  <si>
    <t>Does the planned status comply with the assigned technical concept? If "No", supplier needs to explain.</t>
  </si>
  <si>
    <t>Abgleich mit den Prozessdatenblättern zum Werkzeug- bzw. Prozesskonzept aus der FS z.B. Anspritzpunkte, Werkzeugstufen, Stanzrichtung</t>
  </si>
  <si>
    <t>Comparison of process data sheets for the tool- and process-concept from FS 
e.g. injection points, tool steps, stamping direction</t>
  </si>
  <si>
    <t>Ständige Verbesserung</t>
  </si>
  <si>
    <t>Continuous improvement</t>
  </si>
  <si>
    <t>Wie werden Lessons learned-Themen in diesem Produkt berücksichtigt?</t>
  </si>
  <si>
    <t>How will be lessons learned-topics considered in this product?</t>
  </si>
  <si>
    <t>Durchsicht von Lessons Learned Aufzeichnungen. Lesson Learned wurde in der FMEA berücksichtigt.</t>
  </si>
  <si>
    <t>Review LL records.
Confirm LL captured on FMEA.</t>
  </si>
  <si>
    <t>Änderungs-management</t>
  </si>
  <si>
    <t>Change Management</t>
  </si>
  <si>
    <t>Wie kommuniziert der Lieferant Änderungen am Produkt/ Prozess während der Entwicklung/ Serienproduktion? Gab es Änderungen im Vergleich zum Stand der Herstellbarkeitsanalyse zur Vergabe?</t>
  </si>
  <si>
    <t>How will the supplier report changes to the product or process during development or series? Have any modifications to the project been made after acceptance of FS?</t>
  </si>
  <si>
    <t>Folgende Unterlagen liegen vor: 
- Bestätigte Einkaufsbestellung
- Zeichnung/CAD_Modell gemäß Bestellung
- Bestätigte Herstellbarkeitsanalyse zur Indexänderung
- Aktualisierter Teile-Lebenslauf seit Beauftragung</t>
  </si>
  <si>
    <t>The following documents are available:
- Confirmed purchasing order
- Drawing/CAD-Model acc. order
- Confirmed feasibility study for index change 
- Updated part history list since Brose Purchase Order</t>
  </si>
  <si>
    <t>Überprüfung der P-FMEA</t>
  </si>
  <si>
    <t>P-FMEA Review</t>
  </si>
  <si>
    <t>Liegt eine Prozess-FMEA vor?</t>
  </si>
  <si>
    <t>Is a process-FMEA available?</t>
  </si>
  <si>
    <t>Basis- oder Familien-FMEAs sind vorhanden. Überprüfung der folgenden Punkte:
- Sind Risiken identifiziert und sind akzeptable Maßnahmen definiert?
- Enspicht die Bewertung von Bedeutung, Auftreten und Entdeckung den AIAG/VDA Normen?
- Wurden alle besonderen Merkmale von der Zeichnung in die P-FMEA übernommen?
- Folgt das Dokument dem Prozessablauf?</t>
  </si>
  <si>
    <t>Foundation or Family FMEAs are available. Review following points:
- Are risks identified and actions defined?
- Do severity, occurrence and detection rating meet AIAG/VDA standards?
- Are all special characteristic symbols from the drawing carried over to the P-FMEA?
- Does the FMEA follow the process flow?</t>
  </si>
  <si>
    <t>P-FMEA</t>
  </si>
  <si>
    <t>Sind die besonderen Merkmalen incl. Kundenschnittstellen von Brose, in der P-FMEA berücksichtigt und abgesichert?</t>
  </si>
  <si>
    <t xml:space="preserve"> Are the special characteristics incl. customer interfaces from Brose, considered and secured?</t>
  </si>
  <si>
    <t>SOLL/ IST-Vergleich der besonderen Merkmalen zwischen Brose Zeichnung und Lieferanten P-FMEA.
Bewertung nach BN 586437-xxx.</t>
  </si>
  <si>
    <t>Target/ current comparison of the special characteristics between Brose Drawing and supplier P-FMEA.
Evaluation acc. to BN 586437-xxx.</t>
  </si>
  <si>
    <t>Red Rabbit/ Poka Yoke Teile</t>
  </si>
  <si>
    <t>Red rabbit/ poka yoke sample</t>
  </si>
  <si>
    <t>Sind Fehlermuster/ Referenzteile (Red Rabbit) geplant und werden die Anforderungen der Identifikation, Überwachung, Überprüfung und ggfs. Kalibrierung (IATF16949 10.2.4) eingehalten?</t>
  </si>
  <si>
    <t>Has supplier considered red rabbit/ reference samples and are the requirements regarding identification, monitoring, inspection and if necessary calibration (IATF16949 10.2.4) ensured?</t>
  </si>
  <si>
    <t>Planung der Red rabbit/ Poka Yoke-Teile ist vorhanden.</t>
  </si>
  <si>
    <t>Planning of red rabbit/ poka yoke parts is available.</t>
  </si>
  <si>
    <t>Produktions-lenkungsplan</t>
  </si>
  <si>
    <t>Control Plan</t>
  </si>
  <si>
    <t>Liegt der Produktionslenkungsplan vor und beinhaltet dieser die besonderen Merkmale von Brose?</t>
  </si>
  <si>
    <t>Is the control plan available and are the special characteristics from Brose drawing included?</t>
  </si>
  <si>
    <t xml:space="preserve">Jährliche Requalifikationsanforderungen sind in dem Produktionslenkungsplan entsprechend der Herstellbarkeits-analyse enthalten. Das Dokument folgt der P-FMEA und dem Prozessfluss.
Mussanforderung für Stanzlieferanten die für D-Teile freigegeben sind  (Bandstahlverarbeitung):
Sind die Forderungen der Brose Norm BN590603-xxx bekannt und werden diese in vollem Umfang umgesetzt? </t>
  </si>
  <si>
    <t>Annual revalidation requirements are in the control plan and match the F.S.
Does the document follow the process flow and PFMEA?
Special process characteristics out of PFMEA are considered.
Mandatory requirement for stamping suppliers approved for D-parts (strip steel processing):
Are the requirements of the Brose Standard BN590603-xxx  known and completely implemented?</t>
  </si>
  <si>
    <t>Prüfmittel planung</t>
  </si>
  <si>
    <t>Test equipment planning</t>
  </si>
  <si>
    <t>Ist die Prüfmittelplanung im Terminplan nachvollziehbar berücksichtigt? Ist ein Messabgleich definiert und mit Brose abgestimmt?</t>
  </si>
  <si>
    <t>Is the test equipment plan plausible included in to the timing plan? Is a measurement comparison defined and coordinated with Brose?</t>
  </si>
  <si>
    <t>Die Prüfmittelplanung ist vorhanden.</t>
  </si>
  <si>
    <t>Test equipment plan is available.</t>
  </si>
  <si>
    <t>Rückverfolg-barkeit</t>
  </si>
  <si>
    <t>Traceability</t>
  </si>
  <si>
    <t>Wird die Rückverfolgbarkeit geplant?</t>
  </si>
  <si>
    <t>Will traceability be planned?</t>
  </si>
  <si>
    <t>Die Kennzeichnung und Rückverfolgbarkeit ist festgelegt. Die Rückverfolgbarkeitsstufe ist festgelegt.</t>
  </si>
  <si>
    <t>Identification and traceabibility is defined. Traceability level is defined.</t>
  </si>
  <si>
    <t>Technische Sauberkeit</t>
  </si>
  <si>
    <t>Technical cleanliness</t>
  </si>
  <si>
    <t>Wie plant der Lieferant die technische Sauberkeitsanforderung für dieses Produkt? (Falls erforderlich auf der Zeichnung/ Brose Norm)</t>
  </si>
  <si>
    <t>How do supplier plan to ensure technical cleanliness requirement for this product (If required on drawing / Brose norm)?</t>
  </si>
  <si>
    <t>Ein Testplan ist beschrieben. (Testpläne aus der Vergangenheit vorhanden?)</t>
  </si>
  <si>
    <t>Testing plan description.
Testing history available?</t>
  </si>
  <si>
    <t>SAF - Schadteil-analyse Feld</t>
  </si>
  <si>
    <t>FFA Field Failure Analysis</t>
  </si>
  <si>
    <t>Liegen Planungen zum eskalierenden Prüfstufenkonzept mit Befundung (Standard- und Belastungsprüfungen) und NTF 
No-Trouble-Found - Prozess (mit Auslösekriterien) vor?</t>
  </si>
  <si>
    <t>Are there plans for the escalating test step concept with part analysis (standard test and test under load) and No-Trouble-Found (NTF) process (with triggering criteria) available?</t>
  </si>
  <si>
    <t>Min. nach VDA Schadteilanalyse Feld &amp; Auditstandard?
kundenspezifische Forderungen berücksichtigt?
Testaufbauten eingeplant (s. a. Q1.5)?
Einbeziehung/Verpflichtung Lieferkette sichergestellt?</t>
  </si>
  <si>
    <t>Min. according to VDA Field Failure Analysis &amp; Audit Standard?
customer-specific requirements (CSR) taken into account? Test setup planned (see Q1.5)?
Inclusion / commitment supply chain ensured?</t>
  </si>
  <si>
    <t>Vertrags-regelung Unter-lieferanten</t>
  </si>
  <si>
    <t>Contract system sub-suppliers</t>
  </si>
  <si>
    <t>Ist die Beauftragung der Unterlieferanten für die Serienproduktion erfolgt und die Herstellbarkeit vom Lieferanten bestätigt?
Sind die kundenspezifischen Forderungen und besondere Merkmale an die Lieferkette weiter gereicht worden?</t>
  </si>
  <si>
    <t>Are all sub-suppliers for serial production contracted and have they confirmed the feasibility? 
Are customer specific requirements (CSR) and special characteristics submitted to the sub-suppliers?</t>
  </si>
  <si>
    <t>Der Lieferant kann Belege für die Auftragsannahme vorlegen.</t>
  </si>
  <si>
    <t>The supplier can verify order acceptance by sub-suppliers.</t>
  </si>
  <si>
    <t>SQG_2</t>
  </si>
  <si>
    <t>Lieferanten Quality Gate 2</t>
  </si>
  <si>
    <t>Supplier Quality Gate 2</t>
  </si>
  <si>
    <t>Ziel: Der Lieferant kann mit der Werkzeuganfertigung starten.</t>
  </si>
  <si>
    <t>Target: The supplier can start tool production.</t>
  </si>
  <si>
    <t>Gesamtstatus
Lieferanten Quality Gate 2</t>
  </si>
  <si>
    <t>Overall status
Supplier Quality Gate 2</t>
  </si>
  <si>
    <t>Fortschritts-kontrolle</t>
  </si>
  <si>
    <t>Progress monitoring</t>
  </si>
  <si>
    <t>Sind alle Punkte aus LQG1 erledigt bzw. mit terminierten Maßnahmen versehen? Stimmen die Termine mit dem vereinbarten Terminplan überein?</t>
  </si>
  <si>
    <t>Are all points from SQG1 completed or have defined actions with dates acc. to project timing plan?</t>
  </si>
  <si>
    <t>Alle Maßnahmen aus dem LQG1 müssen terminiert bzw. termingerecht abgeschlossen sein.</t>
  </si>
  <si>
    <t xml:space="preserve">All actions from SQG1 should be scheduled or completed on time. </t>
  </si>
  <si>
    <t>Supplier timing plan</t>
  </si>
  <si>
    <t>Sind der Lieferant und die Unterlieferanten im Zeitplan gem. dem Projektterminplan? Sind Risiken/ Zeitverzug erkennbar und Maßnahmen definiert?</t>
  </si>
  <si>
    <t>Is the supplier and sub-suppliers on time with the project.  Are any risks/ time delay identified and actions defined?</t>
  </si>
  <si>
    <t>SOLL/IST-Vergleich Lieferantenterminplan: 
- mit Brose-Bestellung
- mit Brose Qualitätsmeilensteine gem. FS (PEPsi)
- mit von Brose beauftragten Änderungen
- mit Unterlieferantenterminplan</t>
  </si>
  <si>
    <t>Target/ current comparison of supplier timing plan:
- with Brose order
- with Brose quality milestones acc. FS (PEPsi)
- with commissioned modifications from Brose</t>
  </si>
  <si>
    <t>Prozessfluss</t>
  </si>
  <si>
    <t xml:space="preserve">Process flow </t>
  </si>
  <si>
    <t>Ist das Prozessflussdiagramm vollständig erstellt?</t>
  </si>
  <si>
    <t>Is the process flow chart complete?</t>
  </si>
  <si>
    <t>Das Prozessflussdiagramm für jeden einzelnen Prozessschritt ist vorhanden.</t>
  </si>
  <si>
    <t>The process flow consider all steps of the process.</t>
  </si>
  <si>
    <t>Werkzeug-/ Prozessdesign Konzept</t>
  </si>
  <si>
    <t>Tooling-/ Process design concept</t>
  </si>
  <si>
    <t>Kann die Durchsprache der Werkzeugkonstruktion erfolgreich abgeschlossen werden?</t>
  </si>
  <si>
    <t>Can the review of the tool design be completed successfully?</t>
  </si>
  <si>
    <t>Das Werkzeugkonzept wurde mit dem Brose Technologieexperten durchgesprochen.</t>
  </si>
  <si>
    <t>The tool concept was reviewed with Brose technology expert.</t>
  </si>
  <si>
    <t>Gab es Änderungen im Vergleich zum Stand der Herstellbarkeitsanalyse in der Vergabe?</t>
  </si>
  <si>
    <t>Have any modifications to the project been made after acceptance of FS?</t>
  </si>
  <si>
    <t>Brose intern</t>
  </si>
  <si>
    <t>Brose internal</t>
  </si>
  <si>
    <t>Brose Qualitätsplaner: bitte Brose Lieferantenentwickler informieren</t>
  </si>
  <si>
    <t>Brose Quality planner: Please inform Brose supplier developer</t>
  </si>
  <si>
    <t>Wenn:
- Neuer Lieferant für Brose
- Neues Werk für bestehenden Lieferanten von Brose
- Neue Technologie für bestehenden Lieferanten von Brose</t>
  </si>
  <si>
    <t>If:
- New supplier for Brose
- New production plant for existing supplier for Brose
- New technology for existing supplier for Brose</t>
  </si>
  <si>
    <t>Ist die P-FMEA vorhanden und auf aktuellem Stand?</t>
  </si>
  <si>
    <t>Is the P-FMEA available and up to date?</t>
  </si>
  <si>
    <t>Folgende Punkte müssen erfüllt sein: 
- Bezug auf den beauftragten Brose Zeichnungsstand 
- Risiken gem. Risikomatrizen sind identifiziert
- Alle Besonderen Merkmale aus der Brose-Zeichnung sind in der Lieferanten - FMEA durchgängig berücksichtigt und abgesichert
- Die Durchgängigkeit der besonderen Merkmale ist beim Lieferanten in FMEA, PLP, Prüfplan, Prüfaufschreibungen und mitgeltenden Dokumenten gegeben</t>
  </si>
  <si>
    <t>The following points must be met:
- Ordered Brose drawing index considered?
- Are risks identified by the use of risk matrices?
- Are special characteristics from the brose drawing in the supplier FMEA consistent considered and assured?
- Are the special characteristics from the supplier FMEA, Controlplan, inspectionsplan, control charts and appliable documents consistent?</t>
  </si>
  <si>
    <t>Ist der Produktionslenkungsplan für die Safe Launch Phase und für die Serie auf dem jeweils neuesten Stand?</t>
  </si>
  <si>
    <t>Are the pre-launch and production control plans up to date?</t>
  </si>
  <si>
    <t>- alle besonderen und weiteren Merkmale gemäß FS und PFMEA sind berücksichtigt
- alle Toleranzen, Prüfmethoden und Stichprobengrößen sind verifiziert
- zusätzliche attributive Prüfungen sind während der Anlaufphase implementiert, die auf der FS, den Lessons Learned und typischen Fehlerbildern der eingesetzten Technologie des Lieferanten basieren
- KPC-Merkmale aus der PFMEA sind berücksichtigt
- Exitkriterien sind für die Safe-Launch Umfänge enthalten</t>
  </si>
  <si>
    <t>- Have all pass through and special characteristics from FS and PFMEA been included?
- Have all tolerances, inspection methods and sample sizes been verified?
- Is 100% Safe Launch inspection included for failures based on FS, Lessons Learned and defect catalogue items based on supplier's technology?
- KPC characteristics out of PFMEA are considered?
- Are exit criterias included for the Safe Launch scope?</t>
  </si>
  <si>
    <t>Prüfmittel &amp; MSA</t>
  </si>
  <si>
    <t xml:space="preserve">Test equipment &amp; MSA </t>
  </si>
  <si>
    <t>Hat der Lieferant alle Prüfmittel inkl. Meßmittelfähigkeit (MSA/VDA5) und ggfs. Messabgleich termingerecht eingeplant?</t>
  </si>
  <si>
    <t>Are all gauges and test equipments incl. measurement study analyses (MSA/VDA5) and resp.measurement alignment planned on time?</t>
  </si>
  <si>
    <t>Überprüfung der Konzepte zu den Prüfmitteln.</t>
  </si>
  <si>
    <t>Review concept for gauges and test equipment.</t>
  </si>
  <si>
    <t>Rückverfolg-barkeitspläne</t>
  </si>
  <si>
    <t>Traceability concept</t>
  </si>
  <si>
    <t>Gibt es Änderungen zum Rückverfolgbarkeitskonzept gegenüber dem LQG1?</t>
  </si>
  <si>
    <t>Are there modifications of traceability concept comparing to SQG1?</t>
  </si>
  <si>
    <t>Siehe LQG 1 bzw. FS Vereinbarungen zur Rückverfolgbarkeit.</t>
  </si>
  <si>
    <t>See SQG 1 and FS agreement for treacibility.</t>
  </si>
  <si>
    <t>Technical Cleanliness</t>
  </si>
  <si>
    <t>Wie erreicht der Lieferant die technische Sauberkeitsanforderung für dieses Produkt? (Falls erforderlich auf der Zeichnung/ Brose Norm)</t>
  </si>
  <si>
    <t>How do supplier ensure technical cleanliness requirement for this product (If required on drawing / Brose norm)?</t>
  </si>
  <si>
    <t>Eskalierendes Prüfstufenkonzept mit Befundung (Standard- und Belastungsprüfungen) und NTF No-Trouble-Found - Prozess (mit Auslösekriterien) liegt zum Bauteil vor und ggfs. Systemprüfungen sind mit Brose abgestimmt?</t>
  </si>
  <si>
    <t>Escalating test step concept with part analysis (standard test and test under load) and NTF-process (with triggering criteria) is available for the component and, if necessary, system-checks are coordinated with Brose?</t>
  </si>
  <si>
    <t>Standard und Belastungsprüfungen liegen vor?
kundenspezifische Forderungen berücksichtigt?
Einbeziehung/Verpflichtung Lieferkette nachgewiesen?
Personalplanung (Qualifikation gemäß VDA) berücksichtigt?</t>
  </si>
  <si>
    <t>Part Analysis (Standard test and test under load) are available?
CSR’s taken into accoun?
Inclusion / commitment supply chain proven?
Personnel planning (qualification according to VDA)?</t>
  </si>
  <si>
    <t>Safe Launch</t>
  </si>
  <si>
    <t>Hat der Lieferant einen Safe Launch Prozess geplant?</t>
  </si>
  <si>
    <t>Did the supplier plan the Safe Launch process?</t>
  </si>
  <si>
    <t>- zusätzliche Prüfungen im Rahmen des Safe Launch Prozesses
- im Prozess ist keine Verwechslung von i.O./n.i.O. Teilen möglich; 1-piece flow ist sichergestellt
- Arbeitsanweisungen enthalten alle besondere Merkmale basierend auf: den typischen Fehlerbildern, Prüfmethoden, Werkzeugen, Lehren, Toleranzen, Umgang mit n.i.O Material, usw.</t>
  </si>
  <si>
    <t>- Dedicated Safe Launch process for inspections
- Process layout ensuring 1 piece flow during inspection and provisions to control OK and NOK material 
- Work instructions including all special characteristics and defect catalogue items based on supplier technology, inspection methods, tools, gauges, tolerances, guidance on how to handle NOK material, etc.)</t>
  </si>
  <si>
    <t>Versteht der Lieferant den Safe Launch Prozess und dessen Anforderungen?</t>
  </si>
  <si>
    <t>Does the supplier understand the Safe Launch process and its requirements?</t>
  </si>
  <si>
    <t>- Stichprobenprüfungen gem. FS für Lieferungen während der Vorserie und Anlaufphase
- Dauer und Ausstiegskriterium
- Datenerfassung und Übermittlung der Ergebnisse an Brose</t>
  </si>
  <si>
    <t>- Sampling inspections acc. FS for all prelaunch builds and ramp-up shipments
- Duration and exit criteria
- Data storage plans and submissions to Brose</t>
  </si>
  <si>
    <t>SQG_3</t>
  </si>
  <si>
    <t>Lieferanten Quality Gate 3</t>
  </si>
  <si>
    <t>Supplier Quality Gate 3</t>
  </si>
  <si>
    <t>Ziel: Vorbereitung der Erstbemusterung inklusive Prozessabnahme (FRT)</t>
  </si>
  <si>
    <t>Target: Preparation of initial sampling including process approval (FRT)</t>
  </si>
  <si>
    <t>Gesamtstatus
Lieferanten Quality Gate 3</t>
  </si>
  <si>
    <t>Overall status
Supplier Quality Gate 3</t>
  </si>
  <si>
    <t>Sind alle Punkte aus LQG1 &amp; 2 erledigt bzw. mit terminierten Maßnahmen versehen? Stimmen die Termine mit dem vereinbarten Terminplan überein?</t>
  </si>
  <si>
    <t>All all points from SQG1 &amp; 2 completed or have defined actions with dates acc. to project timing plan?</t>
  </si>
  <si>
    <t>Alle Maßnahmen aus dem LQG1 &amp; 2 müssen terminiert bzw. termingerecht abgeschlossen sein. Stellen Sie sicher das der Lieferant keine Probleme mit Verträgen und Bestellungen hat. Wenn keine kommerziellen Dokumente verfügbar sind, ist eine sofortige Eskalation an das Kundenteam und den Einkäufer erforderlich. Die Bewertung muss "rot" sein, wenn dem Lieferanten keine Verträge und Bestellungen erteilt wurden.</t>
  </si>
  <si>
    <t>All actions from SQG1 should be scheduled or completed on time. Verify that the supplier has no concerns with contracts and purchase orders.
If commercial documents are not available, immediate escalation to customer team and buyer is necessary. Rating must be "red" if contracts and purchase order are not issued to the supplier.</t>
  </si>
  <si>
    <t>SOLL/IST-Vergleich Lieferantenterminplan: 
- mit Brose-Bestellung (Terminvereinbarung mit den wichtigsten Meilensteinen zwischen Lieferant und Brose Einkauf)
- mit Brose Qualitätsmeilensteine gem. FS (PEPsi)
- mit von Brose beauftragten Änderungen
- mit Unterlieferantenterminplan</t>
  </si>
  <si>
    <t>Target/ current comparison of supplier timing plan:
- with Brose order (Appointment agreement with the important milestones between the supplier and Brose purchsing)
- with Brose quality milestones acc. FS (PEPsi)
- with commissioned modifications from Brose
- with sub-supplier timing plan</t>
  </si>
  <si>
    <t>Notfallplan</t>
  </si>
  <si>
    <t>Emergency plan</t>
  </si>
  <si>
    <t>Hat der Lieferant einen teilebezogenen Notfallplan, um im Falle einer Störung die Produktion aufrecht zu erhalten?</t>
  </si>
  <si>
    <t>Does the supplier has a part related backup plan to maintain production capacity in the case of on emergency?</t>
  </si>
  <si>
    <t>Der Lieferant zeigt einen akzeptablen Notfallplan, der die Produktion bei einer Störung weiterhin gewährleistet.</t>
  </si>
  <si>
    <t xml:space="preserve">Supplier is able to present an acceptable emergency plan that assures production continue in the case on an emergency. </t>
  </si>
  <si>
    <t>Gab es Änderungen im Vergleich zum Stand der Herstellbarkeitsanalyse zur Vergabe?</t>
  </si>
  <si>
    <t>Continuous Improvement</t>
  </si>
  <si>
    <t xml:space="preserve">Gab es für den Lieferant bei diesem Produkt neue Lessons Learned - Erkenntnisse? </t>
  </si>
  <si>
    <t>Does the supplier has evaluated new lessons learned from this product/ process?</t>
  </si>
  <si>
    <t>interner FRT</t>
  </si>
  <si>
    <t>internal FRT</t>
  </si>
  <si>
    <t xml:space="preserve">Haben Sie einen internen FRT rechtzeitig vor dem Brose-FRT geplant um bei Abweichungen entsprechende Maßnahmen noch umsetzen zu können? </t>
  </si>
  <si>
    <t>Have you planned an internal FRT in good time before the Brose FRT in order to still be able to implement appropriate measures in the event of deviations?</t>
  </si>
  <si>
    <t>Serienequipment / Messequipment vollständig/einsatzbereit?
Serienparamter und - zyklus erreicht? 
zusätzliche Safe launch - Maßnahmen geplant/umgesetzt?
Bauteile für Verbau freigegeben? 
Abnahme sichergestellt / Abrufe / Anlaufkurve vorhanden?
Zukaufteile frei?
Arbeits- und Prüfanweisungen erstellt und am AP vorhanden?
Sind Mitarbeiter geschult?
Serienverpackung abgestimmt und vorhanden?
Brose-Vorlage FRT verwendet?
Ergebnis interner FRT an Brose senden!</t>
  </si>
  <si>
    <t>Series equipment / measuring equipment complete/ready for use?
Series parameters and -cycle achieved?
additional Safe launch tasks Planned/implemented?
Components released for assembly?
Acceptance ensured / call-offs / start-up curve available?
Purchased parts released?
Work and test instructions prepared and available at the WP?
Are employees trained?
Series packaging coordinated and available?
Brose FRT template used?
Send result of internal FRT to Brose!</t>
  </si>
  <si>
    <t>Überprüfung Red Rabbit/ Poka Yoke</t>
  </si>
  <si>
    <t>Red Rabbit/ Poka Yoke Sample verification</t>
  </si>
  <si>
    <t>Sind Fehlermuster/Referenzteile (Red Rabbit) verfügbar und werden die Anforderungen der Identifikation, Überwachung, Überprüfung und ggfs. Kalibrierung  (IATF16949 10.2.4) eingehalten?</t>
  </si>
  <si>
    <t>Are red rabbit/ reference samples available and are the requirements regarding identification, monitoring, inspection and if necessary calibration (IATF16949 10.2.4) ensured?</t>
  </si>
  <si>
    <t>Stellen Sie sicher, dass der Lieferant über ein Fehlermusterverfahren verfügt. 
- Es gibt eine klare Regelung für den Fall das ein Fehlermuster nicht erkannt wird.
- Es gibt eine klare Regelung wie Fehlermuster-Tests überprüft werden.
- Die Maschinen sind darauf eingestellt regelmäßig Fehlermuster-Tests durchzuführen.</t>
  </si>
  <si>
    <t xml:space="preserve">Verify that the supplier has a red rabbit system.  
- What is the reaction to a red rabbit failure?
- How are red rabbit tests verified?
- Is the equipment programmed to periodically stop for red rabbit tests? (Best practice)  </t>
  </si>
  <si>
    <t>Produktionslenkungsplan</t>
  </si>
  <si>
    <t>Control plan</t>
  </si>
  <si>
    <t>Ist der Produktionslenkungsplan für die Serienproduktion aktuell und enthält der Produktionslenkungsplan für die Safe Launch-Phase eine erhöhte Anzahl an zu prüfenden Teilen und erhöhte Prüffrequenzen?</t>
  </si>
  <si>
    <t>Is the control plan for serial phase up to date and does the control plan for Safe Launch include increased frequency and quantities to be inspected?</t>
  </si>
  <si>
    <t>Alle Merkmale und Safe-Launch-Maßnahmen aus der FS sind im PLP enthalten und umfassen im Vergleich zum PLP für die Serie einen größeren Stichprobenumfang.</t>
  </si>
  <si>
    <t>All characteristics and safe launch actions based on the FS agreement are included and contain increased sample sizes compared to the Series Control Plan.</t>
  </si>
  <si>
    <t>Planung der Prozess-fähigkeiten</t>
  </si>
  <si>
    <t>Planing capability studies</t>
  </si>
  <si>
    <t>Stehen die Fähigkeitsnachweise (besondere Merkmale), in Übereinstimmung zu den Festlegungen in der Herstellbarkeitsanalyse, termingerecht zur Verfügung?</t>
  </si>
  <si>
    <t>Are the capability studies of special charateristics acc. to feasibility study on time?</t>
  </si>
  <si>
    <t>Siehe Vereinbarungen aus der FS zur Anzahl und Ppk index.</t>
  </si>
  <si>
    <t>See FS agreement for quantities and Cpk index.</t>
  </si>
  <si>
    <t>Sind die Prüfmittel und MSA's für dieses Projekt vollständig vorhanden?</t>
  </si>
  <si>
    <t>Are all gauges and test equipments incl. measurement study analyses (MSA/VDA5) complete available?</t>
  </si>
  <si>
    <t>Folgende Punkte müssen erfüllt sein: 
- Kalibrierungsberichte stehen zur Verfügung
- MSA ist vollständig vorhanden
- Prüfmittel sind an den zugewiesenen Plätzen vorhanden
- Arbeitsanweisungen sind verfügbar</t>
  </si>
  <si>
    <t>The following points must be met:
- Calibration reports available
- MSA complete and OK
- Review use of gauges and test equipment
- Work instructions available</t>
  </si>
  <si>
    <t>Gibt es Änderungen zum Rückverfolgbarkeitskonzept gegenüber LQG2?</t>
  </si>
  <si>
    <t>Are there modifications of traceability concept comparing to SQG2?</t>
  </si>
  <si>
    <t>Siehe LQG 1 &amp; 2 Vereinbarungen zur Rückverfolgbarkeit.</t>
  </si>
  <si>
    <t>See SQG1 &amp; 2 agreement for traceability.</t>
  </si>
  <si>
    <t>IMDS</t>
  </si>
  <si>
    <t>Stehen alle notwendigen Unterlagen zur IMDS-Erstellung, auch von Unterlieferanten, zur Verfügung?</t>
  </si>
  <si>
    <t>Are all relevant documents, also from sub-suppliers, for IMDS submission available?</t>
  </si>
  <si>
    <t>IMDS muss im System vorhanden sein.</t>
  </si>
  <si>
    <t>IMDS should be avalable at system.</t>
  </si>
  <si>
    <t>PPF/ PPAP- Anforderung</t>
  </si>
  <si>
    <t>PPF/ PPAP-requirements</t>
  </si>
  <si>
    <t>Sind die Anforderungen gem. Erstmuster-Bestellung bzw. Extranet klar?</t>
  </si>
  <si>
    <t>Are the requirements acc. initial sample order resp. Extranet well understood?</t>
  </si>
  <si>
    <t>Siehe Vereinbarungen aus der FS.</t>
  </si>
  <si>
    <t>See FS agreements.</t>
  </si>
  <si>
    <t>Unter-lieferanten PPF/ PPAP</t>
  </si>
  <si>
    <t>Sub-supplier PPF/ PPAP</t>
  </si>
  <si>
    <t>Sind die Unterlieferanten-PPF/PPAPs durch den Lieferanten freigegeben?</t>
  </si>
  <si>
    <t>Are the Sub-supplier PPF/PPAP's approved by supplier?</t>
  </si>
  <si>
    <t>Überprüfen Sie die PPF/ PPAPs.</t>
  </si>
  <si>
    <t>Review PSW's or PPF.</t>
  </si>
  <si>
    <t>Hat der Lieferant die technische Sauberkeitsanforderung für dieses Produkt umgesetzt? (Falls erforderlich auf der Zeichnung/ Brose Norm)</t>
  </si>
  <si>
    <t>Has the supplier realized technical cleanliness requirement for this product (If required on drawing / Brose norm)?</t>
  </si>
  <si>
    <t>See FS agreement.</t>
  </si>
  <si>
    <t>Änderungen zum eskalierendes Prüfstufenkonzept mit Befundung (Standard- und Belastungsprüfungen) und NTF No-Trouble-Found - Prozess ggü. LQG2?</t>
  </si>
  <si>
    <t>Changes to the escalating test step concept with part analysis (standard test and tests under load) and NTF-process vs. LQG2?</t>
  </si>
  <si>
    <t>Standard und Belastungsprüfungen liegen vor
kundenspezifische Forderungen berücksichtigt
Testaufbauten/-equipment vorhanden
Auslösekriterien für NTF definiert und vereinbart
Einbeziehung/Verpflichtung Lieferkette nachgewiesen
Qualifikation, Personal vorhanden
Verweis SAF im PLP?
Hinweis: Die SAF-Dokumentation  (Prüfspezifikation, -merkmale, Beschreibung Testaufbau und -konfiguration) sind Bestandteil des PPF/PPAP an Brose!</t>
  </si>
  <si>
    <t>Part Analysis (Standard test and tests under load) available?
CSR’s taken into account?
Test equipment, devices and gauges available?
Trigger criteria for NTF defined and agreed?
Inclusion / commitment supply chain proven?
Qualification and capacities staff available?
Reference FFA in PLP?
Note: The FFA documentation (test specification, characteristics, test setup and configuration) is part of the PPF / PPAP to Brose!</t>
  </si>
  <si>
    <t>FRT</t>
  </si>
  <si>
    <t>Prozessabnahme (Full-Run-Test)</t>
  </si>
  <si>
    <t>Process Approval (Full-Run-Test)</t>
  </si>
  <si>
    <t>Gesamtergebnis:</t>
  </si>
  <si>
    <t>Overall result:</t>
  </si>
  <si>
    <t>Abschluss offener Punkte</t>
  </si>
  <si>
    <t>Finalization of open points</t>
  </si>
  <si>
    <t>Durchgeführt von:
(bitte auswählen)</t>
  </si>
  <si>
    <t>Performed by:
(please select)</t>
  </si>
  <si>
    <t>Brose</t>
  </si>
  <si>
    <t>Wiederholung Prozessabnahme am:</t>
  </si>
  <si>
    <t>Repetition of process approval at:</t>
  </si>
  <si>
    <t>Abarbeitung Maßnahme bis:</t>
  </si>
  <si>
    <t>Close actions until:</t>
  </si>
  <si>
    <t>Wiederholung Prozessabnahme notwendig?</t>
  </si>
  <si>
    <t>Repetition of process approval necessary?</t>
  </si>
  <si>
    <t>Ja</t>
  </si>
  <si>
    <t>Yes</t>
  </si>
  <si>
    <t>Nein</t>
  </si>
  <si>
    <t>No</t>
  </si>
  <si>
    <t>Gesamtstatus
Prozessabnahme</t>
  </si>
  <si>
    <t>Overall status
Process approval</t>
  </si>
  <si>
    <t xml:space="preserve">Netto-Arbeitsstunden / Schicht </t>
  </si>
  <si>
    <t>Net working hours per shift</t>
  </si>
  <si>
    <t>Arbeitswochen pro Jahr</t>
  </si>
  <si>
    <t>Working weeks per year</t>
  </si>
  <si>
    <t>SOP Brose</t>
  </si>
  <si>
    <t>Prozeßschritt</t>
  </si>
  <si>
    <t>Process step</t>
  </si>
  <si>
    <t>Geplante Stückzahl
für Full-Run-Test</t>
  </si>
  <si>
    <r>
      <t xml:space="preserve">Planned quantities
for </t>
    </r>
    <r>
      <rPr>
        <sz val="10"/>
        <color rgb="FFFF0000"/>
        <rFont val="Arial"/>
        <family val="2"/>
      </rPr>
      <t>Run &amp; Rate</t>
    </r>
  </si>
  <si>
    <t>Gepl. Schichten
(pro Woche)</t>
  </si>
  <si>
    <t>Planned shifts
(per week)</t>
  </si>
  <si>
    <t>Jahresbedarf
(Stk./Jahr)</t>
  </si>
  <si>
    <t>Annual demands
(pcs./year)</t>
  </si>
  <si>
    <t>Vom Lieferanten zugesicherter Anteil an Maschine für dieses Produkt [%]</t>
  </si>
  <si>
    <r>
      <t xml:space="preserve">Supplier-assured </t>
    </r>
    <r>
      <rPr>
        <sz val="10"/>
        <color rgb="FFFF0000"/>
        <rFont val="Arial"/>
        <family val="2"/>
      </rPr>
      <t>share</t>
    </r>
    <r>
      <rPr>
        <sz val="10"/>
        <rFont val="Arial"/>
        <family val="2"/>
      </rPr>
      <t xml:space="preserve"> of machinery for this product [%]</t>
    </r>
  </si>
  <si>
    <t>Vom Lieferanten geplante Maschinenverfügbarkeit [%]</t>
  </si>
  <si>
    <t>Supplier-planned machine availability [%]</t>
  </si>
  <si>
    <t>i.O. Teile aus geplantem Prozeß (FTY) [%]</t>
  </si>
  <si>
    <t>OK Parts from the planned process (FTY) [%]</t>
  </si>
  <si>
    <t>Anfangsstückzahl
(z.B. Zähler)</t>
  </si>
  <si>
    <t>Initial quantity
(e.g. counter)</t>
  </si>
  <si>
    <t>Endstückzahl</t>
  </si>
  <si>
    <t>Final quantity</t>
  </si>
  <si>
    <t>Netto-Produktionszeit [min]</t>
  </si>
  <si>
    <t>Net-Production time [min]</t>
  </si>
  <si>
    <t>Ungeplante Standzeiten (Störungen) [min]</t>
  </si>
  <si>
    <t>Unplanned downtimes (disturbances) [min]</t>
  </si>
  <si>
    <t>Stückzahl i.O.</t>
  </si>
  <si>
    <r>
      <rPr>
        <sz val="10"/>
        <color rgb="FFFF0000"/>
        <rFont val="Arial"/>
        <family val="2"/>
      </rPr>
      <t>Amount</t>
    </r>
    <r>
      <rPr>
        <sz val="10"/>
        <rFont val="Arial"/>
        <family val="2"/>
      </rPr>
      <t xml:space="preserve"> OK</t>
    </r>
  </si>
  <si>
    <t>Stückz. Nacharb.</t>
  </si>
  <si>
    <t>Amount rework</t>
  </si>
  <si>
    <t>Menge n.i.O.</t>
  </si>
  <si>
    <t>Amount NOK</t>
  </si>
  <si>
    <t>Zykluszeit [s]</t>
  </si>
  <si>
    <t>cycle time [s]</t>
  </si>
  <si>
    <t>Ergebnis grün: 
Jahresbedarf + 20%  
&amp; ungeplante Standzeiten &lt;20%</t>
  </si>
  <si>
    <r>
      <t xml:space="preserve">Result green: 
annual </t>
    </r>
    <r>
      <rPr>
        <sz val="10"/>
        <color rgb="FFFF0000"/>
        <rFont val="Arial"/>
        <family val="2"/>
      </rPr>
      <t>requirement</t>
    </r>
    <r>
      <rPr>
        <sz val="10"/>
        <rFont val="Arial"/>
        <family val="2"/>
      </rPr>
      <t xml:space="preserve"> + 20% 
&amp; unplanned downtimes &lt;20%</t>
    </r>
  </si>
  <si>
    <t>Sollmenge &lt; 120%</t>
  </si>
  <si>
    <t xml:space="preserve">Target amount &lt; 120% </t>
  </si>
  <si>
    <t>Standzeiten &gt;20%</t>
  </si>
  <si>
    <t>Unplanned downtimes &gt;20%</t>
  </si>
  <si>
    <t>Ergebnis 
Jahresstückzahl</t>
  </si>
  <si>
    <r>
      <t xml:space="preserve">Result annual </t>
    </r>
    <r>
      <rPr>
        <sz val="10"/>
        <color rgb="FFFF0000"/>
        <rFont val="Arial"/>
        <family val="2"/>
      </rPr>
      <t>quantity</t>
    </r>
  </si>
  <si>
    <t>Bitte auswählen…</t>
  </si>
  <si>
    <t>Please select…</t>
  </si>
  <si>
    <t>MPR Kunststoff-Spritzguss</t>
  </si>
  <si>
    <t>MPR Injection Molding</t>
  </si>
  <si>
    <t>MPR Schweiß-Baugruppen</t>
  </si>
  <si>
    <t>MPR Welding Assemblies</t>
  </si>
  <si>
    <t>MPR Druckguss</t>
  </si>
  <si>
    <t>MPR Die-Casting</t>
  </si>
  <si>
    <t>MPR Motor Baugruppen</t>
  </si>
  <si>
    <t>MPR Motor Assemblies</t>
  </si>
  <si>
    <t>Nicht anwendbar</t>
  </si>
  <si>
    <t>Not Applicable</t>
  </si>
  <si>
    <t>Kapazität</t>
  </si>
  <si>
    <t>Capacity</t>
  </si>
  <si>
    <t xml:space="preserve">Werden die geplanten Taktzeiten eingehalten und sind noch genügend Kapazitätsreserven vorhanden? </t>
  </si>
  <si>
    <t>Are the planned cycle times maintained and are there still sufficient capacity reserves available?</t>
  </si>
  <si>
    <r>
      <t xml:space="preserve">Besonderes Augenmerk ist auf den Prozess, der den </t>
    </r>
    <r>
      <rPr>
        <sz val="10"/>
        <color rgb="FFFF0000"/>
        <rFont val="Arial"/>
        <family val="2"/>
      </rPr>
      <t>Flaschenhals</t>
    </r>
    <r>
      <rPr>
        <sz val="10"/>
        <rFont val="Arial"/>
        <family val="2"/>
      </rPr>
      <t xml:space="preserve"> bildet, zu richten. Bei der Kalkulation ist die höchste anzunehmenden Jahresmenge einzutragen (peak volume).</t>
    </r>
  </si>
  <si>
    <t>High attention should be paid to the bottleneck processes. The highest annual quantity to be calculated (peak volume).</t>
  </si>
  <si>
    <t>Gewichte</t>
  </si>
  <si>
    <t>Weights</t>
  </si>
  <si>
    <t>Wurde der Reiter "Gewichte" für die betroffenen Prozess ausgefüllt?</t>
  </si>
  <si>
    <t>Has the tab "Weights" been filled in for the affected process?</t>
  </si>
  <si>
    <t>Siehe Reiter "Weights"
Bei Gewichtsabweichungen zur Zeichnung, bitte den Brose Einkauf informieren!</t>
  </si>
  <si>
    <t>See tab "Weights"
In case of deviations in weight, please inform Brose purchasing!</t>
  </si>
  <si>
    <t>Dokumente</t>
  </si>
  <si>
    <t>Documents</t>
  </si>
  <si>
    <t xml:space="preserve">Besondere Merkmale </t>
  </si>
  <si>
    <t>Special characteris-tics</t>
  </si>
  <si>
    <t>Ist die Durchgängigkeit und Kennzeichnung der besonderen Merkmale gegeben?</t>
  </si>
  <si>
    <t>Is the continuity and identification of the special characteristics  fulfilled?</t>
  </si>
  <si>
    <t>(P-FMEA, Produktionslenkungsplan, Prüfplan, ...)</t>
  </si>
  <si>
    <t>(P-FMEA, production control plan, test plan, ...)</t>
  </si>
  <si>
    <t>Sind Fehlermöglichkeiten mit Aufgabenpriorität "H" (High Priority) und "M" (Medium Priority) aus der P-FMEA berücksichtigt und sind  entsprechende Maßnahmen umgesetzt bzw. termingerecht geplant?</t>
  </si>
  <si>
    <t>Are possible errors with task priority "H" (High Priority) and "M" (Medium Priority) from the P-FMEA considered and are corresponding actions implemented resp. planned and scheduled?</t>
  </si>
  <si>
    <t>P-FMEA Durchsicht, Bewertung B-A-E gem. VDA/AIAG Katalog.</t>
  </si>
  <si>
    <t>P-FMEA review, ranking acc. to VDA/AIAG manual.</t>
  </si>
  <si>
    <t>Werkzeug-/Prozess-konzept</t>
  </si>
  <si>
    <t>Tool-/Process checklist</t>
  </si>
  <si>
    <t>Ist die Checkliste zum Werkzeug- bzw. Prozeßkonzept (siehe FS) vollständig ausgefüllt und freigegeben?
Bei Spritz-/Druckguß und Stanzteilen: Ist der Reiter "Weights" (Gewichte) vollständig ausgefüllt?</t>
  </si>
  <si>
    <t>Is the checklist for the tool or process concept (see FS) completely filled out and released?
For injection molding/ die casting and stamping parts: Is the worksheet "Weights" completed?</t>
  </si>
  <si>
    <t>Die Prozess- und Werkzeugdatenblätter für die jeweilige anzuwendene Technologie sind auf der Brose-homepage verfügbar (https://www.brose.com/de-de/einkauf/handbuecher-vorlagen)</t>
  </si>
  <si>
    <t>The Process- and Tool-Data-Sheets for the relevant technology are available on the Brose Homepage
(https://www.brose.com/de-en/purchasing/handbooks-templates/)</t>
  </si>
  <si>
    <t>Emergency Plan</t>
  </si>
  <si>
    <t>Ist der teilebezogene Notfallplan vorhanden (siehe FS)?</t>
  </si>
  <si>
    <t>Parts-releated emergency plan available (see FS)?</t>
  </si>
  <si>
    <r>
      <t xml:space="preserve">Der Notfallplan muss speziell für das Produkt vorhanden sein. Vorlage zur Sichtung erforderlich. 
</t>
    </r>
    <r>
      <rPr>
        <sz val="10"/>
        <color rgb="FFFF0000"/>
        <rFont val="Arial"/>
        <family val="2"/>
      </rPr>
      <t xml:space="preserve">Ersatzteile für Schlüsselkomponenten vorhanden?
Mindestlagerbestand?
Typgleiche Ersatzmaschinen vorhanden? </t>
    </r>
  </si>
  <si>
    <r>
      <t xml:space="preserve">The emergency plan should be available for this specific part and has to be presented. 
</t>
    </r>
    <r>
      <rPr>
        <sz val="10"/>
        <color rgb="FFFF0000"/>
        <rFont val="Arial"/>
        <family val="2"/>
      </rPr>
      <t>Spare parts for key-components available?
Minimum stock?
Equivalent alternative machines?</t>
    </r>
  </si>
  <si>
    <t>Safe Launch Bereich</t>
  </si>
  <si>
    <t>Safe Launch Area</t>
  </si>
  <si>
    <t>Gibt es ausreichend Zeit und Platz, um die Safe Launch Inspektionen unter angemessenen Bedingungen und in einem dafür geeigneten und definierten Bereich durchzuführen?</t>
  </si>
  <si>
    <t>Do operators have sufficient time and space to perform Safe Launch inspections under appropriate conditions and in an adequate area?</t>
  </si>
  <si>
    <t>Folgende Dinge müssen in der Safe Launch Area überprüft werden:
- Prozessablauf und -layout
- angemessene Beleuchtung/richtige Ausleuchtung
- vorhandende und freigegebene Arbeitsanweisungen, visuelle Hilfsmittel und Fehlerkataloge
- Tische zur Sortierung mit 1-piece-flow, um Vermischung der Teile zu vermeiden
- angemessene Werkzeuge zur Inspektion
- Prüfplan
- prozesssichere Trennung von i.O. und n.i.O. Teilen
- Kalibrierung aller Safe Launch spezifischen Prüfmittel
Überprüfe:
- rote Behälter und ob Fehlersammelkarten vorhanden sind
- den definierten Bereich, für die Durchführung ordnungsmäßer Analysen eines jeden beanstandeten Teils
- Fehlersammelkarten werden mit Pareto analysiert, Ursachen ermittelt, Abstellmaßnahmen eingeführt und auf Wirksamkeit überprüft</t>
  </si>
  <si>
    <t>Verify in detail the following items in the Safe Launch area
- Process Flow and Layout 
- Adequate lighting/Proper ilumination
- Approved/available WIs, Visual aids, Failure Catalogue
- Tables and 1-piece flow to ensure no mixing
- Adequate Inspection tools
- Check sheets
- Provisions for segregation of NOK and OK material
- Calibration and gauge R&amp;Rs for any Safe Launch specific tools
Verify: 
- Red containers and record sheets available
- Defined area to complete the proper analysis on each rejected part
- Is all data graphed (i-chart) and analyzed in order to generate corrective actions to eliminate root causes?</t>
  </si>
  <si>
    <t>Safe Launch Arbeitsanweisungen</t>
  </si>
  <si>
    <t>Safe Launch Work Instructions</t>
  </si>
  <si>
    <t>Befolgen die Mitarbeiter die Safe Launch Arbeitsanweisungen?</t>
  </si>
  <si>
    <t xml:space="preserve">Are the employees complying to Safe Launch work instructions? </t>
  </si>
  <si>
    <t>Mitarbeiter wurden basierend auf den Safe Launch Arbeitsanweisungen geschult; Schulungen wurden dokumentiert</t>
  </si>
  <si>
    <t>Are they trained based on these Safe Launch WIs and are the trainings documented?</t>
  </si>
  <si>
    <t>Eskalationsprozess</t>
  </si>
  <si>
    <t>Escalation Procedure</t>
  </si>
  <si>
    <t>Verstehen und befolgen die Mitarbeiter ihren internen Eskalationsprozess?</t>
  </si>
  <si>
    <t>Do the employees understand and follow their internal escalation procedure?</t>
  </si>
  <si>
    <t>Jeder neue Fehler muss dem Schichtleiter unverzüglich gemeldet werden. Bei Überschreiten einer vorab festgelegten Fehlergrenze ist ebenfalls der Schichtleiter zu informieren.</t>
  </si>
  <si>
    <t>Every new single failure mode must be reported to the shift supervisor immediately. The shift supervisor must also be informed if a specified error limit is exceeded.</t>
  </si>
  <si>
    <t>Firewall-Sheet</t>
  </si>
  <si>
    <t>Firewall Sheet</t>
  </si>
  <si>
    <t>Sind für alle, für den Safe Launch, definierten Teile Ergebnisse der Firewall-Prüfung gem. den Prüfanforderungen der FS vorhanden?</t>
  </si>
  <si>
    <t>Are there firewall-inspection results for all part numbers listed for the safe launch area with inspections requirements according feasibility study?</t>
  </si>
  <si>
    <t>Überprüfe:
- alle Merkmale
- die Anzahl der geprüften Teile
- die Daten/Datumsangaben
- n.i.O. Befunde
- definierte Frequenz und definierter Empfängerkreis für die Verteilung</t>
  </si>
  <si>
    <t>Verify:
- All characteristics
- Quantity of parts inspected
- Dates
- NOK findings
- Defined frequency and distribution list for distribution</t>
  </si>
  <si>
    <t>Firewall-Sheet/Datenanalyse</t>
  </si>
  <si>
    <t>Firewall Sheet /
Data Analysis</t>
  </si>
  <si>
    <t>Hat der Lieferant Korrekturmaßnahmen eingeführt, um vorausgegangene n.i.O. Befunde zu beheben und Null-Fehler zu erreichen?</t>
  </si>
  <si>
    <t>Has the supplier implemented corrective actions to address any past NOK findings to achieve zero defects?</t>
  </si>
  <si>
    <t>Überprüfe:
- Nachverfolgung der Korrekturmaßnahmen für alle n.i.O. Befunde
- Firewallprüfung Safe Launch wird kontinuierlich bis zum finalen Ausstieg durch Meldung des Brose Werks um neue Fehlerbilder ergänzt bzw. um abgestellte Fehlerbilder reduziert (gem. FS Vereinbarung)</t>
  </si>
  <si>
    <t>Verify:
- Corrective action follow-up for all NOK findings
- Add/Remove failure modes from Safe Launch up to full exit with Brose plant notification (based on FS commitment)</t>
  </si>
  <si>
    <t>Safe Launch Prüfergebnisse</t>
  </si>
  <si>
    <t>Safe Launch Test Results</t>
  </si>
  <si>
    <t>Sind alle Safe Launch Daten gespeichert, um schnell darauf zugreifen zu können? Das Brose Firewall-Sheet wird zusammen mit der zertifizierten Lieferung an Brose übermittelt.</t>
  </si>
  <si>
    <t>Is all Safe Launch data stored to allow quick access? The Brose Firewall Sheet is submitted to Brose together with the certified delivery.</t>
  </si>
  <si>
    <t>Überprüfe:
- den Safe Launch Prozess, die Diagramme (Pareto Chart) und/oder Layout
- die Arbeitsanweisungen und Trainingsunterlagen bzgl. Containment
- die Ergebnisse des Firewall-Sheets und die der Nicht-100-Prüfungen
- die Korrekturmaßnahmen des Lieferanten (interner PDCA)</t>
  </si>
  <si>
    <t>Verify:
- Safe Launch process flow chart &amp;/or layout
- Containment work instructions and training records
- Inspections firewall sheet and other non-100% inspection results
- Supplier corrective actions (internal PDCAs)</t>
  </si>
  <si>
    <t>Serienprozess</t>
  </si>
  <si>
    <t>Serial Process</t>
  </si>
  <si>
    <t>Serien-bedingungen</t>
  </si>
  <si>
    <t>Series condition</t>
  </si>
  <si>
    <t>Wird das Produkt am Serienproduktionsort unter Benutzung der Serienwerkzeuge, -maschinen/-anlagen, -prozesse, -materialien, und –prozessparameter gefertigt?</t>
  </si>
  <si>
    <t>Is the product manufactured at the serial production site using the serial tools, machines/ systems, processes, materials and process parameters?</t>
  </si>
  <si>
    <t>Der FRT muss unter Serienbedingungen durchgeführt werden. Sollte eine spätere Verlagerung geplant sein, ist dies zu wiederholen.</t>
  </si>
  <si>
    <t>The R@R (FRT) has to be done under serial conditions. If there is any relocation planned, the R@R has to be repeated.</t>
  </si>
  <si>
    <t>PLP</t>
  </si>
  <si>
    <t>Werden alle Prozessschritte/Prüfungen wie im Produktionslenkungsplan festgelegt durchgeführt und dokumentiert?</t>
  </si>
  <si>
    <t>Are all process steps/ tests defined and documented as defined in the production control plan?</t>
  </si>
  <si>
    <t>- Erstteilfreigabe, SPC, Stichproben, Safe Launch, FS, ...
- Inline-Prozesskontrollen sind alle aktiviert (*) ?
- bei Anweichungen: wird temporäre Firewall installiert?
- Ist der SAF (Schadteilanalyse Feld) - Prozess etabliert und erprobt, auch NTF?</t>
  </si>
  <si>
    <t>- Initial release,SPC,samples,safe launch,FS-agreements, ...
- Inline-Process controls are activated (*) ?
- for deviations: is temporary firewall installed?
- Is the FFA (field failure analyse) process established and tested, also NTF?</t>
  </si>
  <si>
    <t>Prozess</t>
  </si>
  <si>
    <t>Process</t>
  </si>
  <si>
    <t>Ist durch den vorhandenen Prozess sichergestellt, dass nur i.O Teile ausgeliefert werden?</t>
  </si>
  <si>
    <t>Is the existing process ensuring that only OK parts are delivered?</t>
  </si>
  <si>
    <t>Alle notwendigen Prüfungen sind implementiert und werden durchgeführt. N.i.O. Teile werden ausgeschleust und separiert.</t>
  </si>
  <si>
    <t>All necessary checks are implemented and carried out. NOK Parts are removed and separated.</t>
  </si>
  <si>
    <t>Verifikation Minimum-Process-Requirements (MPR)</t>
  </si>
  <si>
    <t>Verification Minimum-Process-Requirements (MPR)</t>
  </si>
  <si>
    <t>Doku-mentation</t>
  </si>
  <si>
    <t>Document-ation</t>
  </si>
  <si>
    <t>Sind die Arbeits- und Prüfanweisungen vorhanden und an jedem Arbeitsplatz verfügbar?</t>
  </si>
  <si>
    <t>Are there work and inspection instructions available at every workplace?</t>
  </si>
  <si>
    <t>Die Unterlagen sind von dem jeweiligen Mitarbeiter an dem Arbeitsplatz vorzuzeigen, der damit vertraut sein muss. Geschultes Personal!</t>
  </si>
  <si>
    <t>The respectiv employee for this work station has to show the relevant documents and should be familar with. Trained staff!</t>
  </si>
  <si>
    <t>Messmittel</t>
  </si>
  <si>
    <t>Measurement equipment</t>
  </si>
  <si>
    <t>Sind alle prozessbegleitenden Messmittel/Lehren vollständig,  funktionsfähig, gekennzeichnet, am richtigen Ort und bilden diese alle Anforderungen lt. Produktionslenkungsplan ab?</t>
  </si>
  <si>
    <t>Are all process-accompanying measuring devices/gauges fully labeled, functional, in the right place and do they meet all the requirements according to the production control plan?</t>
  </si>
  <si>
    <t>Kalibrierung, Messmittelfähigkeiten, Meßvorschriften/-anleitungen</t>
  </si>
  <si>
    <t>Calibration, capability for measuring equipment, Measurement instructions</t>
  </si>
  <si>
    <t>Grenz-musterteile</t>
  </si>
  <si>
    <t>Limiting sample parts</t>
  </si>
  <si>
    <t>Falls erforderlich, sind geeignete Grenzmusterteile an den entsprechenden Arbeitsplätzen verfügbar und freigegeben?</t>
  </si>
  <si>
    <t>If necessary, are suitable limiting sample parts available and released at the appropriate workplaces?</t>
  </si>
  <si>
    <t xml:space="preserve">Grenzmusterteile sind mit Brose abgestimmt bzw. Fehlerbilder eindeutig klassifiziert. Eine Dokumentation zur Erläuterung ist vorhanden. 
</t>
  </si>
  <si>
    <t xml:space="preserve">Limiting sample parts are agreed with Brose and error patterns are clearly classified. Instuction document is available. 
</t>
  </si>
  <si>
    <t>N.i.O.-Teile</t>
  </si>
  <si>
    <t>NOK parts</t>
  </si>
  <si>
    <t>Werden Anlaufteile/n.i.O.-Teile aus dem Produktionsprozess ausgeschleust und ist sichergestellt, dass diese nicht ausgeliefert werden?</t>
  </si>
  <si>
    <t>Are start-up parts/ nok-parts removed from the production process and is ensured that they are not delivered?</t>
  </si>
  <si>
    <t>- Rote Kisten vorhanden, niO-Teile gesperrt und ausgeschleust
- Einrichtungen werden nach einer definierten Frequenz mit n.i.O. Mustern regelmäßig geprüft und Ergebnisse werden dokumentiert</t>
  </si>
  <si>
    <r>
      <t xml:space="preserve">- Red boxes available, NOK parts separated and under quarantine
- </t>
    </r>
    <r>
      <rPr>
        <sz val="10"/>
        <rFont val="Arial"/>
        <family val="2"/>
      </rPr>
      <t>Facilities are tested regularly with n.o.k. samples according to a defined frequency on a regular basis and results are documented</t>
    </r>
  </si>
  <si>
    <t>LQG</t>
  </si>
  <si>
    <t>SQG</t>
  </si>
  <si>
    <t>Gibt es noch offene Punkte/Maßnahmen aus den Lieferanten Quality Gates (LQGs) die Einfluss auf die Prozessfreigabe haben?</t>
  </si>
  <si>
    <t>Are there still open points/actions from the Supplier Quality Gates (SQGs) which influence the process release?</t>
  </si>
  <si>
    <t>Alle Maßnahmen müssen termingerecht abgeschlossen werden.</t>
  </si>
  <si>
    <t>All action has to be closed in time!</t>
  </si>
  <si>
    <t>Eigentum</t>
  </si>
  <si>
    <t>Property</t>
  </si>
  <si>
    <t>Sind die Werkzeuge/Lehren gekennzeichnet und ist der Status eindeutig erkennbar?
Ist Brose-/Kunde-Eigentum eindeutig als solches gekennzeichnet?</t>
  </si>
  <si>
    <t>Are the tools/gauges marked and the status clearly identifiable?
Is Brose/ customer property clearly identified?</t>
  </si>
  <si>
    <t>Alle Brose Werkzeuge und Lehren zeigen lassen und die dauerhafte Kennzeichnung (Brose Werkzeugschilder) prüfen.</t>
  </si>
  <si>
    <t>Check if all Brose tools and gauges are permanent marked (Brose tool labels).</t>
  </si>
  <si>
    <t>Entsprechen die Teile, auch Teilekennzeichnung (Labeling), der geforderten Qualität?</t>
  </si>
  <si>
    <t>Do the parts and the labeling of the parts meet the required quality?</t>
  </si>
  <si>
    <t xml:space="preserve">Ist der Qualitätsstand der letzten Produktion nachvollziehbar dokumentiert? </t>
  </si>
  <si>
    <t>Is there any quality documentation for the last production batch available?</t>
  </si>
  <si>
    <t>Letztteilprüfungen</t>
  </si>
  <si>
    <t>Last part inspection</t>
  </si>
  <si>
    <t>Lieferanten Management</t>
  </si>
  <si>
    <t>Sub-supplier management</t>
  </si>
  <si>
    <t xml:space="preserve">Ist die Anlieferqualität von Unterlieferanten sichergestellt? </t>
  </si>
  <si>
    <t>Is the delivery quality of sub-suppliers ensured?</t>
  </si>
  <si>
    <t>(Wareneingangsprüfung, PPAP/PPF, bisher gelieferte Qualität, …)</t>
  </si>
  <si>
    <t>(Incoming goods inspection, PPAP / PPF, delivered 
quality, ...)</t>
  </si>
  <si>
    <t>Sind Unterlieferanten für Rohstoffe und/oder Zukaufteile vorhanden und ist eine Belieferung im Rahmen der Planmenge +20% vom Unterlieferanten zugesagt?</t>
  </si>
  <si>
    <t>Are sub-suppliers for raw materials and/ or purchased parts available and is the supply within the scope of the plan quantity + 20% ensured?</t>
  </si>
  <si>
    <t>Bestätigung zeigen lassen und Sichtung der R@R der Unterlieferanten vornehmen.</t>
  </si>
  <si>
    <t>Confirmation to be shown. Review R@R from sub- suppliers.</t>
  </si>
  <si>
    <t>Verpackung</t>
  </si>
  <si>
    <t>Packaging</t>
  </si>
  <si>
    <t>Verpackungs-anweisung</t>
  </si>
  <si>
    <t>Packaging Instruction</t>
  </si>
  <si>
    <t>Gibt es eine mit Brose abgestimmte Verpackungsanweisung und wird diese eingehalten?</t>
  </si>
  <si>
    <t>Is there a packaging instruction agreed with Brose and is this adhered to?</t>
  </si>
  <si>
    <t>Vom Lieferanten unterschriebenes Verpackungsdatenblatt zeigen lassen und im Versand (inkl. ggf. D-Kennzeichnung auf Label) gegenprüfen.</t>
  </si>
  <si>
    <t>Signed packaging data sheet by supplier to be shown and checked in the shipping area (incl. if appl. D-marking at label).</t>
  </si>
  <si>
    <t>Teilever-wechslung</t>
  </si>
  <si>
    <t>Mixed parts</t>
  </si>
  <si>
    <t>Ist sichergestellt, dass in der gesamten Prozesskette,  Verwechslung und Beschädigung von Teilen ausgeschlossen werden kann?</t>
  </si>
  <si>
    <t>Is it ensured that the entire process chain, confusion and damage to parts are excluded?</t>
  </si>
  <si>
    <t>Entlang der Prozesskette geeignetes Handling, Fallhöhe, Transport, Lagerung, Verpackung, Sortierung usw. 
Verwechslungssicherheit der Varianten bzw. bei ähnlichen Teilen gegeben</t>
  </si>
  <si>
    <t>Along the process chain suitable handling, drop height, transport, storage, packaging, sorting etc.
Process ensures not mixing variants or similar parts</t>
  </si>
  <si>
    <t>ist SLW Referenz</t>
  </si>
  <si>
    <t>is SLW reference</t>
  </si>
  <si>
    <t>Timing</t>
  </si>
  <si>
    <t>Vorbereitungen Anlagen, Maschinen und Einrichtungen</t>
  </si>
  <si>
    <t>Preparation for machining and equipment</t>
  </si>
  <si>
    <t>Planung Unterlieferanten</t>
  </si>
  <si>
    <t>Planing sub-supplier managment</t>
  </si>
  <si>
    <t>LQG 1
(max. 4 Wochen nach Beauftragung)</t>
  </si>
  <si>
    <t>SQG 1
(max. 4 Weeks after assignment)</t>
  </si>
  <si>
    <t>Materialbestellung Produktion</t>
  </si>
  <si>
    <t>Material order for production</t>
  </si>
  <si>
    <t>Werkzeugerstellung 
(beinhaltet LQG2)</t>
  </si>
  <si>
    <t>Tool order (part of SQG 2)</t>
  </si>
  <si>
    <t>Konstruktion Werkzeug</t>
  </si>
  <si>
    <t>Tooling design</t>
  </si>
  <si>
    <t>LQG 2
(Fertigstellung Werkzeugkonstruktion)</t>
  </si>
  <si>
    <t>SQG 2
(after finishing of tool design)</t>
  </si>
  <si>
    <t>Materialbestellung Werkzeug</t>
  </si>
  <si>
    <t>Material order for tooling</t>
  </si>
  <si>
    <t>Einzelteilfertigung</t>
  </si>
  <si>
    <t>Tooling manufacturing</t>
  </si>
  <si>
    <t>Zusammenbau Werkzeug</t>
  </si>
  <si>
    <t>Tooling assembly</t>
  </si>
  <si>
    <t>Werkzeugabstimmung
(WZ-Zusammenbau, Funktionsprobe)</t>
  </si>
  <si>
    <t>Tooling adjustment,  first trail, functional test</t>
  </si>
  <si>
    <t>Verlagerung an den Produktionsstandort</t>
  </si>
  <si>
    <t>Tooling transfer to production site</t>
  </si>
  <si>
    <t>Erste werkzeugfallende Teile
inkl. Messbericht</t>
  </si>
  <si>
    <t>First off tool parts  incl. measurement report</t>
  </si>
  <si>
    <t>Korrekturschleife
(Werkzeugkorrektur und Messbericht)</t>
  </si>
  <si>
    <t>1 st Correction loop incl. measurement report</t>
  </si>
  <si>
    <t>Haupt- und Funktionsmerkmale i.O.</t>
  </si>
  <si>
    <t>Main dimension O.K.</t>
  </si>
  <si>
    <t>2nd Correction loop incl. Measurement report</t>
  </si>
  <si>
    <t>Q-Themen &amp; Dokumentation
(P-FMEA, PLP, Prozessflussdiagramm, MSA, Lehrenfähigkeit, …)</t>
  </si>
  <si>
    <t>Quality documentation in place
(P-FEMA, CP, Process flow chart, MSA, GR&amp;R, …)</t>
  </si>
  <si>
    <t>LQG 3
(6-8 Wochen vor Bemusterung)</t>
  </si>
  <si>
    <t>SQG3
(6-8 weeks prior initial sampling)</t>
  </si>
  <si>
    <t>Interner R&amp;R</t>
  </si>
  <si>
    <t>Internal R@R</t>
  </si>
  <si>
    <t>R&amp;R mit Brose (Kundenabnahme)</t>
  </si>
  <si>
    <t>R@R with Brose</t>
  </si>
  <si>
    <t>i.O-Erstmuster mit Prüfbericht</t>
  </si>
  <si>
    <t>O.K. Initial sampling (Full PPAP)</t>
  </si>
  <si>
    <t>Aktivität</t>
  </si>
  <si>
    <t>Woche</t>
  </si>
  <si>
    <t>Week</t>
  </si>
  <si>
    <t>KW</t>
  </si>
  <si>
    <t>CW</t>
  </si>
  <si>
    <t>Soll</t>
  </si>
  <si>
    <t>Target</t>
  </si>
  <si>
    <t>Ist</t>
  </si>
  <si>
    <t>Is</t>
  </si>
  <si>
    <t>Startdatum</t>
  </si>
  <si>
    <t>Start date</t>
  </si>
  <si>
    <t>Enddatum</t>
  </si>
  <si>
    <t>End date</t>
  </si>
  <si>
    <t>Status Datum</t>
  </si>
  <si>
    <t>Status date</t>
  </si>
  <si>
    <t>Aktuelles Datum/ Woche</t>
  </si>
  <si>
    <t>Current date/ week</t>
  </si>
  <si>
    <t>Soll-Bearbeitungsstand</t>
  </si>
  <si>
    <t xml:space="preserve">Target date </t>
  </si>
  <si>
    <t>Ist-Bearbeitungsstand</t>
  </si>
  <si>
    <t xml:space="preserve">Actual date </t>
  </si>
  <si>
    <t>Soll-Bearbeitungsstand (Abgeschlossen)</t>
  </si>
  <si>
    <t>Actual date (closed)</t>
  </si>
  <si>
    <t>Gewicht</t>
  </si>
  <si>
    <t>Unwiderbringliche Verluste gem.CBD</t>
  </si>
  <si>
    <t>Irrecoverable losses acc. to CBD</t>
  </si>
  <si>
    <t>Verrechnungsgewicht</t>
  </si>
  <si>
    <t>Calculation weight</t>
  </si>
  <si>
    <t>Information durch Einkauf</t>
  </si>
  <si>
    <t>Information from purchasing</t>
  </si>
  <si>
    <t>Datenaufnahme bei</t>
  </si>
  <si>
    <t>Data input for</t>
  </si>
  <si>
    <t>Ermittlung Gesamtgewicht pro Teil für Stanzteile</t>
  </si>
  <si>
    <t>Calculation gross weight for stamp parts</t>
  </si>
  <si>
    <t>Coillbreite</t>
  </si>
  <si>
    <t>Coil width</t>
  </si>
  <si>
    <t>mm</t>
  </si>
  <si>
    <t>von Coillbeschriftung ablesbar</t>
  </si>
  <si>
    <t>you can find at coil or material data sheet</t>
  </si>
  <si>
    <t>Materialstärke</t>
  </si>
  <si>
    <t>Material thickness</t>
  </si>
  <si>
    <t>Vorschub</t>
  </si>
  <si>
    <t>Progression/ pitch</t>
  </si>
  <si>
    <t>im Werkzeug messen (Sucher zu Sucher) oder vom Bildschirm ablesen.</t>
  </si>
  <si>
    <t>you can measure in the tool or look to the feed roll unit.</t>
  </si>
  <si>
    <t>Gewicht Zuführteile</t>
  </si>
  <si>
    <t>Weight feeded parts</t>
  </si>
  <si>
    <t>g</t>
  </si>
  <si>
    <t>gewicht aller Zuführteile pro Stanzteil</t>
  </si>
  <si>
    <t>complete weigt from all feeded parts per 1 stamp part</t>
  </si>
  <si>
    <t>Werkzeugauslegung</t>
  </si>
  <si>
    <t>Tool layout</t>
  </si>
  <si>
    <t>fach</t>
  </si>
  <si>
    <t>out</t>
  </si>
  <si>
    <t>rechts/links=1+1fach,x+x fach/ 2 fach, 3 fach, x fach</t>
  </si>
  <si>
    <t>left/right = 1+1out, x+x out / 2 out, 3 out, x out</t>
  </si>
  <si>
    <t>Fallende Teile pro Hub</t>
  </si>
  <si>
    <t>Parts per stroke</t>
  </si>
  <si>
    <t>Teile</t>
  </si>
  <si>
    <t>Parts</t>
  </si>
  <si>
    <t>Dichte</t>
  </si>
  <si>
    <t>Density</t>
  </si>
  <si>
    <t>g/cm³</t>
  </si>
  <si>
    <t>7.85. für Stahl, 2,66 für Alu, sonstige aus Tabellenbuch</t>
  </si>
  <si>
    <t>7,85 steel, 2,66 Alu, or Mechanical and Metal Trades Handbook</t>
  </si>
  <si>
    <t>Einsatzgewicht</t>
  </si>
  <si>
    <t>Gross part weight</t>
  </si>
  <si>
    <t>wird aus vorigen Angaben berechnet</t>
  </si>
  <si>
    <t>will be calculated by that sheet</t>
  </si>
  <si>
    <t>Fertigteilgewicht</t>
  </si>
  <si>
    <t>Part weight</t>
  </si>
  <si>
    <t>Bei Werkzeugen mit unterschiedlichen Teilegewichten muss eine werkzeugspezifische Lösung zur Ermittlung der Einsatzgewichte gefunden werden</t>
  </si>
  <si>
    <t>In the case of tools with different part weights, a tool-specific solution must be found for the determination of the part weights</t>
  </si>
  <si>
    <t>muss gewogen werden</t>
  </si>
  <si>
    <t>must be weighed</t>
  </si>
  <si>
    <t>Ermittlung Einsatzgewicht Spritzguss</t>
  </si>
  <si>
    <t>Calculation partweight plastic parts</t>
  </si>
  <si>
    <t>Anzahl Kavitäten</t>
  </si>
  <si>
    <t>Number of cavities</t>
  </si>
  <si>
    <t>Schussgewicht ohne Anguss</t>
  </si>
  <si>
    <t>Shot weight without cold runner</t>
  </si>
  <si>
    <t>alle Teile für einen Schuss (ohne Anguss)</t>
  </si>
  <si>
    <t>all parts of a shot (without cold runner)</t>
  </si>
  <si>
    <t>Angussgewicht Schuss 1. Werkstoff</t>
  </si>
  <si>
    <t>Cold runner weight of shot 1st material</t>
  </si>
  <si>
    <t>alle Angüsse für einen Schuss des 1. Werkstoffes
bei Angusswiederverwendung ist 0 einzutragen</t>
  </si>
  <si>
    <t>all cold runners of a shot of the 1st material
0 must be entered for cold runner reuse</t>
  </si>
  <si>
    <t>für 2K</t>
  </si>
  <si>
    <t>for 2K</t>
  </si>
  <si>
    <t>Schussgewicht 1. WS ohne Anguss</t>
  </si>
  <si>
    <t>Shot weight 1st mat. w/o cold runner</t>
  </si>
  <si>
    <t>alle Teile für einen Schuss des 1. WS (ohne Anguss)</t>
  </si>
  <si>
    <t>all parts of a shot of the 1st mat. (w/o cold runner)</t>
  </si>
  <si>
    <t>Angussgewicht Schuss 2. Werkstoff</t>
  </si>
  <si>
    <t>Cold runner weight of shot 2nd material</t>
  </si>
  <si>
    <t>alle Angüsse für einen Schuss des 2. Werkstoffes
bei Angusswiederverwendung ist 0 einzutragen</t>
  </si>
  <si>
    <t>all cold runners of a shot of the 2nd material
0 must be entered for cold runner reuse</t>
  </si>
  <si>
    <t>Gewicht Einleger pro Schuss</t>
  </si>
  <si>
    <t>Weight inserts of shot</t>
  </si>
  <si>
    <t>alle Einleger für einen Schuss</t>
  </si>
  <si>
    <t>all inserts of a shot</t>
  </si>
  <si>
    <t>Einsatzgewicht 1. Werkstoff</t>
  </si>
  <si>
    <t>part weight with runner 1st mat.</t>
  </si>
  <si>
    <t>Einsatzgewicht 2. Werkstoff</t>
  </si>
  <si>
    <t>part weight with runner 2nd mat.</t>
  </si>
  <si>
    <t>pro Bauteil (durchschnittlich)</t>
  </si>
  <si>
    <t>per part (average)</t>
  </si>
  <si>
    <t>Bei Familienwerkzeugen müssen die Einsatzgewichte in eigener Regie ermittelt werden</t>
  </si>
  <si>
    <t>Determine the operating weights of family molds yourself</t>
  </si>
  <si>
    <t>Schuss 1</t>
  </si>
  <si>
    <t>shot 1</t>
  </si>
  <si>
    <t>Schuss 2</t>
  </si>
  <si>
    <t>shot 2</t>
  </si>
  <si>
    <t>Schuss 3</t>
  </si>
  <si>
    <t>shot 3</t>
  </si>
  <si>
    <t>1=Beginn FRT   2=Mitte FRT   3=Ende FRT</t>
  </si>
  <si>
    <t>1=start FRT   2=middle FRT   3=end FRT</t>
  </si>
  <si>
    <t>Ermittlung Teilegewicht Druckguss (pro Bauteil)</t>
  </si>
  <si>
    <t>Calculation partweight die casting parts (every part)</t>
  </si>
  <si>
    <t>Schussgewicht aller Kavitäten</t>
  </si>
  <si>
    <t>shot weight of all cavities</t>
  </si>
  <si>
    <t>wiegen, inkl aller Überläufe. Kavitäten:</t>
  </si>
  <si>
    <t>must be weighed, incl. overflows. Cavities:</t>
  </si>
  <si>
    <t>Einlegeteile/Zusatzkomponenten</t>
  </si>
  <si>
    <t>insert parts/additional components</t>
  </si>
  <si>
    <t>wiegen</t>
  </si>
  <si>
    <t>Schrottgewicht</t>
  </si>
  <si>
    <t>scrap weight</t>
  </si>
  <si>
    <t>wiegen; reines Legierungs-Gewicht, ohne Einlegeteile/Zusatzkomponenten</t>
  </si>
  <si>
    <t>weight; only alloy-weight, without insert parts/aditional components</t>
  </si>
  <si>
    <t>Rohteilegewicht</t>
  </si>
  <si>
    <t>raw part weight</t>
  </si>
  <si>
    <t>Fertigteilegewicht</t>
  </si>
  <si>
    <t>finished part weight</t>
  </si>
  <si>
    <t>Ermittlung Einsatzgewicht Sintern</t>
  </si>
  <si>
    <t>Calculation partweight  sinteringparts</t>
  </si>
  <si>
    <t>Stückgewicht Bauteil 1</t>
  </si>
  <si>
    <t>piece weight part 1</t>
  </si>
  <si>
    <t>Stückgewicht Bauteil 2</t>
  </si>
  <si>
    <t>piece weight part 2</t>
  </si>
  <si>
    <t>Stückgewicht Bauteil 3</t>
  </si>
  <si>
    <t>piece wiehgt part 3</t>
  </si>
  <si>
    <t>Stückgewicht Bauteil 4</t>
  </si>
  <si>
    <t>piece wiehgt part 4</t>
  </si>
  <si>
    <t>Stückgewicht Bauteil 5</t>
  </si>
  <si>
    <t>piece wiehgt part 5</t>
  </si>
  <si>
    <t>Ablaufpulver</t>
  </si>
  <si>
    <t>run-off powder</t>
  </si>
  <si>
    <t>part weight with run-off</t>
  </si>
  <si>
    <t>Kavität 1</t>
  </si>
  <si>
    <t>cavity 1</t>
  </si>
  <si>
    <t>Kavität 2</t>
  </si>
  <si>
    <t>cavity 2</t>
  </si>
  <si>
    <t>Lieferantenangabe (Standardwert: 2%)</t>
  </si>
  <si>
    <t>supplier information (standard value: 2%)</t>
  </si>
  <si>
    <t>Mixed Parts Audit</t>
  </si>
  <si>
    <t>Checkliste für Mixed Parts Audit</t>
  </si>
  <si>
    <t>Checklist For Mixed Parts Audit</t>
  </si>
  <si>
    <t>Wann wurde das Mixed Parts Audit abgehalten?</t>
  </si>
  <si>
    <t>When did the Mixed parts audit takes place?</t>
  </si>
  <si>
    <t>Auditierte Prozessschritte</t>
  </si>
  <si>
    <t>Process steps audited</t>
  </si>
  <si>
    <t>Hauptprozess</t>
  </si>
  <si>
    <t>Main process</t>
  </si>
  <si>
    <t>Sekundär Prozess</t>
  </si>
  <si>
    <t>Secondary process</t>
  </si>
  <si>
    <t>Dritt-Prozess</t>
  </si>
  <si>
    <t>Tertiary process</t>
  </si>
  <si>
    <t>Verpackung/ Ettiketierung</t>
  </si>
  <si>
    <t>Packaging/ labeling</t>
  </si>
  <si>
    <t>Versand</t>
  </si>
  <si>
    <t>Shipping</t>
  </si>
  <si>
    <t>Betroffenes Werk</t>
  </si>
  <si>
    <t>Plant affected</t>
  </si>
  <si>
    <t>n.r.</t>
  </si>
  <si>
    <t>Besteht die Möglichkeit, dass Teile eines Konkurrenten von Brose mit unseren Teilen vertauscht werden?</t>
  </si>
  <si>
    <t>Is there a potential risk that parts from Brose and competitor or similar parts can be mixed in this step?</t>
  </si>
  <si>
    <t>Falls 1. zutrifft, bestehen wirkungsvolle Kontrollmechanismen um dies zu unterbinden?</t>
  </si>
  <si>
    <t>If yes to question #1, is there a robust control in place to prevent parts from being mixed in this step?</t>
  </si>
  <si>
    <t>Falls 2. zutrifft, was im Detail wurde unternommen um dies zu unterbinden (Erklärung der Kontrollmechanismen)?</t>
  </si>
  <si>
    <t>If yes to question #2, have to explain in detail what are the robust controls?</t>
  </si>
  <si>
    <t>Falls keine Kontollmechanismen bestehen, was wäre nötig um einen wirkungsvollen Kontrollmechanismus zu implementieren?</t>
  </si>
  <si>
    <t>If no controls are in place, then what actions are necessary to implement a robust control?</t>
  </si>
  <si>
    <t>Zusätzliche Abgrenzungsmechanismen?</t>
  </si>
  <si>
    <t>Additional Containment activities?</t>
  </si>
  <si>
    <t>Eingabe: Resultat der Prozessschritte</t>
  </si>
  <si>
    <t>Please insert result for proccess step</t>
  </si>
  <si>
    <t>Eingabe: Endresultat</t>
  </si>
  <si>
    <t xml:space="preserve">Please insert total result </t>
  </si>
  <si>
    <t>Status des Prozessschritts</t>
  </si>
  <si>
    <t>Status of process step</t>
  </si>
  <si>
    <t>Endresultat</t>
  </si>
  <si>
    <t>Overall result</t>
  </si>
  <si>
    <t>Notizen und Kommentare des Auditors</t>
  </si>
  <si>
    <t>Auditor notes and comments</t>
  </si>
  <si>
    <t>Drawing Review</t>
  </si>
  <si>
    <t>Zeichnungsprüfung</t>
  </si>
  <si>
    <t>Drawing review</t>
  </si>
  <si>
    <t>Besitzt der Lieferant die aktuelle Version der Zeichnungen?</t>
  </si>
  <si>
    <t>Has the supplier the current revision of the drawings?</t>
  </si>
  <si>
    <t>Besitzt der Lieferant die aktuellste Version der CAD-Datei?</t>
  </si>
  <si>
    <t>Has the supplier the current revision of the CAD data?</t>
  </si>
  <si>
    <t>Wurde die D-FMEA mit dem Lieferanten besprochen?</t>
  </si>
  <si>
    <t>Has the D-FMEA been reviewed with the supplier?</t>
  </si>
  <si>
    <t>Versteht der Lieferant die funktionellen und kritischen Charakteristika des Teils?</t>
  </si>
  <si>
    <t>Does the supplier understand the functional and critical characteristics of the part?</t>
  </si>
  <si>
    <t>Ist das Material korrekt spezifiziert und ist sich der Lieferant den Anforderungen bewusst?</t>
  </si>
  <si>
    <t>Is the material properly specified and does the supplier know the requirements?</t>
  </si>
  <si>
    <t>Sind besondere Brose-Prozesse dem Lieferanten klar verständlich? (Wärmebehandlung/ Nieten, etc.)</t>
  </si>
  <si>
    <t>Are Brose special processes clearly understood by the supplier? (Heat treatment, rivets, tox, paint, …)</t>
  </si>
  <si>
    <t>Falls besondere Prozesse vonnöten sind, ist der Lieferant hierfür zertifiziert?</t>
  </si>
  <si>
    <t>If special processes are required, is the supplier ceritified for the special processes?</t>
  </si>
  <si>
    <t>Sind alle Bemerkungen vom Lieferanten verstanden und ist er gewillt diesen zu folgen?</t>
  </si>
  <si>
    <t>Are all remarks understood and will the supplier conform to all remarks?</t>
  </si>
  <si>
    <t>Sind alle Abmessungen, GD&amp;T und Toleranzen vom Lieferanten verstanden und bestätigt?</t>
  </si>
  <si>
    <t>Are all dimensions, GD&amp;T and tolerances understood and agreed by the supplier?</t>
  </si>
  <si>
    <t>Hat der Lieferant Bedenken bei der Herstellbarkeit des Teils?</t>
  </si>
  <si>
    <t>Does the supplier have any concerns with feasability of the part?</t>
  </si>
  <si>
    <t>Repräsentiert der Zeitplan die Funktionalität und Herstellbarkeit des Teils?</t>
  </si>
  <si>
    <t>Does the timing plan represent the functionality and manufacturability of the part?</t>
  </si>
  <si>
    <t>Gibt es anstehende technische Änderungen?</t>
  </si>
  <si>
    <t>Are there any pending engineering changes?</t>
  </si>
  <si>
    <t>Sind Anforderungen an sichtbare Flächen klar verstanden?</t>
  </si>
  <si>
    <t>Are requirements for visable surfaces clearly understood?</t>
  </si>
  <si>
    <t>Sind die technische Spezifikationen vorhanden und verstanden?</t>
  </si>
  <si>
    <t>Are the engineering specifications available and understood?</t>
  </si>
  <si>
    <t>Sind Teilenummer, Datumscode und Losnummer auf dem Teil zu vermerken?</t>
  </si>
  <si>
    <t>Are the part number, date code and lot number required on the part?</t>
  </si>
  <si>
    <t>Sind Pass Through Characteristics (PTC, Diamant mit C) klar identifiziert und verstanden?</t>
  </si>
  <si>
    <t>Are Pass Through Characteristics (PTC, Diamond with C inside) clearly identified and understood?</t>
  </si>
  <si>
    <t>Hat der Zulieferer Kontrollen und Absicherungen fürt PTC`s und Diamanten mit C?</t>
  </si>
  <si>
    <t>Does the supplier has controls and assurances for the  PTC's / Diamond with C?</t>
  </si>
  <si>
    <t>Hat der Zulieferer Kontrollen um technische Sauberkeitsstandards sicher zu stellen?</t>
  </si>
  <si>
    <t>Does the supplier has controls to meet technical cleanliness requirements?</t>
  </si>
  <si>
    <t>Eingabe Resultat</t>
  </si>
  <si>
    <t>Please insert result</t>
  </si>
  <si>
    <t>Instruction</t>
  </si>
  <si>
    <t>Instruktionen</t>
  </si>
  <si>
    <t>Instruction - Criteria</t>
  </si>
  <si>
    <t>Kriterien</t>
  </si>
  <si>
    <t>Criteria</t>
  </si>
  <si>
    <t>Bewertungsschema</t>
  </si>
  <si>
    <t>Evaluation scheme</t>
  </si>
  <si>
    <t>Maßnahmen</t>
  </si>
  <si>
    <t>Actions</t>
  </si>
  <si>
    <t>Bedeutet, dass die Frage noch nicht vom Projektteam beurteilt wurde. Bei Vorstellung des Projektberichts darf keine Frage mehr diesen Status haben.</t>
  </si>
  <si>
    <t>Means that the question has not been answered by the project team. During the project report presentation no question is allowed to have this status.</t>
  </si>
  <si>
    <t>Keine</t>
  </si>
  <si>
    <t>None</t>
  </si>
  <si>
    <t>Not applicable</t>
  </si>
  <si>
    <t>Bedeutet, dass die Frage für dieses Projekt nicht anwendbar ist, da der Sachverhalt hier keinen Sinn macht. Beispiel: Der Status eines Quality-Gates Elektrik/Elektronik ist nicht bewertbar, wenn es sich um ein rein mechanisches Produkt handelt.</t>
  </si>
  <si>
    <t>Means that the question is not applicable for this project, the issue does not have any sense. For Example: The status of a Quality-Gate Elektrik/Elektronik is not appraisable if it concerns a fully mechanical product</t>
  </si>
  <si>
    <t>Unproblematisch, wird mit Sicherheit erfüllt.
• Alle vorgegebenen bzw. vereinbarten Unterlagen müssen vollständig und unterschrieben vorliegen.
• Alle Untersuchungen und Freigaben müssen positiv abgeschlossen sein.
• Es dürfen keine begründeten Risiken vorliegen.
• Es müssen keine zusätzlichen Maßnahme im LQG definiert werden
 Ist bei der Kundenspezifikation ein Punkt nicht erfüllt oder bei der Fertigungssicherheit ein Prozess ”möglicherweise problematisch”, kann nicht mit ”+” bewertet werden.</t>
  </si>
  <si>
    <t>No problems, to be fulfilled definitely.
• All specified and agreed documents need to be available and signed.
• All checks and clearances need to be completed positive.
• No justified risks are allowed to exist
• No additional actions need to be defined in LQG
Is a point in the customer specifications not fulfilled or at the manufacturing security a process "maybe problematic", this can be evaluated with "+".</t>
  </si>
  <si>
    <t>Eine positive Aussage ist noch nicht möglich. Risiken sind jedoch mit eindeutigen Maßnahmen abgesichert.
Ein positives Ergebnis ist aufgrund von fachlicher Beurteilung und vorliegenden Zwischenergebnissen zu erwarten.</t>
  </si>
  <si>
    <t>A positive statement is not possible. Risks are secured with well defined actions. A positive result can be expected due to expertise evaluation and existing intermediate results.</t>
  </si>
  <si>
    <t>Q-Planer Lieferant ist verantwortlich für die Maßnahmenverfolgung (LQG1-3). 
Beim 1. Terminverzug Abstimmung mit Maßnahmenverantwortlichem und neuen Termin festlegen.
Beim 2. Terminverzug Eskalation zum Projektleiter und TL Q-Planer Lieferant.</t>
  </si>
  <si>
    <t>Q-Planner Supplier is responsible to check the actions (LQG1-3).
At the 1. scheduling delay adjustments with the action responsible to define a new date.
At the 2. scheduling delay escalation to the project leader and 
TL Q-planner supplier.</t>
  </si>
  <si>
    <t>Situation problematisch, noch keine Aussicht auf Erfolg, keine geeigneten Maßnahmen festgelegt. Aus derzeitiger Sicht ist mindestens ein Projektziel nicht erreichbar, d.h. Maßnahmen sind noch nicht bekannt oder in absehbarer Zeit einführbar.</t>
  </si>
  <si>
    <t>Situation problematic. No chance of success, no suitable actions have been defined. From this point of view at least one project goal is not achievable, this means actions are still unknown or not to be introduced in foreseeable time.</t>
  </si>
  <si>
    <t>Q-Planer Lieferant st verantwortlich für die Maßnahmenverfolgung (LQG1-3).
Information an Projektleiter, TL Q-Planung Lieferant.
Einladung zur weiteren Klärung mit Projektleiter, TL Q-Planung Lieferant, weitere Teilnehmer nach Bedarf.</t>
  </si>
  <si>
    <t>Q-planner supplier is responsible to check the actions (LQG1-3).
Information to the project leader, TL Q-planner supplier.
Invitation to further clarify with the project leader, TL Q-planner supplier, further participants if required.</t>
  </si>
  <si>
    <t>Instruction - Calculation</t>
  </si>
  <si>
    <t>• Ergebnis grün: Ergebnis [13]&gt; Jahresbedarf [4] +20% UND Standzeiten [10]&lt; 20% von [9]</t>
  </si>
  <si>
    <t>• Result green: result [13]&gt; anual demand [4] +20% AND unplaned downtimes [10]&lt; 20% of [9]</t>
  </si>
  <si>
    <t>• Ergebnis gelb: Jahresbedarf [4] &lt; Ergebnis [13] &lt; Jahresbedarf [4] + 20% UND Standzeiten [10] &lt; 20% von [9]</t>
  </si>
  <si>
    <t>• Result yellow: anual demand [4] &lt; result [13] &lt; anual demand [4] + 20% AND unplaned downtimes [10] &lt; 20% of [9]</t>
  </si>
  <si>
    <t>• Ergebnis rot: Ergebnis [13] &lt; Jahresbedarf [4] UND/ODER Standzeiten [10] &gt; 20% von [9]</t>
  </si>
  <si>
    <t>• Result red: result [13] &lt; anual demand [4] AND/OR unplaned downtimes [10] &gt; 20% of [9]</t>
  </si>
  <si>
    <t>opt. MA_1</t>
  </si>
  <si>
    <t>Messabgleich</t>
  </si>
  <si>
    <t>Measurement alignment</t>
  </si>
  <si>
    <t>Allgemeine Informationen</t>
  </si>
  <si>
    <t>General Information</t>
  </si>
  <si>
    <t>Grundausrichtung</t>
  </si>
  <si>
    <t>Basic Orientation</t>
  </si>
  <si>
    <t xml:space="preserve">Grundlage der Messmittel sind die Angaben aus der Feasibility Study! </t>
  </si>
  <si>
    <t>Basis for the tools are the information from FS!</t>
  </si>
  <si>
    <t>Kopfdaten</t>
  </si>
  <si>
    <t>Head data</t>
  </si>
  <si>
    <t>Teil-Bezeichnung:</t>
  </si>
  <si>
    <t xml:space="preserve">Part-description: </t>
  </si>
  <si>
    <t xml:space="preserve">Projekt: </t>
  </si>
  <si>
    <t xml:space="preserve">Project: </t>
  </si>
  <si>
    <t>Material-Nr.+Index:</t>
  </si>
  <si>
    <t>Material-no.+index:</t>
  </si>
  <si>
    <t xml:space="preserve">Firma/ Lief.-Nr.: </t>
  </si>
  <si>
    <t xml:space="preserve">Company/ supplier-no.: </t>
  </si>
  <si>
    <t xml:space="preserve">Zeichnungs-Nr.+Index: </t>
  </si>
  <si>
    <t xml:space="preserve">Drawing-no.+index: </t>
  </si>
  <si>
    <t>Standort/ Land:</t>
  </si>
  <si>
    <t>Location/country:</t>
  </si>
  <si>
    <t xml:space="preserve">Teileindex 3D-Modell: </t>
  </si>
  <si>
    <t xml:space="preserve">part index 3D-model: </t>
  </si>
  <si>
    <t xml:space="preserve">Anlieferwerk Brose: </t>
  </si>
  <si>
    <t xml:space="preserve">Delivery plant Brose: </t>
  </si>
  <si>
    <t>Prüfmethode - Welche Prüfmethode wird zur Kontrolle der Bauteilqualität verwendet ? (Mehrfachnennung möglich)</t>
  </si>
  <si>
    <t>Test method - Which test method is used for the control of the component quality  (multiple answer possible)</t>
  </si>
  <si>
    <t xml:space="preserve">Messmaschine - CMM: </t>
  </si>
  <si>
    <t xml:space="preserve">Measuring machine - CMM: </t>
  </si>
  <si>
    <t>Abschnitt 1. Messsystem ausfüllen</t>
  </si>
  <si>
    <t>Fill out section 1. measuring system</t>
  </si>
  <si>
    <t>Prüflehre:</t>
  </si>
  <si>
    <t>Control gauge:</t>
  </si>
  <si>
    <t>Abschnitt 2. Alternativprüfung ausfüllen</t>
  </si>
  <si>
    <t>Fill out section 2. alternative audit</t>
  </si>
  <si>
    <t xml:space="preserve">Weitere Messgeräte: </t>
  </si>
  <si>
    <t>Further measuring devices:</t>
  </si>
  <si>
    <t>Hinweis: EMPB + Requalifikation muss mittels Messmaschine erfolgen, sofern nicht anderes in Herstellbarkeitsanalyse angegeben</t>
  </si>
  <si>
    <t>Note: PPAP &amp; requalification needs to be done by CMM if not agreed differently in the feasability study.</t>
  </si>
  <si>
    <t>Abschnitt 1. Messsystem</t>
  </si>
  <si>
    <t>Section 1. measuring system</t>
  </si>
  <si>
    <t xml:space="preserve">Bezeichnung: </t>
  </si>
  <si>
    <t>Type:</t>
  </si>
  <si>
    <t xml:space="preserve">Softwarestand: </t>
  </si>
  <si>
    <t>Employed software:</t>
  </si>
  <si>
    <t>Art der Antastung:</t>
  </si>
  <si>
    <t>Way of measuring:</t>
  </si>
  <si>
    <t>Einzelpunkt</t>
  </si>
  <si>
    <t>Single-point</t>
  </si>
  <si>
    <t>Scannen</t>
  </si>
  <si>
    <t>Scan</t>
  </si>
  <si>
    <t>Optisch</t>
  </si>
  <si>
    <t>Optical</t>
  </si>
  <si>
    <t xml:space="preserve">Datum der letzen Kalibrierung: </t>
  </si>
  <si>
    <t>Date of last calibration:</t>
  </si>
  <si>
    <t xml:space="preserve">Bezug-Ausrichtung: </t>
  </si>
  <si>
    <t xml:space="preserve">Datum orientation: </t>
  </si>
  <si>
    <t>nach Zeichnung / Koordinaten</t>
  </si>
  <si>
    <t>acc. drawing / coordinates</t>
  </si>
  <si>
    <t>RPS-Ausrichtung</t>
  </si>
  <si>
    <t>RPS-orientation</t>
  </si>
  <si>
    <t>Best-Fit / Geometrie-Einpassung</t>
  </si>
  <si>
    <t>Best-Fit</t>
  </si>
  <si>
    <t>Bezugssystem für Grundausrichtung:</t>
  </si>
  <si>
    <t>Reference system for basic orientation:</t>
  </si>
  <si>
    <t>Reiter "opt. MA_3" ausfüllen</t>
  </si>
  <si>
    <t xml:space="preserve">   fill out worksheet "opt. MA_3"</t>
  </si>
  <si>
    <t xml:space="preserve">Vermessung nach: </t>
  </si>
  <si>
    <t xml:space="preserve">Measurment according: </t>
  </si>
  <si>
    <t>ISO</t>
  </si>
  <si>
    <t>ASME</t>
  </si>
  <si>
    <t xml:space="preserve">Hauptrichtung auf Zeichnung durch Punkte definiert? </t>
  </si>
  <si>
    <t>Main direction on drawing is defined by datum points?</t>
  </si>
  <si>
    <t>bei Nein:</t>
  </si>
  <si>
    <t>in case the answer is no:</t>
  </si>
  <si>
    <t xml:space="preserve">Hauptrichtung wird ermittelt durch: </t>
  </si>
  <si>
    <t>Main direction is determined by:</t>
  </si>
  <si>
    <t>äußeres Tangentialelement</t>
  </si>
  <si>
    <t>outer tangential element</t>
  </si>
  <si>
    <t>vermittelte Ebene (Gauß)</t>
  </si>
  <si>
    <t>mediated plane</t>
  </si>
  <si>
    <t xml:space="preserve">von Brose - Messtechniker auszufüllen: </t>
  </si>
  <si>
    <t xml:space="preserve">to be filled in by Brose measurment engineer: </t>
  </si>
  <si>
    <t xml:space="preserve">Messprogramm bei Brose anwendbar? </t>
  </si>
  <si>
    <t xml:space="preserve">Measuring programm with Brose system applicable? </t>
  </si>
  <si>
    <t>Messaufnahme/ Aufspannvorrichtung</t>
  </si>
  <si>
    <t xml:space="preserve">Measurement-/ clamping device </t>
  </si>
  <si>
    <t xml:space="preserve">Layout (Bild/ Skizze) </t>
  </si>
  <si>
    <t xml:space="preserve">Layout (image/ drawing) </t>
  </si>
  <si>
    <t>Bauteil wird gespannt aufgenommen</t>
  </si>
  <si>
    <t>Component is checked in restrained condition</t>
  </si>
  <si>
    <t>Bauteilbezogene Messaufnahme/ Aufspannvorrichtung</t>
  </si>
  <si>
    <t>Specific component measurement device</t>
  </si>
  <si>
    <t>Detailliertere Angaben/ Reihenfolge der Aufnahme (sofern erforderlich)/ Ausrichtung:</t>
  </si>
  <si>
    <t>Detailed information/ order of applying the clamping (if it´s necessary)/ orientation:</t>
  </si>
  <si>
    <t xml:space="preserve">Abschnitt 2. Alternativprüfung/ Prüflehre/ Messhilfsmittel </t>
  </si>
  <si>
    <t xml:space="preserve">Section 2. Alternative check to CMM: control gauge/ measuring tool </t>
  </si>
  <si>
    <t>Maximum-Material-Prinzip auf Zeichnung</t>
  </si>
  <si>
    <t>Maximum-material-principle on drawing</t>
  </si>
  <si>
    <t>Aufbau der Prüflehre/ Prüfkonzept (Bild/ Skizze)</t>
  </si>
  <si>
    <t>Model of the control gauge/ test concept (image/ drawing)</t>
  </si>
  <si>
    <t>Lehrenbezeichnung/ Lehrennummer:</t>
  </si>
  <si>
    <t>Gauge ID/ gauge number:</t>
  </si>
  <si>
    <t>Lehrenbeschreibung (bebildert) vorh. und aktuell:</t>
  </si>
  <si>
    <t xml:space="preserve">Gauge instruction (illustrated) available and up-to-date: </t>
  </si>
  <si>
    <t>Lehrenvermessung vorhanden und OK:</t>
  </si>
  <si>
    <t>Gauge measurement available and OK:</t>
  </si>
  <si>
    <t xml:space="preserve">Messmittelfähigkeit (MSA / VDA 5) vorhanden und OK: </t>
  </si>
  <si>
    <t>Measuring device capability (MSA / VDA 5) available and OK:</t>
  </si>
  <si>
    <t>Lehrenfunktion:</t>
  </si>
  <si>
    <t>Gauge concept:</t>
  </si>
  <si>
    <t>Prüfend</t>
  </si>
  <si>
    <t>Attributive check</t>
  </si>
  <si>
    <t>Messend</t>
  </si>
  <si>
    <t>Measuring</t>
  </si>
  <si>
    <t>Bemerkung:</t>
  </si>
  <si>
    <t>Comment:</t>
  </si>
  <si>
    <t>Datum der Kalibrierung:</t>
  </si>
  <si>
    <t xml:space="preserve">von Brose - Qualität auszufüllen: </t>
  </si>
  <si>
    <t xml:space="preserve">to be filled in by Brose Quality: </t>
  </si>
  <si>
    <t>Duplikat der Lehre/ Aufspannvorrichtung bei Brose vorhanden?</t>
  </si>
  <si>
    <t>Duplication of the gauges/ clamping device available at Brose?</t>
  </si>
  <si>
    <t xml:space="preserve">Brose </t>
  </si>
  <si>
    <t>Vergleichbare Ergebnisse zwischen Brose und Lieferant festgestellt</t>
  </si>
  <si>
    <t>Comparable results between Brose and Supplier determined</t>
  </si>
  <si>
    <t>Hinweis:</t>
  </si>
  <si>
    <t>Note:</t>
  </si>
  <si>
    <t>Hinweis: Messabgleich in A2-Meldung unter 4040 ablegen</t>
  </si>
  <si>
    <t>Note: measurement alignment needs to be uploaded in A2 notification - task: 4040</t>
  </si>
  <si>
    <t>opt. MA_2</t>
  </si>
  <si>
    <t>Measuring alignment</t>
  </si>
  <si>
    <t>Merkmalsebene</t>
  </si>
  <si>
    <t>Individual characteristics</t>
  </si>
  <si>
    <t>Nummerierung in Merkmalstabelle analog gestempelter Zeichnung</t>
  </si>
  <si>
    <t>Numbering in table of characteristics analogous to stamped drawing</t>
  </si>
  <si>
    <t>Vermessung - Durchmesser - Ø - bei Lagerstellen</t>
  </si>
  <si>
    <t>Measurement - diameter - Ø - bearing position</t>
  </si>
  <si>
    <t>Falls erforderlich in Spalte "*Bemerkung" bitte folgende Informationen angeben:</t>
  </si>
  <si>
    <t xml:space="preserve">If required add in column "*Comment" the following information: </t>
  </si>
  <si>
    <t>- Anzahl der Messpunkte</t>
  </si>
  <si>
    <t>- Amount of measuring points</t>
  </si>
  <si>
    <t>- Messtiefe</t>
  </si>
  <si>
    <t>- Measuring depth</t>
  </si>
  <si>
    <t>- Taster/ Abmaße (Kugeldurchmesser)</t>
  </si>
  <si>
    <t>- Diameter of measuring sensor</t>
  </si>
  <si>
    <t>- Auswerteverfahren (Gauß/ Pferch/ Hüll/ 2-Punkt)</t>
  </si>
  <si>
    <t>- Evaluation method (e.g min-circumscribed-Ø/ max-inscribed Ø/ 2-point)</t>
  </si>
  <si>
    <t>- Bei 2-Punkt Messungen: Min und Max-Werte müssen angegeben werden</t>
  </si>
  <si>
    <t>- for 2-point measurements: Min and Max shall evaluated</t>
  </si>
  <si>
    <t>Vermessung - Position</t>
  </si>
  <si>
    <t>Measurement - position</t>
  </si>
  <si>
    <t>Angabe der Einzel-Koordinaten der Position im Messprotokoll - Spalte "*Bemerkung"</t>
  </si>
  <si>
    <t>Information for the cordinates of the position at measurement protocol column "*Comment"</t>
  </si>
  <si>
    <t>Vermessung - Flächenform/ Linienform</t>
  </si>
  <si>
    <t>Measurement - surface form/ line form/ flatness</t>
  </si>
  <si>
    <t>Vermessung - Kunststoffteile</t>
  </si>
  <si>
    <t>Measurement - plastic parts</t>
  </si>
  <si>
    <t>Messung erfolgt außerhalb Stanzeinzug und Rundungsradien sowie im markierten Bereich</t>
  </si>
  <si>
    <t>Measurement is done outside of the punching funnel/ bending radii</t>
  </si>
  <si>
    <t xml:space="preserve">3D-Grafiken sind beizufügen </t>
  </si>
  <si>
    <t>3D-model need to be enclosed</t>
  </si>
  <si>
    <t>Merkmals-Übersicht</t>
  </si>
  <si>
    <t>Characteristic overview</t>
  </si>
  <si>
    <t>Pos.</t>
  </si>
  <si>
    <t>Merkmal</t>
  </si>
  <si>
    <t>Characteristic</t>
  </si>
  <si>
    <t>Merkmalsart</t>
  </si>
  <si>
    <t>Characteristic type</t>
  </si>
  <si>
    <t>Nennmaß</t>
  </si>
  <si>
    <t>Nominal dimension</t>
  </si>
  <si>
    <t>Obere Toleranz</t>
  </si>
  <si>
    <t xml:space="preserve">Upper tolerance </t>
  </si>
  <si>
    <t>Untere Toleranz</t>
  </si>
  <si>
    <t>Lower tolerance</t>
  </si>
  <si>
    <t>Toleranzbreite</t>
  </si>
  <si>
    <t>Range of tolerance</t>
  </si>
  <si>
    <t>Messergebnisse Lieferant</t>
  </si>
  <si>
    <t>Measurement results Supplier</t>
  </si>
  <si>
    <t>Messergebnisse Brose</t>
  </si>
  <si>
    <t>Measurement results Brose</t>
  </si>
  <si>
    <t xml:space="preserve">Messwerte-Vergleich
Absolute Abweichung/ in Prozent % </t>
  </si>
  <si>
    <t>Comparison dim results
Total deviation/ in Percent %</t>
  </si>
  <si>
    <t>Measuring equipment</t>
  </si>
  <si>
    <t>*Bemerkung</t>
  </si>
  <si>
    <t>*Comment</t>
  </si>
  <si>
    <t xml:space="preserve">Die Schwindung muss vor der Vermessung berücksichtigt werden </t>
  </si>
  <si>
    <t>The shrinkage shall be taken into account before measurement</t>
  </si>
  <si>
    <t>DSQG_Result</t>
  </si>
  <si>
    <t>Übersicht Entwicklungslieferanten Quality Gates</t>
  </si>
  <si>
    <t>Development Supplier Quality Gates Overview</t>
  </si>
  <si>
    <t>Ziel: den Reifegrad des Projekts zu bewerten und ggfs. Maßnahmen bei Abweichungen einzuleiten, um eine termingerechte Einhaltung der Entwicklungsmeilensteine sicher zu stellen.</t>
  </si>
  <si>
    <t>Target: to ensure the maturaty level of the project and if necessary to implement actions to assure keeping development milestones on track.</t>
  </si>
  <si>
    <t>DSQG 0</t>
  </si>
  <si>
    <t>DSQG 1</t>
  </si>
  <si>
    <t>DSQG 2</t>
  </si>
  <si>
    <t>DSQG_0</t>
  </si>
  <si>
    <t>Entwicklungslieferanten Quality Gate 0</t>
  </si>
  <si>
    <t>Development Supplier Quality Gate 0</t>
  </si>
  <si>
    <t>Gesamtstatus
Entwicklungslieferanten 
Quality Gate 0</t>
  </si>
  <si>
    <t>Overall status
Development Supplier 
Quality Gate 0</t>
  </si>
  <si>
    <t>Nominierung Entwicklungsauftrag</t>
  </si>
  <si>
    <t>nomination of development request</t>
  </si>
  <si>
    <t>Test release 0 Freigabe</t>
  </si>
  <si>
    <t>Test release 0</t>
  </si>
  <si>
    <t>Freigabe Zeichnung Index 100</t>
  </si>
  <si>
    <t>Release of drawing index 100</t>
  </si>
  <si>
    <t>Test release 1 Freigabe</t>
  </si>
  <si>
    <t>Test release 1</t>
  </si>
  <si>
    <t>Entwicklungsfreigabe</t>
  </si>
  <si>
    <t>Development release</t>
  </si>
  <si>
    <t>Freigabe</t>
  </si>
  <si>
    <t>Release</t>
  </si>
  <si>
    <t>Ist der Lieferant als Entwicklungslieferant für Brose freigegeben? Falls zutreffend, ist der geplante Produktionsstandort für die benötigten Technologien/ Prozesse freigegeben?</t>
  </si>
  <si>
    <t>Freigabe des Fertigungsstandortes incl. relevante Prozesse im Falle einer geplanten Serienbeauftragung.
XL-Meldung F1/F1D Klassifiziert</t>
  </si>
  <si>
    <t>Ist der Lieferant für die Entwicklung für Brose freigegeben? Falls zutreffend, ist der geplante Produktionsstandort für die benötigten Technologien / Prozesse freigegeben?</t>
  </si>
  <si>
    <t>Has the supplier been approved for development scope by Brose? If applicable, has the planned production site been approved for the required technologies / processes?</t>
  </si>
  <si>
    <t>T-Audit durchgeführt gemäß VDA 6.3 incl. Produktentwicklung, Freigabe des Fertigungsstandortes inkl. Technologie im Falle einer geplanten Serienbeauftragung.</t>
  </si>
  <si>
    <t>T-Audit carried out along VDA 6.3 incl. product development, release of the production site incl. technologies in case of a planned series production.</t>
  </si>
  <si>
    <t>Feasibility</t>
  </si>
  <si>
    <t>Kann das Produkt unter Einhaltung aller relevanten Spezifikationen und Vorschriften uneingeschränkt und prozesssicher unter Berücksichtigung der Einbausituation und dem Verwendungszweck entwickelt werden?</t>
  </si>
  <si>
    <t>Can the product be developed in compliance with all relevant specifications and regulations without restrictions and process capable under consideration of final assembly condition and prupose of use?</t>
  </si>
  <si>
    <t>Interdisziplinäre Bewertung des Lieferanten muss vorliegen. Zum Beispiel Zeichnungen, Lastenhefte, QSB, Brose Normen, kundenspezifische Forderungen, IMDS - Daten.</t>
  </si>
  <si>
    <t>Interdisciplinary evaluation of the supplier must be available. For example drawings, specifications, QSB, Brose standards, customer-specific requirements, IMDS data.</t>
  </si>
  <si>
    <t>Verantwortlich-keiten</t>
  </si>
  <si>
    <t>Responsibili-ties</t>
  </si>
  <si>
    <t>Sind die Verantwortlichkeiten und Zusammenarbeit in der Produktentwicklung klar geregelt?</t>
  </si>
  <si>
    <t>Are responsibilities and collaboration during product development clearly regulated?</t>
  </si>
  <si>
    <t xml:space="preserve">RASIC - Chart zwischen Brose und Lieferant vorhanden.
Datenaustausch ist geregelt. </t>
  </si>
  <si>
    <t>RASIC - Chart between Brose and supplier is available.
Data exchange is defined.</t>
  </si>
  <si>
    <t>Wie kommuniziert der Lieferant Änderungen am Produkt/ Prozess während der Entwicklung?</t>
  </si>
  <si>
    <t>How is the communication for changes for product/ process during development established by supplier?</t>
  </si>
  <si>
    <t>Klare Regelungen zum Entwicklungslebenslauf vorhanden.</t>
  </si>
  <si>
    <t>Clear defintion of development change history in place.</t>
  </si>
  <si>
    <t>Verträge</t>
  </si>
  <si>
    <t>Liegen alle notwendigen Verträge (im Entwurf) und Spezifikationsunterlagen (Lastenheft) vor und sind potentielle Abweichungen mit Brose abgestimmt?</t>
  </si>
  <si>
    <t>Are all necessary contracts (as draft) and specification documents (specifications) available and have potential deviations been approved by Brose?</t>
  </si>
  <si>
    <t>- Entwicklungsvertrag
- Umgang mit Patenten
- Lastenheft Brose
- Gesetzliche Anforderungen 
- GTCP
- Gewährleistung
- QMR</t>
  </si>
  <si>
    <t>- Development contract
- Dealing with patents
- Brose specification sheet
- Legal requirements
- GTCP
- Warrenty
- QMR</t>
  </si>
  <si>
    <t>Projektplanung</t>
  </si>
  <si>
    <t>Project planning</t>
  </si>
  <si>
    <t>Wurde ein Projektterminplan erstellt und mit dem Terminplan Seitens Brose abgestimmt? Ist eine Projektorganisation etabliert? Ist der kritische Pfad identifiziert?</t>
  </si>
  <si>
    <t>Has a project schedule been drawn up and is it matching with Brose's schedule? Has a project organization been established? Is the critical path identified?</t>
  </si>
  <si>
    <t>Projektterminplan für den Entwicklungsumfang erfüllt die Anforderungen des Terminplans von Brose.</t>
  </si>
  <si>
    <t>Project schedule for the development scope meets the requirements of Brose's schedule.</t>
  </si>
  <si>
    <t>Ressourcen</t>
  </si>
  <si>
    <t>Resources</t>
  </si>
  <si>
    <t>Sind benötigte Ressourcen in der Planung berücksichtigt und stimmen diese mit dem Terminplan von Brose überein?</t>
  </si>
  <si>
    <t>Are required resources considered within project planning and do they match Brose's schedule?</t>
  </si>
  <si>
    <t>Das Projektteam des Lieferanten ist benannt, eine Ressourcenplanung wurde durchgeführt. Einrichtungen, Simulationsmethoden und - personal sind vorhanden bzw. extern bereitgestellt und entsprechen den Anforderungen.</t>
  </si>
  <si>
    <t>The supplier's project team has been named, and resource planning has been carried out. Facilities, simulation methods and human capacities are available (or provided externally) and meet the requirements.</t>
  </si>
  <si>
    <t>Grobkonzept</t>
  </si>
  <si>
    <t>Rough concept</t>
  </si>
  <si>
    <t>Liegt ein Grobkonzept vor und wurde die Machbarkeit bestätigt?</t>
  </si>
  <si>
    <t>Is a rough concept available and is the feasibility been confirmed?</t>
  </si>
  <si>
    <t>Es liegen Designvorschläge mit bestätigter Herstellbarkeit der Einzelkomponenten und des Zusammenbaus seitens des Lieferanten vor.</t>
  </si>
  <si>
    <t>Design proposals with confirmed manufacturability of the individual components and assembly by the supplier are available.</t>
  </si>
  <si>
    <t>FMEA</t>
  </si>
  <si>
    <t>Sind die Anforderungen an die FMEA bekannt?</t>
  </si>
  <si>
    <t>Are the requirements for the FMEA known?</t>
  </si>
  <si>
    <t>Brose FMEA - Bewertungskriterien / Fehlerfolgen für Brosesystem - liegen vor und sind bewertet, BN586437 liegt in aktueller Version vor. Kundenspezifische Anforderungen sind bekannt und werden berücksichtigt. Die Anforderungen an die Schnittstellen-FMEA sind definiert.</t>
  </si>
  <si>
    <t>Brose FMEA - evaluation criteria / consequences of failures for Brose system - are available and evaluated, BN586437 is available in latest version. Customer-specific requirements are known and are taken into account. Requirements for interface FMEA are defined.</t>
  </si>
  <si>
    <t>Versuch</t>
  </si>
  <si>
    <t>Testing</t>
  </si>
  <si>
    <t>Liegt ein abgestimmter Validierungsplan zur Durchführung der Versuchsfreigabe V0 vor. (grobe Planung abhängig Nominierung)</t>
  </si>
  <si>
    <t>Is there an agreed validation plan for the execution of the test release V0. (rough plan pending on nomination)</t>
  </si>
  <si>
    <t xml:space="preserve">Validierungsplanung für A-Muster liegt vor und ist mit der Entwicklung von Brose abgestimmt. </t>
  </si>
  <si>
    <t xml:space="preserve">Validation planning for A-sample is available and has been agreed with Brose development. </t>
  </si>
  <si>
    <t>Sind alle Prüfeinrichtungen für die Validierung V0 (intern/extern) hinsichtlich Lastenheft geeignet bzw. im Angebot berücksichtigt?</t>
  </si>
  <si>
    <t>Are all test facilities for the validation V0 (internal/external) conform to the specifications and considered in the offer?</t>
  </si>
  <si>
    <t>- Akkreditierung (externe Prüflabor)
- Freigabe Prüfaufbau / Einrichtungen durch Versuch
- Beistellteile zur Versuchsdurchführung (z.B. Karosse)</t>
  </si>
  <si>
    <t>- Accreditation (external test laboratory)
- Approval of test setup / equipment by test
- Parts provided for test execution (e.g. car body)</t>
  </si>
  <si>
    <t>Nachverfolgbar-keit</t>
  </si>
  <si>
    <t>Ist ein grobes Rückverfolgbarkeitskonzept vorhanden?</t>
  </si>
  <si>
    <t>Is a rough traceability concept in place?</t>
  </si>
  <si>
    <t>Ein Rückverfolgbarkeitskonzept muss vorliegen.</t>
  </si>
  <si>
    <t>Traceability concept must be available.</t>
  </si>
  <si>
    <t>DSQG_1</t>
  </si>
  <si>
    <t>Entwicklungslieferanten Quality Gate 1</t>
  </si>
  <si>
    <t>Development Supplier Quality Gate 1</t>
  </si>
  <si>
    <t>Gesamtstatus
Entwicklungslieferanten Quality Gate 1</t>
  </si>
  <si>
    <t>Overall status
Development Supplier Quality Gate 1</t>
  </si>
  <si>
    <t>Ist der Lieferant für die Entwicklung für Brose freigegeben? Falls zutreffen, ist der geplant Produktionsstandort für die benötigten Technologien / Prozesse freigegeben?</t>
  </si>
  <si>
    <t>T-Audit durchgeführt mit VDA 6.3 incl. Produktentwicklung, Freigabe des Fertigungsstandortes incl. Prozesse im Falle einer geplanten Serienbeauftragung.</t>
  </si>
  <si>
    <t>Kann das Produkt unter Einhaltung aller relevanten Spezifikationen und Vorschriften (z.B. Zeichnungen, Lastenhefte, QSB, Brose Normen kundenspezifische Forderungen) weiterhin uneingeschränkt und prozesssicher unter der Einbausituation und dem Verwendungszweck entwickelt werden?</t>
  </si>
  <si>
    <t>Can the product be developed in compliance with all relevant specifications and regulations (e.g. drawings, specifications, QSB, Brose standards, customer-specific requirements) without restrictions and with process reliability under consideration of assembly conditon and porpuse of use further on?</t>
  </si>
  <si>
    <t>Änderungen sind in der Herstellbarkeitsbewertung berücksichtigt und weiterhin bestätigt.</t>
  </si>
  <si>
    <t>Changes are reflected in the feasibility evaluation and further on confirmed.</t>
  </si>
  <si>
    <t>Sind alle Punkte aus DSQG 0 erledigt bzw. mit terminierten Maßnahmen versehen? Stimmen die Termine mit dem vereinbarten Terminplan überein?</t>
  </si>
  <si>
    <t>Are all items from DSQG 0 completed or holding scheduled actions? Do the due dates match with the agreed schedule?</t>
  </si>
  <si>
    <t>Alle Maßnahmen aus dem DSQG0 müssen terminiert bzw. termingerecht abgeschlossen sein.</t>
  </si>
  <si>
    <t>All actions from DSQG 0 must be scheduled or completed on time.</t>
  </si>
  <si>
    <t>Verantwort-lichkeiten</t>
  </si>
  <si>
    <t>Sind die Verantwortlichkeiten und Zusammenarbeit in der Produktentwicklung final geregelt?</t>
  </si>
  <si>
    <t>Are the responsibilities and collaboration during product development finally regulated?</t>
  </si>
  <si>
    <t xml:space="preserve">RASIC - Chart zwischen Brose und Lieferant vorhanden.
Klare Regelungen zum Change Management.
Datenaustausch ist geregelt. </t>
  </si>
  <si>
    <t xml:space="preserve">RASIC - Chart between Brose and supplier is available.
Clear definitions for change management.
Data exchange is defined. </t>
  </si>
  <si>
    <t>Sind all notwendigen Verträge beidseitig verabschiedet?</t>
  </si>
  <si>
    <t>Are all necessary contracts mutually agreed?</t>
  </si>
  <si>
    <t>- GTCPs
- Geheimhaltungserklärung
- Qualitätssicherungsbestimmungen
- Entwicklungsvertrag
- Gewährleistung
- Umgang mit Patenten
- gesetzliche Anforderung
- Lastenhefte</t>
  </si>
  <si>
    <t>- GTCPs
- Confidentiality Statement
- Quality assurance regulations
- development agreement 
- Warrenty
- dealing with patents 
- legal requirements
- requirement specifications</t>
  </si>
  <si>
    <t>Liegen alle Spezifikationsunterlagen gemäß Lastenheft vor und sind diese geprüft und bestätigt.</t>
  </si>
  <si>
    <t>Are all reffered documents according to the specifications available and have they been checked and confirmed.</t>
  </si>
  <si>
    <t>Spezifikationen liegen vor und sind fachbereichsübergreifend geprüft und die Machbarkeit wurde bestätigt.</t>
  </si>
  <si>
    <t>Specifications are available and have been reviewed cross functional and the feasibility is confirmed.</t>
  </si>
  <si>
    <t>Ist der Projektterminplan aktuell und weiterhin mit dem Broseterminplan abgestimmt?</t>
  </si>
  <si>
    <t>Is the project schedule up to date and matching with the Brose schedule further on?</t>
  </si>
  <si>
    <t>Der Projektterminplan erfüllt die Anforderungen des Terminplans von Brose.</t>
  </si>
  <si>
    <t>Project schedule meets the requirements of Brose's  schedule.</t>
  </si>
  <si>
    <t>Konzept</t>
  </si>
  <si>
    <t>Concept</t>
  </si>
  <si>
    <t>Liegt ein Konzept vor und wurde die Machbarkeit bestätigt?</t>
  </si>
  <si>
    <t>Is a concept available and has the feasibility been confirmed?</t>
  </si>
  <si>
    <t>Designvorschläge sind erarbeitet, Herstellbarkeit sowohl der Einzelkomponenten als auch des Zusammenbaus sind bestätigt.</t>
  </si>
  <si>
    <t>Brose FMEA - Fehlerkatalog liegt vor und ist bewertet, BN586437 liegt in aktueller Version vor. Kundenspezifische Anforderungen sind bekannt.</t>
  </si>
  <si>
    <t>Brose FMEA - failure catalog is available and evaluated, BN586437 is available in latest version. Customer-specific requirements are known.</t>
  </si>
  <si>
    <t>Liegt ein abgestimmter Versuchsplan zur Durchführung der Versuchsfreigabe vor. Sind benötigte Ressourcen in der Planung berücksichtigt?</t>
  </si>
  <si>
    <t>Is there an agreed test plan for carrying out the test release? Have the required resources been taken into account for the planning?</t>
  </si>
  <si>
    <t>Versuchsplanung liegt vor und ist mit Brose abgestimmt. Notwendiges Testequipment ist vorhanden bzw. die Bestellung eingeplant. Versuchseinrichtungen und - personal sind vorhanden bzw. extern bereitgestellt und entsprechen den Anforderungen.</t>
  </si>
  <si>
    <t>Test planning is available and has been agreed with Brose. Necessary test equipment is available or order is planned. Test equipment and human resources are available (or provided externally) and meet the requirements.</t>
  </si>
  <si>
    <t>Lieferanten-managemnt</t>
  </si>
  <si>
    <t>Supplier management</t>
  </si>
  <si>
    <t>Wie ist die Einbindung von Unterlieferanten in der Entwicklungsphase sichergestellt?</t>
  </si>
  <si>
    <t>How is the involvement of subcontractors ensured during development phase?</t>
  </si>
  <si>
    <t>Beispiele: 
- Messdienstleister
- Simulationen
- Klimakammer
- Prototypenbauer</t>
  </si>
  <si>
    <t>Examples: 
- measurement service provider
- simulations
- climatic chamber
- prototype builder</t>
  </si>
  <si>
    <t>DSQG_2</t>
  </si>
  <si>
    <t>Entwicklungslieferanten Quality Gate 2</t>
  </si>
  <si>
    <t>Development Supplier Quality Gate 2</t>
  </si>
  <si>
    <t>Ziel: Abschluss des Entwicklungsauftrages</t>
  </si>
  <si>
    <t>Target: closure of development request</t>
  </si>
  <si>
    <t>Gesamtstatus 
Entwicklungslieferanten 
Quality Gate 2</t>
  </si>
  <si>
    <t>Overall status 
Development Supplier Quality Gate 2</t>
  </si>
  <si>
    <t>Kann das Produkt unter Einhaltung aller relevanten Spezifikationen und Vorschriften (z.B., Zeichnungen, Lastenhefte, QSB, Brose Normen kundenspezifische Forderungen) weiterhin uneingeschränkt und prozesssicher unter der Einbausituation und dem Verwendungszweck entwickelt werden?</t>
  </si>
  <si>
    <t>Can the product still be developed in compliance with all relevant specifications and regulations (e.g., drawings, specifications, QSB, Brose standards, customer-specific requirements) without restrictions 
and with process reliability under consideration of assembly conditon and porpuse of use?</t>
  </si>
  <si>
    <t>Changes are reflected in the feasibility evaluation and confirmed further onwards.</t>
  </si>
  <si>
    <t>Sind alle Punkte aus DSQG1 erledigt bzw. mit terminierten Maßnahmen versehen? Stimmen die Termine mit dem vereinbarten Terminplan überein?</t>
  </si>
  <si>
    <t>Are all items from DSQG 1 completed or holding scheduled actions? Do the due dates match with the agreed schedule?</t>
  </si>
  <si>
    <t>Alle Maßnahmen aus dem DSQG1 müssen terminiert bzw. termingerecht abgeschlossen sein.</t>
  </si>
  <si>
    <t>All actions from DSQG 1 must be scheduled or completed on time.</t>
  </si>
  <si>
    <t>Wurde für den aktuellen Zeichnungsstand eine fertigungstechnische Herstellbarkeitsbewertung vorgenommen zu den Bauteilen laut Definition im Entwicklungsvertrag?</t>
  </si>
  <si>
    <t>Has a manufacturability assessment been performed for the current drawing status for the components defined in the development contract?</t>
  </si>
  <si>
    <t>- Herstellbarkeit der Einzelteile im Serienprozess
- Montierbarkeit
- Demontierbarkeit
- Recyclingquote</t>
  </si>
  <si>
    <t>- Manufacturability of the individual parts in the series process
- Assemblability
- Dismantlability
- Recycling rate</t>
  </si>
  <si>
    <t>D-FMEA</t>
  </si>
  <si>
    <t>Ist die D-FMEA und die Schnittstellen FMEA vollständig?
Sind die besonderen Merkmale auf Durchgängigkeit geprüft? (PLP)
Sind die besonderen Merkmale inkl. Kundenschnittstellen berücksichtigt und bewertet?</t>
  </si>
  <si>
    <t>Is the D-FMEA and the interface FMEA completed?
Have the special characteristics been checked for consistency? (PLP)
Are the special characteristics incl. customer interfaces considered and evaluated?</t>
  </si>
  <si>
    <t>Supplier FMEA checksheet ohne Maßnahmen.
"Link Brose vorlagen"
FMEA Review hat stattgefunden, Risiken mit Maßnahmen hinterlegt
Soll/ist Vergleich der besonderen Merkmalen zwischen Brose und Lieferanten
Bewertung nach BN 586437-xxx</t>
  </si>
  <si>
    <t>Supplier FMEA checksheet without measures.
"Link Brose templates"
FMEA review has taken place, risks/tasks with agreed measures
Target/actual comparison of special characteristics between Brose and supplier
Evaluation according to BN 586437-xxx</t>
  </si>
  <si>
    <t>Entwicklungs-historie</t>
  </si>
  <si>
    <t>Development history</t>
  </si>
  <si>
    <t>Liegt ein Entwicklungslebenslauf zu dem Produkt vor?</t>
  </si>
  <si>
    <t>Is there a development history sheet for the product?</t>
  </si>
  <si>
    <t>Der Lieferant muss eine dokumentierte Entwicklungshistorie vorlegen.</t>
  </si>
  <si>
    <t>The supplier must provide a documented development history.</t>
  </si>
  <si>
    <t>Versionierung</t>
  </si>
  <si>
    <t>Versioning</t>
  </si>
  <si>
    <t>Ist ein Konzept zur Versionierung vorhanden?</t>
  </si>
  <si>
    <t>Is a versioning concept in place?</t>
  </si>
  <si>
    <t>Ein Konzept zur Versionierung muss vorliegen.</t>
  </si>
  <si>
    <t>A versioning concept have to be available.</t>
  </si>
  <si>
    <t>DVP&amp;R</t>
  </si>
  <si>
    <t>Wurden alle im DVP vereinbarten Umfänge erfolgreich abgeschlossen und freigegeben?</t>
  </si>
  <si>
    <t>Have all the scopes agreed in the DVP been successfully completed and released?</t>
  </si>
  <si>
    <t>Versuchsfreigabe sind bestanden. Status der Komponenten und Abweichungen sind dokumentiert.</t>
  </si>
  <si>
    <t>Test release are passed. Status of components and deviations are documented.</t>
  </si>
  <si>
    <t>Tool/ Process design concept</t>
  </si>
  <si>
    <t>Sind die Ergebnisse aus Prototypenwerkzeugen/Vorserienanlagen ink. LL für zukünftiges Serienequipment vorhanden und sind diese Erkenntnisse in der Entwicklung berücksichtigt worden?</t>
  </si>
  <si>
    <t>Are the results from prototype tools/ pre-series systems incl. LL available for future series equipment and have these findings been taken into account in the development?</t>
  </si>
  <si>
    <t>Der Lieferant muss ein Werkzeugauslegung-/ Anlagenkonzept vorlegen.</t>
  </si>
  <si>
    <t>The supplier have to submit a tool design/ system concept.</t>
  </si>
  <si>
    <t>Reifegrad-beurteilung</t>
  </si>
  <si>
    <t>Maturity assessment</t>
  </si>
  <si>
    <t>Liegt eine vollumfängliche Risikoabschätzung für das Produkt vor?</t>
  </si>
  <si>
    <t>Is there a fully comprehensive risk assessment for the product?</t>
  </si>
  <si>
    <t>Risikoabschätzungen:
- FMEA
- Abweichungen
- Änderungen inkl. nicht validierter Anpassungen
- ect.</t>
  </si>
  <si>
    <t>Risk assessments:
- FMEA
- Deviations
- Changes incl. non-validated adjustments
- ect.</t>
  </si>
  <si>
    <t>Brose quality planner: Please inform Brose supplier developer to start the activities for the Supplier readiness assessment.
Brose Qualitätsplaner: Bitte Brose Lieferantenentwickler informieren um die Vorbereitungen für das „Supplier readiness assessment“ zu starten.</t>
  </si>
  <si>
    <t>Entwicklungs-freigabe</t>
  </si>
  <si>
    <t>Liegt eine Entwicklungsfreigabe für das Produkt seitens Brose vor?</t>
  </si>
  <si>
    <t>Does Brose have given a development release for the product?</t>
  </si>
  <si>
    <r>
      <t xml:space="preserve">- Freigebene Zeichnung (ZSB / Einzelteile / Unterbaugruppe) 
   inkl. identifizierter besonderer/ sicherheitskritische Merkmale
[Einzelteile je nach Entwicklungsvertrag für Zeichnung und Toleranzrechnung nach Anhang 3]
- Überarbeitete/zusätzliche Spezifikationen 
  (z.B. Messanweisungen …)
- Berücksichtigung produktspezifischer Eigenschaften 
  (z.B. Stressmessungen, ESD Klassifizierung, Technische 
   Sauberkeit, Handlings Anweisung ...)
</t>
    </r>
    <r>
      <rPr>
        <b/>
        <sz val="10"/>
        <rFont val="Arial"/>
        <family val="2"/>
      </rPr>
      <t xml:space="preserve">- IMDS-Deckblatt entsprechend Empfehlungsblatt 23
</t>
    </r>
    <r>
      <rPr>
        <sz val="10"/>
        <rFont val="Arial"/>
        <family val="2"/>
      </rPr>
      <t>- Toleranzrechnungen und Ergebnisse</t>
    </r>
  </si>
  <si>
    <r>
      <t xml:space="preserve">- Released drawing (assembly / single components / 
   subassembly) incl. identified special /safety critical 
   characteristics
[single components drawing and calculation according development contract appendix 3]
- Revised/ additional specifications (e.g. measuring 
  instructions ...)
- Consideration of product specific characteristics (e.g. 
   stress measurements, ESD classification, technical 
   cleanliness, handling cleanliness, handling instructions ...)
</t>
    </r>
    <r>
      <rPr>
        <b/>
        <sz val="10"/>
        <rFont val="Arial"/>
        <family val="2"/>
      </rPr>
      <t>- IMDS cover sheet according to recommendation 
  sheet 23</t>
    </r>
    <r>
      <rPr>
        <sz val="10"/>
        <rFont val="Arial"/>
        <family val="2"/>
      </rPr>
      <t xml:space="preserve">
- Tolerance calculations and results</t>
    </r>
  </si>
  <si>
    <t>Fortschrittskontrolle</t>
  </si>
  <si>
    <t>Are all points from DSQG1 completed or have defined actions with dates acc. to project timing plan?</t>
  </si>
  <si>
    <t xml:space="preserve">All actions from DSQG1 should be scheduled or completed on time. </t>
  </si>
  <si>
    <t>Messabstim-mung</t>
  </si>
  <si>
    <t>Sind alle Eigenschaften / Charakteristiken messbar und sind Messanweisungen / Ausrichtungen inkl. Parameter abgestimmt.</t>
  </si>
  <si>
    <t>Are all properties/ characteristics measurable and are measurement instructions/ alignments incl. parameters agreed.</t>
  </si>
  <si>
    <t>- Referenzebenen für 3D
- Kalkulatorische Parameter (z.B. Akustik-Parameter)</t>
  </si>
  <si>
    <t>- Reference planes for 3D
- Calculatory parameters (e.g. acoustic parameters)</t>
  </si>
  <si>
    <t>Rückverfolgbar-keit</t>
  </si>
  <si>
    <t>Ist das Rückverfolgbarkeitskonzept für die Industrialisierung festgelegt und von Brose freigegeben?</t>
  </si>
  <si>
    <t>Has the traceability concept for industrialization been defined and approved by Brose?</t>
  </si>
  <si>
    <t>Vorgaben von Brose sind eingehalten und Abweichungen sind gesondert freigegeben.</t>
  </si>
  <si>
    <t>Specifications given by Brose are complied and deviations are approved separately.</t>
  </si>
  <si>
    <t>SupplierLineWalk</t>
  </si>
  <si>
    <t>Supplier Line Walk</t>
  </si>
  <si>
    <t>Requalifikation</t>
  </si>
  <si>
    <t>Requalification</t>
  </si>
  <si>
    <r>
      <t xml:space="preserve">Wird die Requalifikation jährlich durchgeführt und ist das Ergebnis der Requalifikationsprüfung i.O.?
</t>
    </r>
    <r>
      <rPr>
        <b/>
        <i/>
        <sz val="10"/>
        <rFont val="Arial"/>
        <family val="2"/>
      </rPr>
      <t>(Diese Frage hat keinen Einfluss auf das FRT-Ergbnis, da dies nur bei Teilen in der Serie bewertet werden kann)</t>
    </r>
  </si>
  <si>
    <r>
      <t xml:space="preserve">Is the requalification performed annually and is the result of the requalification test OK?
</t>
    </r>
    <r>
      <rPr>
        <b/>
        <i/>
        <sz val="10"/>
        <rFont val="Arial"/>
        <family val="2"/>
      </rPr>
      <t>(this question has no influence on the FRT result, as this can only be evaluated for parts in the series phase)</t>
    </r>
  </si>
  <si>
    <t>- Bitte im Einführungsgespräch darauf hinweisen, damit Unterlagen verfügbar sind. 
- Wird anhand eines alternativen Produkt durchgeführt.
- Es sind 1x jährlich alle Maße bei jeder Kavität zu überprüfen, für SPC-Merkmale können die Messwerte der letzten 12 Monate zu Grunde gelegt werden.</t>
  </si>
  <si>
    <t>- Please point this out in the introductory meeting so that documents are available.
- To be carried out on the basis of an alternative product.
- All dimensions must be checked 1x per year for each cavity, for SPC characteristics the measured values of the last 12 months can be taken as a basis.</t>
  </si>
  <si>
    <t>Teilehandling</t>
  </si>
  <si>
    <t>Part handling</t>
  </si>
  <si>
    <t>Sind suspekte &amp; niO-Teile verwechslungssicher von iO-Teilen separiert?</t>
  </si>
  <si>
    <t>Are suspicious &amp; not ok parts separated from ok parts?</t>
  </si>
  <si>
    <t>- Sind suspekte und n.i.O. Bestände systemseitig gesperrt
- Suspekte Teile an der Linie werden in roten niO-Kisten separiert
- Suspekte und n.i.O. Teile werden im Sperrlager gelagert, eine Bestandsliste ist vorhanden
- NOK Teile sind auf dem Behälter gekennzeichnet</t>
  </si>
  <si>
    <t>- Are suspicious and not OK Parts blocked by the system?
- Suspicious parts on the line are separated in red not ok boxes
- suspicious and not ok parts in the quarantine warehouse, inventory log for hold cage exist
- Parts are marked as not OK on the container</t>
  </si>
  <si>
    <t>Qualifikation</t>
  </si>
  <si>
    <t>Qualification</t>
  </si>
  <si>
    <t>Sind die Mitarbeiter qualifiziert?</t>
  </si>
  <si>
    <t>Are the employees qualified?</t>
  </si>
  <si>
    <t>- Skillmatrix ist verfügbar und aktuell
- Mitarbeiter arbeitet nur an Prozessen für die eine Qualifikation vorliegt 
- Mitarbeiter kann sein Arbeitsinhalte erklären
- Schulungen werden regelmäßig (z.B. jährlich) wiederholt</t>
  </si>
  <si>
    <t>- Skill matrix available and up-to-date.
- Employees only work on processes for which they are qualified
- Employees can explain their work content
- Training courses are repeated regularly (e.g. every year)</t>
  </si>
  <si>
    <t>Arbeitsplätze</t>
  </si>
  <si>
    <t>Work stations</t>
  </si>
  <si>
    <t>Entsprechen die Arbeits- und Prüfplätze den Anforderungen?</t>
  </si>
  <si>
    <t>Do the workplaces and test stations meet the requirements?</t>
  </si>
  <si>
    <t>- Ordnung &amp; Sauberkeit, Bedingungen &amp; Arbeitsschutzrichtlinien ermöglichen sicheres Arbeiten und Herstellung von iO-Teilen und Verwechslung von Teilen</t>
  </si>
  <si>
    <t>- Tidiness &amp; cleanliness, ergonomic conditions &amp; occupational safety guidelines enable safe working and production of OK parts and avoid mix-up of parts</t>
  </si>
  <si>
    <t>Equipment</t>
  </si>
  <si>
    <t>Werden Werkzeuge und Ausrüstung ordnungsgemäß gelagert?</t>
  </si>
  <si>
    <t>Are tools and equipment properly stored?</t>
  </si>
  <si>
    <t>- Definierter Lagerort und frei von Beschädigungen gelagert
- Statuskennzeichnung - Freigabestatus, Änderungsstand, Eigentumskennzeichnung (Kunde, Lieferant, Brose)
- Ordnung und Sauberkeit im WZ Lager</t>
  </si>
  <si>
    <t>- Defined storage location and stored free of damage
- Status identification - Approval status, change status, ownership identification (customer, supplier, Brose)
- Tidiness &amp; cleanliness</t>
  </si>
  <si>
    <t>Instandhaltung</t>
  </si>
  <si>
    <t>Maintenance</t>
  </si>
  <si>
    <t>Wird eine präventive Instandhaltung für Werkzeuge und Maschinen durchgeführt?</t>
  </si>
  <si>
    <t>Is preventive maintenance carried out for tools and machines?</t>
  </si>
  <si>
    <t>- Aufzeichnungen zur präventive Instandhaltung sind verfügbar
- Intervalle der Instandhaltung werden eingehalten</t>
  </si>
  <si>
    <t>- Preventive maintenance records are available 
- Maintenance intervals are observed</t>
  </si>
  <si>
    <t>Prozess-Überwachung</t>
  </si>
  <si>
    <t>Process control</t>
  </si>
  <si>
    <t>Sind Fertigungsparameter gegen unberechtigten Zugriff geschützt und erfolgt eine Dokumentation bei Änderungen innerhalb der zulässigen Toleranzgrenzen?</t>
  </si>
  <si>
    <t>Are production parameters protected against unauthorized access and is there documentation for changes within the defined tolerances?</t>
  </si>
  <si>
    <t>- Ist der Personenkreis die Parameter verändern können festgelegt/eingeschränkt?
- Sofern automatische Maschinenüberwachungen zur Verfügung stehen, sind diese aktiviert?</t>
  </si>
  <si>
    <t>- Is the group of persons who can change parameters defined/restricted?
- If automatic machine monitoring is available, is it activated?</t>
  </si>
  <si>
    <t>Mussanforderung für Lieferanten von Stanzteilen mit D-pflichtigem Material gemäß BN590614, BN569142, BN590595</t>
  </si>
  <si>
    <t>Mandatory requirement for stamping suppliers with D-required material according to BN590614, BN569142, BN590595</t>
  </si>
  <si>
    <t>opt. MA_3</t>
  </si>
  <si>
    <t>Bezugssystem</t>
  </si>
  <si>
    <t>Bezug</t>
  </si>
  <si>
    <t>Anzahl Bezugspunkte</t>
  </si>
  <si>
    <t>Number of reference points</t>
  </si>
  <si>
    <t>Beschreibung: Bezug / Referenzpunkte / Referenzlinien</t>
  </si>
  <si>
    <t>Description: Datum / Refernce points / Reference Lines</t>
  </si>
  <si>
    <t>Bild - Nummer</t>
  </si>
  <si>
    <t>Picture - No.</t>
  </si>
  <si>
    <t>Bilder</t>
  </si>
  <si>
    <t>Pictures</t>
  </si>
  <si>
    <t>Ausschnitte</t>
  </si>
  <si>
    <t>Sketches</t>
  </si>
  <si>
    <t>D Durchmesser</t>
  </si>
  <si>
    <t>Ø Durchmesser</t>
  </si>
  <si>
    <t>Ø Diameter</t>
  </si>
  <si>
    <t>R Radius</t>
  </si>
  <si>
    <t>Länge</t>
  </si>
  <si>
    <t>Length</t>
  </si>
  <si>
    <t>— Geradheit</t>
  </si>
  <si>
    <t>— Straightness</t>
  </si>
  <si>
    <t>▱ Ebenheit</t>
  </si>
  <si>
    <t>▱ Flatness</t>
  </si>
  <si>
    <t>○ Rundheit</t>
  </si>
  <si>
    <t>○ Circularity</t>
  </si>
  <si>
    <t>Zylindrizität</t>
  </si>
  <si>
    <t>Cylindricity</t>
  </si>
  <si>
    <t>⌒ Linienform</t>
  </si>
  <si>
    <t>⌒ Profile of a line</t>
  </si>
  <si>
    <t>⌓ Flächenform</t>
  </si>
  <si>
    <t xml:space="preserve">⌓ Profile of a surface </t>
  </si>
  <si>
    <t>// Parallelität</t>
  </si>
  <si>
    <t>// Parallelism</t>
  </si>
  <si>
    <t>⟂ Rechtwinkligkeit</t>
  </si>
  <si>
    <t>⟂ Perpendicularity</t>
  </si>
  <si>
    <t>∠ Neigung</t>
  </si>
  <si>
    <t>∠ Angularity</t>
  </si>
  <si>
    <t>⌖ Position</t>
  </si>
  <si>
    <t>◎ Konzentrizität</t>
  </si>
  <si>
    <t>◎ Concentricity</t>
  </si>
  <si>
    <t>Symmetrie</t>
  </si>
  <si>
    <t>Symmetry</t>
  </si>
  <si>
    <t>↗ Rundlauf</t>
  </si>
  <si>
    <t>↗ Runout</t>
  </si>
  <si>
    <t>↗ Planlauf</t>
  </si>
  <si>
    <t>⌰ Gesamtlauf</t>
  </si>
  <si>
    <t xml:space="preserve">⌰ Total runout </t>
  </si>
  <si>
    <t>ENG</t>
  </si>
  <si>
    <t>Input LQG/SQG1 bewertungskriterien</t>
  </si>
  <si>
    <t>DE</t>
  </si>
  <si>
    <t>Has the assignment of the sub-supplier for serial production taken place and the suppliers have confirmed the feasibility? 
Are customer specific requirements (CSR) and special characteristics submitted to the supply chain?</t>
  </si>
  <si>
    <t>Ist die Beauftragung der Unterlieferanten für die Serienproduktion erfolgt und die Herstellbarkeit vom Lieferanten bestätigt?
Sind die kundenspezifischen Forderungen und besondere Merkmale an die Lieferkette weiter gereicht worden?</t>
  </si>
  <si>
    <t>Supplier has their own timing plan that matches the  milestones from the order and quality milestones, and they are on-time with the project. The timing plan is with purchasing Brose agreed.</t>
  </si>
  <si>
    <t>Lieferanten Terminplan beinhaltet die Meilensteine gemäß Bestellung und die Qualitätsmeilensteine von Brose entsprechend der FS-Herstellbarkeitsanalyse. Die Termine sind mit dem Einkauf Brose vereinbart.</t>
  </si>
  <si>
    <t>Have all actions out of the Feasibilty study (FS) been realised in time?</t>
  </si>
  <si>
    <t>Supplier has and is working to the ordered revision level of CAD and drawing.  Supplier has received and reviewed all necessary standards and specifications relevant to the part.</t>
  </si>
  <si>
    <t>Der Lieferant arbeitet mit dem beauftragten CAD- und Zeichnungsindex. Der Lieferant hat alle erforderlichen Normen und Spezifikationen für das Teil erhalten und überprüft.</t>
  </si>
  <si>
    <t>Is a documented Feasibility study for the current drawing index available?</t>
  </si>
  <si>
    <t>Gibt es für den aktuellen Zeichnungsindex eine dokumentierte Herstellbarkeitsbestätigung?</t>
  </si>
  <si>
    <t>Is a Process-FMEA available?</t>
  </si>
  <si>
    <t xml:space="preserve">Liegt eine Prozess-FMEA vor?
</t>
  </si>
  <si>
    <t xml:space="preserve"> Are the special characteristics, also customer interfaces included, from Brose considered and secured?
</t>
  </si>
  <si>
    <t xml:space="preserve"> Sind die besonderen Merkmalen, incl. Kundenschnittstellen, von Brose in der P-FMEA berücksichtigt und abgesichert?
</t>
  </si>
  <si>
    <t>Supplier is considering red rabbit/referenz parts requirements and identification, controlled, checked and if possible calibration (IATF16949 10.2.4) ensured?</t>
  </si>
  <si>
    <t>Sind Fehlermuster/Referenzteile (Red Rabbit) geplant und werden die Anforderungen der Identifikation, Überwachung, Überprüfung und ggfs. Kalibrierung  (IATF16949 10.2.4) eingehalten?</t>
  </si>
  <si>
    <t>Liegt der Produktionslenkungsplan vor und beinhaltet die besonderen Merkmale von Brose?</t>
  </si>
  <si>
    <t xml:space="preserve">Supplier has plans and concept for the proper gages or measuring equipment.
and is a measurement alignment defined and with Brose agreed?
 </t>
  </si>
  <si>
    <t>Ist die Prüfmittelplanung im Terminplan nachvollziehbar berücksichtigt
 und ist ein Messabgleich definiert und mit Brose abgestimmt?</t>
  </si>
  <si>
    <t>Tracebility will be planned according FS?</t>
  </si>
  <si>
    <t>Wird die Rückverfolgbarkeit gem. FS geplant?</t>
  </si>
  <si>
    <t>x</t>
  </si>
  <si>
    <t>How will supplier report changes to the product or process during development or series?  Have any modifications to the project been made after acceptance of F.S.?</t>
  </si>
  <si>
    <t>Gab es Änderungen zum Stand der Herstellbarkeitsanalyse zur Vergabe?</t>
  </si>
  <si>
    <t>How will supplier plan to ensure technical cleanliness requirement for this product (If required on drawing / Brose norm)?</t>
  </si>
  <si>
    <t xml:space="preserve">Wie plant der Lieferant die technische Sauberkeitsanforderung für dieses Produkt? (Falls erforderlich auf der Zeichnung/ Brose Norm)
</t>
  </si>
  <si>
    <t>How will be lessons learned - topics considered in this product?</t>
  </si>
  <si>
    <t>Wie werden Lessons learned -Themen in diesem Produkt berücksichtigt?</t>
  </si>
  <si>
    <t>Nachweis</t>
  </si>
  <si>
    <t>Signed order necessary</t>
  </si>
  <si>
    <t>Unterschriebene Bestellung notwendig</t>
  </si>
  <si>
    <t>Acceptance of order available to provide evidance</t>
  </si>
  <si>
    <t>Target/Current-comparison supplier timing plan
- with Brose order
- with Brose quality milestones acc. FS (PEPsi)</t>
  </si>
  <si>
    <t>SOLL/IST-Vergleich Lieferantenterminplan:
- mit Brose-Bestellung
- mit Brose Qualitätsmeilensteine gem. FS (PEPsi)</t>
  </si>
  <si>
    <t xml:space="preserve">Review the project action plan with the supplier.
</t>
  </si>
  <si>
    <t xml:space="preserve">Überprüfen Sie den Maßnahmenplan zusammen mit dem Lieferanten.
</t>
  </si>
  <si>
    <t>Validate the correct drawing and CAD revision levels.
If drawings and CAD are not to the correct level or not available, escalation to the customer team is necessary. Rating must be "red" if correct drawing and CAD revisions are not available.
Supplier can demonstrate they have the required standards and specification.</t>
  </si>
  <si>
    <t>Überprüfen Sie den aktuellen Zeichnungs- und CAD-Index.
Wenn Zeichnungen und CAD-Daten nicht auf dem richtigen Index oder überhaupt nicht vorliegen, sofortige Eskalation an das Kundenteam und den Einkauf (Rating 'Rot').
Der Lieferant kann die geforderten Normen und Spezifikationen aufzeigen.</t>
  </si>
  <si>
    <t>signed Feasibility study / Feasibility study for index change</t>
  </si>
  <si>
    <t>unterschriebene FS/Änderungs-FS</t>
  </si>
  <si>
    <t>Target is "0" for non-development suppliers.
Request support from product design for this step.</t>
  </si>
  <si>
    <t>Fordern Sie Unterstützung von der Entwicklung für diesen Schritt ein.
Für nicht- Entwicklungslieferanten ist das Ziel "0".</t>
  </si>
  <si>
    <t>The process flow considers all main process steps</t>
  </si>
  <si>
    <t>Basis-FMEAs are available.
Review and identify areas needing improvement.
Are risks identified and have actions defined?
Do severity, occurrence, and detection rating meet AIAG/VDA standards?
Are the special characteristic symbols from the drawing carried over to the P-FMEA?
Does the document follow the process flow?</t>
  </si>
  <si>
    <t>Basis-FMEAs sind vorhanden
Ermittlung von verbesserungswürdigen Bereichen.
Sind Risiken identifiziert und sind akzeptable Maßnahmen definiert?
Treffen Bedeutung, Auftreten und Entdeckung den AIAG/VDA Normen?
Folgt das Dokument dem Prozessablauf?</t>
  </si>
  <si>
    <t>SOLL/IST-Vergleich der besonderen Merkmalen zwischen Brose Zeichnung und Lieferanten P-FMEA.
Bewertung nach BN 586437-xxx.
Target/Current-comparison from the special characteristics between Brose Drawing and supplier P-FMEA.
Evaluation acc. to BN 586437-xxx.</t>
  </si>
  <si>
    <t xml:space="preserve">SOLL/IST-Vergleich der besonderen Merkmalen zwischen Brose Zeichnung und Lieferanten P-FMEA.
Bewertung nach BN 586437-xxx.
</t>
  </si>
  <si>
    <t>Are there similar parts between Brose or other customers in this facility?  
Do their material handling and labeling systems stop potential of mixed parts?  
A plant walk to review similar parts and material control is appropriate.
Fill " mixed part audits" for Gate 2.</t>
  </si>
  <si>
    <t>Gibt es ähnliche Teile von Brose und anderen Kunden in diesem Werk?
Können die Etikettier Systeme die Verwechslung von Bauteilen verhindern?
Suchen Sie im Werk nach Teilen mit Verwechslungsgefahr und überprüfen Sie, ob es angemessene Maßnahmen gibt.
Füllen Sie das "Mixed parts audit" für Gate 2 aus.</t>
  </si>
  <si>
    <t>Planning of red rabbit/Poka yoke parts</t>
  </si>
  <si>
    <t>Planung der Red rabbit/Poka Yoke - Teile</t>
  </si>
  <si>
    <t>Annual revalidation requirements are in the control plan and match the F.S.
Does the document follow the process flow and PFMEA?
Special process characteristics out of PFMEA are considered.</t>
  </si>
  <si>
    <t xml:space="preserve">Jährliche Requalifikationsanforderungen sind in dem Kontrollplan entsprechend der Herstellbarkeitsanalyse enthalten.
Folgt das Dokument der P-FMEA und dem ProcessFlow-Chart?
</t>
  </si>
  <si>
    <t>Supplier displays capability concept for similar processes / parts.
Verify this against the supplier F.S. documents</t>
  </si>
  <si>
    <t>Der Lieferant kann Fähigkeitsnachweise für ähnliche Prozesse oder Teile zeigen.
Vergleichen Sie diese mit den Unterlagen der Herstellbarkeitsanalyse des Lieferanten.</t>
  </si>
  <si>
    <t>Test equipment plan.</t>
  </si>
  <si>
    <t>Prüfmittelplanung</t>
  </si>
  <si>
    <t>Verify the suppliers plans are valid to meet these volumes by reviewing projected cycle times and capacities.
Has the supplier acquired new business that will impact machine availability.</t>
  </si>
  <si>
    <t>Überprüfen Sie ob die Pläne für die Stückzahlen des Lieferanten realistisch sind, indem Sie Durchlaufzeiten und Kapazitäten überprüfen.
Hat der Lieferant andere Aufträge angenommen, die sich auf die Maschinenverfügbarkeit auswirken?</t>
  </si>
  <si>
    <t>Review the supplier cycle time calculations and line layout.
Supplier has plans to address pass through characteristics, mixed parts and mistake proofing.
Brose industrial engineering support can be requested.</t>
  </si>
  <si>
    <t>Überprüfen Sie die Durchlaufzeitkalkulation und das Layout der Linie.
Der Lieferant hat Pläne für die Markierung besonderer Merkmale mit Kundenschnittstellen, Teilen mit Verwechslungsgefahr und Fehlerkorrekturen vorzuweisen.
Brose Unterstützung kann Angefordert werden.</t>
  </si>
  <si>
    <t>Abgleich mit Prozessdatenblätter zum Werkzeug- bzw. Prozesskonzept der FS
z.B. Anspritzpunkte, Werkzeugstufen, Stanzrichtung</t>
  </si>
  <si>
    <t xml:space="preserve"> </t>
  </si>
  <si>
    <t>Are labels bulk printed for the day, or are they print per part or per box?</t>
  </si>
  <si>
    <t xml:space="preserve">Werden die Etikette für jedes einzelne Teil/Box gedruckt, oder eine Masse an Etiketten für den kompletten Tag gedruckt?
</t>
  </si>
  <si>
    <t xml:space="preserve">
Reference the supplier's Logistic Data Sheet</t>
  </si>
  <si>
    <t>Bearbeiten Sie das "Verpackung" Arbeitsblatt.</t>
  </si>
  <si>
    <t>Request Brose previous approval of those special processes. 
Review supplier evaluation and release of sub-suppliers performing special processes.
Notify Brose special process experts and supplier development if the supplier and its sub-suppliers are not approved.  
Brose will review sub-supplier's processes on-site if required.</t>
  </si>
  <si>
    <t>Fordern Sie bisherige Genehmigungen von Brose für den speziellen Prozess an.
Bewerten Sie die Lieferantenbewertung und geben Sie die Erlaubnis für spezielle Prozesse an den Unterlieferanten.
Benachrichtigen Sie die Brose Experten für spezielle Prozesse und den Lieferantenentwickler, wenn die Unterlieferanten nicht zugelassen sind.
Brose kann die Prozesse beim Unterlieferanten prüfen, falls es erforderlich ist.</t>
  </si>
  <si>
    <t>If the supplier has active safe launch.
Verify the suppliers safe launch data documentation and communication methods. 
Paynter charts (NRFT Records) are required to be sent to the Brose plant. (Define, provide example)</t>
  </si>
  <si>
    <t>Nur wenn der Lieferant aktiv am Safe Launch arbeitet.
Überprüfen Sie Dokumentation des Safe Launch vom Lieferanten.
Es ist erforderlich NRFT Diagramme zum Brose Werk zu schicken.</t>
  </si>
  <si>
    <t>Review suppliers previous IMDS submissions.</t>
  </si>
  <si>
    <t>Überprüfen Sie IMDS Daten von dem Lieferanten aus der Vergangenheit.</t>
  </si>
  <si>
    <t>Review the plant layout plans.
Review line layout plan per Process Flow specific to Brose product.</t>
  </si>
  <si>
    <t>Überprüfen Sie die Anlagenpläne
Überprüfen Sie für jedes Produkt den Ablauf mit dem ProcessFlow Chart für Brose Produkte.</t>
  </si>
  <si>
    <t>Review existing work instructions during your plant walk.  Format, content, location…</t>
  </si>
  <si>
    <t>Überprüfen Sie die aktuellen Arbeitsanweisungen, während Ihres Rundgangs. Stimmt das Format und der Inhalt?</t>
  </si>
  <si>
    <t>Review the suppliers quality metrics.  How are they performing with all of their customers and Brose?  Are there concerns that will need to be addressed with quality or logistics?</t>
  </si>
  <si>
    <t>Überprüfen Sie die Qualität des metrischen Systems des Lieferanten. Gab es Probleme in der Vergangenheit mit Brose oder anderen Kunden?
Gibt es Bedenken, die mit der Logistik oder Qualität abgesprochen werden müssen?</t>
  </si>
  <si>
    <t xml:space="preserve">Supplier to show evidence of their PM system.
Is it computer based or a paper system? 
Are the they using operator based PM's, and is it all complete?
Review the suppliers PM plans for the Brose tooling and equipment.
Is the PM frequency based on historical data?  </t>
  </si>
  <si>
    <t xml:space="preserve">Der Lieferant muss Beweisen, dass er über ein PM System verfügt.
Ist es ein Computer- oder Papier basiertes System?
Verwenden Sie Operator-basierte PM's, und ist alles vollständig?
Überprüfen Sie die Lieferanten PM Pläne für die Brose Werkzeuge und Ausrüstung.
Basiert das PM durchgängig auf vergleichbaren Daten (Ähnlichkeitsteile)?
</t>
  </si>
  <si>
    <t>Review the suppliers layout plans.  Number of pieces/cavities…</t>
  </si>
  <si>
    <t>Überprüfen Sie die Anordnungspläne des Lieferanten. Stückzahl/Kavitäten</t>
  </si>
  <si>
    <t>Review previous PPAPs the supplier has completed.</t>
  </si>
  <si>
    <t>Überprüfen Sie PPAPs aus der Vergangenheit, die der Lieferant bereits abgeschlossen hat.</t>
  </si>
  <si>
    <t>Evaluate at Gate 2</t>
  </si>
  <si>
    <t>Erst im 2. Gate überprüfen.</t>
  </si>
  <si>
    <t>Confirm purchase orders are issued, or there are plans to issue the necessary contracts.
Discuss Sub-supplier PPAP requirements with the supplier.</t>
  </si>
  <si>
    <t>Bestätigen Sie, dass Kaufverträge ausgegeben worden sind, oder das es Pläne gibt, die Verträge auszuteilen.
Überprüfen Sie die PPAP Anforderungen der Unterlieferanten.</t>
  </si>
  <si>
    <t>Evaluate at Gate 3</t>
  </si>
  <si>
    <t>Erst im 3. Gate überprüfen.</t>
  </si>
  <si>
    <t xml:space="preserve">Assure all rejected parts are labeled properly.  
Look for red bins and lock boxes.  
Verify that rejected parts are contained in a segregated and preferably locked location. </t>
  </si>
  <si>
    <t xml:space="preserve">Überprüfen Sie, ob alle n.iO. Teile ordnungsgemäß gekennzeichnet worden sind.  
Suchen Sie nach roten/verschlossen Boxen.  
Stellen Sie sicher, dass n.iO. Teile in diesen Boxen abgelegt sind. </t>
  </si>
  <si>
    <t>- confirmed purchasing order
- drawing/CAD-Model acc. Order
- confirmed Feasibility study for index change 
- updated part history list, started with Brose order</t>
  </si>
  <si>
    <t>- bestätigte Einkaufsbestellung
- Zeichnung/CAD_Modell gemäß Bestellung
- bestätigte Herstellbarkeitsanalyse zur Indexänderung
- aktualisierter Teile-Lebenslauf seit Beauftragung</t>
  </si>
  <si>
    <t>Testplan beschreiben.
Testpläne aus der Vergangenheit vorhanden?</t>
  </si>
  <si>
    <t>Durchsicht von Lessons Learned Aufzeichnungen.
Sicher stellen, dass Lesson Learned in der FMEA berücksichtigt wurde.</t>
  </si>
  <si>
    <t>Bewertungskriterien</t>
  </si>
  <si>
    <t>All points from SQG1 completed or added with dated actions, in accordance with the agreed project schedule?</t>
  </si>
  <si>
    <t>Alle Punkte aus LQG1 erledigt bzw. mit terminierten Maßnahmen, zum vereinbarten Terminplan übereinstimmend, versehen?</t>
  </si>
  <si>
    <t>Is the supplier and sub-suppliers on-time with the project.  Are any risks/ time delay identified and actions defined?</t>
  </si>
  <si>
    <t>Sind der Lieferant und die Unterlieferanten im Zeitplan mit dem Projekt? Sind Risiken/ Zeitverzug erkennbar und Maßnahmen definiert?</t>
  </si>
  <si>
    <t>Process flow is complete.</t>
  </si>
  <si>
    <t xml:space="preserve"> Process-Flow Chart ist komplett.</t>
  </si>
  <si>
    <t xml:space="preserve">Plans to address PTC's that are defined on the drawings and F.S. inquiry are identified in the PFMEA.  </t>
  </si>
  <si>
    <t xml:space="preserve"> P-FMEA ist vorhanden und auf aktuellem Stand.
</t>
  </si>
  <si>
    <t>Control plan is up-to-date?</t>
  </si>
  <si>
    <t>Ist der Produktionslenkungsplan aktuell?</t>
  </si>
  <si>
    <t xml:space="preserve">Are all gages and test equipment for this project planned on schedule as well measurement study analyses (MSA/VDA5) considered?
</t>
  </si>
  <si>
    <t>Hat der Lieferant alle Prüfmittel termingerecht eingeplant und auch die Meßmittelfähigkeit (MSA/VDA5) berücksichtigt?</t>
  </si>
  <si>
    <t>Has there been any change to the tool concept since the F.S.?  Brose tool engineering has reviewed the suppliers tooling concept and agrees with the approach.</t>
  </si>
  <si>
    <t>Durchsprache des Werkzeug-Konzepts.</t>
  </si>
  <si>
    <t>Are modifications comparing to products traceability requirements from SQG1 done?</t>
  </si>
  <si>
    <t>Gibt es Änderungen zum Rückverfolgbarkeitskonzept gegenüber LQG1?</t>
  </si>
  <si>
    <t>Have there been changes since Feasibility study with the order?</t>
  </si>
  <si>
    <t>How will supplier achieve technical cleanliness requirement for this product (If required on drawing / Brose norm)?</t>
  </si>
  <si>
    <t xml:space="preserve">Wie erreicht der Lieferant die technische Sauberkeitsanforderung für dieses Produkt? (Falls erforderlich auf der Zeichnung/ Brose Norm)
</t>
  </si>
  <si>
    <t>Review and verify portions of the contact list.
Confirm safety relevant person contact information and 24 hour emergency contact.</t>
  </si>
  <si>
    <t>Kontaktliste stichprobenartig prüfen.
Überprüfen Sie die Kontaktinformationen für alle sicherheitsrelevanten Personen und den 24-Studen-Nofallkontakt.</t>
  </si>
  <si>
    <t>Target/Current-comparison supplier timing plan
- with Brose order
- with Brose quality milestones acc. FS (PEPsi)
- with commissioned modifications from Brose</t>
  </si>
  <si>
    <t>SOLL/IST-Vergleich Lieferantenterminplan:
- mit Brose-Bestellung
- mit Brose Qualitätsmeilensteine gem. FS (PEPsi)
- mit von Brose beauftragten Änderungen
Ist der Lieferanten Terminplan mit dem des Unterlieferanten abgestimmt?</t>
  </si>
  <si>
    <t>Review the project action plan with the supplier.
Have all actions from F.S. review been closed with Brose SQE and purchasing.</t>
  </si>
  <si>
    <t>Überprüfen Sie den Maßnahmenplan zusammen mit dem Lieferanten.
Wurden alle Punkte der Herstellbarkeitsanalyse mit dem Brose Q-Planer und Einkäufer abgestimmt?</t>
  </si>
  <si>
    <t>Validate the correct drawing and CAD revision levels are in place at the supplier.
If drawings and CAD are not to the correct level or not available, escalation to the customer team is necessary. Rating must be 0% if correct drawing and CAD revisions are not available.
Reference the "Drawing Review" worksheet for drawing review questionnaire.
Supplier can demonstrate they have the required standards and specification or knows where to get them.</t>
  </si>
  <si>
    <t>Überprüfen Sie den aktuellen Zeichnungs- und CAD-Index wenn Sie beim Lieferanten sind.
Wenn Zeichnungen und CAD-Daten nicht auf dem richtigen Index oder überhaupt nicht vorliegen, sofortige Eskalation an das Kundenteam und den Einkauf (Rating '0%').
Verweisen Sie auf das den Fragebogen im "Drawing Review" Arbeitsblatt.
Der Lieferant kann die geforderten Normen und Spezifikationen nachweisen, oder weiß, wo er diese findet.</t>
  </si>
  <si>
    <t>Where any items of concern noted or failed in the review?
Have all items of concern been addressed?  
Does it appear that the feasibility review was a quality event?
If there are concerns identified, is the supplier aware that this is the last opportunity to highlight the issue?  Are these concerns listed on the action plan?</t>
  </si>
  <si>
    <t>Sind alle besonderen Merkmale berücksichtigt oder sind welche fehlerhaft?
Sind alle besonderen Merkmale aufgeführt?  
Sieht die Machbarkeitsstudie umsetzbar aus?
Ist dem Lieferant bewusst, dass, wenn er Bedenken hat, nun die letzte Möglichkeit besteht Änderungen vorzunehmen?
Sind diese Bedenken in dem Maßnahmenplan enthalten?</t>
  </si>
  <si>
    <t>The process flow consider all steps of the process</t>
  </si>
  <si>
    <t>Das Prozess-Flow Chart für jeden einzelnen Prozessschritt ist enhalten.</t>
  </si>
  <si>
    <t xml:space="preserve">ordered Brose drawing index considered?
Are risks according risk matrix resp. RPN-pareto analyze identified?
Are the drawing special characteristic symbols carried out through the FMEA?
</t>
  </si>
  <si>
    <t>- ordered Brose drawing index considered?
'- Are risks acc. risk matrix resp. PRZ-pareto analyze identified?
- are special characteristics from the brose drawing in the supplier FMEA consistent considered and assured?
- are the special characteristics from the supplier FMEA, Controlplan, inspectionsplan, control charts and appliable documents consistent?
Remark: in case not all special characteristics - esp. customer interfaces - are checked by Brose, this characerists needs to be proofed by supplier.</t>
  </si>
  <si>
    <t>- beauftragter Brose Zeichnungsstand enthalten?
- Sind die Risiken gem. Risikomatrixen bzw. RPZ-Paratoanalyse identifiziert?
- sind alle Besonderen Merkmale aus der Brose-Zeichnung in der Lieferanten - FMEA durchgängig berücksichtigt und abgesichert?
- ist die Durchgängigkeit der Besonderen Merkmale beim LIeferanten von der FMEA, PLP, Prüfplan, Prüfaufschreibungen und mitgeltenden Dokumenten gegeben?
Hinweis: Besondere Merkmale mit einer Kundenschnittstelle die nicht bei Brose überprüft werden, müssen durch den Lieferanten abgesichert werden.</t>
  </si>
  <si>
    <t>Are there similar parts between Brose or other customers in this facility?  
Do their material handling and labeling systems stop potential of mixed parts?  
A plant walk to review similar parts and material control is appropriate.
Complete the mixed part audit form tab.</t>
  </si>
  <si>
    <t>Gibt es ähnliche Teile von Brose und anderen Kunden in diesem Werk?
Können die Etikettier Systeme die Verwechslung von Bauteilen verhindern?
Suchen Sie im Werk nach Teilen mit Verwechslungsgefahr und überprüfen Sie, ob es angemessene Maßnahmen gibt.
Füllen Sie das "Mixt parts audit" Arbeitsblatt aus.</t>
  </si>
  <si>
    <t xml:space="preserve">Verify that the supplier has a red rabbit policy.  What is the reaction to a red rabbit failure?
How are red rabbit tests verified?
Is the equipment programmed to periodically  stop for red rabbit tests? (Best practice)  </t>
  </si>
  <si>
    <t xml:space="preserve">Stellen Sie sicher, dass der Lieferant über ein Fehlermuster Verfahren verfügt. Was passiert, wenn ein Fehlermuster nicht erkannt wird?
Wie werden die Fehlermuster Tests überprüft?
Sind die Maschinen darauf eingestellt regelmäßig Fehlermuster Tests durchzuführen? </t>
  </si>
  <si>
    <t xml:space="preserve">Special process characteristics out of PFMEA are considered?
</t>
  </si>
  <si>
    <t>Wurden spezielle Prozessmerkmale aus der P-FMEA berücksichtigt?</t>
  </si>
  <si>
    <t>Review concept for gages/test equipment</t>
  </si>
  <si>
    <t>Überprüfung der Konzepte zu den Prüfmitteln</t>
  </si>
  <si>
    <t>Überprüfen Sie die Durchlaufzeitkalkulation und das Layout der Linie.
Der Lieferant hat Pläne für die Markierung besonderer Merkmale mit Kundenschnittstellen, Teile mit Verwechslungsgefahr und Fehlerkorrekturen zu maskieren.
Brose Unterstützung kann Angefordert werden.</t>
  </si>
  <si>
    <t xml:space="preserve">Are labels bulk printed for the day, or are they print per part or per box?  
Address any potential concerns with opportunities for mis-labeling. </t>
  </si>
  <si>
    <t>Werden die Etikette für jedes einzelne Teil/Box gedruckt, oder eine Masse an Etiketten für den kompletten Tag gedruckt?
Nennen Sie alle möglichen Bedenken für eine Falschetikettierung.</t>
  </si>
  <si>
    <t>Reference the "Packaging" worksheet for packaging questionnaire.</t>
  </si>
  <si>
    <t>Bearbeiten Sie das "Verpackungs" Arbeitsblatt.</t>
  </si>
  <si>
    <t>Verify the suppliers safe launch data documentation and communication methods. 
Paynter charts (NRFT Records) are required to be sent to the Brose plant. (Review documents to be used for Brose)
Verify work instruction and training.
Verify operators are  following work instructions and recording data accurately and clearly.
Verify the capacity for safe launch is equivalent to line rate.
Is the inspector feasibly capable of making the number of inspections effectively?
Verify appropriate gage methods are used for the feature being checked. i.e. gage pins, caliper, visual, etc.</t>
  </si>
  <si>
    <t>Überprüfen Sie Dokumentation des Safe Launch vom Lieferanten.
Es ist erforderlich NRFT Diagramme zum Brose Werk zu schicken.
Überprüfen Sie Arbeitsanweisungen und Schulungen und stellen Sie sicher, dass die Arbeiter in der Linie die Anweisungen verstehen.
Vergewissern Sie sich, dass die Kapazität des Safe Launch vergleichbar mit der Serie sind.
Ist der Inspektor in der Lage Kontrollen durchzuführen?
Werden geeignete Methoden angewandt, um die Funktion zu prüfen?</t>
  </si>
  <si>
    <t>Überprüfen Sie die Anlagenpläne.
Überprüfen Sie für jedes Produkt den Ablauf mit dem ProcessFlow Chart für Brose Produkte.</t>
  </si>
  <si>
    <t>Überprüfen Sie die aktuellen Arbeitsanweisungen.
 während Ihres Rundgangs. Stimmt das Format und der Inhalt?</t>
  </si>
  <si>
    <t>Überprüfen Sie die Qualität des metrischen Systems des Lieferanten. Gab es Probleme in der Vergangenheit mit Brose oder anderen Kunden?
Gibt es bedenken, die mit der Logistik oder Qualität abgesprochen werden müssen?</t>
  </si>
  <si>
    <t>Control Plan, sampling procedure, full-run-test,  testing equipment planning, audits, etc.</t>
  </si>
  <si>
    <t>Kontrollplan, Bemusterungsprozess, Full-Run-Test, Audits usw.</t>
  </si>
  <si>
    <t>Assessed during Gate 3</t>
  </si>
  <si>
    <t>Wird im Gate 3 bewertet.</t>
  </si>
  <si>
    <t>Are all points from SQG 1+2 completed?</t>
  </si>
  <si>
    <t>Sind alle Punkte aus LQG 1+2 abgeschlossen?</t>
  </si>
  <si>
    <t>Is the supplier and sub-suppliers on-time with the project.  Are any timing risks identified?</t>
  </si>
  <si>
    <t>Sind der Lieferant und die Unterlieferanten im Zeitplan mit dem Projekt? Sind Risiken/Zeitverzug erkennbar und Maßnahmen definiert?</t>
  </si>
  <si>
    <t xml:space="preserve"> PFMEA is available and up-to-date.</t>
  </si>
  <si>
    <t>P-FMEA ist vorhanden und auf aktuellem Stand.</t>
  </si>
  <si>
    <t>Are red rabbit/referenz parts available and identification, controlled, checked and if possible calibration (IATF16949 10.2.4) ensured?</t>
  </si>
  <si>
    <t>Is the control plan (series) available?</t>
  </si>
  <si>
    <t>Ist der Produktionslenkungsplan (Serie) aktuell?</t>
  </si>
  <si>
    <t>Are the capability studies of special charateristics on schedule in agreement with Feasibility study?</t>
  </si>
  <si>
    <t>Supplier gages and test equipment and MSA's for this project available and complete?</t>
  </si>
  <si>
    <t>Are modifications comparing to products traceability requirements from SQG2 done?</t>
  </si>
  <si>
    <t>Are all relevant documents, also from subsuppliers, for IMDS submission available?</t>
  </si>
  <si>
    <t>Are the requirements, acc. Initial sample order resp. Extranet well understood?</t>
  </si>
  <si>
    <t>Sind die Unterlieferanten-PPF/PPAPs sind durch den Lieferanten freigegeben?</t>
  </si>
  <si>
    <t>Does the supplier have a part related backup plan to maintain production capacity in the event of on emergency?</t>
  </si>
  <si>
    <t xml:space="preserve">Hat der Lieferant die technische Sauberkeitsanforderung für dieses Produkt umgesetzt? (Falls erforderlich auf der Zeichnung/ Brose Norm)
</t>
  </si>
  <si>
    <t>Does the supplier have new lessons learned from this products / processes evaluated?</t>
  </si>
  <si>
    <t xml:space="preserve">Hat der Lieferant bei diesem Produkt neue Lessons Learned - Erkenntnisse erhalten? </t>
  </si>
  <si>
    <t>Verify that the supplier has no concerns with contracts and purchase orders.
If commercial documents are not available, immediate escalation to customer team and buyer is necessary.  Rating must be "red" if contracts and purchase order are not issued to the supplier.</t>
  </si>
  <si>
    <t>Review the action plan against the program timing.
Does supplier have signed timing agreement with Brose Purchasing with key milestones?
Project schedule in "Timing Plan" worksheet. 
Is the supplier timing aligned with sub-supplier timing?</t>
  </si>
  <si>
    <t>Überprüfen Sie den Maßnahmenplan auf Übereinstimmung mit dem Terminplan.
Hat der Lieferant eine Zeitvereinbarung mit den wichtigsten Meilensteinen mit dem Brose Einkauf unterschrieben?
Projektablauf in "Terminplan" Arbeitsblatt. 
Ist der Lieferanten Terminplan mit dem des Unterlieferanten abgestimmt?</t>
  </si>
  <si>
    <t>Does the process flow consider all steps of the process?</t>
  </si>
  <si>
    <t>Enthält das Process-Flow Chart jeden einzelnen Schritt des Prozesses.</t>
  </si>
  <si>
    <t>Review and identify areas needing improvement.
Are high risks identified and have actions defined?
Do severity, occurrence, and detection rating meet AIAG standards?
Do the drawing special characteristic symbols carry through from the drawing?
Does the document follow the process flow?
Have all critical characteristics been carried down to sub-suppliers?
(Consider conducting a PFMEA review with Brose process expert for critical parts.)</t>
  </si>
  <si>
    <t>Ermittlung von verbesserungswürdigen Bereichen.
Sind die großen Risiken identifiziert und sind akzeptable Maßnahmen definiert?
Treffen Bedeutung, Auftreten und Entdeckung AIAG/VDA Normen?
Sind alle Besonderen Merkmale aus der Zeichnung berücksichtigt?
Folgt das Dokument dem Prozessablauf?
Sind dem Unterlieferanten alle besonderen Merkmale  bekannt?</t>
  </si>
  <si>
    <t xml:space="preserve">- beauftragter Brose Zeichnungsstand enthalten?
- Sind die Risiken gem. Risikomatrixen bzw. RPZ-Paratoanalyse identifiziert?
- sind alle Besonderen Merkmale aus der Brose-Zeichnung in der Lieferanten - FMEA durchgängig berücksichtigt und abgesichert?
- ist die Durchgängigkeit der Besonderen Merkmale beim LIeferanten von der FMEA, PLP, Prüfplan, Prüfaufschreibungen und mitgeltenden Dokumenten gegeben?
Hinweis: Besondere Merkmale mit einer Kundenschnittstelle die nicht bei Brose überprüft werden, müssen durch den Lieferanten abgesichert werden.
</t>
  </si>
  <si>
    <t>Gibt es ähnliche Teile von Brose und anderen Kunden in diesem Werk?
Können die Etikettier Systeme die Verwechslung von Bauteilen verhindern?
Suchen Sie im Werk nach Teilen mit Verwechslungsgefahr und überprüfen Sie, ob es angemessene Maßnahmen gibt.
Füllen Sie das "Mixed parts audit" Arbeitsblatt aus.</t>
  </si>
  <si>
    <t>Calibration reports available.
MSA complete and OK
Review use of gages and test equipment.
Work instructions available.</t>
  </si>
  <si>
    <t>Kalibrierungsberichte sind zur Verfügung
MSA ist vollständig und vorhanden
Überprüfen Sie den Gebrauch der Prüfmittel
Arbeitsanweisungen sind verfügbar</t>
  </si>
  <si>
    <t>Verify the suppliers plans are valid to meet these volumes by reviewing projected cycle times and capacities.
Has the supplier acquired new business that will impact machine availability.
Confirm sub-supplier contracts agree to volume requirements.  
Check sub-supplier emergency plans.</t>
  </si>
  <si>
    <t>Überprüfen Sie ob die Pläne für die Stückzahlen des Lieferanten realistisch sind, indem Sie Durchlaufzeiten und Kapazitäten überprüfen.
Hat der Lieferant andere Aufträge angenommen, die sich auf die Maschinenverfügbarkeit auswirken?
Überprüfen Sie Unterlieferantenverträge im Bezug auf die Kapazitätsanforderungen.
Überprüfen Sie Notfallpläne der Unterlieferanten.</t>
  </si>
  <si>
    <t>Überprüfen Sie die Durchlaufzeitkalkulation und das Layout der Linie.
Der Lieferant hat Pläne für die Markierung besonderer Merkmale mit Kundenschnittstelle, Teile mit Verwechslungsgefahr und Fehlerkorrekturen.
Brose Unterstützung kann Angefordert werden.</t>
  </si>
  <si>
    <t>A solid concept plan is in place that takes into account all dimensional capability requirements,  PTC's, and poke Yokes.
Reference the "Tooling" worksheet for tooling questionnaire.</t>
  </si>
  <si>
    <t>Ein fester Konzeptplan ist vorhanden, auf dem alle dimensionalen Fähigkeitsanforderungen, besondere Merkmale mit Kundenschnittstelle und Poka Yoke enthalten sind.
Verweisen Sie auf das "Werkzeug" Arbeitsblatt.</t>
  </si>
  <si>
    <t>PDS available.
Packaging trial completed (if defined by Brose LO Planner).</t>
  </si>
  <si>
    <t>PDS ist verfügbar
Verpackungsprüfung ist abgeschlossen (falls es erforderlich war)</t>
  </si>
  <si>
    <t>Verify the suppliers safe launch data documentation and communication methods. 
Paynter charts (NRFT Records) are required to be sent to the Brose plant. (Define, provide example)
Verify work instruction and training.
Verify operators are  following work instructions and recording data accurately and clearly.
Verify the capacity for safe launch is equivalent to line rate.
Is the inspector feasibly capable of making the number of inspections effectively?
Verify appropriate gage methods are used for the feature being checked. (i.e. gage pins, caliper, visual)</t>
  </si>
  <si>
    <t>Review the suppliers layout plans.  Number of pieces/cavities…
Is supplier measurement process aligned with Brose measurement process? 
Joint measurement trial between supplier and Brose.  
Is the planned measurement system acceptable?  
Holding fixtures available (if required)</t>
  </si>
  <si>
    <t>Überprüfen Sie die Anordnungspläne des Lieferanten. Stückzahl/Kavitäten
Ist das Messverfahren des Lieferanten auf den Brose Messprozess ausgerichtet? 
Gibt es gemeinsame Messungen vom Lieferanten und Brose? 
Ist das geplante Messsystem akzeptierbar?
Sind Haltevorrichtungen vorhanden (falls erforderlich)?</t>
  </si>
  <si>
    <t xml:space="preserve">Review PSW's or PPF
</t>
  </si>
  <si>
    <t xml:space="preserve">Überprüfen Sie die PPF/PPAPs.
</t>
  </si>
  <si>
    <t>Verify the suppliers and sub-supplier's ramp-up plan to the Brose plan.</t>
  </si>
  <si>
    <t>Überprüfen Sie den Anlaufplan des Lieferanten und den der Unterlieferanten.</t>
  </si>
  <si>
    <t xml:space="preserve">Supplier to present an acceptable emergency plan that assures production will continue in the event on an emergency. </t>
  </si>
  <si>
    <t>Responsibility matrix (verification agreement if necessary)
Have changes already been reported and agreed?
Verify necessary actions performed after changes (moldflow simulations, capability confirmation, etc.)
Is the project still feasible?  (In no, immediate escalation required)</t>
  </si>
  <si>
    <t>Terminplan:</t>
  </si>
  <si>
    <t>target</t>
  </si>
  <si>
    <t>Preparation Equipment</t>
  </si>
  <si>
    <t>actual</t>
  </si>
  <si>
    <t>Planing sub-suplliers</t>
  </si>
  <si>
    <t>SQG 1
(max. 4 weeks after placing order)</t>
  </si>
  <si>
    <t>Order material production</t>
  </si>
  <si>
    <t>Tool construction
(including SQG 2)</t>
  </si>
  <si>
    <t>Designing tool</t>
  </si>
  <si>
    <t>SQG 2
(finish designing tool)</t>
  </si>
  <si>
    <t>Order material for tooling</t>
  </si>
  <si>
    <t>single piece production</t>
  </si>
  <si>
    <t>Tooling assembling</t>
  </si>
  <si>
    <t>Tooling adjustment
(Tooling assembling, functional check)</t>
  </si>
  <si>
    <t>Relocation to production plant</t>
  </si>
  <si>
    <t>erste werkzeugfallende Teile
inkl Messbericht</t>
  </si>
  <si>
    <t>First of tool parts
incl. Measurement report</t>
  </si>
  <si>
    <t>Korrekturschleife
(Werkzeugkorrektur und Messbericht</t>
  </si>
  <si>
    <t>correction loop
(tooling correction and measurement report)</t>
  </si>
  <si>
    <t>Main- and functional diamensions ok</t>
  </si>
  <si>
    <t>Q-Themen &amp; Dokumentation
(PFMEA, PLP, Lehren, MSA…)</t>
  </si>
  <si>
    <t>Q-subjects &amp; Documentation
(PFMEA, PLP, Gages, MSA…)</t>
  </si>
  <si>
    <t>SQG 3
(6-8 weeks prior sampling)</t>
  </si>
  <si>
    <t>Internal R&amp;R</t>
  </si>
  <si>
    <t>R&amp;R Brose</t>
  </si>
  <si>
    <t>ok-sampling with test report</t>
  </si>
  <si>
    <t xml:space="preserve">Planung SOLL-Datum:
- Bei der Planung des SOLL-Status, ist einmalig zum Projektstart das geplante  Start- und Enddatum einzutragen. 
Status IST-Datum:
- Wenn eine Aktivität gestartet wurde, ist das Datum des Beginns als Start-Datum einzutragen.
- Bei der Aktualisierung des IST-Standes, ist das aktuelle Datum in die Spalte "Status-Datum" einzutragen. Solange eine Aktivität nicht abgeschlossen sit, so darf kein End-Datum eingetragen werden. 
- Ist eine Aktivität beendet, so muss das End-Datum eingetragen sein. 
</t>
  </si>
  <si>
    <t xml:space="preserve">Planning  target-date:
Please fill planned Start- and End-Date for all target dates.
Status actual-date:
'- If a task is started, please fill the start-date with date of beginning.
'- Additionally please fill for each evaluation the curretn date for status date
'- If a task is finished, please set a End-date.
</t>
  </si>
  <si>
    <t>Anweisungen</t>
  </si>
  <si>
    <t>Brose Lieferanten Qualiy Gates - Anweisungen</t>
  </si>
  <si>
    <t>Ziel ist es, den Reifegrad des Projekts zu bewerten und ggfs. Maßnahmen bei Abweichungen einzuleiten, um eine termingerechte i.O.-Bemusterung sicher zu stellen.</t>
  </si>
  <si>
    <t>The aim is, to ensure the maturaty level of the project and if necessary to implement actions, to assure an OK PPAP on time</t>
  </si>
  <si>
    <t>FRT:</t>
  </si>
  <si>
    <t>Are the planned station times followed and are there still enough capacity reserves existing?</t>
  </si>
  <si>
    <t>Dokumente / Documents</t>
  </si>
  <si>
    <t xml:space="preserve">Do the patency and indentification of the special attributes existing (P-FMEA, production control plan, inspection plan…)? </t>
  </si>
  <si>
    <t>Ist die Durchgängigkeit und Kennzeichnung der besonderen Merkmale gegeben (P-FMEA, Produktionslenkungsplan, Prüfplan, ...)?</t>
  </si>
  <si>
    <t>Are the possible errors with RPZ &gt; 100 from the P-FMEA considered and approproiate actions determined?</t>
  </si>
  <si>
    <t>Sind Fehlermöglichkeiten mit RPZ &gt; 100 aus der P-FMEA berücksichtigt und sind  entsprechende Maßnahmen festgelegt?</t>
  </si>
  <si>
    <t xml:space="preserve">Is the check list to the tool and/or process concept (see AQP) complete revised?
(The template check lists for pressing and forming technology, injection moulding, assembly groups/Bowden and welding assembly groups are available under http://www.brose.com/ww/en/pub/purchasing/download/handbooks.htm.)
</t>
  </si>
  <si>
    <t>Ist die Checkliste zum Werkzeug- bzw. Prozeßkonzept (siehe FS) vollständig ausgefüllt? 
(Die Checklisten-Vorlagen für Stanz- und Umformtechnik, Kunststoffspritzgießen, Montagebaugruppen/Bowdenzüge , Kaltfließpressen, Druckguss und Schweißbaugruppen sind unter http://www.brose.com/ww/de/pub/einkauf/download/handbuecher.htm verfügbar.)</t>
  </si>
  <si>
    <t>Part related Emergency plan implemented (see AQP)?</t>
  </si>
  <si>
    <t>Teilebezogener Notfallplan vorhanden (siehe FS)?</t>
  </si>
  <si>
    <t>Prozess / Process</t>
  </si>
  <si>
    <t>Is the product manufactured at the serial production place by using the serial- tools, -machines/ -equipment, -processes, -material and -process parameters?</t>
  </si>
  <si>
    <t>Are all process steps/ inspections accomplished and documented as determined in the production control plan? (firstpart approval, SPC, random inspection,…)</t>
  </si>
  <si>
    <t>Werden alle Prozessschritte/Prüfungen wie im Produktionslenkungsplan festgelegt durchgeführt und dokumentiert?
(Erstteilfreigabe, SPC, Stichproben, ...)</t>
  </si>
  <si>
    <t>It is guaranteed by the existing process that i.O parts are only delivered?</t>
  </si>
  <si>
    <t>Are the work instructions/instruction sheets existing and available at every work station?</t>
  </si>
  <si>
    <t>Sind die Arbeitsanweisungen/Bedienungsanleitungen vorhanden und an jedem Arbeitsplatz verfügbar?</t>
  </si>
  <si>
    <t>Are all  kinds of measurements/gauges accompanying the process completly functional (calibration, ability of measurement equipment), marked, at the right place and  do they map all the requirements  of the production control plan?</t>
  </si>
  <si>
    <t>Sind alle prozessbegleitenden Messmittel/Lehren vollständig,  funktionsfähig (Kalibrierung, Messmittelfähigkeit), gekennzeichnet, am richtigen Ort und bilden diese alle Anforderungen lt. Produktionslenkungsplan ab?</t>
  </si>
  <si>
    <t>If necessary, are appropriate limiting sample parts/ visual aids available and approved at the appropriate work stations?</t>
  </si>
  <si>
    <t>Falls erforderlich, sind geeignete Grenzmusterteile/visuelle Hilfsmittel an den entsprechenden Arbeitsplätzen verfügbar und freigegeben?</t>
  </si>
  <si>
    <t>Are start-up parts/n.ok parts locked out of the production process and is it assured, that these parts are not going to be delivered?</t>
  </si>
  <si>
    <t>Are there still open issues/methods from the SupplierQualityGates (SQGs), which have influence on the process approval?</t>
  </si>
  <si>
    <t>Gibt es noch offene Punkte/Maßnahmen aus den LieferantenQualityGates (LQGs) die Einfluss auf die Prozessfreigabe haben?</t>
  </si>
  <si>
    <t>Are the tools/gauges marked and is the status clearly noticeable? Is the property of Brose / customer clearly marked?</t>
  </si>
  <si>
    <t>Qualität / Quality</t>
  </si>
  <si>
    <t>Do the parts match the required quality? Is the Quality conditions of last production comprehensible documented? Example lastpart)</t>
  </si>
  <si>
    <t>Entsprechen die Teile der geforderten Qualität? (Ist auch der Qualitätsstand der letzten Produktion nachvollziehbar dokumentiert? Bsp. Letztteil)</t>
  </si>
  <si>
    <t>Unterlieferant / Sub supplier</t>
  </si>
  <si>
    <t>Is the delivery quality of the subsuppliers assured? (incoming goods department inspection, PPAP/PPF, delivered Quality until now,…)</t>
  </si>
  <si>
    <t>Ist die Anlieferqualität von Unterlieferanten sichergestellt? (Wareneingangsprüfung, PPAP/PPF, bisher gelieferte Qualität, …)</t>
  </si>
  <si>
    <t>Are supsuppliers for material and/or purchased parts available and is the delivery of a planned capacity of +20%  accepted by the supsupplier?</t>
  </si>
  <si>
    <t>Verpackung / Packaging</t>
  </si>
  <si>
    <t>Is there a packaging instruction jointly agreed upom with Brose and are this instruction followed ?</t>
  </si>
  <si>
    <t>Is it assured, that confusion and damaging of parts are precluded,  throughout the whole Porcess chain?</t>
  </si>
  <si>
    <t>Ist sichergestellt, dass in der gesamten Prozesskette,  Verwechslung und Beschädigung von Teilen ausgeschlossen werden?</t>
  </si>
  <si>
    <t>Select language</t>
  </si>
  <si>
    <t>DSQG &amp; SQG</t>
  </si>
  <si>
    <t>Development supplier</t>
  </si>
  <si>
    <t>DSQG0 &amp; DSQG1 &amp; DSQG2</t>
  </si>
  <si>
    <t>Industrialization supplier</t>
  </si>
  <si>
    <t>SQG1 &amp; SQG2 &amp; SQG3</t>
  </si>
  <si>
    <t>Development + Industrialization at development supplier</t>
  </si>
  <si>
    <t>DSQG0 &amp; DSQG1 &amp; DSQG2 &amp; SQG1/ SQG2 &amp; SQG3</t>
  </si>
  <si>
    <t>Sollmenge</t>
  </si>
  <si>
    <t>Standzeiten</t>
  </si>
  <si>
    <t>Sprache wählen/ select language</t>
  </si>
  <si>
    <t>C0.1</t>
  </si>
  <si>
    <t>F0.1</t>
  </si>
  <si>
    <t>P0.1</t>
  </si>
  <si>
    <t>P0.2</t>
  </si>
  <si>
    <t>P0.3</t>
  </si>
  <si>
    <t>P0.4</t>
  </si>
  <si>
    <t>P0.5</t>
  </si>
  <si>
    <t>P0.6</t>
  </si>
  <si>
    <t>P0.7</t>
  </si>
  <si>
    <t>P0.8</t>
  </si>
  <si>
    <t>P0.9</t>
  </si>
  <si>
    <t>Q0.1</t>
  </si>
  <si>
    <t>F1.1</t>
  </si>
  <si>
    <t>P1.1</t>
  </si>
  <si>
    <t>P1.2</t>
  </si>
  <si>
    <t>P1.3</t>
  </si>
  <si>
    <t>P1.4</t>
  </si>
  <si>
    <t>P1.5</t>
  </si>
  <si>
    <t>P1.6</t>
  </si>
  <si>
    <t>P1.7</t>
  </si>
  <si>
    <t>P1.8</t>
  </si>
  <si>
    <t>P1.9</t>
  </si>
  <si>
    <t>F2.1</t>
  </si>
  <si>
    <t>F2.2</t>
  </si>
  <si>
    <t>P2.1</t>
  </si>
  <si>
    <t>P2.2</t>
  </si>
  <si>
    <t>P2.3</t>
  </si>
  <si>
    <t>P2.4</t>
  </si>
  <si>
    <t>P2.5</t>
  </si>
  <si>
    <t>P2.6</t>
  </si>
  <si>
    <t>P2.7</t>
  </si>
  <si>
    <t>Q2.1</t>
  </si>
  <si>
    <t>Q2.2</t>
  </si>
  <si>
    <t>C1.1</t>
  </si>
  <si>
    <t>Q1.1</t>
  </si>
  <si>
    <t>Q1.2</t>
  </si>
  <si>
    <t>Q1.3</t>
  </si>
  <si>
    <t>Q1.4</t>
  </si>
  <si>
    <t>Q1.5</t>
  </si>
  <si>
    <t>Q1.6</t>
  </si>
  <si>
    <t>Q1.7</t>
  </si>
  <si>
    <t>Q1.8</t>
  </si>
  <si>
    <t>S1.1</t>
  </si>
  <si>
    <t>Q2.3</t>
  </si>
  <si>
    <t>Q2.4</t>
  </si>
  <si>
    <t>Q2.5</t>
  </si>
  <si>
    <t>Q2.6</t>
  </si>
  <si>
    <t>Q2.7</t>
  </si>
  <si>
    <t>Q2.8</t>
  </si>
  <si>
    <t xml:space="preserve">
</t>
  </si>
  <si>
    <t>P3.1</t>
  </si>
  <si>
    <t>P3.2</t>
  </si>
  <si>
    <t>P3.3</t>
  </si>
  <si>
    <t>P3.4</t>
  </si>
  <si>
    <t>P3.5</t>
  </si>
  <si>
    <t>P3.6</t>
  </si>
  <si>
    <t>Q3.1</t>
  </si>
  <si>
    <t>Q3.2</t>
  </si>
  <si>
    <t>Q3.3</t>
  </si>
  <si>
    <t>Q3.4</t>
  </si>
  <si>
    <t>Q3.5</t>
  </si>
  <si>
    <t>Q3.6</t>
  </si>
  <si>
    <t>Q3.7</t>
  </si>
  <si>
    <t>Q3.8</t>
  </si>
  <si>
    <t>Q3.9</t>
  </si>
  <si>
    <t>Q3.10</t>
  </si>
  <si>
    <t>Q3.11</t>
  </si>
  <si>
    <t>LQG 1-3 Ergebnis</t>
  </si>
  <si>
    <t>Projekt:</t>
  </si>
  <si>
    <t>Teile Name:</t>
  </si>
  <si>
    <t>Lieferant:</t>
  </si>
  <si>
    <t>Addresse:</t>
  </si>
  <si>
    <t>Lieferanten Nr. SAP:</t>
  </si>
  <si>
    <t>LQG1</t>
  </si>
  <si>
    <t>LQG2</t>
  </si>
  <si>
    <t>LQG3</t>
  </si>
  <si>
    <t>D55</t>
  </si>
  <si>
    <t>DS45</t>
  </si>
  <si>
    <t>D658</t>
  </si>
  <si>
    <t>Aufgabe</t>
  </si>
  <si>
    <t>Wertung</t>
  </si>
  <si>
    <t>Aufabe</t>
  </si>
  <si>
    <t>Commercial Tiered Suppliers</t>
  </si>
  <si>
    <t>Contacts</t>
  </si>
  <si>
    <t>Action Items</t>
  </si>
  <si>
    <t>Drawings, norms, specifications.</t>
  </si>
  <si>
    <t>DFM</t>
  </si>
  <si>
    <t>DFMEA</t>
  </si>
  <si>
    <t>Process Flow</t>
  </si>
  <si>
    <t>PFMEA</t>
  </si>
  <si>
    <t>PTC</t>
  </si>
  <si>
    <t>Mixed Parts</t>
  </si>
  <si>
    <t>Red Rabbits / Poke Yoke Samples</t>
  </si>
  <si>
    <t>Capability Plans</t>
  </si>
  <si>
    <t>Gages and Measuring Equipment</t>
  </si>
  <si>
    <t>Tooling</t>
  </si>
  <si>
    <t>Labels</t>
  </si>
  <si>
    <t>Special Processes</t>
  </si>
  <si>
    <t>Plant Layout</t>
  </si>
  <si>
    <t>Work Inst.</t>
  </si>
  <si>
    <t>Metrics</t>
  </si>
  <si>
    <t>Preventative Maintenance</t>
  </si>
  <si>
    <t>Part Layout</t>
  </si>
  <si>
    <t>PPAP</t>
  </si>
  <si>
    <t>Sub-supplier QU Planning</t>
  </si>
  <si>
    <t>Sub-supplier PPAPS</t>
  </si>
  <si>
    <t>Ramp Plan</t>
  </si>
  <si>
    <t xml:space="preserve">NCM </t>
  </si>
  <si>
    <t xml:space="preserve">Lessons Learned.  </t>
  </si>
  <si>
    <t>Gesamt-Status</t>
  </si>
  <si>
    <t>Comments:</t>
  </si>
  <si>
    <t>Review Date :</t>
  </si>
  <si>
    <t>Teil Name:</t>
  </si>
  <si>
    <t>Datum:</t>
  </si>
  <si>
    <t>Lieferantr:</t>
  </si>
  <si>
    <t>Adresse:</t>
  </si>
  <si>
    <t>PPAP Datum:</t>
  </si>
  <si>
    <t xml:space="preserve"> BroseTeile Nr.</t>
  </si>
  <si>
    <t>Geplantes Review Datum:</t>
  </si>
  <si>
    <r>
      <rPr>
        <b/>
        <u/>
        <sz val="10"/>
        <rFont val="Univers"/>
        <family val="2"/>
      </rPr>
      <t>Wertungs-Skala:</t>
    </r>
    <r>
      <rPr>
        <sz val="10"/>
        <rFont val="Univers"/>
        <family val="2"/>
      </rPr>
      <t xml:space="preserve">
</t>
    </r>
    <r>
      <rPr>
        <b/>
        <sz val="10"/>
        <rFont val="Univers"/>
        <family val="2"/>
      </rPr>
      <t>90%-100%</t>
    </r>
    <r>
      <rPr>
        <sz val="10"/>
        <rFont val="Univers"/>
        <family val="2"/>
      </rPr>
      <t xml:space="preserve"> = Vollständig und korrekt.
</t>
    </r>
    <r>
      <rPr>
        <b/>
        <sz val="10"/>
        <rFont val="Univers"/>
        <family val="2"/>
      </rPr>
      <t>70%-89%</t>
    </r>
    <r>
      <rPr>
        <sz val="10"/>
        <rFont val="Univers"/>
        <family val="2"/>
      </rPr>
      <t xml:space="preserve"> = In Arbeit mit Maßnahmenplan und ohne Risiko.
</t>
    </r>
    <r>
      <rPr>
        <b/>
        <sz val="10"/>
        <rFont val="Univers"/>
        <family val="2"/>
      </rPr>
      <t>0%-69%</t>
    </r>
    <r>
      <rPr>
        <sz val="10"/>
        <rFont val="Univers"/>
        <family val="2"/>
      </rPr>
      <t xml:space="preserve"> = Noch nicht gestartet oder noch in Planung (mit Risiko)</t>
    </r>
  </si>
  <si>
    <t>Aktuelles Review Datum:</t>
  </si>
  <si>
    <t>Name Brose Q-Planer-:</t>
  </si>
  <si>
    <t>Name Lieferantenvertreter:</t>
  </si>
  <si>
    <t>Auswertung</t>
  </si>
  <si>
    <t>Bewertungkriterien für 100%</t>
  </si>
  <si>
    <t>G1.1</t>
  </si>
  <si>
    <t>Die Verträge mit Brose liegen vor und sind unterschrieben.</t>
  </si>
  <si>
    <t>Stellen Sie sicher, dass der Lieferant keine Abweichungen bei Verträgen und Bestellungen hat..
Wenn Dokumente nicht zur Verfügung stehen, sofortige Eskalation beim Kundenteam und Einkauf notwendig! Die Werung wird auf '0%' gesetzt, wenn die Verträge und Bestellungen noch nicht an den Lieferanten übermittelt wurden.</t>
  </si>
  <si>
    <t>G1.2</t>
  </si>
  <si>
    <t>Ist die Beauftragung der Unterlieferanten für die Serienproduktion erfolgt?</t>
  </si>
  <si>
    <t>G1.3</t>
  </si>
  <si>
    <t>Identify Supplier Contacts</t>
  </si>
  <si>
    <t>Lieferanten Kontaktliste ist vollständig und auf dem aktuellsten Stand.</t>
  </si>
  <si>
    <t>Kontaktliste stichprobenartig prüfen.
Überpüfen Sie die Kontaktinformationen für alle sicherheitsrelevanten Personen und den 24-Studen-Nofallkontakt.</t>
  </si>
  <si>
    <t>G1.4</t>
  </si>
  <si>
    <t>Initial Supplier Project Timing</t>
  </si>
  <si>
    <t>Lieferanten Terminplan beinhaltet die Projektmeilensteine und die Qualitätsmeilensteine von Brose. Die Termine stimmen mit den Brose Projektterminen überein.</t>
  </si>
  <si>
    <t>Überprüfen Sie den Maßnahmenplan auf Übereinstimmung mit dem Terminplan.
Hat der Lieferant eine Zeitvereinbarung mit den wichtigsten Meilensteinen mit dem Brose Einkauf unterschrieben?
Projektablauf in "Terminplan" Arbeitsblatt. 
Ist der Lieferanten Terminplan mit dem des Unterliferanten abgestimmt?</t>
  </si>
  <si>
    <t>G1.5</t>
  </si>
  <si>
    <t>Initiate Action Item List</t>
  </si>
  <si>
    <t>Es existiert ein Maßnahmenplan und der Lieferant hält die Termine für kritische Maßnahmen ein.</t>
  </si>
  <si>
    <t>G1.6</t>
  </si>
  <si>
    <r>
      <t xml:space="preserve">Current Drawings, CAD, norms, specs. available?
</t>
    </r>
    <r>
      <rPr>
        <b/>
        <sz val="10"/>
        <rFont val="Univers"/>
        <family val="2"/>
      </rPr>
      <t>(optional)</t>
    </r>
  </si>
  <si>
    <t>Der Lieferant arbeitet mit dem neuesten CAD- und Zeichnungsindex. Der Lieferant hat alle erforderlichen Normen und Spezifikationen für das Teil erhalten und überprüft.</t>
  </si>
  <si>
    <t>Überprüfen Sie den aktuellen Zeichnungs- und CAD-Index wenn Sie beim Lieferanten sind.
Wenn Zeichnungen und CAD-Daten nicht auf dem richtigen Index oder überhaupt nicht vorliegen, sofortige Eskalation an das Kundenteam und den Einkauf (Rating '0%').
Verweisen Sie auf das den Fragebogen im "Drawing review" Arbeitsbatt.
Der Lieferant kann die geforderten Normen und Spezifikationen nachweisen, oder weiß, wo er diese findet.</t>
  </si>
  <si>
    <t>G1.7</t>
  </si>
  <si>
    <t>Design for manufacturability  review
(Feasibility Review cross-functionally approved)</t>
  </si>
  <si>
    <r>
      <t xml:space="preserve">Der Entwicklungslieferant verfügt über eine dokumentierte und vollständige DFM. Die Machbarkeitsstudie ist Bereichsübergreifend genehmigt.
</t>
    </r>
    <r>
      <rPr>
        <b/>
        <sz val="10"/>
        <rFont val="Univers"/>
        <family val="2"/>
      </rPr>
      <t>Trifft nur auf Entwicklungslieferanten zu.</t>
    </r>
  </si>
  <si>
    <t>G1.8</t>
  </si>
  <si>
    <t xml:space="preserve">Review Supplier DFMEA if applicable. </t>
  </si>
  <si>
    <r>
      <t xml:space="preserve">Der Entwicklungslieferant hat eine D-FMEA erstellt und sie ist mit dem Brose Konzept vereinbar?
</t>
    </r>
    <r>
      <rPr>
        <b/>
        <sz val="10"/>
        <rFont val="Univers"/>
        <family val="2"/>
      </rPr>
      <t xml:space="preserve">
Trifft nur auf Entwicklungslieferanten zu.</t>
    </r>
  </si>
  <si>
    <t>G1.9</t>
  </si>
  <si>
    <t>Process Flow review</t>
  </si>
  <si>
    <t>Process-Flow Chart für dieses Gate ist erstellt worden und komplett.</t>
  </si>
  <si>
    <t>G1.10</t>
  </si>
  <si>
    <t>PFMEA Review</t>
  </si>
  <si>
    <t>P-FMEA ist mindestens zu 80% abgeschlossen. (Eine detailierte Basis-FMEA ist akzeptabel.)</t>
  </si>
  <si>
    <t>Ermittlung von verbesserungswürdigen Bereichen.
Sind die großen Risiken identifiziert und sind akzeptable Maßnahmen definiert?
Treffen Bedeutung, Auftreten und Entdeckung AIAG/VDA Normen?
Sind alle besondern Merkmale aus der Zeichnung berücksichtigt?
Folgt das Dokument dem Prozessablauf?
Sind alle besonderen Merkmale den Unterlieferanten bekannt?</t>
  </si>
  <si>
    <t>G1.11</t>
  </si>
  <si>
    <t>Pass Through Characteristics Review (Customer interfaces, "Diamond C")</t>
  </si>
  <si>
    <t xml:space="preserve">Die besonderen Merkmale aus der Zeichnung sind in der P-FMEA berücksichtigt.
</t>
  </si>
  <si>
    <t xml:space="preserve">Maßnahmen zur Beseitigung von RPZ's sind in diesem Gate noch nicht erforderlich, erst im LQG2.
Besondere Merkmale mit einer Kundenschnittstelle können nicht bei Brose überprüft werden und müssen durch den Lieferanten geprüft werden
</t>
  </si>
  <si>
    <t>G1.12</t>
  </si>
  <si>
    <r>
      <t xml:space="preserve">Mixed Part Review
</t>
    </r>
    <r>
      <rPr>
        <b/>
        <sz val="10"/>
        <rFont val="Arial"/>
        <family val="2"/>
      </rPr>
      <t>(optional)</t>
    </r>
  </si>
  <si>
    <t>Plant der Lieferant die Anforderungen an die Teile vom eingehenden Matrial bis hin zum fertigen Produkt zu verfolgen?</t>
  </si>
  <si>
    <t>Gibt es ähnliche Teile von Brose und anderen Kunden in diesem Werk?
Können die Etikettiersysteme die Verwechsulng von Bauteilen verhindern?
Suchen Sie im Werk nach Teilen mit Verwechslungsgefahr und überprüfen Sie, ob es angesmessene Maßnahmen gibt.
Füllen Sie das "Mixed parts audit" für Gate 2 aus.</t>
  </si>
  <si>
    <t>G1.13</t>
  </si>
  <si>
    <t>Red Rabbit / Poke Yoke Sample verification</t>
  </si>
  <si>
    <t>Der Lieferant berücksichtigt Fehlermuster Anforderungen (Red Rabbit) und versteht die Erwartungen von Brose.</t>
  </si>
  <si>
    <t xml:space="preserve">Stellen Sie sicher, dass der Lieferant über ein Fehlermuster Vefahren verfügt. Was passiert, wenn ein Fehlermuster nicht erkannt wird?
Wie werden die Fehlermuster Tests überprüft?
Sind die Maschinen darauf eingestellt regelmäßig Fehlermuster Tests durchzuführen? </t>
  </si>
  <si>
    <t>G1.14</t>
  </si>
  <si>
    <t>Control plan review</t>
  </si>
  <si>
    <t>Der Kontrollplan ist mindestens zu 60% abgeschlossen.</t>
  </si>
  <si>
    <t>Der Kontrollplan enthält alle Elemente aus dem Kontrollplan der Herstellbarkeitsanalyse.
Jährliche Requalifikationsanforderungen sind in dem Kontrollplan entsprechend der Herstellbarkeitsanalyse enthalten.
Sind alle besonderen Merkmale von der Zeichnung enthalten?
Folgt das Dokument der P-FMEA und dem ProcessFlow-Chart?
Wurden spezielle Prozessmerkmale aus der P-FMEA berücksichtigt?
Stellen Sie sicher, dass der Wareneingangsplan vollständig ist und ein Zertifikat nach ISO 10204 3.1. vorliegt.</t>
  </si>
  <si>
    <t>G1.15</t>
  </si>
  <si>
    <t xml:space="preserve">Define Capability study plans </t>
  </si>
  <si>
    <t>Der Lieferant berücksichtigt in seinem Terminplan die Erstellung der geforderten Fähigkeitsnachweise (besondere Merkmale) gemäß der Zeichnung und der Herstellbarkeitsanalyse.</t>
  </si>
  <si>
    <t>G1.16</t>
  </si>
  <si>
    <t>Gage Plans</t>
  </si>
  <si>
    <t>Ist die Prüfmittelplanung im Terminplan nachvollziehbar berücksichtigt und ist ein Messablauf definiert und mit Brose abgestimmt?</t>
  </si>
  <si>
    <t>Entspricht die Prüfmittelplanung der Zeichnung, der besonderen Merkmale, der Fähigkeitsanalyse und der Herstellbarkeitsanalyse?
Wurden zusästliche Maschienen in betracht gezogen?</t>
  </si>
  <si>
    <t>G1.17</t>
  </si>
  <si>
    <t>Preliminary capacity study</t>
  </si>
  <si>
    <t xml:space="preserve">
Zu Beginn des Projektes muss sichergestellt sein, dass Lieferant und Unterlieferant mit den Stückzahlen einverstanden sind. Eine Anlaufkurve sollte vorliegen.</t>
  </si>
  <si>
    <t>Überprüfen Sie ob die Pläne für die Stückzahlen des Lieferanten realistisch sind, indem Sie Durchlaufzeiten und Kapazitäten überprüfen.
Hat der Lieferant andere Aufträge angenommen, die sich auf die Maschinenverfügabrkeit auswirken?</t>
  </si>
  <si>
    <t>G1.18</t>
  </si>
  <si>
    <t>Equipment design concept</t>
  </si>
  <si>
    <t>Der Lieferant hat zu Beginn des Designkonzepts ein Layout der Fertigungslinie und eine Prduktzyklus Kalkulation fertiggestellt?</t>
  </si>
  <si>
    <t>G1.19</t>
  </si>
  <si>
    <t xml:space="preserve"> Tooling design concept</t>
  </si>
  <si>
    <t>Hat es seit der Herstellbarkeitsanalyse irgendwelche Änderungen an dem Werkzeugkonzept gegeben? Wenn es Änderungen gegeben hat, stimmen sie mit Brose Abstimmungen überein?</t>
  </si>
  <si>
    <t>Ein fester Konzeptplan ist vorhanden, auf dem alle dimensionalen Fähigkeitsanforderungen, besondere Merkmale mit Kundenschnittstelle und Poka Yoke enthalten sind.</t>
  </si>
  <si>
    <t>G1.20</t>
  </si>
  <si>
    <t>Lot Traceability Plans</t>
  </si>
  <si>
    <t>Überprüfen Sie ob ein Rückverfolgbarkeitskonzept für dieses Produkt erforderlich ist, wenn ja, hat der Lieferant eines erstellt?</t>
  </si>
  <si>
    <t>G1.21</t>
  </si>
  <si>
    <t>Label plans review</t>
  </si>
  <si>
    <t>Der Q-Planer muss, mit Unterstützung der Brose Logistik, sicherstelllen, dass der Lieferant die Label nach Brose Anforderungen ausstellt (AIAG Richtlinie, Chargenvervolgungsinformationen).
100% wenn der Lieferant bereits an Brose liefert.</t>
  </si>
  <si>
    <t xml:space="preserve">Werden die Etikette für jedes einzelne Teil/Box gedruckt, oder eine Masse an Etiketten für den komplettten Tag gedruckt?
</t>
  </si>
  <si>
    <t>G1.22</t>
  </si>
  <si>
    <t>Packaging Plans</t>
  </si>
  <si>
    <t>Absprachen über die Verpackungsmaterialien durch den Lieferanten mit der Brose Logistik wurden begonnen.
Der Lieferant verfügt über das Wissen oder wartet auf Bestätigung von Brose, bezüglich der erforderlichen Verpackung.</t>
  </si>
  <si>
    <t>G1.23</t>
  </si>
  <si>
    <t>Special Process Review
(Welding, Paint, rivets…)</t>
  </si>
  <si>
    <t>Der Lieferant und seine Unterlieferanten sind für spezielle Prozesse zugelassen. Hat der Lieferant einen Genehmigungsprozess für den Unterlieferanten für spezielle Prozesse durchführen lassen.</t>
  </si>
  <si>
    <t>G1.24</t>
  </si>
  <si>
    <t>Review Safe Launch Plans</t>
  </si>
  <si>
    <t>Der Lieferant hat Erfahrung mit dem Safe-Lanch Prozess und versteht die Anforderungen im Rahmen der Herstellbareitsanalyse.</t>
  </si>
  <si>
    <t>G1.25</t>
  </si>
  <si>
    <t>Der Lieferant versteht die Notwendigkeit von IMDS und hat bereits Erfahrung im Umgang mit IMDS.</t>
  </si>
  <si>
    <t>G1.26</t>
  </si>
  <si>
    <t>Review plant and floor plan  layout</t>
  </si>
  <si>
    <t>Der Lieferant verfügt über ein aktuellen Plan des Werks.</t>
  </si>
  <si>
    <t>Überprüfen Sie die Anlagenpläne
Überprüfen Sie für jedes Produkt den Ablauf mit dem ProcessFlow Chart für Broseprodukte.</t>
  </si>
  <si>
    <t>G1.27</t>
  </si>
  <si>
    <t>Review operator work instruction plans</t>
  </si>
  <si>
    <t>Der Lieferant versteht die Erwartungen von Brose für Arbeitsanweisungen und verfügt über akzeptable Beispiele.</t>
  </si>
  <si>
    <t>G1.28</t>
  </si>
  <si>
    <t>Supplier Quality System metrics
(KPI review)</t>
  </si>
  <si>
    <t>Der Lieferant verfügt über ein vorhandenes metrischen System.</t>
  </si>
  <si>
    <t>G1.29</t>
  </si>
  <si>
    <t>Der Lieferant hat ein aktives PM System.</t>
  </si>
  <si>
    <t xml:space="preserve">Der Lieferant muss Beweisen, dass er über ein PM System verfügt.
Ist es ein Computer- oder Papier basiertes System?
Verwenden Sie Operator-basierte PM's, und ist alles vollständig?
Überprüfen Sie die Lieferanten PM Pläne für die Brose Werkzeuge und Ausrüstung.
Basiert das PM durchgängig auf vergeleichbaren Daten (Ähnlichkeitsteile)?
</t>
  </si>
  <si>
    <t>G1.30</t>
  </si>
  <si>
    <t>Drawing and Layout Plan Review</t>
  </si>
  <si>
    <t>Der Lieferant versteht die Brose Anforderungen für das PPAP Layout und hat bereits pläne für die Umsetzung.</t>
  </si>
  <si>
    <t>G1.31</t>
  </si>
  <si>
    <t>PPAP documentation requirements review</t>
  </si>
  <si>
    <t>Versteht der Lieferant die Notwendigkeit von PPAP?</t>
  </si>
  <si>
    <t>Überprüfen Sie PPAPs aus der Vergagenheit, die der Lieferant bereits abgeschlossen hat.</t>
  </si>
  <si>
    <t>G1.32</t>
  </si>
  <si>
    <t>Sub-Supplier QU</t>
  </si>
  <si>
    <t>Unterlieferanten Qualitätsplanung abgeschlossen?</t>
  </si>
  <si>
    <t>G1.33</t>
  </si>
  <si>
    <t>Sub-supplier PPAP</t>
  </si>
  <si>
    <t>Wurden Unterlieferanten Verträge ausgestellt? Weiß der Lieferant, dass Brose die Unterlieferanten PPAPs bei Bedarf einsieht?</t>
  </si>
  <si>
    <t>G1.34</t>
  </si>
  <si>
    <t>Review supplier ramp up plan.</t>
  </si>
  <si>
    <t>Der Lieferanten und Unterlieferanten Anlaufplan stimmt mit Brose Anforderungen überein. Lieferant erstellt Trainingspläne, die auch den Safe Launch enthalten.</t>
  </si>
  <si>
    <t>G1.35
(optional)</t>
  </si>
  <si>
    <t>Non-conforming material process</t>
  </si>
  <si>
    <t>Optional in Gate 1 &amp; 2 - Im Werk nach Material, Organisations und Kennzeichnungsfehlern suchen. Keine Abweichungen gefunden?</t>
  </si>
  <si>
    <t>G1.36</t>
  </si>
  <si>
    <t>G1.37</t>
  </si>
  <si>
    <t>Change Mgmt.</t>
  </si>
  <si>
    <t>Wie wird der Lieferant Änderungen am Produkt oder Prozess wärend der Entwicklung oder in der Serie dokumentieren? Wurden irgendwelche Änderungen an dem Teil seit der Herstellbarkeitsanalyse gemacht?</t>
  </si>
  <si>
    <t>Verantwortung-Matrix (Nachweisvereinbarung, falls erforderlich).
Sind Änderungen bereits bereits vereinbart worden?</t>
  </si>
  <si>
    <t>G1.38</t>
  </si>
  <si>
    <t>Residual Dirt</t>
  </si>
  <si>
    <t>G1.39</t>
  </si>
  <si>
    <t>Hat der Lieferant in ähnlichen Produkten Lessons Learned angewand? Hat er diese, für dieses Projekt in betracht gezogen?</t>
  </si>
  <si>
    <t>Brose Unterschrift:</t>
  </si>
  <si>
    <t>Lieferanten Unterschrift:</t>
  </si>
  <si>
    <t>Print Name:</t>
  </si>
  <si>
    <t>Review Datum:</t>
  </si>
  <si>
    <r>
      <rPr>
        <b/>
        <u/>
        <sz val="10"/>
        <rFont val="Univers"/>
        <family val="2"/>
      </rPr>
      <t>Rating Scale:</t>
    </r>
    <r>
      <rPr>
        <sz val="10"/>
        <rFont val="Univers"/>
        <family val="2"/>
      </rPr>
      <t xml:space="preserve">
</t>
    </r>
    <r>
      <rPr>
        <b/>
        <sz val="10"/>
        <rFont val="Univers"/>
        <family val="2"/>
      </rPr>
      <t>90%-100%</t>
    </r>
    <r>
      <rPr>
        <sz val="10"/>
        <rFont val="Univers"/>
        <family val="2"/>
      </rPr>
      <t xml:space="preserve"> = Complete and Correct
</t>
    </r>
    <r>
      <rPr>
        <b/>
        <sz val="10"/>
        <rFont val="Univers"/>
        <family val="2"/>
      </rPr>
      <t>70%-89%</t>
    </r>
    <r>
      <rPr>
        <sz val="10"/>
        <rFont val="Univers"/>
        <family val="2"/>
      </rPr>
      <t xml:space="preserve"> =In Process with action plan and no risk
</t>
    </r>
    <r>
      <rPr>
        <b/>
        <sz val="10"/>
        <rFont val="Univers"/>
        <family val="2"/>
      </rPr>
      <t>0%-69%</t>
    </r>
    <r>
      <rPr>
        <sz val="10"/>
        <rFont val="Univers"/>
        <family val="2"/>
      </rPr>
      <t xml:space="preserve"> =Item not started or not planned or has risk to program.</t>
    </r>
  </si>
  <si>
    <t>G2.1</t>
  </si>
  <si>
    <t>Stellen Sie sicher, dass der Lieferant keine Abweichungen bei Verträgen und Bestellungen hat.
Wenn Dokumente nicht zur Verfügung stehen, sofortige Eskalation beim Kundenteam und Einkauf notwendig! Die Werung wird auf '0%' gesetzt, wenn die Verträge und Bestellungen noch nicht an den Lieferanten übermittelt wurden.</t>
  </si>
  <si>
    <t>G2.2</t>
  </si>
  <si>
    <t>Der Lieferant kann Belege für die Auftragsanahme vorlegen.</t>
  </si>
  <si>
    <t>G2.3</t>
  </si>
  <si>
    <t>G2.4</t>
  </si>
  <si>
    <t>Sind der Lieferant und die Unterlieferanten im Zeitplan mit dem Projekt? Sind Risiken/ Zeitverzug erkennbar?</t>
  </si>
  <si>
    <t>G2.5</t>
  </si>
  <si>
    <t>G2.6</t>
  </si>
  <si>
    <t>Überprüfen Sie den aktuellen Zeichnungs- und CAD-Index wenn Sie beim Lieferanten sind.
Wenn Zeichnungen und CAD-Daten nicht auf dem richtigen Index oder überhaupt nicht vorliegen, sofortige Eskalation an das Kundenteam und den Einkauf (Rating '0%').
Verweisen Sie auf das den Fragebogen im "Drawing Review" Arbeitsbatt.
Der Lieferant kann die geforderten Normen und Spezifikationen nachweisen, oder weiß, wo er diese findet.</t>
  </si>
  <si>
    <t>G2.7</t>
  </si>
  <si>
    <r>
      <t xml:space="preserve">Der Entwicklungslieferant verfügt über eine dokumentierte und vollständige DFM. Die Machbarkeitsstudie ist bereichsübergreifend genehmigt?
</t>
    </r>
    <r>
      <rPr>
        <b/>
        <sz val="10"/>
        <rFont val="Univers"/>
        <family val="2"/>
      </rPr>
      <t>Trifft nur auf Entwicklungslieferanten zu.</t>
    </r>
  </si>
  <si>
    <t>G2.8</t>
  </si>
  <si>
    <r>
      <t xml:space="preserve">Der Entwicklungslieferant hat eine D-FMEA erstellt und sie ist mit dem Brose Konzept vereinbar.
</t>
    </r>
    <r>
      <rPr>
        <b/>
        <sz val="10"/>
        <rFont val="Univers"/>
        <family val="2"/>
      </rPr>
      <t>Trifft nur auf Entwicklungslieferanten zu.</t>
    </r>
  </si>
  <si>
    <t>G2.9</t>
  </si>
  <si>
    <t xml:space="preserve"> Process-Flow Chart für dieses Gate ist komplett.</t>
  </si>
  <si>
    <t>G2.10</t>
  </si>
  <si>
    <t xml:space="preserve"> P-FMEA ist zu 100% vollständig.</t>
  </si>
  <si>
    <t>Ermittlung von verbesserungswürdigen Bereichen.
Sind die großen Risiken identifiziert und sind akzeptable Maßnahmen definiert?
Treffen Bedeutung, Auftreten und Entdeckung AIAG/VDA Normen?
Sind alle besondern Merkmale aus der Zeichnung berücksichtigt?
Folgt das Dokument dem Prozessablauf?
Sind den Unterlieferanten alle besonderen Merkmale  bekannt?</t>
  </si>
  <si>
    <t>G2.11</t>
  </si>
  <si>
    <t>Sind die besonderen Merkmale aus der Zeichnung in der P-FMEA berücksichtigt?</t>
  </si>
  <si>
    <t xml:space="preserve">Maßnahmen zur Beseitigung von RPZ's sind erforderlich.
Besondere Merkmale mit einer Kundenschnittstelle können nicht bei Brose überprüft werden und müssen durch den Lieferanten geprüft werden
</t>
  </si>
  <si>
    <t>G2.12</t>
  </si>
  <si>
    <t>Der Lieferant hat die Verwechslungsgefahr von Bauteilen in seinem Prozess berücksichtigt und hat er mögliche Bereiche mit Fehlerpotentialen untersucht.</t>
  </si>
  <si>
    <t>Gibt es ähnliche Teile von Brose und anderen Kunden in diesem Werk?
Können die Etikettiersysteme die Verwechslung von Bauteilen verhindern?
Suchen Sie im Werk nach Teilen mit Verwechslungsgefahr und überprüfen Sie, ob es angesmessene Maßnahmen gibt.
Füllen Sie das "Mixt parts audit" Arbeitsblatt aus.</t>
  </si>
  <si>
    <t>G2.13</t>
  </si>
  <si>
    <t>Der Lieferant berücksichtigt  Fehlermuster Anforderungen (Red Rabbit) und versteht die Erwartungen von Brose.</t>
  </si>
  <si>
    <t>G2.14</t>
  </si>
  <si>
    <t>Kontrollplan ist zu 80% fertig.</t>
  </si>
  <si>
    <t>G2.15</t>
  </si>
  <si>
    <t>G2.16</t>
  </si>
  <si>
    <t>Hat der Lieferant alle Prüfmittel für dieses Projekt bestellt?</t>
  </si>
  <si>
    <t>P.O. für Prüfmittel ist vorhanden.
Ein Terminplan für die Prüfmittel ist erstellt.
Überprüfen Sie alle Änderungen vom LQG1.</t>
  </si>
  <si>
    <t>G2.17</t>
  </si>
  <si>
    <t>Zu Beginn des Projektes muss sichergestellt sein, dass Lieferant und Unterlieferant mit den Stückzahlen einverstanden sind. Eine Anlaufkurve sollte vorliegen.</t>
  </si>
  <si>
    <t>G2.18</t>
  </si>
  <si>
    <t>Der Lieferant hat zu Beginn des Designkonzepts ein Layout der Fertigungslinie und eine Prduktzyklus Kalkulation fertiggestellt.</t>
  </si>
  <si>
    <t>Überprüfen Sie die Durchlaufzeitkalkulation und das Layout der Linie.
Der Lieferant hat Pläne für die Markierung besonderer Merkmale mit Kundenschnittstellen, Teile mit Verwechslungsgefahr und Fehlerkorrekturen zu makieren.
Brose Unterstützung kann Angefordert werden.</t>
  </si>
  <si>
    <t>G2.19</t>
  </si>
  <si>
    <t>Ein fester Konzeptplan ist vorhanden, auf dem alle dimensionalen Fähigkeitsanforderungen, besondere Merkmale mit Kundenschnittstelle und Poka Yoke enthalten sind.
Vreweisen Sie auf das "Werkzeug" Arbeitsblatt.</t>
  </si>
  <si>
    <t>G2.20</t>
  </si>
  <si>
    <t>G2.21</t>
  </si>
  <si>
    <t>Der Q-Planer muss, mit Unterstützung der Brose Logistik, sicherstelllen, dass der Lieferant die Label nach Brose Anforderungen ausstellt (AIAG Richtlinie, Chargenvervolgungsinformationen).</t>
  </si>
  <si>
    <t>Werden die Etikette für jedes einzelne Teil/Box gedruckt, oder eine Masse an Etiketten für den komplettten Tag gedruckt?
Nennen Sie alle möglichen Bedenken für eine Falschetikettierung.</t>
  </si>
  <si>
    <t>G2.22</t>
  </si>
  <si>
    <t>G2.23</t>
  </si>
  <si>
    <t>Der Lieferant und seine Unterlieferanten sind für spezielle Prozesse zugelassen. Hat der Lieferant einen Genehmigungsprozess für den Unterlieferanten für spezielle Prozesse durchführen lassen?</t>
  </si>
  <si>
    <t>G2.24</t>
  </si>
  <si>
    <t>Überprüfen Sie Dokumentation des Safe Launch vom Lieferanten.
Es ist erforderlich NRFT Diagramme zum Brose Werk zu schicken.
Überprüfen Sie Arbeitsanweisungen und Schulungen und stellen Sie sicher, dass die Arbeiter in der Linie die Anweisungen verstehen.
Vergewissern Sie sich, dass die Kapazität des Safe Launch vergleichbar mit der Serie sind.
Ist der Instpektor in der Lage Kontrollen durchzuführen?
Werden geeignete Methoden angewand, um die Funktion zu prüfen?</t>
  </si>
  <si>
    <t>G2.25</t>
  </si>
  <si>
    <t>G2.26</t>
  </si>
  <si>
    <t>G2.27</t>
  </si>
  <si>
    <t>Der Lieferant versteht die Erwartungen von Brose für Arbeitsanweisungen und verfügt überakzeptable Beispiele.</t>
  </si>
  <si>
    <t>G2.28</t>
  </si>
  <si>
    <t>G2.29</t>
  </si>
  <si>
    <t>Der Lieferant hat ein aktives PM.</t>
  </si>
  <si>
    <t>G2.30</t>
  </si>
  <si>
    <t>G2.31</t>
  </si>
  <si>
    <t>G2.32</t>
  </si>
  <si>
    <t>Unterlieferanten Qualitätsolanung abgeschlossen?</t>
  </si>
  <si>
    <t>G2.33</t>
  </si>
  <si>
    <t>G2.34</t>
  </si>
  <si>
    <t>Stimmt der Anlaufplan des Lieferanten und Unterlieferanten mit Brose Anforderungen überein? Erstellt der Lieferant Trainingspläne, die auch den Safe Launch enthalten?</t>
  </si>
  <si>
    <t>G2.35
(optional)</t>
  </si>
  <si>
    <t>G2.36</t>
  </si>
  <si>
    <t>Hat der Lieferant einen Notfallplan, um im Falle einer Störung die Produktion aufrecht zu erhalten?</t>
  </si>
  <si>
    <t>G2.37</t>
  </si>
  <si>
    <t>Wie wird der Lieferant Änderungen am Produkt oder Prozess während der Entwicklung oder in der Serie dokumentieren? Wurden irgendwelche Änderungen an dem Teil seit der Herstellbarkeitsanalyse gemacht?
Sind Änderungen seit dem LQG1 gemacht worden?</t>
  </si>
  <si>
    <t>Verantwortlichkeits Matrix (Nacherweis der Vereinbarung, falls erforderlich)
Wurden Änderungen dokumentiert und freigegeben?
Überprüfen Sie notwendige Maßnahmen nachdem Änderungen durchgeführt wurden (Simulationen, Fähigkeiten usw.)
Ist das Projekt noch machbar? (Wenn nein, sofortige Eskalation!)</t>
  </si>
  <si>
    <t>G2.38</t>
  </si>
  <si>
    <t>G2.39</t>
  </si>
  <si>
    <t>G3.1</t>
  </si>
  <si>
    <t>G3.2</t>
  </si>
  <si>
    <t>G3.3</t>
  </si>
  <si>
    <t>Die Lieferanten Kontaktliste ist vollständig und auf dem aktuellsten Stand?</t>
  </si>
  <si>
    <t>G3.4</t>
  </si>
  <si>
    <t>Sind der Lieferant und die Unterlieferanten im Zeitplan mit dem Projekt? Sind Risiken erkennbar?</t>
  </si>
  <si>
    <t>G3.5</t>
  </si>
  <si>
    <t>G3.6</t>
  </si>
  <si>
    <t>G3.7</t>
  </si>
  <si>
    <r>
      <t xml:space="preserve">Der Entwicklungslieferant verfügt über eine dokumentierte und vollständige DFM. Die Machbarkeitsstudie ist bereichsübergreifend genehmigt.
</t>
    </r>
    <r>
      <rPr>
        <b/>
        <sz val="10"/>
        <rFont val="Univers"/>
        <family val="2"/>
      </rPr>
      <t>Trifft nur auf Entwicklungslieferanten zu.</t>
    </r>
  </si>
  <si>
    <t>G3.8</t>
  </si>
  <si>
    <r>
      <t xml:space="preserve">Der Entwicklungslieferant hat eine D-FMEA erstellt und sie ist mit dem Brose Konzept vereinbar?
</t>
    </r>
    <r>
      <rPr>
        <b/>
        <sz val="10"/>
        <rFont val="Univers"/>
        <family val="2"/>
      </rPr>
      <t>Trifft nur auf Entwicklungslieferanten zu.</t>
    </r>
  </si>
  <si>
    <t>G3.9</t>
  </si>
  <si>
    <t>Process-Flow Chart für dieses Gate ist komplett.</t>
  </si>
  <si>
    <t>G3.10</t>
  </si>
  <si>
    <t>P-FMEA ist zu 100% vollständig.</t>
  </si>
  <si>
    <t>Ermittlung von verbesserungswürdigen Bereichen.
Sind die großen Risiken identifiziert und sind akzeptable Maßnahmen definiert?
Treffen Bedeutung, Auftreten und Entdeckung AIAG/VDA Normen?
Sind alle besondern Merkmale aus der Zeichnung berücksichtigt?
Folgt das Dokument dem Prozessablauf?
Sind dem Unterlieferanten alle besonderen Merkmale  bekannt?</t>
  </si>
  <si>
    <t>G3.11</t>
  </si>
  <si>
    <t>G3.12</t>
  </si>
  <si>
    <t>Der Lieferant hat die Verwechslungsgefahr von Bauteilen in seinem Prozess berücksichtigt und hat mögliche Bereiche mit Fehlerpotentialen untersucht.</t>
  </si>
  <si>
    <t>Gibt es ähnliche Teile von Brose und anderen Kunden in diesem Werk?
Können die Etikettiersysteme die Verwechslung von Bauteilen verhindern?
Suchen Sie im Werk nach Teilen mit Verwechslungsgefahr und überprüfen Sie, ob es angesmessene Maßnahmen gibt.
Füllen Sie das "Mixed parts audit" Arbeitsblatt aus.</t>
  </si>
  <si>
    <t>G3.13</t>
  </si>
  <si>
    <t>G3.14</t>
  </si>
  <si>
    <t>Kontrollplan ist zu 100% fertig.</t>
  </si>
  <si>
    <t>G3.15</t>
  </si>
  <si>
    <t>G3.16</t>
  </si>
  <si>
    <t>Sind die Prüfmittel vom Lieferanten für dieses Projekt vollständig vorhanden?</t>
  </si>
  <si>
    <t>Kalibrierungsberichte sind zur Verfügung
MSA ist vollständig und vorhanden
Überprüfen Sie den Gebrauch der Prüfmittel
Arbeitsanweisungen sind verfügabr</t>
  </si>
  <si>
    <t>G3.17</t>
  </si>
  <si>
    <t>Überprüfen Sie ob die Pläne für die Stückzahlen des Lieferanten realistisch sind, indem Sie Durchlaufzeiten und Kapazitäten überprüfen.
Hat der Lieferant andere Aufträge angenommen, die sich auf die Maschinenverfügabrkeit auswirken?
Überprüfen Sie Unterlieferantenveträge im Bezug auf die Kapazitätsanforderungen.
Überprüfen Sie Nofallpläne der Unterlieferanten.</t>
  </si>
  <si>
    <t>G3.18</t>
  </si>
  <si>
    <t>G3.19</t>
  </si>
  <si>
    <t>G3.20</t>
  </si>
  <si>
    <t>G3.21</t>
  </si>
  <si>
    <t>G3.22</t>
  </si>
  <si>
    <t>Verpackungsanforderungen wurden mit der Brose Logistik besprochen und sind akzeptiert.</t>
  </si>
  <si>
    <t>PDS ist verfügbar
Verpackungsprüfung ist abgeschlosssen (falls es erforderlich war)</t>
  </si>
  <si>
    <t>G3.23</t>
  </si>
  <si>
    <t>G3.24</t>
  </si>
  <si>
    <t>Safe Launch Bereich im Werk ist aufgebaut.</t>
  </si>
  <si>
    <t>G3.25</t>
  </si>
  <si>
    <t>G3.26</t>
  </si>
  <si>
    <t>G3.27</t>
  </si>
  <si>
    <t>Der Lieferant versteht die Erwartungen von Brose für Arbeitsanweisungen und verfügt akzeptable Beispiele.</t>
  </si>
  <si>
    <t>G3.28</t>
  </si>
  <si>
    <t>G3.29</t>
  </si>
  <si>
    <t>Der Lieferant hat ein aktives PM-System.</t>
  </si>
  <si>
    <t>G3.30</t>
  </si>
  <si>
    <t>Der Lieferant ist in der Lage, Messungen, die für PPAP erforderlich sind, durchzuführen.</t>
  </si>
  <si>
    <t>G3.31</t>
  </si>
  <si>
    <t>Der Lieferant versteht die Notwendigkeit von PPAP.</t>
  </si>
  <si>
    <t>Überprüfen Sie, ob der PPAP Aufrag vom Lieferanten erhalten worden ist.
PV Tests sind abgeschlossen und akzeptiert.</t>
  </si>
  <si>
    <t>G3.32</t>
  </si>
  <si>
    <t>G3.33</t>
  </si>
  <si>
    <t>Das Unterlieferanten-PPAP ist durch den Lieferanten akzeptiert.</t>
  </si>
  <si>
    <t>Überprüfen Sie die PSWs.
Überprüfen Sie die Dokumentation für kirtische Teile und Prozesse.
Bewerten Sie CSR's, CQI und CCC (falls erforderlich)</t>
  </si>
  <si>
    <t>G3.34</t>
  </si>
  <si>
    <t>G3.35</t>
  </si>
  <si>
    <t>Erforderlich - Beim Werksrundgang nach Material-,  Organisations-  und Kennzeichnungsfehler suchen. Keine Abweichungen gefunden?</t>
  </si>
  <si>
    <t>G3.36</t>
  </si>
  <si>
    <t>Hat der Liefeant einen Notfallplan, um im Falle einer Störung die Produktion aufrecht zu erhalten?</t>
  </si>
  <si>
    <t>G3.37</t>
  </si>
  <si>
    <t>Wie wird der Lieferant Änderungen am Produkt oder Prozess wärend der Entwicklung oder in der Serie dokumentieren? Wurden irgendwelche Änderungen an dem Teil seit der Herstellbarkeitsanalyse gemacht?
Sind Änderungen seit dem LQG2 gemacht worden?</t>
  </si>
  <si>
    <t>Verantwortlichkeits Matrix (Nacherweis der Vereinbarung, falls erforderlich)
Wurden Änderungen dokumentiert und freigegeben?
Überprüfen SIe notwendige Maßnahmen nachdem Änderungen durchgeführt wurden (Simulationen, Fähigkeiten usw.)
Ist das Projekt noch machbar? (Wenn nein, sofortige Eskalation!)</t>
  </si>
  <si>
    <t>G3.38</t>
  </si>
  <si>
    <t>G3.39</t>
  </si>
  <si>
    <t>K1.1</t>
  </si>
  <si>
    <r>
      <t xml:space="preserve">D1.1
</t>
    </r>
    <r>
      <rPr>
        <sz val="10"/>
        <rFont val="Univers"/>
        <family val="2"/>
      </rPr>
      <t>(#1)</t>
    </r>
  </si>
  <si>
    <t>D1.2</t>
  </si>
  <si>
    <t>D1.3</t>
  </si>
  <si>
    <t>D1.4</t>
  </si>
  <si>
    <t>D1.5</t>
  </si>
  <si>
    <t>SL1</t>
  </si>
  <si>
    <t>SL2</t>
  </si>
  <si>
    <t>SL2.1</t>
  </si>
  <si>
    <t>SL3</t>
  </si>
  <si>
    <t>SL3.1</t>
  </si>
  <si>
    <t>SL4</t>
  </si>
  <si>
    <r>
      <t xml:space="preserve">P1.1
</t>
    </r>
    <r>
      <rPr>
        <sz val="10"/>
        <rFont val="Univers"/>
        <family val="2"/>
      </rPr>
      <t>(#11)</t>
    </r>
  </si>
  <si>
    <r>
      <t xml:space="preserve">P1.2
</t>
    </r>
    <r>
      <rPr>
        <sz val="10"/>
        <rFont val="Univers"/>
        <family val="2"/>
      </rPr>
      <t>(#9)</t>
    </r>
    <r>
      <rPr>
        <b/>
        <sz val="10"/>
        <rFont val="Univers"/>
        <family val="2"/>
      </rPr>
      <t xml:space="preserve">
</t>
    </r>
    <r>
      <rPr>
        <sz val="10"/>
        <rFont val="Univers"/>
        <family val="2"/>
      </rPr>
      <t>(#12)</t>
    </r>
    <r>
      <rPr>
        <sz val="10"/>
        <color rgb="FFFF0000"/>
        <rFont val="Univers"/>
        <family val="2"/>
      </rPr>
      <t>*</t>
    </r>
  </si>
  <si>
    <r>
      <t xml:space="preserve">P1.3
</t>
    </r>
    <r>
      <rPr>
        <sz val="10"/>
        <rFont val="Univers"/>
        <family val="2"/>
      </rPr>
      <t>(#8)</t>
    </r>
    <r>
      <rPr>
        <sz val="10"/>
        <color rgb="FFFF0000"/>
        <rFont val="Univers"/>
        <family val="2"/>
      </rPr>
      <t>*</t>
    </r>
  </si>
  <si>
    <r>
      <t xml:space="preserve">P1.4
</t>
    </r>
    <r>
      <rPr>
        <sz val="10"/>
        <rFont val="Univers"/>
        <family val="2"/>
      </rPr>
      <t>(#4)</t>
    </r>
  </si>
  <si>
    <r>
      <t xml:space="preserve">P1.5
</t>
    </r>
    <r>
      <rPr>
        <sz val="10"/>
        <rFont val="Univers"/>
        <family val="2"/>
      </rPr>
      <t>(#14)</t>
    </r>
    <r>
      <rPr>
        <sz val="10"/>
        <color rgb="FFFF0000"/>
        <rFont val="Univers"/>
        <family val="2"/>
      </rPr>
      <t>*</t>
    </r>
  </si>
  <si>
    <t xml:space="preserve">P1.6
</t>
  </si>
  <si>
    <r>
      <t xml:space="preserve">P1.7
</t>
    </r>
    <r>
      <rPr>
        <sz val="10"/>
        <rFont val="Univers"/>
        <family val="2"/>
      </rPr>
      <t>(#13)</t>
    </r>
  </si>
  <si>
    <r>
      <t xml:space="preserve">P1.9
</t>
    </r>
    <r>
      <rPr>
        <sz val="10"/>
        <rFont val="Univers"/>
        <family val="2"/>
      </rPr>
      <t>(#17)</t>
    </r>
  </si>
  <si>
    <r>
      <t xml:space="preserve">Q1.1
</t>
    </r>
    <r>
      <rPr>
        <sz val="10"/>
        <rFont val="Univers"/>
        <family val="2"/>
      </rPr>
      <t>(#7)</t>
    </r>
  </si>
  <si>
    <t>S1.2</t>
  </si>
  <si>
    <r>
      <t xml:space="preserve">V1.1
</t>
    </r>
    <r>
      <rPr>
        <sz val="10"/>
        <rFont val="Univers"/>
        <family val="2"/>
      </rPr>
      <t>(#10)</t>
    </r>
  </si>
  <si>
    <r>
      <t xml:space="preserve">V1.2
</t>
    </r>
    <r>
      <rPr>
        <sz val="10"/>
        <rFont val="Univers"/>
        <family val="2"/>
      </rPr>
      <t>(#6)</t>
    </r>
  </si>
  <si>
    <t>(#..)</t>
  </si>
  <si>
    <r>
      <t xml:space="preserve">S1.1 
</t>
    </r>
    <r>
      <rPr>
        <sz val="10"/>
        <rFont val="Univers"/>
        <family val="2"/>
      </rPr>
      <t>(#16)</t>
    </r>
    <r>
      <rPr>
        <sz val="10"/>
        <color rgb="FFFF0000"/>
        <rFont val="Univers"/>
        <family val="2"/>
      </rPr>
      <t>*</t>
    </r>
  </si>
  <si>
    <t>S1.3</t>
  </si>
  <si>
    <t>S1.4</t>
  </si>
  <si>
    <t>S1.5</t>
  </si>
  <si>
    <t>S1.6</t>
  </si>
  <si>
    <t>S1.7</t>
  </si>
  <si>
    <r>
      <t xml:space="preserve">S1.8
</t>
    </r>
    <r>
      <rPr>
        <sz val="10"/>
        <rFont val="Univers"/>
        <family val="2"/>
      </rPr>
      <t>(#2)</t>
    </r>
    <r>
      <rPr>
        <sz val="10"/>
        <color rgb="FFFF0000"/>
        <rFont val="Univers"/>
        <family val="2"/>
      </rPr>
      <t>*</t>
    </r>
  </si>
  <si>
    <t>Material-Nr / part no.</t>
  </si>
  <si>
    <t>Zeichnungs Nr. / Drowing No.</t>
  </si>
  <si>
    <t>Datenaufnahme bei Prozessabnahme</t>
  </si>
  <si>
    <t>Ermittlung Einsatzgewicht pro Teil für  Stanzteile</t>
  </si>
  <si>
    <t>Coilbreite:</t>
  </si>
  <si>
    <t>von Coilbeschriftung ablesen</t>
  </si>
  <si>
    <t>Coildicke:</t>
  </si>
  <si>
    <t>Vorschub :</t>
  </si>
  <si>
    <t>im WZ messen (Sucher zu Sucher) oder von Bildschirm ablesen</t>
  </si>
  <si>
    <t>Gewicht Zuführteile:</t>
  </si>
  <si>
    <t>Gewicht aller Zuführteile pro Stanzteil</t>
  </si>
  <si>
    <t>rechts/links = 1+1fach, x+x fach / 2 fach, 3 fach, x fach</t>
  </si>
  <si>
    <t>Dichte:</t>
  </si>
  <si>
    <t xml:space="preserve">7,85 für Stahl, 2,7 für Alu, sonstige aus Tabellenbuch </t>
  </si>
  <si>
    <t>wird berechnet aus vorherigen Angaben</t>
  </si>
  <si>
    <t>Material 1</t>
  </si>
  <si>
    <t>Material 2</t>
  </si>
  <si>
    <t>Gewicht aller Einleger</t>
  </si>
  <si>
    <t>wiegen der Einleger pro Teil</t>
  </si>
  <si>
    <t>Angussgewicht</t>
  </si>
  <si>
    <t>wiegen (falls vorhanden)</t>
  </si>
  <si>
    <t>Kavitäten</t>
  </si>
  <si>
    <t>siehe Werkzeug</t>
  </si>
  <si>
    <t>Schussgewicht</t>
  </si>
  <si>
    <t>Ermittlung Teilegewicht Druckguss</t>
  </si>
  <si>
    <t>Schußgewicht</t>
  </si>
  <si>
    <t>wiegen inklusive allen Überläufen</t>
  </si>
  <si>
    <t xml:space="preserve">Angussgewicht </t>
  </si>
  <si>
    <t>wiegen inklusive Überläufe</t>
  </si>
  <si>
    <t>Teilegewicht</t>
  </si>
  <si>
    <t>Terminplan (nur zur Information, verblindlich ist der Terminplan mit Einkauf Brose)</t>
  </si>
  <si>
    <t>Unterschrift Lieferant</t>
  </si>
  <si>
    <t>=</t>
  </si>
  <si>
    <t xml:space="preserve"> Sollbearbeitungsstand </t>
  </si>
  <si>
    <t>*</t>
  </si>
  <si>
    <t>Teilename</t>
  </si>
  <si>
    <t xml:space="preserve"> Istbearbeitungsstand</t>
  </si>
  <si>
    <t>Istbearbeitungsstand abgeschlossen</t>
  </si>
  <si>
    <t>Stand/Bewertung vom*</t>
  </si>
  <si>
    <t>**</t>
  </si>
  <si>
    <t>Aktuelles Datum/Woche **</t>
  </si>
  <si>
    <t>Fert.</t>
  </si>
  <si>
    <t>Start Datum</t>
  </si>
  <si>
    <t>End Datum</t>
  </si>
  <si>
    <t>Stand</t>
  </si>
  <si>
    <t>in %</t>
  </si>
  <si>
    <t>Dauer</t>
  </si>
  <si>
    <t>Statusdatum</t>
  </si>
  <si>
    <t>1</t>
  </si>
  <si>
    <t>2</t>
  </si>
  <si>
    <t>3</t>
  </si>
  <si>
    <t>4</t>
  </si>
  <si>
    <t>5</t>
  </si>
  <si>
    <t>5.1</t>
  </si>
  <si>
    <t>5.2</t>
  </si>
  <si>
    <t>5.3</t>
  </si>
  <si>
    <t>5.4</t>
  </si>
  <si>
    <t>5.5</t>
  </si>
  <si>
    <t>6</t>
  </si>
  <si>
    <t>7</t>
  </si>
  <si>
    <t xml:space="preserve">             </t>
  </si>
  <si>
    <t>8</t>
  </si>
  <si>
    <t>9</t>
  </si>
  <si>
    <t>10</t>
  </si>
  <si>
    <t>11</t>
  </si>
  <si>
    <t>12</t>
  </si>
  <si>
    <t>13</t>
  </si>
  <si>
    <t>14</t>
  </si>
  <si>
    <t>15</t>
  </si>
  <si>
    <t>16</t>
  </si>
  <si>
    <t>Einsatzgewicht Werkstoff 1</t>
  </si>
  <si>
    <t>Einsatzgewicht Werkstoff 2</t>
  </si>
  <si>
    <t>1K</t>
  </si>
  <si>
    <t>2K</t>
  </si>
  <si>
    <t>%</t>
  </si>
  <si>
    <t xml:space="preserve">- </t>
  </si>
  <si>
    <t>,</t>
  </si>
  <si>
    <t>◊</t>
  </si>
  <si>
    <t xml:space="preserve">1. </t>
  </si>
  <si>
    <t xml:space="preserve">2. </t>
  </si>
  <si>
    <t>3.</t>
  </si>
  <si>
    <t>4.</t>
  </si>
  <si>
    <t>5.</t>
  </si>
  <si>
    <t>6.</t>
  </si>
  <si>
    <t>- Jedes Coil ist vor Verarbeitung gemäß der BN590603-xxx auf Härte nach Brinell oder Zugfestigkeit durch den Stanzteilhersteller geprüft.
- Es wird pro Coil eine Probe durchgeführt, und gemäß Norm aus drei Messungen der Mittelwert gebildet.</t>
  </si>
  <si>
    <t>- Each coil is tested for Brinell hardness or tensile strength by the stamped part manufacturer before processing in accordance with BN590603-xxx.
- A sample is carried out per coil and the average value is calculated from three measurements according to the standard.</t>
  </si>
  <si>
    <r>
      <t xml:space="preserve">S1.2 
</t>
    </r>
    <r>
      <rPr>
        <i/>
        <sz val="10"/>
        <rFont val="Univers"/>
        <family val="2"/>
      </rPr>
      <t>(#16)</t>
    </r>
    <r>
      <rPr>
        <i/>
        <sz val="10"/>
        <color rgb="FFFF0000"/>
        <rFont val="Univers"/>
        <family val="2"/>
      </rPr>
      <t>*</t>
    </r>
  </si>
  <si>
    <r>
      <t xml:space="preserve">- the tool concept was reviewed with Brose technology expert
</t>
    </r>
    <r>
      <rPr>
        <i/>
        <sz val="10"/>
        <rFont val="Arial"/>
        <family val="2"/>
      </rPr>
      <t xml:space="preserve">- the forming simulation is updated including variation of process parameters (e.g. low/high friction) and material properties (e.g. lower/upper yield strength) </t>
    </r>
  </si>
  <si>
    <r>
      <t xml:space="preserve">- das Werkzeugkonzept wurde mit dem Brose Technologieexperten durchgesprochen.
</t>
    </r>
    <r>
      <rPr>
        <i/>
        <sz val="10"/>
        <rFont val="Arial"/>
        <family val="2"/>
      </rPr>
      <t>- Umformsimulation wurde aktualisiert inklusive Prozessparameter (z.B. geringe/hohe Reibung) und Materialeigenschaftsvariation (z.B. unterer/oberer Streckgrenze)</t>
    </r>
  </si>
  <si>
    <t>Version History</t>
  </si>
  <si>
    <t xml:space="preserve">Relase date </t>
  </si>
  <si>
    <t>Change</t>
  </si>
  <si>
    <t>C. Böhmer</t>
  </si>
  <si>
    <t>SQG_2 P2.4: Notes adjusted, new point added</t>
  </si>
  <si>
    <t>MPR Stanzen/Tiefziehen</t>
  </si>
  <si>
    <t>MPR Stamping/Deep-draw.</t>
  </si>
  <si>
    <t>MPR Kaltfließpressen</t>
  </si>
  <si>
    <t>MPR Cold Extrusion</t>
  </si>
  <si>
    <t>SQG_1 Q1.4: Notes adjusted, new point added</t>
  </si>
  <si>
    <t>D. Heller</t>
  </si>
  <si>
    <t>Participants Brose</t>
  </si>
  <si>
    <t>Are customer specific requirements (CSR) and special characteristics submitted to the sub-suppliers?</t>
  </si>
  <si>
    <t>- PPA/PPAP documentation shown by the supplier
- additional drawings were needed for the sub-supplier</t>
  </si>
  <si>
    <t>– Vom Lieferanten vorgelegte PPA/PPAP-Unterlagen
– Für den Unterlieferanten waren zusätzliche Zeichnungen erforderlich</t>
  </si>
  <si>
    <t>Sind die kundenspezifischen Forderungen (KSF) und besondere Merkmale an die Lieferkette weiter gereicht worden?</t>
  </si>
  <si>
    <t>FRT: Added question S1.3</t>
  </si>
  <si>
    <t>Index 100</t>
  </si>
  <si>
    <t>OK</t>
  </si>
  <si>
    <t>A</t>
  </si>
  <si>
    <t>nOK</t>
  </si>
  <si>
    <t>B</t>
  </si>
  <si>
    <t>EN</t>
  </si>
  <si>
    <t>C</t>
  </si>
  <si>
    <t>New sheet Failure Provocation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</si>
</sst>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00_);_(&quot;€&quot;* \(#,##0.00\);_(&quot;€&quot;* &quot;-&quot;??_);_(@_)"/>
    <numFmt numFmtId="165" formatCode="#,##0.00\ [$€-1];\-#,##0.00\ [$€-1]"/>
    <numFmt numFmtId="166" formatCode="[$-407]d/\ mmm/\ yy;@"/>
    <numFmt numFmtId="167" formatCode="0.0"/>
    <numFmt numFmtId="168" formatCode="0.0%"/>
    <numFmt numFmtId="169" formatCode="[$-409]dd\-mmm\-yy;@"/>
    <numFmt numFmtId="170" formatCode="dd/mm/yy;@"/>
    <numFmt numFmtId="171" formatCode="0.000"/>
    <numFmt numFmtId="172" formatCode="0.0000"/>
  </numFmts>
  <fonts count="149" x14ac:knownFonts="1">
    <font>
      <sz val="10"/>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color theme="1"/>
      <name val="Univers"/>
      <family val="2"/>
    </font>
    <font>
      <sz val="10"/>
      <name val="Arial"/>
      <family val="2"/>
    </font>
    <font>
      <b/>
      <sz val="12"/>
      <name val="Univers"/>
      <family val="2"/>
    </font>
    <font>
      <sz val="8"/>
      <name val="Univers"/>
      <family val="2"/>
    </font>
    <font>
      <b/>
      <sz val="10"/>
      <name val="Univers"/>
      <family val="2"/>
    </font>
    <font>
      <sz val="10"/>
      <name val="Univers"/>
      <family val="2"/>
    </font>
    <font>
      <sz val="10"/>
      <name val="Univers"/>
      <family val="2"/>
    </font>
    <font>
      <b/>
      <sz val="20"/>
      <color indexed="8"/>
      <name val="Univers"/>
      <family val="2"/>
    </font>
    <font>
      <b/>
      <sz val="11"/>
      <name val="Univers"/>
      <family val="2"/>
    </font>
    <font>
      <b/>
      <sz val="12"/>
      <color indexed="8"/>
      <name val="Univers"/>
      <family val="2"/>
    </font>
    <font>
      <b/>
      <sz val="16"/>
      <name val="Univers"/>
      <family val="2"/>
    </font>
    <font>
      <b/>
      <u/>
      <sz val="10"/>
      <name val="Univers"/>
      <family val="2"/>
    </font>
    <font>
      <sz val="12"/>
      <color theme="1"/>
      <name val="Univers"/>
      <family val="2"/>
    </font>
    <font>
      <b/>
      <sz val="10"/>
      <name val="Arial"/>
      <family val="2"/>
    </font>
    <font>
      <sz val="10"/>
      <color indexed="8"/>
      <name val="Univers"/>
      <family val="2"/>
    </font>
    <font>
      <sz val="10"/>
      <color rgb="FF006100"/>
      <name val="Univers"/>
      <family val="2"/>
    </font>
    <font>
      <sz val="10"/>
      <color rgb="FF9C0006"/>
      <name val="Univers"/>
      <family val="2"/>
    </font>
    <font>
      <sz val="10"/>
      <color rgb="FF9C6500"/>
      <name val="Univers"/>
      <family val="2"/>
    </font>
    <font>
      <sz val="12"/>
      <name val="Univers"/>
      <family val="2"/>
    </font>
    <font>
      <sz val="18"/>
      <name val="Univers"/>
      <family val="2"/>
    </font>
    <font>
      <sz val="10"/>
      <name val="Univers"/>
      <family val="2"/>
    </font>
    <font>
      <sz val="11"/>
      <name val="Univers"/>
      <family val="2"/>
    </font>
    <font>
      <sz val="14"/>
      <name val="Univers"/>
      <family val="2"/>
    </font>
    <font>
      <b/>
      <sz val="14"/>
      <name val="Univers"/>
      <family val="2"/>
    </font>
    <font>
      <b/>
      <sz val="11"/>
      <color indexed="8"/>
      <name val="Univers"/>
      <family val="2"/>
    </font>
    <font>
      <sz val="10"/>
      <color indexed="81"/>
      <name val="Tahoma"/>
      <family val="2"/>
    </font>
    <font>
      <sz val="9"/>
      <name val="Univers"/>
      <family val="2"/>
    </font>
    <font>
      <sz val="16"/>
      <name val="Univers"/>
      <family val="2"/>
    </font>
    <font>
      <sz val="10"/>
      <color indexed="8"/>
      <name val="MS Sans Serif"/>
      <family val="2"/>
    </font>
    <font>
      <sz val="8"/>
      <name val="Arial"/>
      <family val="2"/>
    </font>
    <font>
      <sz val="10"/>
      <color indexed="8"/>
      <name val="Arial"/>
      <family val="2"/>
    </font>
    <font>
      <sz val="10"/>
      <color indexed="12"/>
      <name val="Arial"/>
      <family val="2"/>
    </font>
    <font>
      <sz val="18"/>
      <color theme="1"/>
      <name val="Univers"/>
      <family val="2"/>
    </font>
    <font>
      <sz val="9"/>
      <color theme="1"/>
      <name val="Univers"/>
      <family val="2"/>
    </font>
    <font>
      <b/>
      <sz val="10"/>
      <color theme="1"/>
      <name val="Univers"/>
      <family val="2"/>
    </font>
    <font>
      <b/>
      <sz val="10"/>
      <color indexed="8"/>
      <name val="Univers"/>
      <family val="2"/>
    </font>
    <font>
      <sz val="5"/>
      <color indexed="8"/>
      <name val="Univers"/>
      <family val="2"/>
    </font>
    <font>
      <b/>
      <sz val="16"/>
      <color indexed="8"/>
      <name val="Univers"/>
      <family val="2"/>
    </font>
    <font>
      <sz val="8"/>
      <color indexed="8"/>
      <name val="Univers"/>
      <family val="2"/>
    </font>
    <font>
      <sz val="10"/>
      <color indexed="24"/>
      <name val="Univers"/>
      <family val="2"/>
    </font>
    <font>
      <b/>
      <sz val="10"/>
      <color indexed="24"/>
      <name val="Univers"/>
      <family val="2"/>
    </font>
    <font>
      <b/>
      <sz val="5"/>
      <color indexed="8"/>
      <name val="Univers"/>
      <family val="2"/>
    </font>
    <font>
      <sz val="10"/>
      <color rgb="FFFF0000"/>
      <name val="Univers"/>
      <family val="2"/>
    </font>
    <font>
      <sz val="10"/>
      <color theme="0"/>
      <name val="Univers"/>
      <family val="2"/>
    </font>
    <font>
      <b/>
      <sz val="8"/>
      <color indexed="8"/>
      <name val="Univers"/>
      <family val="2"/>
    </font>
    <font>
      <sz val="10"/>
      <color indexed="81"/>
      <name val="Univers"/>
      <family val="2"/>
    </font>
    <font>
      <sz val="11"/>
      <color indexed="8"/>
      <name val="Univers"/>
      <family val="2"/>
    </font>
    <font>
      <sz val="10"/>
      <color rgb="FFFFC000"/>
      <name val="Univers"/>
      <family val="2"/>
    </font>
    <font>
      <u/>
      <sz val="10"/>
      <color indexed="12"/>
      <name val="Arial"/>
      <family val="2"/>
    </font>
    <font>
      <sz val="10"/>
      <name val="Arial"/>
      <family val="2"/>
    </font>
    <font>
      <b/>
      <sz val="16"/>
      <name val="Arial"/>
      <family val="2"/>
    </font>
    <font>
      <sz val="14"/>
      <name val="Arial"/>
      <family val="2"/>
    </font>
    <font>
      <sz val="10"/>
      <color indexed="9"/>
      <name val="Arial"/>
      <family val="2"/>
    </font>
    <font>
      <b/>
      <sz val="10"/>
      <color indexed="9"/>
      <name val="Arial"/>
      <family val="2"/>
    </font>
    <font>
      <b/>
      <sz val="10"/>
      <color indexed="10"/>
      <name val="Arial"/>
      <family val="2"/>
    </font>
    <font>
      <b/>
      <sz val="10"/>
      <color indexed="52"/>
      <name val="Arial"/>
      <family val="2"/>
    </font>
    <font>
      <sz val="10"/>
      <color indexed="55"/>
      <name val="Arial"/>
      <family val="2"/>
    </font>
    <font>
      <sz val="10"/>
      <color indexed="63"/>
      <name val="Arial"/>
      <family val="2"/>
    </font>
    <font>
      <b/>
      <sz val="10"/>
      <color indexed="63"/>
      <name val="Arial"/>
      <family val="2"/>
    </font>
    <font>
      <sz val="10"/>
      <color rgb="FFFF0000"/>
      <name val="Arial"/>
      <family val="2"/>
    </font>
    <font>
      <sz val="10"/>
      <color theme="1"/>
      <name val="Arial"/>
      <family val="2"/>
    </font>
    <font>
      <b/>
      <sz val="16"/>
      <color theme="1"/>
      <name val="Univers"/>
      <family val="2"/>
    </font>
    <font>
      <sz val="11"/>
      <name val="Univers"/>
      <family val="2"/>
      <scheme val="major"/>
    </font>
    <font>
      <b/>
      <sz val="20"/>
      <color theme="1"/>
      <name val="Univers"/>
      <family val="2"/>
    </font>
    <font>
      <b/>
      <sz val="20"/>
      <name val="Univers"/>
      <family val="2"/>
    </font>
    <font>
      <sz val="11"/>
      <color theme="1"/>
      <name val="Univers"/>
      <family val="2"/>
    </font>
    <font>
      <sz val="9"/>
      <color indexed="81"/>
      <name val="Segoe UI"/>
      <family val="2"/>
    </font>
    <font>
      <b/>
      <sz val="9"/>
      <color indexed="81"/>
      <name val="Segoe UI"/>
      <family val="2"/>
    </font>
    <font>
      <i/>
      <sz val="10"/>
      <name val="Univers"/>
      <family val="2"/>
    </font>
    <font>
      <i/>
      <sz val="10"/>
      <color theme="1"/>
      <name val="Univers"/>
      <family val="2"/>
    </font>
    <font>
      <i/>
      <sz val="10"/>
      <color indexed="8"/>
      <name val="Univers"/>
      <family val="2"/>
    </font>
    <font>
      <b/>
      <sz val="9"/>
      <color indexed="8"/>
      <name val="Univers"/>
      <family val="2"/>
    </font>
    <font>
      <b/>
      <sz val="18"/>
      <name val="Univers"/>
      <family val="2"/>
    </font>
    <font>
      <sz val="10"/>
      <color theme="1"/>
      <name val="Univers"/>
      <family val="2"/>
      <scheme val="minor"/>
    </font>
    <font>
      <b/>
      <sz val="10"/>
      <name val="Univers"/>
      <family val="2"/>
      <scheme val="major"/>
    </font>
    <font>
      <b/>
      <sz val="16"/>
      <name val="Univers"/>
      <family val="2"/>
      <scheme val="minor"/>
    </font>
    <font>
      <b/>
      <sz val="10"/>
      <name val="Univers"/>
      <family val="2"/>
      <scheme val="minor"/>
    </font>
    <font>
      <b/>
      <sz val="10"/>
      <color theme="1"/>
      <name val="Univers"/>
      <family val="2"/>
      <scheme val="minor"/>
    </font>
    <font>
      <sz val="10"/>
      <name val="Univers"/>
      <family val="2"/>
      <scheme val="minor"/>
    </font>
    <font>
      <sz val="9"/>
      <color theme="1"/>
      <name val="Univers"/>
      <family val="2"/>
      <scheme val="minor"/>
    </font>
    <font>
      <b/>
      <sz val="20"/>
      <name val="Univers"/>
      <family val="2"/>
      <scheme val="major"/>
    </font>
    <font>
      <b/>
      <sz val="16"/>
      <color theme="1"/>
      <name val="Univers"/>
      <family val="2"/>
      <scheme val="major"/>
    </font>
    <font>
      <sz val="10"/>
      <color indexed="8"/>
      <name val="Univers"/>
      <family val="2"/>
      <scheme val="major"/>
    </font>
    <font>
      <i/>
      <sz val="10"/>
      <color indexed="8"/>
      <name val="Univers"/>
      <family val="2"/>
      <scheme val="major"/>
    </font>
    <font>
      <b/>
      <sz val="10"/>
      <color indexed="8"/>
      <name val="Univers"/>
      <family val="2"/>
      <scheme val="major"/>
    </font>
    <font>
      <b/>
      <sz val="10"/>
      <color indexed="24"/>
      <name val="Univers"/>
      <family val="2"/>
      <scheme val="major"/>
    </font>
    <font>
      <b/>
      <sz val="5"/>
      <color indexed="8"/>
      <name val="Univers"/>
      <family val="2"/>
      <scheme val="major"/>
    </font>
    <font>
      <sz val="10"/>
      <color indexed="24"/>
      <name val="Univers"/>
      <family val="2"/>
      <scheme val="major"/>
    </font>
    <font>
      <b/>
      <sz val="16"/>
      <color indexed="8"/>
      <name val="Univers"/>
      <family val="2"/>
      <scheme val="major"/>
    </font>
    <font>
      <sz val="5"/>
      <color indexed="8"/>
      <name val="Univers"/>
      <family val="2"/>
      <scheme val="major"/>
    </font>
    <font>
      <sz val="10"/>
      <name val="Univers"/>
      <family val="2"/>
      <scheme val="major"/>
    </font>
    <font>
      <b/>
      <sz val="12"/>
      <color theme="1"/>
      <name val="Univers"/>
      <family val="2"/>
    </font>
    <font>
      <b/>
      <sz val="14"/>
      <color theme="1"/>
      <name val="Univers"/>
      <family val="2"/>
    </font>
    <font>
      <sz val="10"/>
      <color indexed="8"/>
      <name val="Tahoma"/>
      <family val="2"/>
    </font>
    <font>
      <sz val="10"/>
      <color indexed="81"/>
      <name val="Univers"/>
      <family val="2"/>
      <scheme val="minor"/>
    </font>
    <font>
      <sz val="12"/>
      <color theme="5" tint="0.39997558519241921"/>
      <name val="Univers"/>
      <family val="2"/>
    </font>
    <font>
      <b/>
      <sz val="10"/>
      <color rgb="FFFF0000"/>
      <name val="Univers"/>
      <family val="2"/>
    </font>
    <font>
      <i/>
      <sz val="8"/>
      <name val="Arial"/>
      <family val="2"/>
    </font>
    <font>
      <sz val="8"/>
      <color theme="1"/>
      <name val="Univers"/>
      <family val="2"/>
    </font>
    <font>
      <sz val="10.5"/>
      <name val="Univers"/>
      <family val="2"/>
    </font>
    <font>
      <sz val="7"/>
      <color rgb="FFFF0000"/>
      <name val="Univers"/>
      <family val="2"/>
    </font>
    <font>
      <b/>
      <sz val="10"/>
      <color indexed="19"/>
      <name val="Univers"/>
      <family val="2"/>
    </font>
    <font>
      <b/>
      <i/>
      <sz val="10"/>
      <name val="Univers"/>
      <family val="2"/>
    </font>
    <font>
      <i/>
      <sz val="8"/>
      <color theme="4"/>
      <name val="Univers"/>
      <family val="2"/>
    </font>
    <font>
      <i/>
      <u/>
      <sz val="9"/>
      <color indexed="8"/>
      <name val="Univers"/>
      <family val="2"/>
    </font>
    <font>
      <strike/>
      <sz val="10"/>
      <color theme="1"/>
      <name val="Univers"/>
      <family val="2"/>
    </font>
    <font>
      <i/>
      <sz val="9"/>
      <color theme="1"/>
      <name val="Univers"/>
      <family val="2"/>
    </font>
    <font>
      <b/>
      <sz val="8"/>
      <name val="Arial"/>
      <family val="2"/>
    </font>
    <font>
      <b/>
      <sz val="8"/>
      <color theme="1"/>
      <name val="Univers"/>
      <family val="2"/>
    </font>
    <font>
      <b/>
      <sz val="22"/>
      <color theme="1"/>
      <name val="Univers"/>
      <family val="2"/>
    </font>
    <font>
      <b/>
      <sz val="24"/>
      <color theme="1"/>
      <name val="Univers"/>
      <family val="2"/>
    </font>
    <font>
      <sz val="10"/>
      <color rgb="FFFF0000"/>
      <name val="Univers"/>
      <family val="2"/>
      <scheme val="minor"/>
    </font>
    <font>
      <b/>
      <sz val="8"/>
      <name val="Univers"/>
      <family val="2"/>
    </font>
    <font>
      <sz val="10"/>
      <color theme="0" tint="-0.249977111117893"/>
      <name val="Arial"/>
      <family val="2"/>
    </font>
    <font>
      <b/>
      <sz val="9"/>
      <color theme="1"/>
      <name val="Univers"/>
      <family val="2"/>
    </font>
    <font>
      <i/>
      <sz val="11"/>
      <name val="Univers"/>
      <family val="2"/>
    </font>
    <font>
      <b/>
      <i/>
      <sz val="10"/>
      <name val="Arial"/>
      <family val="2"/>
    </font>
    <font>
      <sz val="10"/>
      <color theme="3"/>
      <name val="Arial"/>
      <family val="2"/>
    </font>
    <font>
      <b/>
      <sz val="9"/>
      <name val="Univers"/>
      <family val="2"/>
    </font>
    <font>
      <i/>
      <sz val="9"/>
      <name val="Univers"/>
      <family val="2"/>
    </font>
    <font>
      <sz val="10"/>
      <color rgb="FF0070C0"/>
      <name val="Univers"/>
      <family val="2"/>
    </font>
    <font>
      <sz val="10"/>
      <color rgb="FF00B050"/>
      <name val="Univers"/>
      <family val="2"/>
    </font>
    <font>
      <b/>
      <sz val="12"/>
      <color rgb="FF000000"/>
      <name val="Arial"/>
      <family val="2"/>
    </font>
    <font>
      <i/>
      <sz val="10"/>
      <color rgb="FFFF0000"/>
      <name val="Univers"/>
      <family val="2"/>
    </font>
    <font>
      <i/>
      <sz val="10"/>
      <color theme="1"/>
      <name val="Univers"/>
      <family val="2"/>
      <scheme val="minor"/>
    </font>
    <font>
      <i/>
      <sz val="10"/>
      <name val="Arial"/>
      <family val="2"/>
    </font>
    <font>
      <sz val="11"/>
      <color theme="1"/>
      <name val="Univers"/>
      <family val="2"/>
      <scheme val="minor"/>
    </font>
    <font>
      <b/>
      <sz val="15"/>
      <color rgb="FFFFFFFF"/>
      <name val="Calibri"/>
      <family val="2"/>
    </font>
    <font>
      <sz val="11"/>
      <color theme="0"/>
      <name val="Univers"/>
      <family val="2"/>
      <scheme val="minor"/>
    </font>
    <font>
      <b/>
      <sz val="11"/>
      <name val="Calibri"/>
      <family val="2"/>
    </font>
    <font>
      <b/>
      <sz val="11"/>
      <color rgb="FFFFFFFF"/>
      <name val="Calibri"/>
      <family val="2"/>
    </font>
  </fonts>
  <fills count="46">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indexed="22"/>
        <bgColor indexed="64"/>
      </patternFill>
    </fill>
    <fill>
      <patternFill patternType="solid">
        <fgColor indexed="26"/>
        <bgColor indexed="64"/>
      </patternFill>
    </fill>
    <fill>
      <patternFill patternType="solid">
        <fgColor indexed="41"/>
        <bgColor indexed="8"/>
      </patternFill>
    </fill>
    <fill>
      <patternFill patternType="solid">
        <fgColor indexed="9"/>
        <bgColor indexed="64"/>
      </patternFill>
    </fill>
    <fill>
      <patternFill patternType="solid">
        <fgColor theme="4" tint="0.79998168889431442"/>
        <bgColor indexed="64"/>
      </patternFill>
    </fill>
    <fill>
      <patternFill patternType="solid">
        <fgColor theme="1"/>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FF00"/>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tint="-0.14999847407452621"/>
        <bgColor indexed="64"/>
      </patternFill>
    </fill>
    <fill>
      <patternFill patternType="solid">
        <fgColor indexed="63"/>
        <bgColor indexed="64"/>
      </patternFill>
    </fill>
    <fill>
      <patternFill patternType="solid">
        <fgColor indexed="46"/>
        <bgColor indexed="64"/>
      </patternFill>
    </fill>
    <fill>
      <patternFill patternType="solid">
        <fgColor rgb="FF92D050"/>
        <bgColor indexed="64"/>
      </patternFill>
    </fill>
    <fill>
      <patternFill patternType="lightGray">
        <bgColor theme="0"/>
      </patternFill>
    </fill>
    <fill>
      <patternFill patternType="solid">
        <fgColor theme="9" tint="0.39997558519241921"/>
        <bgColor indexed="64"/>
      </patternFill>
    </fill>
    <fill>
      <patternFill patternType="lightGray">
        <bgColor theme="0" tint="-0.14999847407452621"/>
      </patternFill>
    </fill>
    <fill>
      <patternFill patternType="solid">
        <fgColor rgb="FF00B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FF"/>
        <bgColor indexed="64"/>
      </patternFill>
    </fill>
    <fill>
      <patternFill patternType="solid">
        <fgColor rgb="FF00FF00"/>
        <bgColor indexed="64"/>
      </patternFill>
    </fill>
    <fill>
      <patternFill patternType="solid">
        <fgColor rgb="FF00B0F0"/>
        <bgColor indexed="64"/>
      </patternFill>
    </fill>
    <fill>
      <patternFill patternType="solid">
        <fgColor theme="5" tint="0.39997558519241921"/>
        <bgColor indexed="64"/>
      </patternFill>
    </fill>
    <fill>
      <patternFill patternType="solid">
        <fgColor rgb="FFC0C0C0"/>
        <bgColor indexed="64"/>
      </patternFill>
    </fill>
    <fill>
      <patternFill patternType="solid">
        <fgColor theme="0" tint="-0.34998626667073579"/>
        <bgColor indexed="64"/>
      </patternFill>
    </fill>
    <fill>
      <patternFill patternType="solid">
        <fgColor rgb="FFF2F2F2"/>
      </patternFill>
    </fill>
    <fill>
      <patternFill patternType="solid">
        <fgColor rgb="FF1F4E78"/>
      </patternFill>
    </fill>
    <fill>
      <patternFill patternType="solid">
        <fgColor theme="3"/>
        <bgColor indexed="64"/>
      </patternFill>
    </fill>
    <fill>
      <patternFill patternType="solid">
        <fgColor rgb="FFFFF2CC"/>
      </patternFill>
    </fill>
    <fill>
      <patternFill patternType="solid">
        <fgColor rgb="FFEAF3F8"/>
      </patternFill>
    </fill>
    <fill>
      <patternFill patternType="solid">
        <fgColor rgb="FFF8FBFD"/>
      </patternFill>
    </fill>
  </fills>
  <borders count="2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style="hair">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hair">
        <color indexed="64"/>
      </left>
      <right style="hair">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theme="3" tint="-0.249977111117893"/>
      </left>
      <right/>
      <top style="thin">
        <color theme="3" tint="-0.249977111117893"/>
      </top>
      <bottom style="thin">
        <color theme="3" tint="-0.249977111117893"/>
      </bottom>
      <diagonal/>
    </border>
    <border>
      <left/>
      <right/>
      <top style="thin">
        <color theme="3" tint="-0.249977111117893"/>
      </top>
      <bottom style="thin">
        <color theme="3" tint="-0.249977111117893"/>
      </bottom>
      <diagonal/>
    </border>
    <border>
      <left/>
      <right style="thin">
        <color theme="3" tint="-0.249977111117893"/>
      </right>
      <top style="thin">
        <color theme="3" tint="-0.249977111117893"/>
      </top>
      <bottom style="thin">
        <color theme="3" tint="-0.249977111117893"/>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top/>
      <bottom style="hair">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hair">
        <color indexed="64"/>
      </bottom>
      <diagonal/>
    </border>
    <border>
      <left/>
      <right style="thin">
        <color indexed="64"/>
      </right>
      <top/>
      <bottom style="hair">
        <color indexed="64"/>
      </bottom>
      <diagonal/>
    </border>
    <border>
      <left/>
      <right style="medium">
        <color indexed="64"/>
      </right>
      <top/>
      <bottom style="hair">
        <color auto="1"/>
      </bottom>
      <diagonal/>
    </border>
    <border>
      <left style="medium">
        <color indexed="64"/>
      </left>
      <right style="hair">
        <color indexed="64"/>
      </right>
      <top/>
      <bottom style="hair">
        <color indexed="64"/>
      </bottom>
      <diagonal/>
    </border>
    <border>
      <left style="medium">
        <color indexed="64"/>
      </left>
      <right/>
      <top/>
      <bottom style="hair">
        <color indexed="64"/>
      </bottom>
      <diagonal/>
    </border>
    <border>
      <left/>
      <right/>
      <top style="medium">
        <color indexed="64"/>
      </top>
      <bottom style="hair">
        <color auto="1"/>
      </bottom>
      <diagonal/>
    </border>
    <border>
      <left style="hair">
        <color auto="1"/>
      </left>
      <right style="medium">
        <color indexed="64"/>
      </right>
      <top style="thin">
        <color auto="1"/>
      </top>
      <bottom style="hair">
        <color auto="1"/>
      </bottom>
      <diagonal/>
    </border>
    <border>
      <left style="hair">
        <color indexed="64"/>
      </left>
      <right/>
      <top style="medium">
        <color indexed="64"/>
      </top>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hair">
        <color indexed="64"/>
      </bottom>
      <diagonal/>
    </border>
    <border>
      <left style="medium">
        <color indexed="64"/>
      </left>
      <right style="hair">
        <color indexed="64"/>
      </right>
      <top/>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thin">
        <color indexed="64"/>
      </left>
      <right style="medium">
        <color indexed="64"/>
      </right>
      <top/>
      <bottom/>
      <diagonal/>
    </border>
    <border>
      <left style="thin">
        <color indexed="64"/>
      </left>
      <right style="hair">
        <color indexed="64"/>
      </right>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auto="1"/>
      </left>
      <right style="medium">
        <color indexed="64"/>
      </right>
      <top style="thin">
        <color auto="1"/>
      </top>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style="hair">
        <color auto="1"/>
      </right>
      <top/>
      <bottom style="hair">
        <color auto="1"/>
      </bottom>
      <diagonal/>
    </border>
    <border>
      <left style="hair">
        <color auto="1"/>
      </left>
      <right style="medium">
        <color indexed="64"/>
      </right>
      <top/>
      <bottom style="hair">
        <color auto="1"/>
      </bottom>
      <diagonal/>
    </border>
    <border>
      <left style="hair">
        <color auto="1"/>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thick">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style="hair">
        <color indexed="64"/>
      </right>
      <top style="medium">
        <color indexed="64"/>
      </top>
      <bottom style="hair">
        <color indexed="64"/>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medium">
        <color indexed="64"/>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auto="1"/>
      </left>
      <right style="thin">
        <color auto="1"/>
      </right>
      <top style="hair">
        <color auto="1"/>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style="medium">
        <color indexed="64"/>
      </right>
      <top style="hair">
        <color auto="1"/>
      </top>
      <bottom style="hair">
        <color auto="1"/>
      </bottom>
      <diagonal/>
    </border>
    <border>
      <left style="medium">
        <color indexed="64"/>
      </left>
      <right style="hair">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top style="hair">
        <color auto="1"/>
      </top>
      <bottom style="medium">
        <color indexed="64"/>
      </bottom>
      <diagonal/>
    </border>
    <border>
      <left/>
      <right style="thin">
        <color auto="1"/>
      </right>
      <top style="hair">
        <color auto="1"/>
      </top>
      <bottom style="medium">
        <color indexed="64"/>
      </bottom>
      <diagonal/>
    </border>
    <border>
      <left/>
      <right/>
      <top style="hair">
        <color auto="1"/>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top style="hair">
        <color auto="1"/>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hair">
        <color auto="1"/>
      </left>
      <right style="hair">
        <color auto="1"/>
      </right>
      <top style="hair">
        <color auto="1"/>
      </top>
      <bottom/>
      <diagonal/>
    </border>
    <border>
      <left style="hair">
        <color indexed="64"/>
      </left>
      <right/>
      <top style="hair">
        <color indexed="64"/>
      </top>
      <bottom/>
      <diagonal/>
    </border>
    <border>
      <left style="medium">
        <color indexed="64"/>
      </left>
      <right/>
      <top style="hair">
        <color auto="1"/>
      </top>
      <bottom style="medium">
        <color indexed="64"/>
      </bottom>
      <diagonal/>
    </border>
    <border>
      <left style="thin">
        <color auto="1"/>
      </left>
      <right style="hair">
        <color auto="1"/>
      </right>
      <top style="hair">
        <color auto="1"/>
      </top>
      <bottom style="medium">
        <color indexed="64"/>
      </bottom>
      <diagonal/>
    </border>
    <border>
      <left style="hair">
        <color auto="1"/>
      </left>
      <right/>
      <top style="hair">
        <color auto="1"/>
      </top>
      <bottom style="medium">
        <color indexed="64"/>
      </bottom>
      <diagonal/>
    </border>
    <border>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style="thin">
        <color rgb="FFB7B7B7"/>
      </left>
      <right style="thin">
        <color rgb="FFB7B7B7"/>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top style="thin">
        <color rgb="FFB7B7B7"/>
      </top>
      <bottom style="thin">
        <color rgb="FFB7B7B7"/>
      </bottom>
      <diagonal/>
    </border>
    <border>
      <left/>
      <right/>
      <top style="thin">
        <color rgb="FFB7B7B7"/>
      </top>
      <bottom/>
      <diagonal/>
    </border>
    <border>
      <left/>
      <right style="thin">
        <color rgb="FFB7B7B7"/>
      </right>
      <top style="thin">
        <color rgb="FFB7B7B7"/>
      </top>
      <bottom/>
      <diagonal/>
    </border>
    <border>
      <left style="thin">
        <color rgb="FFB7B7B7"/>
      </left>
      <right/>
      <top/>
      <bottom style="thin">
        <color rgb="FFB7B7B7"/>
      </bottom>
      <diagonal/>
    </border>
    <border>
      <left/>
      <right/>
      <top/>
      <bottom style="thin">
        <color rgb="FFB7B7B7"/>
      </bottom>
      <diagonal/>
    </border>
    <border>
      <left/>
      <right style="thin">
        <color rgb="FFB7B7B7"/>
      </right>
      <top/>
      <bottom style="thin">
        <color rgb="FFB7B7B7"/>
      </bottom>
      <diagonal/>
    </border>
    <border>
      <left style="thin">
        <color rgb="FFB7B7B7"/>
      </left>
      <right style="thin">
        <color rgb="FFB7B7B7"/>
      </right>
      <top/>
      <bottom/>
      <diagonal/>
    </border>
    <border>
      <left style="thin">
        <color rgb="FFB7B7B7"/>
      </left>
      <right style="thin">
        <color rgb="FFB7B7B7"/>
      </right>
      <top/>
      <bottom style="thin">
        <color rgb="FFB7B7B7"/>
      </bottom>
      <diagonal/>
    </border>
  </borders>
  <cellStyleXfs count="37">
    <xf numFmtId="0" fontId="0" fillId="0" borderId="0">
      <alignment vertical="center"/>
    </xf>
    <xf numFmtId="0" fontId="24" fillId="0" borderId="0"/>
    <xf numFmtId="165" fontId="19" fillId="0" borderId="0" applyFont="0" applyFill="0" applyBorder="0" applyAlignment="0" applyProtection="0"/>
    <xf numFmtId="9" fontId="23" fillId="0" borderId="0" applyFont="0" applyFill="0" applyBorder="0" applyAlignment="0" applyProtection="0"/>
    <xf numFmtId="0" fontId="23" fillId="0" borderId="0">
      <alignment vertical="center"/>
    </xf>
    <xf numFmtId="0" fontId="33" fillId="5" borderId="0" applyNumberFormat="0" applyBorder="0" applyAlignment="0" applyProtection="0"/>
    <xf numFmtId="0" fontId="34" fillId="7" borderId="0" applyNumberFormat="0" applyBorder="0" applyAlignment="0" applyProtection="0"/>
    <xf numFmtId="0" fontId="35" fillId="8" borderId="0" applyNumberFormat="0" applyBorder="0" applyAlignment="0" applyProtection="0"/>
    <xf numFmtId="0" fontId="18" fillId="0" borderId="0"/>
    <xf numFmtId="0" fontId="23" fillId="0" borderId="0">
      <alignment vertical="center"/>
    </xf>
    <xf numFmtId="0" fontId="38" fillId="0" borderId="0"/>
    <xf numFmtId="0" fontId="46" fillId="0" borderId="0"/>
    <xf numFmtId="0" fontId="18" fillId="0" borderId="0"/>
    <xf numFmtId="0" fontId="38" fillId="0" borderId="0"/>
    <xf numFmtId="0" fontId="17" fillId="0" borderId="0"/>
    <xf numFmtId="0" fontId="66" fillId="0" borderId="0" applyNumberFormat="0" applyFill="0" applyBorder="0" applyAlignment="0" applyProtection="0">
      <alignment vertical="top"/>
      <protection locked="0"/>
    </xf>
    <xf numFmtId="0" fontId="16" fillId="0" borderId="0"/>
    <xf numFmtId="0" fontId="67" fillId="0" borderId="0"/>
    <xf numFmtId="0" fontId="19" fillId="0" borderId="0"/>
    <xf numFmtId="0" fontId="23" fillId="0" borderId="0"/>
    <xf numFmtId="0" fontId="19" fillId="0" borderId="0"/>
    <xf numFmtId="0" fontId="15" fillId="0" borderId="0"/>
    <xf numFmtId="164" fontId="23" fillId="0" borderId="0" applyFont="0" applyFill="0" applyBorder="0" applyAlignment="0" applyProtection="0"/>
    <xf numFmtId="0" fontId="14" fillId="0" borderId="0"/>
    <xf numFmtId="0" fontId="12" fillId="0" borderId="0"/>
    <xf numFmtId="0" fontId="11" fillId="0" borderId="0"/>
    <xf numFmtId="0" fontId="11" fillId="0" borderId="0"/>
    <xf numFmtId="0" fontId="23" fillId="0" borderId="0"/>
    <xf numFmtId="0" fontId="10" fillId="0" borderId="0"/>
    <xf numFmtId="0" fontId="10" fillId="0" borderId="0"/>
    <xf numFmtId="0" fontId="23" fillId="0" borderId="0"/>
    <xf numFmtId="0" fontId="9" fillId="0" borderId="0"/>
    <xf numFmtId="0" fontId="9" fillId="0" borderId="0"/>
    <xf numFmtId="0" fontId="8" fillId="0" borderId="0"/>
    <xf numFmtId="0" fontId="7" fillId="0" borderId="0"/>
    <xf numFmtId="0" fontId="4" fillId="0" borderId="0"/>
    <xf numFmtId="0" fontId="144" fillId="0" borderId="0"/>
  </cellStyleXfs>
  <cellXfs count="2915">
    <xf numFmtId="0" fontId="0" fillId="0" borderId="0" xfId="0">
      <alignment vertical="center"/>
    </xf>
    <xf numFmtId="0" fontId="22" fillId="0" borderId="0" xfId="0" applyFont="1">
      <alignment vertical="center"/>
    </xf>
    <xf numFmtId="0" fontId="0" fillId="0" borderId="19" xfId="0" applyBorder="1">
      <alignment vertical="center"/>
    </xf>
    <xf numFmtId="0" fontId="0" fillId="3" borderId="0" xfId="0" applyFill="1">
      <alignment vertical="center"/>
    </xf>
    <xf numFmtId="0" fontId="0" fillId="3" borderId="0" xfId="0" applyFill="1" applyAlignment="1" applyProtection="1">
      <alignment horizontal="left" vertical="center" wrapText="1"/>
      <protection locked="0"/>
    </xf>
    <xf numFmtId="0" fontId="0" fillId="3" borderId="42" xfId="0" applyFill="1" applyBorder="1" applyAlignment="1">
      <alignment wrapText="1"/>
    </xf>
    <xf numFmtId="0" fontId="0" fillId="3" borderId="0" xfId="0" applyFill="1" applyAlignment="1">
      <alignment wrapText="1"/>
    </xf>
    <xf numFmtId="0" fontId="0" fillId="3" borderId="16" xfId="0" applyFill="1" applyBorder="1" applyAlignment="1">
      <alignment wrapText="1"/>
    </xf>
    <xf numFmtId="0" fontId="0" fillId="0" borderId="0" xfId="0" applyAlignment="1">
      <alignment horizontal="center" vertical="center"/>
    </xf>
    <xf numFmtId="0" fontId="0" fillId="0" borderId="0" xfId="0" applyAlignment="1">
      <alignment horizontal="center" vertical="center" wrapText="1"/>
    </xf>
    <xf numFmtId="0" fontId="0" fillId="3" borderId="0" xfId="0" applyFill="1" applyProtection="1">
      <alignment vertical="center"/>
      <protection locked="0"/>
    </xf>
    <xf numFmtId="0" fontId="0" fillId="3" borderId="0" xfId="0" applyFill="1" applyAlignment="1">
      <alignment horizontal="center" vertical="center"/>
    </xf>
    <xf numFmtId="0" fontId="0" fillId="3" borderId="0" xfId="0" applyFill="1" applyAlignment="1" applyProtection="1">
      <alignment vertical="center" wrapText="1"/>
      <protection locked="0"/>
    </xf>
    <xf numFmtId="0" fontId="0" fillId="0" borderId="4"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27" fillId="0" borderId="0" xfId="1" applyFont="1" applyAlignment="1" applyProtection="1">
      <alignment vertical="center" wrapText="1"/>
      <protection locked="0"/>
    </xf>
    <xf numFmtId="0" fontId="0" fillId="0" borderId="0" xfId="0" applyAlignment="1">
      <alignment vertical="center" wrapText="1"/>
    </xf>
    <xf numFmtId="0" fontId="23" fillId="0" borderId="0" xfId="13" applyFont="1" applyAlignment="1">
      <alignment vertical="center" wrapText="1"/>
    </xf>
    <xf numFmtId="0" fontId="38" fillId="0" borderId="0" xfId="13" applyAlignment="1">
      <alignment vertical="center" wrapText="1"/>
    </xf>
    <xf numFmtId="0" fontId="17" fillId="0" borderId="0" xfId="14"/>
    <xf numFmtId="0" fontId="17" fillId="0" borderId="40" xfId="14" applyBorder="1"/>
    <xf numFmtId="0" fontId="17" fillId="0" borderId="39" xfId="14" applyBorder="1"/>
    <xf numFmtId="0" fontId="17" fillId="0" borderId="44" xfId="14" applyBorder="1"/>
    <xf numFmtId="0" fontId="17" fillId="0" borderId="16" xfId="14" applyBorder="1"/>
    <xf numFmtId="0" fontId="51" fillId="0" borderId="0" xfId="14" applyFont="1"/>
    <xf numFmtId="0" fontId="17" fillId="0" borderId="42" xfId="14" applyBorder="1"/>
    <xf numFmtId="0" fontId="17" fillId="0" borderId="0" xfId="14" applyAlignment="1">
      <alignment horizontal="left"/>
    </xf>
    <xf numFmtId="0" fontId="17" fillId="0" borderId="36" xfId="14" applyBorder="1"/>
    <xf numFmtId="0" fontId="17" fillId="0" borderId="19" xfId="14" applyBorder="1"/>
    <xf numFmtId="0" fontId="17" fillId="0" borderId="43" xfId="14" applyBorder="1"/>
    <xf numFmtId="0" fontId="28" fillId="0" borderId="0" xfId="0" applyFont="1" applyAlignment="1">
      <alignment horizontal="left" vertical="center"/>
    </xf>
    <xf numFmtId="0" fontId="22" fillId="3" borderId="0" xfId="0" applyFont="1" applyFill="1">
      <alignment vertical="center"/>
    </xf>
    <xf numFmtId="0" fontId="32" fillId="12" borderId="0" xfId="0" applyFont="1" applyFill="1">
      <alignment vertical="center"/>
    </xf>
    <xf numFmtId="0" fontId="57" fillId="0" borderId="0" xfId="0" applyFont="1">
      <alignment vertical="center"/>
    </xf>
    <xf numFmtId="0" fontId="54" fillId="12" borderId="0" xfId="0" applyFont="1" applyFill="1">
      <alignment vertical="center"/>
    </xf>
    <xf numFmtId="49" fontId="32" fillId="12" borderId="0" xfId="0" applyNumberFormat="1" applyFont="1" applyFill="1">
      <alignment vertical="center"/>
    </xf>
    <xf numFmtId="0" fontId="32" fillId="3" borderId="0" xfId="0" applyFont="1" applyFill="1">
      <alignment vertical="center"/>
    </xf>
    <xf numFmtId="0" fontId="22" fillId="3" borderId="0" xfId="0" applyFont="1" applyFill="1" applyAlignment="1">
      <alignment horizontal="right" vertical="center"/>
    </xf>
    <xf numFmtId="0" fontId="44" fillId="3" borderId="0" xfId="0" applyFont="1" applyFill="1">
      <alignment vertical="center"/>
    </xf>
    <xf numFmtId="0" fontId="60" fillId="3" borderId="0" xfId="0" applyFont="1" applyFill="1">
      <alignment vertical="center"/>
    </xf>
    <xf numFmtId="0" fontId="57" fillId="12" borderId="0" xfId="0" applyFont="1" applyFill="1">
      <alignment vertical="center"/>
    </xf>
    <xf numFmtId="0" fontId="32" fillId="12" borderId="0" xfId="0" applyFont="1" applyFill="1" applyAlignment="1">
      <alignment horizontal="centerContinuous"/>
    </xf>
    <xf numFmtId="0" fontId="53" fillId="12" borderId="0" xfId="0" applyFont="1" applyFill="1" applyAlignment="1">
      <alignment horizontal="centerContinuous"/>
    </xf>
    <xf numFmtId="0" fontId="58" fillId="12" borderId="0" xfId="0" applyFont="1" applyFill="1" applyAlignment="1">
      <alignment horizontal="centerContinuous"/>
    </xf>
    <xf numFmtId="0" fontId="59" fillId="12" borderId="0" xfId="0" applyFont="1" applyFill="1" applyAlignment="1">
      <alignment horizontal="centerContinuous"/>
    </xf>
    <xf numFmtId="0" fontId="32" fillId="12" borderId="0" xfId="0" applyFont="1" applyFill="1" applyAlignment="1">
      <alignment horizontal="left"/>
    </xf>
    <xf numFmtId="0" fontId="57" fillId="12" borderId="0" xfId="0" applyFont="1" applyFill="1" applyAlignment="1">
      <alignment horizontal="left"/>
    </xf>
    <xf numFmtId="0" fontId="32" fillId="3" borderId="0" xfId="0" applyFont="1" applyFill="1" applyAlignment="1">
      <alignment horizontal="center"/>
    </xf>
    <xf numFmtId="14" fontId="61" fillId="3" borderId="0" xfId="0" applyNumberFormat="1" applyFont="1" applyFill="1" applyAlignment="1">
      <alignment horizontal="center"/>
    </xf>
    <xf numFmtId="49" fontId="32" fillId="12" borderId="67" xfId="0" applyNumberFormat="1" applyFont="1" applyFill="1" applyBorder="1">
      <alignment vertical="center"/>
    </xf>
    <xf numFmtId="0" fontId="32" fillId="12" borderId="67" xfId="0" applyFont="1" applyFill="1" applyBorder="1">
      <alignment vertical="center"/>
    </xf>
    <xf numFmtId="0" fontId="22" fillId="12" borderId="1" xfId="0" applyFont="1" applyFill="1" applyBorder="1">
      <alignment vertical="center"/>
    </xf>
    <xf numFmtId="0" fontId="56" fillId="12" borderId="78" xfId="0" applyFont="1" applyFill="1" applyBorder="1" applyAlignment="1">
      <alignment vertical="top" textRotation="90"/>
    </xf>
    <xf numFmtId="0" fontId="53" fillId="12" borderId="1" xfId="0" applyFont="1" applyFill="1" applyBorder="1" applyAlignment="1">
      <alignment vertical="center" wrapText="1"/>
    </xf>
    <xf numFmtId="0" fontId="53" fillId="12" borderId="20" xfId="0" applyFont="1" applyFill="1" applyBorder="1" applyAlignment="1">
      <alignment horizontal="center" vertical="center"/>
    </xf>
    <xf numFmtId="14" fontId="53" fillId="12" borderId="1" xfId="0" applyNumberFormat="1" applyFont="1" applyFill="1" applyBorder="1" applyAlignment="1">
      <alignment horizontal="center" vertical="center"/>
    </xf>
    <xf numFmtId="0" fontId="61" fillId="12" borderId="0" xfId="0" applyFont="1" applyFill="1">
      <alignment vertical="center"/>
    </xf>
    <xf numFmtId="0" fontId="53" fillId="12" borderId="0" xfId="0" applyFont="1" applyFill="1">
      <alignment vertical="center"/>
    </xf>
    <xf numFmtId="0" fontId="32" fillId="12" borderId="83" xfId="0" applyFont="1" applyFill="1" applyBorder="1" applyAlignment="1">
      <alignment vertical="center" wrapText="1"/>
    </xf>
    <xf numFmtId="166" fontId="61" fillId="12" borderId="0" xfId="0" applyNumberFormat="1" applyFont="1" applyFill="1">
      <alignment vertical="center"/>
    </xf>
    <xf numFmtId="0" fontId="32" fillId="15" borderId="81" xfId="0" applyFont="1" applyFill="1" applyBorder="1">
      <alignment vertical="center"/>
    </xf>
    <xf numFmtId="0" fontId="32" fillId="3" borderId="0" xfId="0" applyFont="1" applyFill="1" applyAlignment="1">
      <alignment vertical="center" wrapText="1"/>
    </xf>
    <xf numFmtId="9" fontId="53" fillId="3" borderId="0" xfId="0" applyNumberFormat="1" applyFont="1" applyFill="1" applyAlignment="1">
      <alignment horizontal="center" vertical="center"/>
    </xf>
    <xf numFmtId="166" fontId="53" fillId="3" borderId="0" xfId="0" applyNumberFormat="1" applyFont="1" applyFill="1" applyAlignment="1">
      <alignment horizontal="center" vertical="center"/>
    </xf>
    <xf numFmtId="49" fontId="32" fillId="3" borderId="0" xfId="0" applyNumberFormat="1" applyFont="1" applyFill="1">
      <alignment vertical="center"/>
    </xf>
    <xf numFmtId="49" fontId="32" fillId="3" borderId="0" xfId="0" quotePrefix="1" applyNumberFormat="1" applyFont="1" applyFill="1">
      <alignment vertical="center"/>
    </xf>
    <xf numFmtId="0" fontId="32" fillId="12" borderId="1" xfId="0" applyFont="1" applyFill="1" applyBorder="1">
      <alignment vertical="center"/>
    </xf>
    <xf numFmtId="0" fontId="53" fillId="12" borderId="3" xfId="0" applyFont="1" applyFill="1" applyBorder="1" applyAlignment="1">
      <alignment horizontal="center"/>
    </xf>
    <xf numFmtId="0" fontId="53" fillId="12" borderId="65" xfId="0" applyFont="1" applyFill="1" applyBorder="1" applyAlignment="1">
      <alignment horizontal="center"/>
    </xf>
    <xf numFmtId="0" fontId="53" fillId="12" borderId="4" xfId="0" applyFont="1" applyFill="1" applyBorder="1" applyAlignment="1">
      <alignment horizontal="center"/>
    </xf>
    <xf numFmtId="9" fontId="53" fillId="10" borderId="73" xfId="0" applyNumberFormat="1" applyFont="1" applyFill="1" applyBorder="1">
      <alignment vertical="center"/>
    </xf>
    <xf numFmtId="166" fontId="53" fillId="10" borderId="84" xfId="0" applyNumberFormat="1" applyFont="1" applyFill="1" applyBorder="1" applyAlignment="1" applyProtection="1">
      <alignment horizontal="center" vertical="center"/>
      <protection locked="0"/>
    </xf>
    <xf numFmtId="166" fontId="53" fillId="10" borderId="60" xfId="0" applyNumberFormat="1" applyFont="1" applyFill="1" applyBorder="1" applyAlignment="1" applyProtection="1">
      <alignment horizontal="center" vertical="center"/>
      <protection locked="0"/>
    </xf>
    <xf numFmtId="166" fontId="53" fillId="14" borderId="84" xfId="0" applyNumberFormat="1" applyFont="1" applyFill="1" applyBorder="1" applyAlignment="1" applyProtection="1">
      <alignment horizontal="center" vertical="center"/>
      <protection locked="0"/>
    </xf>
    <xf numFmtId="9" fontId="53" fillId="10" borderId="83" xfId="0" applyNumberFormat="1" applyFont="1" applyFill="1" applyBorder="1">
      <alignment vertical="center"/>
    </xf>
    <xf numFmtId="166" fontId="53" fillId="10" borderId="4" xfId="0" applyNumberFormat="1" applyFont="1" applyFill="1" applyBorder="1" applyAlignment="1" applyProtection="1">
      <alignment horizontal="center" vertical="center"/>
      <protection locked="0"/>
    </xf>
    <xf numFmtId="166" fontId="53" fillId="10" borderId="67" xfId="0" applyNumberFormat="1" applyFont="1" applyFill="1" applyBorder="1" applyAlignment="1" applyProtection="1">
      <alignment horizontal="center" vertical="center"/>
      <protection locked="0"/>
    </xf>
    <xf numFmtId="0" fontId="56" fillId="12" borderId="83" xfId="0" applyFont="1" applyFill="1" applyBorder="1" applyAlignment="1">
      <alignment vertical="center" wrapText="1"/>
    </xf>
    <xf numFmtId="0" fontId="32" fillId="12" borderId="0" xfId="0" applyFont="1" applyFill="1" applyAlignment="1">
      <alignment horizontal="left" vertical="center"/>
    </xf>
    <xf numFmtId="0" fontId="53" fillId="12" borderId="0" xfId="0" applyFont="1" applyFill="1" applyAlignment="1">
      <alignment horizontal="left"/>
    </xf>
    <xf numFmtId="0" fontId="32" fillId="12" borderId="85" xfId="0" applyFont="1" applyFill="1" applyBorder="1">
      <alignment vertical="center"/>
    </xf>
    <xf numFmtId="49" fontId="32" fillId="12" borderId="85" xfId="0" applyNumberFormat="1" applyFont="1" applyFill="1" applyBorder="1">
      <alignment vertical="center"/>
    </xf>
    <xf numFmtId="0" fontId="32" fillId="12" borderId="86" xfId="0" applyFont="1" applyFill="1" applyBorder="1">
      <alignment vertical="center"/>
    </xf>
    <xf numFmtId="0" fontId="32" fillId="12" borderId="87" xfId="0" applyFont="1" applyFill="1" applyBorder="1">
      <alignment vertical="center"/>
    </xf>
    <xf numFmtId="0" fontId="32" fillId="12" borderId="88" xfId="0" applyFont="1" applyFill="1" applyBorder="1">
      <alignment vertical="center"/>
    </xf>
    <xf numFmtId="0" fontId="0" fillId="0" borderId="0" xfId="0" applyProtection="1">
      <alignment vertical="center"/>
      <protection locked="0"/>
    </xf>
    <xf numFmtId="0" fontId="28" fillId="0" borderId="0" xfId="0" applyFont="1" applyProtection="1">
      <alignment vertical="center"/>
      <protection locked="0"/>
    </xf>
    <xf numFmtId="0" fontId="28" fillId="0" borderId="0" xfId="0" applyFont="1" applyAlignment="1" applyProtection="1">
      <alignment horizontal="left" vertical="center"/>
      <protection locked="0"/>
    </xf>
    <xf numFmtId="0" fontId="0" fillId="0" borderId="0" xfId="0" applyAlignment="1" applyProtection="1">
      <alignment horizontal="left" vertical="center" wrapText="1"/>
      <protection locked="0"/>
    </xf>
    <xf numFmtId="0" fontId="22" fillId="3" borderId="15" xfId="0" applyFont="1" applyFill="1" applyBorder="1" applyAlignment="1" applyProtection="1">
      <alignment horizontal="center" vertical="center"/>
      <protection locked="0"/>
    </xf>
    <xf numFmtId="0" fontId="22" fillId="3" borderId="0" xfId="0" applyFont="1" applyFill="1" applyAlignment="1" applyProtection="1">
      <alignment vertical="center" wrapText="1"/>
      <protection locked="0"/>
    </xf>
    <xf numFmtId="0" fontId="22" fillId="0" borderId="5" xfId="2" applyNumberFormat="1"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6" borderId="8" xfId="2" applyNumberFormat="1" applyFont="1" applyFill="1" applyBorder="1" applyAlignment="1" applyProtection="1">
      <alignment horizontal="center" vertical="center"/>
      <protection locked="0"/>
    </xf>
    <xf numFmtId="0" fontId="22" fillId="6" borderId="8" xfId="0" applyFont="1" applyFill="1" applyBorder="1" applyAlignment="1" applyProtection="1">
      <alignment horizontal="center" vertical="center"/>
      <protection locked="0"/>
    </xf>
    <xf numFmtId="0" fontId="22" fillId="0" borderId="8" xfId="2" applyNumberFormat="1" applyFont="1" applyFill="1" applyBorder="1" applyAlignment="1" applyProtection="1">
      <alignment horizontal="center" vertical="center"/>
      <protection locked="0"/>
    </xf>
    <xf numFmtId="0" fontId="22" fillId="3" borderId="8" xfId="0" applyFont="1" applyFill="1" applyBorder="1" applyAlignment="1" applyProtection="1">
      <alignment horizontal="center" vertical="center" wrapText="1"/>
      <protection locked="0"/>
    </xf>
    <xf numFmtId="0" fontId="22" fillId="6" borderId="8" xfId="0" applyFont="1" applyFill="1" applyBorder="1" applyAlignment="1" applyProtection="1">
      <alignment horizontal="center" vertical="center" wrapText="1"/>
      <protection locked="0"/>
    </xf>
    <xf numFmtId="0" fontId="22" fillId="3" borderId="10" xfId="0" applyFont="1" applyFill="1" applyBorder="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0" fontId="23" fillId="3" borderId="0" xfId="0" applyFont="1" applyFill="1" applyAlignment="1" applyProtection="1">
      <alignment horizontal="center" vertical="center" wrapText="1"/>
      <protection locked="0"/>
    </xf>
    <xf numFmtId="0" fontId="19" fillId="3" borderId="0" xfId="0" applyFont="1" applyFill="1" applyAlignment="1" applyProtection="1">
      <alignment horizontal="center" vertical="center" wrapText="1"/>
      <protection locked="0"/>
    </xf>
    <xf numFmtId="0" fontId="0" fillId="0" borderId="0" xfId="0" applyAlignment="1" applyProtection="1">
      <alignment horizontal="left" vertical="top" wrapText="1" shrinkToFit="1"/>
      <protection locked="0"/>
    </xf>
    <xf numFmtId="0" fontId="19" fillId="3" borderId="0" xfId="0" applyFont="1" applyFill="1" applyAlignment="1" applyProtection="1">
      <alignment vertical="center" wrapText="1"/>
      <protection locked="0"/>
    </xf>
    <xf numFmtId="0" fontId="0" fillId="0" borderId="0" xfId="0" applyAlignment="1" applyProtection="1">
      <alignment horizontal="left" vertical="center"/>
      <protection locked="0"/>
    </xf>
    <xf numFmtId="0" fontId="22" fillId="0" borderId="30" xfId="0" applyFont="1" applyBorder="1" applyAlignment="1">
      <alignment horizontal="right" vertical="center"/>
    </xf>
    <xf numFmtId="0" fontId="22" fillId="3" borderId="14" xfId="0" applyFont="1" applyFill="1" applyBorder="1" applyAlignment="1" applyProtection="1">
      <alignment horizontal="center" vertical="center"/>
      <protection locked="0"/>
    </xf>
    <xf numFmtId="0" fontId="22" fillId="3" borderId="0" xfId="0" applyFont="1" applyFill="1" applyAlignment="1" applyProtection="1">
      <alignment horizontal="right" vertical="center"/>
      <protection locked="0"/>
    </xf>
    <xf numFmtId="0" fontId="0" fillId="3" borderId="0" xfId="0" applyFill="1" applyAlignment="1" applyProtection="1">
      <alignment horizontal="left" vertical="center"/>
      <protection locked="0"/>
    </xf>
    <xf numFmtId="0" fontId="22" fillId="0" borderId="0" xfId="0" applyFont="1" applyAlignment="1" applyProtection="1">
      <alignment horizontal="right" vertical="center"/>
      <protection locked="0"/>
    </xf>
    <xf numFmtId="9" fontId="0" fillId="4" borderId="1" xfId="4" applyNumberFormat="1" applyFont="1" applyFill="1" applyBorder="1" applyAlignment="1" applyProtection="1">
      <alignment horizontal="center" vertical="center"/>
      <protection locked="0"/>
    </xf>
    <xf numFmtId="9" fontId="0" fillId="6" borderId="1" xfId="4" applyNumberFormat="1" applyFont="1" applyFill="1" applyBorder="1" applyAlignment="1" applyProtection="1">
      <alignment horizontal="center" vertical="center"/>
      <protection locked="0"/>
    </xf>
    <xf numFmtId="9" fontId="0" fillId="4" borderId="11" xfId="4" applyNumberFormat="1" applyFont="1" applyFill="1" applyBorder="1" applyAlignment="1" applyProtection="1">
      <alignment horizontal="center" vertical="center"/>
      <protection locked="0"/>
    </xf>
    <xf numFmtId="9" fontId="0" fillId="4" borderId="4" xfId="4" applyNumberFormat="1" applyFont="1" applyFill="1" applyBorder="1" applyAlignment="1" applyProtection="1">
      <alignment horizontal="center" vertical="center"/>
      <protection locked="0"/>
    </xf>
    <xf numFmtId="0" fontId="36" fillId="0" borderId="0" xfId="0" applyFont="1" applyProtection="1">
      <alignment vertical="center"/>
      <protection locked="0"/>
    </xf>
    <xf numFmtId="0" fontId="64" fillId="12" borderId="0" xfId="0" applyFont="1" applyFill="1" applyAlignment="1">
      <alignment horizontal="center" vertical="center"/>
    </xf>
    <xf numFmtId="0" fontId="22" fillId="3" borderId="0" xfId="0" applyFont="1" applyFill="1" applyAlignment="1">
      <alignment horizontal="center" vertical="center" wrapText="1"/>
    </xf>
    <xf numFmtId="0" fontId="22" fillId="3" borderId="0" xfId="0" applyFont="1" applyFill="1" applyAlignment="1">
      <alignment vertical="center" wrapText="1"/>
    </xf>
    <xf numFmtId="0" fontId="53" fillId="12" borderId="0" xfId="0" applyFont="1" applyFill="1" applyAlignment="1">
      <alignment horizontal="center"/>
    </xf>
    <xf numFmtId="0" fontId="58" fillId="12" borderId="0" xfId="0" applyFont="1" applyFill="1" applyAlignment="1">
      <alignment horizontal="center"/>
    </xf>
    <xf numFmtId="0" fontId="59" fillId="12" borderId="0" xfId="0" applyFont="1" applyFill="1" applyAlignment="1">
      <alignment horizontal="center"/>
    </xf>
    <xf numFmtId="0" fontId="32" fillId="12" borderId="0" xfId="0" applyFont="1" applyFill="1" applyAlignment="1">
      <alignment horizontal="center"/>
    </xf>
    <xf numFmtId="0" fontId="32" fillId="12" borderId="68" xfId="0" applyFont="1" applyFill="1" applyBorder="1" applyAlignment="1">
      <alignment horizontal="center"/>
    </xf>
    <xf numFmtId="0" fontId="32" fillId="12" borderId="67" xfId="0" applyFont="1" applyFill="1" applyBorder="1" applyAlignment="1">
      <alignment horizontal="center"/>
    </xf>
    <xf numFmtId="0" fontId="38" fillId="4" borderId="2" xfId="13" applyFill="1" applyBorder="1" applyAlignment="1" applyProtection="1">
      <alignment horizontal="left" vertical="center" wrapText="1" indent="1"/>
      <protection locked="0"/>
    </xf>
    <xf numFmtId="0" fontId="38" fillId="4" borderId="23" xfId="13" applyFill="1" applyBorder="1" applyAlignment="1" applyProtection="1">
      <alignment horizontal="left" vertical="center" wrapText="1" indent="1"/>
      <protection locked="0"/>
    </xf>
    <xf numFmtId="0" fontId="38" fillId="4" borderId="20" xfId="13" applyFill="1" applyBorder="1" applyAlignment="1" applyProtection="1">
      <alignment horizontal="left" vertical="center" wrapText="1" indent="1"/>
      <protection locked="0"/>
    </xf>
    <xf numFmtId="0" fontId="0" fillId="0" borderId="0" xfId="13" applyFont="1" applyAlignment="1">
      <alignment vertical="center" wrapText="1"/>
    </xf>
    <xf numFmtId="49" fontId="55" fillId="12" borderId="0" xfId="0" applyNumberFormat="1" applyFont="1" applyFill="1">
      <alignment vertical="center"/>
    </xf>
    <xf numFmtId="0" fontId="32" fillId="0" borderId="0" xfId="0" applyFont="1" applyAlignment="1"/>
    <xf numFmtId="0" fontId="0" fillId="18" borderId="0" xfId="0" applyFill="1">
      <alignment vertical="center"/>
    </xf>
    <xf numFmtId="0" fontId="20" fillId="18" borderId="0" xfId="0" applyFont="1" applyFill="1">
      <alignment vertical="center"/>
    </xf>
    <xf numFmtId="0" fontId="0" fillId="19" borderId="0" xfId="0" applyFill="1">
      <alignment vertical="center"/>
    </xf>
    <xf numFmtId="0" fontId="0" fillId="20" borderId="0" xfId="0" applyFill="1">
      <alignment vertical="center"/>
    </xf>
    <xf numFmtId="0" fontId="31" fillId="9" borderId="0" xfId="17" applyFont="1" applyFill="1" applyAlignment="1">
      <alignment vertical="center" wrapText="1"/>
    </xf>
    <xf numFmtId="0" fontId="19" fillId="0" borderId="0" xfId="18" applyAlignment="1">
      <alignment horizontal="center" vertical="center"/>
    </xf>
    <xf numFmtId="0" fontId="19" fillId="0" borderId="0" xfId="18" applyAlignment="1">
      <alignment vertical="center"/>
    </xf>
    <xf numFmtId="0" fontId="70" fillId="25" borderId="0" xfId="18" applyFont="1" applyFill="1" applyAlignment="1">
      <alignment horizontal="center" vertical="center"/>
    </xf>
    <xf numFmtId="3" fontId="19" fillId="0" borderId="0" xfId="18" applyNumberFormat="1" applyAlignment="1">
      <alignment vertical="center"/>
    </xf>
    <xf numFmtId="0" fontId="19" fillId="0" borderId="0" xfId="19" applyFont="1" applyAlignment="1">
      <alignment vertical="center"/>
    </xf>
    <xf numFmtId="0" fontId="72" fillId="0" borderId="0" xfId="19" applyFont="1" applyAlignment="1">
      <alignment vertical="center" wrapText="1"/>
    </xf>
    <xf numFmtId="0" fontId="47" fillId="3" borderId="0" xfId="18" applyFont="1" applyFill="1" applyAlignment="1">
      <alignment horizontal="center" vertical="center"/>
    </xf>
    <xf numFmtId="0" fontId="19" fillId="3" borderId="0" xfId="18" applyFill="1" applyAlignment="1">
      <alignment vertical="center"/>
    </xf>
    <xf numFmtId="0" fontId="31" fillId="9" borderId="1" xfId="18" applyFont="1" applyFill="1" applyBorder="1" applyAlignment="1">
      <alignment horizontal="center"/>
    </xf>
    <xf numFmtId="0" fontId="31" fillId="9" borderId="1" xfId="18" applyFont="1" applyFill="1" applyBorder="1" applyAlignment="1">
      <alignment vertical="center"/>
    </xf>
    <xf numFmtId="0" fontId="31" fillId="0" borderId="0" xfId="18" applyFont="1"/>
    <xf numFmtId="0" fontId="49" fillId="0" borderId="0" xfId="18" applyFont="1" applyAlignment="1">
      <alignment vertical="center"/>
    </xf>
    <xf numFmtId="0" fontId="19" fillId="0" borderId="0" xfId="18"/>
    <xf numFmtId="0" fontId="48" fillId="0" borderId="0" xfId="18" applyFont="1" applyAlignment="1">
      <alignment vertical="center"/>
    </xf>
    <xf numFmtId="0" fontId="19" fillId="0" borderId="84" xfId="18" applyBorder="1" applyAlignment="1">
      <alignment vertical="center" wrapText="1"/>
    </xf>
    <xf numFmtId="0" fontId="77" fillId="0" borderId="84" xfId="18" applyFont="1" applyBorder="1" applyAlignment="1">
      <alignment vertical="center" wrapText="1"/>
    </xf>
    <xf numFmtId="0" fontId="19" fillId="0" borderId="84" xfId="18" applyBorder="1" applyAlignment="1">
      <alignment vertical="center"/>
    </xf>
    <xf numFmtId="14" fontId="19" fillId="0" borderId="0" xfId="18" applyNumberFormat="1" applyAlignment="1">
      <alignment horizontal="center"/>
    </xf>
    <xf numFmtId="0" fontId="0" fillId="6" borderId="0" xfId="0" applyFill="1">
      <alignment vertical="center"/>
    </xf>
    <xf numFmtId="0" fontId="22" fillId="0" borderId="0" xfId="0" applyFont="1" applyAlignment="1">
      <alignment horizontal="center" vertical="center" wrapText="1"/>
    </xf>
    <xf numFmtId="0" fontId="0" fillId="3" borderId="0" xfId="0" applyFill="1" applyAlignment="1">
      <alignment vertical="center" wrapText="1"/>
    </xf>
    <xf numFmtId="0" fontId="19" fillId="3" borderId="0" xfId="0" applyFont="1" applyFill="1" applyAlignment="1">
      <alignment horizontal="center" vertical="center" wrapText="1"/>
    </xf>
    <xf numFmtId="0" fontId="0" fillId="3" borderId="0" xfId="0" applyFill="1" applyAlignment="1">
      <alignment horizontal="left" vertical="center" wrapText="1"/>
    </xf>
    <xf numFmtId="0" fontId="0" fillId="0" borderId="0" xfId="0" applyAlignment="1">
      <alignment horizontal="left" vertical="top" wrapText="1" shrinkToFit="1"/>
    </xf>
    <xf numFmtId="0" fontId="0" fillId="3" borderId="0" xfId="0" applyFill="1" applyAlignment="1">
      <alignment horizontal="center" vertical="center" wrapText="1"/>
    </xf>
    <xf numFmtId="0" fontId="23" fillId="3" borderId="0" xfId="0" applyFont="1" applyFill="1" applyAlignment="1">
      <alignment horizontal="center" vertical="center" wrapText="1"/>
    </xf>
    <xf numFmtId="14" fontId="75" fillId="24" borderId="84" xfId="18" applyNumberFormat="1" applyFont="1" applyFill="1" applyBorder="1" applyAlignment="1">
      <alignment horizontal="left" vertical="center"/>
    </xf>
    <xf numFmtId="14" fontId="75" fillId="3" borderId="84" xfId="18" applyNumberFormat="1" applyFont="1" applyFill="1" applyBorder="1" applyAlignment="1">
      <alignment horizontal="left" vertical="center"/>
    </xf>
    <xf numFmtId="0" fontId="75" fillId="0" borderId="11" xfId="18" applyFont="1" applyBorder="1" applyAlignment="1">
      <alignment vertical="center"/>
    </xf>
    <xf numFmtId="0" fontId="76" fillId="4" borderId="11" xfId="18" applyFont="1" applyFill="1" applyBorder="1" applyAlignment="1">
      <alignment horizontal="center" vertical="center" wrapText="1"/>
    </xf>
    <xf numFmtId="0" fontId="31" fillId="4" borderId="11" xfId="18" applyFont="1" applyFill="1" applyBorder="1" applyAlignment="1">
      <alignment horizontal="center" vertical="center"/>
    </xf>
    <xf numFmtId="0" fontId="0" fillId="27" borderId="0" xfId="0" applyFill="1">
      <alignment vertical="center"/>
    </xf>
    <xf numFmtId="0" fontId="19" fillId="16" borderId="84" xfId="18" applyFill="1" applyBorder="1" applyAlignment="1">
      <alignment vertical="center" wrapText="1"/>
    </xf>
    <xf numFmtId="0" fontId="39" fillId="21" borderId="1" xfId="15" applyNumberFormat="1" applyFont="1" applyFill="1" applyBorder="1" applyAlignment="1" applyProtection="1">
      <alignment horizontal="center" vertical="center"/>
    </xf>
    <xf numFmtId="0" fontId="39" fillId="20" borderId="1" xfId="15" applyNumberFormat="1" applyFont="1" applyFill="1" applyBorder="1" applyAlignment="1" applyProtection="1">
      <alignment horizontal="center" vertical="center"/>
    </xf>
    <xf numFmtId="0" fontId="39" fillId="17" borderId="1" xfId="15" applyNumberFormat="1" applyFont="1" applyFill="1" applyBorder="1" applyAlignment="1" applyProtection="1">
      <alignment horizontal="center" vertical="center"/>
    </xf>
    <xf numFmtId="0" fontId="39" fillId="3" borderId="1" xfId="15" applyNumberFormat="1" applyFont="1" applyFill="1" applyBorder="1" applyAlignment="1" applyProtection="1">
      <alignment horizontal="center" vertical="center"/>
    </xf>
    <xf numFmtId="0" fontId="19" fillId="0" borderId="1" xfId="19" applyFont="1" applyBorder="1" applyAlignment="1">
      <alignment horizontal="center" vertical="center"/>
    </xf>
    <xf numFmtId="0" fontId="19" fillId="0" borderId="1" xfId="18" applyBorder="1" applyAlignment="1">
      <alignment horizontal="center" vertical="center"/>
    </xf>
    <xf numFmtId="0" fontId="79" fillId="6" borderId="0" xfId="0" applyFont="1" applyFill="1">
      <alignment vertical="center"/>
    </xf>
    <xf numFmtId="0" fontId="0" fillId="6" borderId="0" xfId="0" applyFill="1" applyAlignment="1">
      <alignment horizontal="center" vertical="center"/>
    </xf>
    <xf numFmtId="0" fontId="52" fillId="6" borderId="0" xfId="0" applyFont="1" applyFill="1" applyAlignment="1">
      <alignment horizontal="center" vertical="center"/>
    </xf>
    <xf numFmtId="0" fontId="52" fillId="0" borderId="0" xfId="0" applyFont="1" applyAlignment="1">
      <alignment horizontal="center" vertical="center"/>
    </xf>
    <xf numFmtId="0" fontId="80" fillId="17" borderId="1" xfId="18" applyFont="1" applyFill="1" applyBorder="1" applyAlignment="1">
      <alignment horizontal="center" vertical="center"/>
    </xf>
    <xf numFmtId="0" fontId="31" fillId="3" borderId="84" xfId="18" applyFont="1" applyFill="1" applyBorder="1" applyAlignment="1">
      <alignment horizontal="center" vertical="center"/>
    </xf>
    <xf numFmtId="0" fontId="19" fillId="3" borderId="84" xfId="19" applyFont="1" applyFill="1" applyBorder="1" applyAlignment="1">
      <alignment horizontal="left" vertical="center" wrapText="1"/>
    </xf>
    <xf numFmtId="0" fontId="19" fillId="3" borderId="84" xfId="18" applyFill="1" applyBorder="1" applyAlignment="1">
      <alignment vertical="center"/>
    </xf>
    <xf numFmtId="0" fontId="19" fillId="3" borderId="84" xfId="18" applyFill="1" applyBorder="1" applyAlignment="1">
      <alignment vertical="center" wrapText="1"/>
    </xf>
    <xf numFmtId="0" fontId="0" fillId="0" borderId="0" xfId="0" quotePrefix="1" applyAlignment="1">
      <alignment horizontal="left" vertical="center"/>
    </xf>
    <xf numFmtId="0" fontId="23" fillId="6" borderId="0" xfId="19" applyFill="1" applyAlignment="1">
      <alignment vertical="center"/>
    </xf>
    <xf numFmtId="0" fontId="31" fillId="9" borderId="0" xfId="20" applyFont="1" applyFill="1" applyAlignment="1">
      <alignment vertical="center" wrapText="1"/>
    </xf>
    <xf numFmtId="0" fontId="79" fillId="6" borderId="0" xfId="19" applyFont="1" applyFill="1" applyAlignment="1">
      <alignment vertical="center"/>
    </xf>
    <xf numFmtId="0" fontId="23" fillId="0" borderId="0" xfId="19" applyAlignment="1">
      <alignment vertical="center"/>
    </xf>
    <xf numFmtId="0" fontId="28" fillId="0" borderId="0" xfId="19" applyFont="1" applyAlignment="1">
      <alignment horizontal="left" vertical="center"/>
    </xf>
    <xf numFmtId="0" fontId="22" fillId="0" borderId="0" xfId="19" applyFont="1" applyAlignment="1">
      <alignment horizontal="center" vertical="center" wrapText="1"/>
    </xf>
    <xf numFmtId="0" fontId="23" fillId="3" borderId="0" xfId="19" applyFill="1" applyAlignment="1">
      <alignment vertical="center"/>
    </xf>
    <xf numFmtId="0" fontId="23" fillId="0" borderId="0" xfId="19" applyAlignment="1">
      <alignment vertical="center" wrapText="1"/>
    </xf>
    <xf numFmtId="0" fontId="23" fillId="3" borderId="0" xfId="19" applyFill="1" applyAlignment="1">
      <alignment horizontal="right" vertical="center"/>
    </xf>
    <xf numFmtId="0" fontId="36" fillId="0" borderId="0" xfId="19" applyFont="1" applyAlignment="1">
      <alignment vertical="center" wrapText="1"/>
    </xf>
    <xf numFmtId="0" fontId="39" fillId="0" borderId="0" xfId="19" applyFont="1" applyAlignment="1">
      <alignment horizontal="left" vertical="center" wrapText="1" indent="3"/>
    </xf>
    <xf numFmtId="0" fontId="23" fillId="0" borderId="0" xfId="19" applyAlignment="1">
      <alignment horizontal="center" vertical="center" wrapText="1"/>
    </xf>
    <xf numFmtId="0" fontId="23" fillId="0" borderId="0" xfId="19" applyAlignment="1">
      <alignment horizontal="left" vertical="center" wrapText="1" indent="1"/>
    </xf>
    <xf numFmtId="0" fontId="52" fillId="0" borderId="0" xfId="19" applyFont="1" applyAlignment="1">
      <alignment horizontal="center" vertical="center" wrapText="1"/>
    </xf>
    <xf numFmtId="0" fontId="22" fillId="0" borderId="0" xfId="22" applyNumberFormat="1" applyFont="1" applyFill="1" applyBorder="1" applyAlignment="1" applyProtection="1">
      <alignment horizontal="center" vertical="center"/>
    </xf>
    <xf numFmtId="0" fontId="60" fillId="3" borderId="0" xfId="19" applyFont="1" applyFill="1" applyAlignment="1">
      <alignment horizontal="center" vertical="center" wrapText="1"/>
    </xf>
    <xf numFmtId="0" fontId="60" fillId="0" borderId="0" xfId="19" applyFont="1" applyAlignment="1">
      <alignment horizontal="center" vertical="center" wrapText="1" shrinkToFit="1"/>
    </xf>
    <xf numFmtId="0" fontId="22" fillId="0" borderId="0" xfId="0" applyFont="1" applyAlignment="1">
      <alignment horizontal="left" vertical="center"/>
    </xf>
    <xf numFmtId="0" fontId="19" fillId="0" borderId="114" xfId="18" applyBorder="1" applyAlignment="1">
      <alignment vertical="center" wrapText="1"/>
    </xf>
    <xf numFmtId="0" fontId="83" fillId="3" borderId="1" xfId="15" applyNumberFormat="1" applyFont="1" applyFill="1" applyBorder="1" applyAlignment="1" applyProtection="1">
      <alignment horizontal="center" vertical="center"/>
    </xf>
    <xf numFmtId="0" fontId="0" fillId="3" borderId="0" xfId="19" applyFont="1" applyFill="1" applyAlignment="1">
      <alignment vertical="center"/>
    </xf>
    <xf numFmtId="1" fontId="36" fillId="0" borderId="0" xfId="19" applyNumberFormat="1" applyFont="1" applyAlignment="1">
      <alignment vertical="center" wrapText="1"/>
    </xf>
    <xf numFmtId="1" fontId="0" fillId="3" borderId="0" xfId="19" quotePrefix="1" applyNumberFormat="1" applyFont="1" applyFill="1" applyAlignment="1">
      <alignment vertical="center"/>
    </xf>
    <xf numFmtId="0" fontId="36" fillId="0" borderId="0" xfId="19" applyFont="1" applyAlignment="1">
      <alignment vertical="center"/>
    </xf>
    <xf numFmtId="0" fontId="23" fillId="3" borderId="0" xfId="19" applyFill="1" applyAlignment="1">
      <alignment vertical="center" wrapText="1"/>
    </xf>
    <xf numFmtId="0" fontId="0" fillId="3" borderId="0" xfId="0" applyFill="1" applyAlignment="1">
      <alignment vertical="top" wrapText="1"/>
    </xf>
    <xf numFmtId="0" fontId="53" fillId="24" borderId="0" xfId="0" applyFont="1" applyFill="1">
      <alignment vertical="center"/>
    </xf>
    <xf numFmtId="0" fontId="32" fillId="24" borderId="0" xfId="0" applyFont="1" applyFill="1">
      <alignment vertical="center"/>
    </xf>
    <xf numFmtId="0" fontId="32" fillId="24" borderId="19" xfId="0" applyFont="1" applyFill="1" applyBorder="1" applyAlignment="1">
      <alignment horizontal="centerContinuous"/>
    </xf>
    <xf numFmtId="0" fontId="32" fillId="24" borderId="39" xfId="0" applyFont="1" applyFill="1" applyBorder="1" applyAlignment="1">
      <alignment horizontal="centerContinuous"/>
    </xf>
    <xf numFmtId="0" fontId="56" fillId="24" borderId="132" xfId="0" applyFont="1" applyFill="1" applyBorder="1" applyAlignment="1">
      <alignment horizontal="center" vertical="center" textRotation="90"/>
    </xf>
    <xf numFmtId="0" fontId="53" fillId="24" borderId="14" xfId="0" applyFont="1" applyFill="1" applyBorder="1" applyAlignment="1">
      <alignment vertical="center" wrapText="1"/>
    </xf>
    <xf numFmtId="0" fontId="53" fillId="24" borderId="45" xfId="0" applyFont="1" applyFill="1" applyBorder="1" applyAlignment="1">
      <alignment horizontal="center" vertical="center"/>
    </xf>
    <xf numFmtId="14" fontId="53" fillId="24" borderId="15" xfId="0" applyNumberFormat="1" applyFont="1" applyFill="1" applyBorder="1" applyAlignment="1">
      <alignment horizontal="center" vertical="center"/>
    </xf>
    <xf numFmtId="0" fontId="87" fillId="3" borderId="0" xfId="8" applyFont="1" applyFill="1" applyAlignment="1">
      <alignment horizontal="center" vertical="center"/>
    </xf>
    <xf numFmtId="0" fontId="0" fillId="0" borderId="0" xfId="0" applyAlignment="1">
      <alignment horizontal="left" vertical="center"/>
    </xf>
    <xf numFmtId="0" fontId="88" fillId="3" borderId="0" xfId="0" applyFont="1" applyFill="1" applyAlignment="1">
      <alignment horizontal="left" vertical="center"/>
    </xf>
    <xf numFmtId="0" fontId="86" fillId="0" borderId="0" xfId="0" applyFont="1" applyAlignment="1">
      <alignment horizontal="left" vertical="center"/>
    </xf>
    <xf numFmtId="0" fontId="22" fillId="24" borderId="13" xfId="0" applyFont="1" applyFill="1" applyBorder="1" applyAlignment="1">
      <alignment horizontal="center" vertical="center" textRotation="90"/>
    </xf>
    <xf numFmtId="0" fontId="56" fillId="12" borderId="133" xfId="0" applyFont="1" applyFill="1" applyBorder="1" applyAlignment="1">
      <alignment vertical="center" wrapText="1"/>
    </xf>
    <xf numFmtId="0" fontId="79" fillId="3" borderId="0" xfId="19" applyFont="1" applyFill="1" applyAlignment="1">
      <alignment vertical="center"/>
    </xf>
    <xf numFmtId="14" fontId="0" fillId="0" borderId="0" xfId="0" applyNumberFormat="1">
      <alignment vertical="center"/>
    </xf>
    <xf numFmtId="1" fontId="0" fillId="0" borderId="0" xfId="0" applyNumberFormat="1" applyAlignment="1">
      <alignment horizontal="center" vertical="center"/>
    </xf>
    <xf numFmtId="0" fontId="19" fillId="32" borderId="84" xfId="18" applyFill="1" applyBorder="1" applyAlignment="1">
      <alignment vertical="center" wrapText="1"/>
    </xf>
    <xf numFmtId="0" fontId="82" fillId="6" borderId="0" xfId="19" applyFont="1" applyFill="1" applyAlignment="1">
      <alignment vertical="center" wrapText="1"/>
    </xf>
    <xf numFmtId="0" fontId="68" fillId="3" borderId="0" xfId="3" applyNumberFormat="1" applyFont="1" applyFill="1" applyBorder="1" applyAlignment="1" applyProtection="1">
      <alignment horizontal="left" vertical="center" wrapText="1"/>
    </xf>
    <xf numFmtId="0" fontId="39" fillId="3" borderId="1" xfId="15" applyNumberFormat="1" applyFont="1" applyFill="1" applyBorder="1" applyAlignment="1" applyProtection="1">
      <alignment horizontal="center" vertical="center" wrapText="1"/>
    </xf>
    <xf numFmtId="0" fontId="86" fillId="3" borderId="0" xfId="0" applyFont="1" applyFill="1">
      <alignment vertical="center"/>
    </xf>
    <xf numFmtId="0" fontId="32" fillId="24" borderId="14" xfId="0" applyFont="1" applyFill="1" applyBorder="1">
      <alignment vertical="center"/>
    </xf>
    <xf numFmtId="0" fontId="53" fillId="24" borderId="90" xfId="0" applyFont="1" applyFill="1" applyBorder="1" applyAlignment="1">
      <alignment horizontal="center"/>
    </xf>
    <xf numFmtId="0" fontId="53" fillId="24" borderId="65" xfId="0" applyFont="1" applyFill="1" applyBorder="1" applyAlignment="1">
      <alignment horizontal="center"/>
    </xf>
    <xf numFmtId="0" fontId="53" fillId="24" borderId="49" xfId="0" applyFont="1" applyFill="1" applyBorder="1" applyAlignment="1">
      <alignment horizontal="center"/>
    </xf>
    <xf numFmtId="0" fontId="23" fillId="0" borderId="0" xfId="9" applyAlignment="1">
      <alignment horizontal="left" vertical="center" indent="1"/>
    </xf>
    <xf numFmtId="0" fontId="37" fillId="0" borderId="0" xfId="9" applyFont="1" applyAlignment="1">
      <alignment horizontal="center" vertical="center"/>
    </xf>
    <xf numFmtId="0" fontId="23" fillId="0" borderId="0" xfId="9" applyAlignment="1">
      <alignment horizontal="left" vertical="center" wrapText="1" indent="1"/>
    </xf>
    <xf numFmtId="0" fontId="23" fillId="0" borderId="0" xfId="9">
      <alignment vertical="center"/>
    </xf>
    <xf numFmtId="0" fontId="21" fillId="0" borderId="0" xfId="9" applyFont="1">
      <alignment vertical="center"/>
    </xf>
    <xf numFmtId="0" fontId="18" fillId="0" borderId="0" xfId="8"/>
    <xf numFmtId="0" fontId="18" fillId="3" borderId="0" xfId="8" applyFill="1"/>
    <xf numFmtId="14" fontId="18" fillId="0" borderId="0" xfId="8" applyNumberFormat="1"/>
    <xf numFmtId="0" fontId="18" fillId="0" borderId="0" xfId="8" applyAlignment="1">
      <alignment horizontal="left"/>
    </xf>
    <xf numFmtId="0" fontId="0" fillId="0" borderId="42" xfId="0" applyBorder="1" applyAlignment="1">
      <alignment horizontal="center" vertical="center" wrapText="1"/>
    </xf>
    <xf numFmtId="0" fontId="0" fillId="0" borderId="16" xfId="0" applyBorder="1" applyAlignment="1">
      <alignment horizontal="center" vertical="center" wrapText="1"/>
    </xf>
    <xf numFmtId="0" fontId="22" fillId="3" borderId="10" xfId="2" applyNumberFormat="1" applyFont="1" applyFill="1" applyBorder="1" applyAlignment="1" applyProtection="1">
      <alignment horizontal="center" vertical="center"/>
    </xf>
    <xf numFmtId="0" fontId="22" fillId="3" borderId="8" xfId="0" applyFont="1" applyFill="1" applyBorder="1" applyAlignment="1">
      <alignment horizontal="center" vertical="center"/>
    </xf>
    <xf numFmtId="0" fontId="22" fillId="3" borderId="8" xfId="2" applyNumberFormat="1" applyFont="1" applyFill="1" applyBorder="1" applyAlignment="1" applyProtection="1">
      <alignment horizontal="center" vertical="center"/>
    </xf>
    <xf numFmtId="0" fontId="23" fillId="0" borderId="0" xfId="0" applyFont="1" applyAlignment="1">
      <alignment horizontal="center" vertical="center"/>
    </xf>
    <xf numFmtId="0" fontId="23" fillId="3" borderId="0" xfId="0" applyFont="1" applyFill="1" applyAlignment="1">
      <alignment horizontal="center" vertical="center"/>
    </xf>
    <xf numFmtId="0" fontId="23" fillId="0" borderId="0" xfId="0" applyFont="1">
      <alignment vertical="center"/>
    </xf>
    <xf numFmtId="0" fontId="94" fillId="3" borderId="10" xfId="2" applyNumberFormat="1" applyFont="1" applyFill="1" applyBorder="1" applyAlignment="1" applyProtection="1">
      <alignment horizontal="center" vertical="center"/>
    </xf>
    <xf numFmtId="0" fontId="94" fillId="3" borderId="8" xfId="2" applyNumberFormat="1" applyFont="1" applyFill="1" applyBorder="1" applyAlignment="1" applyProtection="1">
      <alignment horizontal="center" vertical="center"/>
    </xf>
    <xf numFmtId="0" fontId="94" fillId="3" borderId="8" xfId="0" applyFont="1" applyFill="1" applyBorder="1" applyAlignment="1">
      <alignment horizontal="center" vertical="center"/>
    </xf>
    <xf numFmtId="0" fontId="94" fillId="3" borderId="10" xfId="0" applyFont="1" applyFill="1" applyBorder="1" applyAlignment="1">
      <alignment horizontal="center" vertical="center"/>
    </xf>
    <xf numFmtId="0" fontId="94" fillId="3" borderId="32" xfId="2" applyNumberFormat="1" applyFont="1" applyFill="1" applyBorder="1" applyAlignment="1" applyProtection="1">
      <alignment horizontal="center" vertical="center"/>
    </xf>
    <xf numFmtId="0" fontId="96" fillId="3" borderId="0" xfId="0" applyFont="1" applyFill="1">
      <alignment vertical="center"/>
    </xf>
    <xf numFmtId="0" fontId="96" fillId="3" borderId="0" xfId="0" applyFont="1" applyFill="1" applyAlignment="1">
      <alignment vertical="center" wrapText="1"/>
    </xf>
    <xf numFmtId="0" fontId="96" fillId="0" borderId="0" xfId="0" applyFont="1">
      <alignment vertical="center"/>
    </xf>
    <xf numFmtId="0" fontId="23" fillId="3" borderId="0" xfId="0" applyFont="1" applyFill="1">
      <alignment vertical="center"/>
    </xf>
    <xf numFmtId="0" fontId="23" fillId="3" borderId="0" xfId="0" applyFont="1" applyFill="1" applyAlignment="1">
      <alignment vertical="center" wrapText="1"/>
    </xf>
    <xf numFmtId="0" fontId="22" fillId="9" borderId="0" xfId="17" applyFont="1" applyFill="1" applyAlignment="1">
      <alignment horizontal="center" vertical="center" wrapText="1"/>
    </xf>
    <xf numFmtId="0" fontId="22" fillId="9" borderId="0" xfId="20" applyFont="1" applyFill="1" applyAlignment="1">
      <alignment vertical="center" wrapText="1"/>
    </xf>
    <xf numFmtId="1" fontId="23" fillId="0" borderId="0" xfId="19" applyNumberFormat="1" applyAlignment="1">
      <alignment vertical="center" wrapText="1"/>
    </xf>
    <xf numFmtId="0" fontId="92" fillId="9" borderId="0" xfId="17" applyFont="1" applyFill="1" applyAlignment="1">
      <alignment vertical="center" wrapText="1"/>
    </xf>
    <xf numFmtId="0" fontId="92" fillId="9" borderId="0" xfId="20" applyFont="1" applyFill="1" applyAlignment="1">
      <alignment vertical="center" wrapText="1"/>
    </xf>
    <xf numFmtId="0" fontId="99" fillId="6" borderId="0" xfId="19" applyFont="1" applyFill="1" applyAlignment="1">
      <alignment vertical="center"/>
    </xf>
    <xf numFmtId="0" fontId="100" fillId="12" borderId="0" xfId="0" applyFont="1" applyFill="1">
      <alignment vertical="center"/>
    </xf>
    <xf numFmtId="49" fontId="100" fillId="12" borderId="0" xfId="0" applyNumberFormat="1" applyFont="1" applyFill="1">
      <alignment vertical="center"/>
    </xf>
    <xf numFmtId="0" fontId="101" fillId="3" borderId="0" xfId="0" applyFont="1" applyFill="1" applyAlignment="1">
      <alignment horizontal="left" vertical="center"/>
    </xf>
    <xf numFmtId="0" fontId="100" fillId="12" borderId="0" xfId="0" applyFont="1" applyFill="1" applyAlignment="1">
      <alignment horizontal="centerContinuous"/>
    </xf>
    <xf numFmtId="0" fontId="102" fillId="12" borderId="0" xfId="0" applyFont="1" applyFill="1" applyAlignment="1">
      <alignment horizontal="centerContinuous"/>
    </xf>
    <xf numFmtId="0" fontId="103" fillId="12" borderId="0" xfId="0" applyFont="1" applyFill="1" applyAlignment="1">
      <alignment horizontal="centerContinuous"/>
    </xf>
    <xf numFmtId="0" fontId="104" fillId="12" borderId="0" xfId="0" applyFont="1" applyFill="1" applyAlignment="1">
      <alignment horizontal="centerContinuous"/>
    </xf>
    <xf numFmtId="0" fontId="105" fillId="12" borderId="0" xfId="0" applyFont="1" applyFill="1">
      <alignment vertical="center"/>
    </xf>
    <xf numFmtId="0" fontId="107" fillId="12" borderId="0" xfId="0" applyFont="1" applyFill="1">
      <alignment vertical="center"/>
    </xf>
    <xf numFmtId="0" fontId="100" fillId="12" borderId="0" xfId="0" applyFont="1" applyFill="1" applyAlignment="1">
      <alignment horizontal="left"/>
    </xf>
    <xf numFmtId="0" fontId="105" fillId="12" borderId="0" xfId="0" applyFont="1" applyFill="1" applyAlignment="1">
      <alignment horizontal="left"/>
    </xf>
    <xf numFmtId="0" fontId="100" fillId="3" borderId="0" xfId="0" applyFont="1" applyFill="1">
      <alignment vertical="center"/>
    </xf>
    <xf numFmtId="49" fontId="100" fillId="3" borderId="0" xfId="0" quotePrefix="1" applyNumberFormat="1" applyFont="1" applyFill="1">
      <alignment vertical="center"/>
    </xf>
    <xf numFmtId="0" fontId="105" fillId="0" borderId="0" xfId="0" applyFont="1">
      <alignment vertical="center"/>
    </xf>
    <xf numFmtId="0" fontId="98" fillId="6" borderId="0" xfId="19" applyFont="1" applyFill="1" applyAlignment="1">
      <alignment vertical="center" wrapText="1"/>
    </xf>
    <xf numFmtId="0" fontId="23" fillId="3" borderId="0" xfId="9" applyFill="1">
      <alignment vertical="center"/>
    </xf>
    <xf numFmtId="0" fontId="41" fillId="3" borderId="0" xfId="19" applyFont="1" applyFill="1" applyAlignment="1">
      <alignment horizontal="center" vertical="center" wrapText="1"/>
    </xf>
    <xf numFmtId="0" fontId="22" fillId="3" borderId="0" xfId="9" applyFont="1" applyFill="1">
      <alignment vertical="center"/>
    </xf>
    <xf numFmtId="0" fontId="41" fillId="3" borderId="0" xfId="19" applyFont="1" applyFill="1" applyAlignment="1">
      <alignment vertical="center" wrapText="1"/>
    </xf>
    <xf numFmtId="0" fontId="90" fillId="3" borderId="0" xfId="19" applyFont="1" applyFill="1" applyAlignment="1">
      <alignment horizontal="left" vertical="center" wrapText="1"/>
    </xf>
    <xf numFmtId="0" fontId="31" fillId="3" borderId="0" xfId="17" applyFont="1" applyFill="1" applyAlignment="1">
      <alignment horizontal="left" vertical="center" wrapText="1"/>
    </xf>
    <xf numFmtId="0" fontId="31" fillId="3" borderId="0" xfId="17" applyFont="1" applyFill="1" applyAlignment="1">
      <alignment vertical="center" wrapText="1"/>
    </xf>
    <xf numFmtId="0" fontId="52" fillId="3" borderId="0" xfId="8" applyFont="1" applyFill="1"/>
    <xf numFmtId="0" fontId="18" fillId="3" borderId="0" xfId="8" applyFill="1" applyAlignment="1">
      <alignment vertical="center"/>
    </xf>
    <xf numFmtId="0" fontId="23" fillId="3" borderId="0" xfId="3" applyNumberFormat="1" applyFont="1" applyFill="1" applyBorder="1" applyAlignment="1" applyProtection="1">
      <alignment vertical="center" wrapText="1"/>
    </xf>
    <xf numFmtId="0" fontId="23" fillId="0" borderId="67" xfId="9" applyBorder="1" applyAlignment="1">
      <alignment vertical="center" wrapText="1"/>
    </xf>
    <xf numFmtId="0" fontId="100" fillId="12" borderId="0" xfId="0" applyFont="1" applyFill="1" applyAlignment="1">
      <alignment horizontal="center"/>
    </xf>
    <xf numFmtId="0" fontId="102" fillId="12" borderId="0" xfId="0" applyFont="1" applyFill="1">
      <alignment vertical="center"/>
    </xf>
    <xf numFmtId="0" fontId="32" fillId="12" borderId="16" xfId="0" applyFont="1" applyFill="1" applyBorder="1">
      <alignment vertical="center"/>
    </xf>
    <xf numFmtId="0" fontId="53" fillId="12" borderId="16" xfId="0" applyFont="1" applyFill="1" applyBorder="1">
      <alignment vertical="center"/>
    </xf>
    <xf numFmtId="0" fontId="102" fillId="12" borderId="19" xfId="0" applyFont="1" applyFill="1" applyBorder="1">
      <alignment vertical="center"/>
    </xf>
    <xf numFmtId="0" fontId="19" fillId="3" borderId="84" xfId="18" applyFill="1" applyBorder="1" applyAlignment="1">
      <alignment horizontal="left" vertical="center"/>
    </xf>
    <xf numFmtId="0" fontId="0" fillId="36" borderId="0" xfId="0" applyFill="1">
      <alignment vertical="center"/>
    </xf>
    <xf numFmtId="0" fontId="19" fillId="0" borderId="0" xfId="18" applyAlignment="1">
      <alignment vertical="center" wrapText="1"/>
    </xf>
    <xf numFmtId="0" fontId="19" fillId="0" borderId="0" xfId="18" applyAlignment="1">
      <alignment horizontal="left" vertical="center" wrapText="1"/>
    </xf>
    <xf numFmtId="0" fontId="69" fillId="0" borderId="0" xfId="18" applyFont="1" applyAlignment="1">
      <alignment horizontal="center" vertical="center" wrapText="1"/>
    </xf>
    <xf numFmtId="0" fontId="70" fillId="25" borderId="0" xfId="18" applyFont="1" applyFill="1" applyAlignment="1">
      <alignment horizontal="left" vertical="center" wrapText="1"/>
    </xf>
    <xf numFmtId="0" fontId="70" fillId="25" borderId="0" xfId="18" applyFont="1" applyFill="1" applyAlignment="1">
      <alignment vertical="center" wrapText="1"/>
    </xf>
    <xf numFmtId="0" fontId="19" fillId="0" borderId="57" xfId="18" applyBorder="1" applyAlignment="1">
      <alignment vertical="center" wrapText="1"/>
    </xf>
    <xf numFmtId="0" fontId="31" fillId="0" borderId="68" xfId="18" quotePrefix="1" applyFont="1" applyBorder="1" applyAlignment="1">
      <alignment horizontal="left" vertical="center" wrapText="1"/>
    </xf>
    <xf numFmtId="0" fontId="19" fillId="26" borderId="3" xfId="19" applyFont="1" applyFill="1" applyBorder="1" applyAlignment="1">
      <alignment vertical="center" wrapText="1"/>
    </xf>
    <xf numFmtId="0" fontId="19" fillId="0" borderId="37" xfId="18" applyBorder="1" applyAlignment="1">
      <alignment vertical="center" wrapText="1"/>
    </xf>
    <xf numFmtId="49" fontId="31" fillId="0" borderId="0" xfId="18" applyNumberFormat="1" applyFont="1" applyAlignment="1">
      <alignment horizontal="left" vertical="center" wrapText="1"/>
    </xf>
    <xf numFmtId="0" fontId="19" fillId="26" borderId="65" xfId="19" applyFont="1" applyFill="1" applyBorder="1" applyAlignment="1">
      <alignment vertical="center" wrapText="1"/>
    </xf>
    <xf numFmtId="0" fontId="31" fillId="0" borderId="0" xfId="18" applyFont="1" applyAlignment="1">
      <alignment horizontal="left" vertical="center" wrapText="1"/>
    </xf>
    <xf numFmtId="0" fontId="73" fillId="25" borderId="37" xfId="18" applyFont="1" applyFill="1" applyBorder="1" applyAlignment="1">
      <alignment horizontal="center" vertical="center" wrapText="1"/>
    </xf>
    <xf numFmtId="0" fontId="19" fillId="0" borderId="69" xfId="18" applyBorder="1" applyAlignment="1">
      <alignment vertical="center" wrapText="1"/>
    </xf>
    <xf numFmtId="0" fontId="19" fillId="0" borderId="67" xfId="18" applyBorder="1" applyAlignment="1">
      <alignment horizontal="left" vertical="center" wrapText="1"/>
    </xf>
    <xf numFmtId="0" fontId="74" fillId="26" borderId="4" xfId="19" applyFont="1" applyFill="1" applyBorder="1" applyAlignment="1">
      <alignment horizontal="left" vertical="center" wrapText="1"/>
    </xf>
    <xf numFmtId="0" fontId="19" fillId="3" borderId="0" xfId="18" applyFill="1" applyAlignment="1">
      <alignment vertical="center" wrapText="1"/>
    </xf>
    <xf numFmtId="0" fontId="19" fillId="3" borderId="0" xfId="18" applyFill="1" applyAlignment="1">
      <alignment horizontal="left" vertical="center" wrapText="1"/>
    </xf>
    <xf numFmtId="0" fontId="31" fillId="9" borderId="1" xfId="18" applyFont="1" applyFill="1" applyBorder="1" applyAlignment="1">
      <alignment vertical="center" wrapText="1"/>
    </xf>
    <xf numFmtId="0" fontId="75" fillId="0" borderId="11" xfId="18" applyFont="1" applyBorder="1" applyAlignment="1">
      <alignment vertical="center" wrapText="1"/>
    </xf>
    <xf numFmtId="0" fontId="75" fillId="0" borderId="84" xfId="18" applyFont="1" applyBorder="1" applyAlignment="1">
      <alignment vertical="center" wrapText="1"/>
    </xf>
    <xf numFmtId="0" fontId="49" fillId="0" borderId="113" xfId="18" applyFont="1" applyBorder="1" applyAlignment="1">
      <alignment vertical="center" wrapText="1"/>
    </xf>
    <xf numFmtId="0" fontId="78" fillId="0" borderId="0" xfId="18" applyFont="1" applyAlignment="1">
      <alignment vertical="center" wrapText="1"/>
    </xf>
    <xf numFmtId="0" fontId="49" fillId="0" borderId="84" xfId="18" applyFont="1" applyBorder="1" applyAlignment="1">
      <alignment vertical="center" wrapText="1"/>
    </xf>
    <xf numFmtId="0" fontId="19" fillId="0" borderId="0" xfId="18" applyAlignment="1">
      <alignment horizontal="left" wrapText="1"/>
    </xf>
    <xf numFmtId="0" fontId="19" fillId="0" borderId="0" xfId="18" applyAlignment="1">
      <alignment wrapText="1"/>
    </xf>
    <xf numFmtId="0" fontId="75" fillId="0" borderId="49" xfId="18" applyFont="1" applyBorder="1" applyAlignment="1">
      <alignment vertical="center" wrapText="1"/>
    </xf>
    <xf numFmtId="0" fontId="19" fillId="33" borderId="84" xfId="18" applyFill="1" applyBorder="1" applyAlignment="1">
      <alignment vertical="center" wrapText="1"/>
    </xf>
    <xf numFmtId="0" fontId="19" fillId="31" borderId="84" xfId="18" applyFill="1" applyBorder="1" applyAlignment="1">
      <alignment vertical="center" wrapText="1"/>
    </xf>
    <xf numFmtId="0" fontId="75" fillId="3" borderId="84" xfId="18" applyFont="1" applyFill="1" applyBorder="1" applyAlignment="1">
      <alignment vertical="center" wrapText="1"/>
    </xf>
    <xf numFmtId="1" fontId="36" fillId="0" borderId="0" xfId="19" quotePrefix="1" applyNumberFormat="1" applyFont="1" applyAlignment="1">
      <alignment vertical="center"/>
    </xf>
    <xf numFmtId="0" fontId="114" fillId="3" borderId="0" xfId="0" applyFont="1" applyFill="1">
      <alignment vertical="center"/>
    </xf>
    <xf numFmtId="0" fontId="92" fillId="9" borderId="0" xfId="17" applyFont="1" applyFill="1" applyAlignment="1">
      <alignment horizontal="center" vertical="center" wrapText="1"/>
    </xf>
    <xf numFmtId="0" fontId="23" fillId="3" borderId="0" xfId="9" applyFill="1" applyAlignment="1">
      <alignment vertical="center" wrapText="1"/>
    </xf>
    <xf numFmtId="0" fontId="23" fillId="0" borderId="0" xfId="9" applyAlignment="1">
      <alignment vertical="center" wrapText="1"/>
    </xf>
    <xf numFmtId="0" fontId="75" fillId="6" borderId="84" xfId="18" applyFont="1" applyFill="1" applyBorder="1" applyAlignment="1">
      <alignment vertical="center" wrapText="1"/>
    </xf>
    <xf numFmtId="14" fontId="19" fillId="16" borderId="84" xfId="18" applyNumberFormat="1" applyFill="1" applyBorder="1" applyAlignment="1">
      <alignment horizontal="left" vertical="center"/>
    </xf>
    <xf numFmtId="14" fontId="19" fillId="32" borderId="0" xfId="18" applyNumberFormat="1" applyFill="1" applyAlignment="1">
      <alignment horizontal="left"/>
    </xf>
    <xf numFmtId="14" fontId="19" fillId="32" borderId="39" xfId="18" applyNumberFormat="1" applyFill="1" applyBorder="1" applyAlignment="1">
      <alignment horizontal="left"/>
    </xf>
    <xf numFmtId="14" fontId="19" fillId="24" borderId="0" xfId="18" applyNumberFormat="1" applyFill="1" applyAlignment="1">
      <alignment horizontal="left"/>
    </xf>
    <xf numFmtId="0" fontId="22" fillId="9" borderId="0" xfId="17" applyFont="1" applyFill="1" applyAlignment="1">
      <alignment vertical="center" wrapText="1"/>
    </xf>
    <xf numFmtId="0" fontId="13" fillId="0" borderId="0" xfId="8" applyFont="1" applyAlignment="1">
      <alignment horizontal="center" vertical="center"/>
    </xf>
    <xf numFmtId="9" fontId="53" fillId="10" borderId="123" xfId="0" applyNumberFormat="1" applyFont="1" applyFill="1" applyBorder="1" applyProtection="1">
      <alignment vertical="center"/>
      <protection locked="0"/>
    </xf>
    <xf numFmtId="166" fontId="53" fillId="4" borderId="121" xfId="0" applyNumberFormat="1" applyFont="1" applyFill="1" applyBorder="1" applyAlignment="1" applyProtection="1">
      <alignment horizontal="center" vertical="center"/>
      <protection locked="0"/>
    </xf>
    <xf numFmtId="166" fontId="53" fillId="4" borderId="118" xfId="0" applyNumberFormat="1" applyFont="1" applyFill="1" applyBorder="1" applyAlignment="1" applyProtection="1">
      <alignment horizontal="center" vertical="center"/>
      <protection locked="0"/>
    </xf>
    <xf numFmtId="166" fontId="53" fillId="14" borderId="124" xfId="0" applyNumberFormat="1" applyFont="1" applyFill="1" applyBorder="1" applyAlignment="1" applyProtection="1">
      <alignment horizontal="center" vertical="center"/>
      <protection locked="0"/>
    </xf>
    <xf numFmtId="9" fontId="53" fillId="10" borderId="83" xfId="0" applyNumberFormat="1" applyFont="1" applyFill="1" applyBorder="1" applyProtection="1">
      <alignment vertical="center"/>
      <protection locked="0"/>
    </xf>
    <xf numFmtId="166" fontId="53" fillId="4" borderId="60" xfId="0" applyNumberFormat="1" applyFont="1" applyFill="1" applyBorder="1" applyAlignment="1" applyProtection="1">
      <alignment horizontal="center" vertical="center"/>
      <protection locked="0"/>
    </xf>
    <xf numFmtId="166" fontId="53" fillId="4" borderId="84" xfId="0" applyNumberFormat="1" applyFont="1" applyFill="1" applyBorder="1" applyAlignment="1" applyProtection="1">
      <alignment horizontal="center" vertical="center"/>
      <protection locked="0"/>
    </xf>
    <xf numFmtId="166" fontId="53" fillId="14" borderId="125" xfId="0" applyNumberFormat="1" applyFont="1" applyFill="1" applyBorder="1" applyAlignment="1" applyProtection="1">
      <alignment horizontal="center" vertical="center"/>
      <protection locked="0"/>
    </xf>
    <xf numFmtId="166" fontId="53" fillId="4" borderId="125" xfId="0" applyNumberFormat="1" applyFont="1" applyFill="1" applyBorder="1" applyAlignment="1" applyProtection="1">
      <alignment horizontal="center" vertical="center"/>
      <protection locked="0"/>
    </xf>
    <xf numFmtId="166" fontId="53" fillId="4" borderId="49" xfId="0" applyNumberFormat="1" applyFont="1" applyFill="1" applyBorder="1" applyAlignment="1" applyProtection="1">
      <alignment horizontal="center" vertical="center"/>
      <protection locked="0"/>
    </xf>
    <xf numFmtId="166" fontId="53" fillId="4" borderId="39" xfId="0" applyNumberFormat="1" applyFont="1" applyFill="1" applyBorder="1" applyAlignment="1" applyProtection="1">
      <alignment horizontal="center" vertical="center"/>
      <protection locked="0"/>
    </xf>
    <xf numFmtId="166" fontId="53" fillId="4" borderId="52" xfId="0" applyNumberFormat="1" applyFont="1" applyFill="1" applyBorder="1" applyAlignment="1" applyProtection="1">
      <alignment horizontal="center" vertical="center"/>
      <protection locked="0"/>
    </xf>
    <xf numFmtId="0" fontId="32" fillId="12" borderId="122" xfId="0" applyFont="1" applyFill="1" applyBorder="1">
      <alignment vertical="center"/>
    </xf>
    <xf numFmtId="0" fontId="32" fillId="15" borderId="111" xfId="0" applyFont="1" applyFill="1" applyBorder="1">
      <alignment vertical="center"/>
    </xf>
    <xf numFmtId="0" fontId="82" fillId="3" borderId="0" xfId="19" applyFont="1" applyFill="1" applyAlignment="1">
      <alignment vertical="center" wrapText="1"/>
    </xf>
    <xf numFmtId="0" fontId="94" fillId="9" borderId="0" xfId="17" applyFont="1" applyFill="1" applyAlignment="1">
      <alignment vertical="center" wrapText="1"/>
    </xf>
    <xf numFmtId="0" fontId="23" fillId="24" borderId="21" xfId="0" applyFont="1" applyFill="1" applyBorder="1">
      <alignment vertical="center"/>
    </xf>
    <xf numFmtId="0" fontId="23" fillId="24" borderId="21" xfId="0" applyFont="1" applyFill="1" applyBorder="1" applyAlignment="1">
      <alignment vertical="center" wrapText="1"/>
    </xf>
    <xf numFmtId="0" fontId="23" fillId="24" borderId="22" xfId="0" applyFont="1" applyFill="1" applyBorder="1">
      <alignment vertical="center"/>
    </xf>
    <xf numFmtId="0" fontId="95" fillId="24" borderId="53" xfId="0" applyFont="1" applyFill="1" applyBorder="1">
      <alignment vertical="center"/>
    </xf>
    <xf numFmtId="0" fontId="96" fillId="24" borderId="21" xfId="0" applyFont="1" applyFill="1" applyBorder="1">
      <alignment vertical="center"/>
    </xf>
    <xf numFmtId="0" fontId="96" fillId="24" borderId="21" xfId="0" applyFont="1" applyFill="1" applyBorder="1" applyAlignment="1">
      <alignment vertical="center" wrapText="1"/>
    </xf>
    <xf numFmtId="0" fontId="96" fillId="24" borderId="22" xfId="0" applyFont="1" applyFill="1" applyBorder="1">
      <alignment vertical="center"/>
    </xf>
    <xf numFmtId="0" fontId="52" fillId="24" borderId="53" xfId="0" applyFont="1" applyFill="1" applyBorder="1">
      <alignment vertical="center"/>
    </xf>
    <xf numFmtId="14" fontId="19" fillId="24" borderId="30" xfId="18" applyNumberFormat="1" applyFill="1" applyBorder="1" applyAlignment="1">
      <alignment horizontal="left"/>
    </xf>
    <xf numFmtId="0" fontId="75" fillId="0" borderId="14" xfId="18" applyFont="1" applyBorder="1" applyAlignment="1">
      <alignment vertical="center" wrapText="1"/>
    </xf>
    <xf numFmtId="0" fontId="19" fillId="0" borderId="14" xfId="18" applyBorder="1" applyAlignment="1">
      <alignment vertical="center" wrapText="1"/>
    </xf>
    <xf numFmtId="0" fontId="36" fillId="3" borderId="0" xfId="19" applyFont="1" applyFill="1" applyAlignment="1">
      <alignment horizontal="center" vertical="center" wrapText="1"/>
    </xf>
    <xf numFmtId="0" fontId="22" fillId="38" borderId="0" xfId="20" applyFont="1" applyFill="1" applyAlignment="1">
      <alignment vertical="center" wrapText="1"/>
    </xf>
    <xf numFmtId="0" fontId="11" fillId="38" borderId="0" xfId="25" applyFill="1" applyAlignment="1">
      <alignment horizontal="center" vertical="center"/>
    </xf>
    <xf numFmtId="0" fontId="11" fillId="3" borderId="0" xfId="25" applyFill="1" applyAlignment="1">
      <alignment horizontal="center" vertical="center"/>
    </xf>
    <xf numFmtId="0" fontId="11" fillId="0" borderId="0" xfId="25" applyAlignment="1">
      <alignment horizontal="center" vertical="center"/>
    </xf>
    <xf numFmtId="0" fontId="11" fillId="3" borderId="0" xfId="26" applyFill="1"/>
    <xf numFmtId="0" fontId="11" fillId="0" borderId="0" xfId="26"/>
    <xf numFmtId="0" fontId="79" fillId="3" borderId="0" xfId="26" applyFont="1" applyFill="1" applyAlignment="1">
      <alignment vertical="center"/>
    </xf>
    <xf numFmtId="0" fontId="11" fillId="3" borderId="0" xfId="26" applyFill="1" applyAlignment="1">
      <alignment vertical="center"/>
    </xf>
    <xf numFmtId="0" fontId="114" fillId="3" borderId="0" xfId="26" applyFont="1" applyFill="1" applyAlignment="1">
      <alignment vertical="center" wrapText="1"/>
    </xf>
    <xf numFmtId="0" fontId="114" fillId="3" borderId="0" xfId="26" applyFont="1" applyFill="1" applyAlignment="1">
      <alignment wrapText="1"/>
    </xf>
    <xf numFmtId="2" fontId="119" fillId="3" borderId="0" xfId="27" applyNumberFormat="1" applyFont="1" applyFill="1" applyAlignment="1">
      <alignment horizontal="center" vertical="center"/>
    </xf>
    <xf numFmtId="0" fontId="22" fillId="3" borderId="0" xfId="27" applyFont="1" applyFill="1" applyAlignment="1">
      <alignment horizontal="center" vertical="center"/>
    </xf>
    <xf numFmtId="2" fontId="22" fillId="3" borderId="0" xfId="27" applyNumberFormat="1" applyFont="1" applyFill="1" applyAlignment="1">
      <alignment horizontal="center" vertical="center"/>
    </xf>
    <xf numFmtId="0" fontId="11" fillId="3" borderId="0" xfId="26" quotePrefix="1" applyFill="1"/>
    <xf numFmtId="2" fontId="32" fillId="3" borderId="67" xfId="27" applyNumberFormat="1" applyFont="1" applyFill="1" applyBorder="1" applyAlignment="1">
      <alignment horizontal="left" vertical="center"/>
    </xf>
    <xf numFmtId="2" fontId="23" fillId="3" borderId="67" xfId="27" applyNumberFormat="1" applyFill="1" applyBorder="1" applyAlignment="1">
      <alignment vertical="center"/>
    </xf>
    <xf numFmtId="0" fontId="11" fillId="3" borderId="67" xfId="26" applyFill="1" applyBorder="1"/>
    <xf numFmtId="2" fontId="23" fillId="3" borderId="0" xfId="27" applyNumberFormat="1" applyFill="1" applyAlignment="1">
      <alignment vertical="center"/>
    </xf>
    <xf numFmtId="2" fontId="23" fillId="3" borderId="0" xfId="27" applyNumberFormat="1" applyFill="1" applyAlignment="1">
      <alignment horizontal="left" vertical="center"/>
    </xf>
    <xf numFmtId="0" fontId="52" fillId="3" borderId="0" xfId="26" applyFont="1" applyFill="1"/>
    <xf numFmtId="0" fontId="23" fillId="3" borderId="0" xfId="27" applyFill="1" applyAlignment="1">
      <alignment vertical="center"/>
    </xf>
    <xf numFmtId="0" fontId="23" fillId="3" borderId="0" xfId="27" applyFill="1" applyAlignment="1">
      <alignment horizontal="left" vertical="center"/>
    </xf>
    <xf numFmtId="2" fontId="23" fillId="3" borderId="0" xfId="27" applyNumberFormat="1" applyFill="1" applyAlignment="1">
      <alignment horizontal="center" vertical="center"/>
    </xf>
    <xf numFmtId="0" fontId="123" fillId="3" borderId="0" xfId="26" applyFont="1" applyFill="1"/>
    <xf numFmtId="0" fontId="60" fillId="3" borderId="0" xfId="26" applyFont="1" applyFill="1"/>
    <xf numFmtId="0" fontId="60" fillId="3" borderId="0" xfId="26" quotePrefix="1" applyFont="1" applyFill="1"/>
    <xf numFmtId="0" fontId="52" fillId="0" borderId="0" xfId="26" applyFont="1"/>
    <xf numFmtId="0" fontId="22" fillId="3" borderId="0" xfId="20" applyFont="1" applyFill="1" applyAlignment="1">
      <alignment vertical="center" wrapText="1"/>
    </xf>
    <xf numFmtId="0" fontId="127" fillId="3" borderId="0" xfId="26" applyFont="1" applyFill="1" applyAlignment="1">
      <alignment horizontal="center" vertical="center"/>
    </xf>
    <xf numFmtId="0" fontId="26" fillId="3" borderId="0" xfId="27" applyFont="1" applyFill="1" applyAlignment="1">
      <alignment vertical="center" wrapText="1"/>
    </xf>
    <xf numFmtId="2" fontId="23" fillId="3" borderId="0" xfId="27" quotePrefix="1" applyNumberFormat="1" applyFill="1" applyAlignment="1">
      <alignment horizontal="left" vertical="center"/>
    </xf>
    <xf numFmtId="0" fontId="128" fillId="3" borderId="0" xfId="26" applyFont="1" applyFill="1" applyAlignment="1">
      <alignment horizontal="center" vertical="center"/>
    </xf>
    <xf numFmtId="0" fontId="110" fillId="3" borderId="0" xfId="26" applyFont="1" applyFill="1"/>
    <xf numFmtId="49" fontId="11" fillId="4" borderId="1" xfId="26" applyNumberFormat="1" applyFill="1" applyBorder="1" applyAlignment="1" applyProtection="1">
      <alignment horizontal="center" vertical="center"/>
      <protection locked="0"/>
    </xf>
    <xf numFmtId="0" fontId="11" fillId="4" borderId="93" xfId="26" applyFill="1" applyBorder="1" applyAlignment="1" applyProtection="1">
      <alignment horizontal="center" vertical="center"/>
      <protection locked="0"/>
    </xf>
    <xf numFmtId="0" fontId="11" fillId="4" borderId="24" xfId="26" applyFill="1" applyBorder="1" applyAlignment="1" applyProtection="1">
      <alignment horizontal="center" vertical="center"/>
      <protection locked="0"/>
    </xf>
    <xf numFmtId="0" fontId="20" fillId="3" borderId="0" xfId="26" applyFont="1" applyFill="1" applyAlignment="1">
      <alignment vertical="center"/>
    </xf>
    <xf numFmtId="0" fontId="52" fillId="24" borderId="56" xfId="26" applyFont="1" applyFill="1" applyBorder="1" applyAlignment="1">
      <alignment horizontal="center" vertical="center" wrapText="1"/>
    </xf>
    <xf numFmtId="0" fontId="52" fillId="24" borderId="25" xfId="26" applyFont="1" applyFill="1" applyBorder="1" applyAlignment="1">
      <alignment horizontal="center" vertical="center" wrapText="1"/>
    </xf>
    <xf numFmtId="0" fontId="52" fillId="24" borderId="12" xfId="26" applyFont="1" applyFill="1" applyBorder="1" applyAlignment="1">
      <alignment horizontal="center" vertical="center" wrapText="1"/>
    </xf>
    <xf numFmtId="14" fontId="19" fillId="24" borderId="47" xfId="18" applyNumberFormat="1" applyFill="1" applyBorder="1" applyAlignment="1">
      <alignment horizontal="left"/>
    </xf>
    <xf numFmtId="14" fontId="19" fillId="24" borderId="45" xfId="18" applyNumberFormat="1" applyFill="1" applyBorder="1" applyAlignment="1">
      <alignment horizontal="left"/>
    </xf>
    <xf numFmtId="0" fontId="19" fillId="0" borderId="49" xfId="18" applyBorder="1" applyAlignment="1">
      <alignment vertical="center" wrapText="1"/>
    </xf>
    <xf numFmtId="0" fontId="31" fillId="3" borderId="0" xfId="20" applyFont="1" applyFill="1" applyAlignment="1">
      <alignment horizontal="center" vertical="center" wrapText="1"/>
    </xf>
    <xf numFmtId="0" fontId="31" fillId="3" borderId="0" xfId="20" applyFont="1" applyFill="1" applyAlignment="1">
      <alignment vertical="center" wrapText="1"/>
    </xf>
    <xf numFmtId="0" fontId="115" fillId="3" borderId="0" xfId="20" applyFont="1" applyFill="1" applyAlignment="1">
      <alignment horizontal="left" vertical="center" wrapText="1"/>
    </xf>
    <xf numFmtId="0" fontId="10" fillId="6" borderId="43" xfId="29" applyFill="1" applyBorder="1"/>
    <xf numFmtId="0" fontId="10" fillId="6" borderId="19" xfId="29" applyFill="1" applyBorder="1"/>
    <xf numFmtId="0" fontId="10" fillId="6" borderId="36" xfId="29" applyFill="1" applyBorder="1"/>
    <xf numFmtId="0" fontId="10" fillId="0" borderId="0" xfId="29"/>
    <xf numFmtId="0" fontId="10" fillId="6" borderId="44" xfId="29" applyFill="1" applyBorder="1"/>
    <xf numFmtId="0" fontId="10" fillId="6" borderId="39" xfId="29" applyFill="1" applyBorder="1"/>
    <xf numFmtId="0" fontId="10" fillId="6" borderId="40" xfId="29" applyFill="1" applyBorder="1"/>
    <xf numFmtId="0" fontId="10" fillId="24" borderId="42" xfId="29" applyFill="1" applyBorder="1" applyAlignment="1">
      <alignment vertical="center"/>
    </xf>
    <xf numFmtId="0" fontId="52" fillId="24" borderId="0" xfId="29" applyFont="1" applyFill="1" applyAlignment="1">
      <alignment vertical="center"/>
    </xf>
    <xf numFmtId="0" fontId="10" fillId="24" borderId="0" xfId="29" applyFill="1" applyAlignment="1">
      <alignment vertical="center"/>
    </xf>
    <xf numFmtId="0" fontId="10" fillId="24" borderId="16" xfId="29" applyFill="1" applyBorder="1" applyAlignment="1">
      <alignment vertical="center"/>
    </xf>
    <xf numFmtId="0" fontId="10" fillId="24" borderId="0" xfId="29" applyFill="1" applyAlignment="1">
      <alignment horizontal="left" vertical="center"/>
    </xf>
    <xf numFmtId="0" fontId="10" fillId="3" borderId="42" xfId="29" applyFill="1" applyBorder="1" applyAlignment="1">
      <alignment vertical="center"/>
    </xf>
    <xf numFmtId="0" fontId="10" fillId="3" borderId="0" xfId="29" applyFill="1" applyAlignment="1">
      <alignment vertical="center"/>
    </xf>
    <xf numFmtId="0" fontId="10" fillId="3" borderId="16" xfId="29" applyFill="1" applyBorder="1" applyAlignment="1">
      <alignment vertical="center"/>
    </xf>
    <xf numFmtId="0" fontId="23" fillId="3" borderId="0" xfId="29" applyFont="1" applyFill="1" applyAlignment="1">
      <alignment vertical="center"/>
    </xf>
    <xf numFmtId="2" fontId="10" fillId="0" borderId="0" xfId="29" applyNumberFormat="1" applyAlignment="1" applyProtection="1">
      <alignment horizontal="center" vertical="center"/>
      <protection locked="0"/>
    </xf>
    <xf numFmtId="0" fontId="44" fillId="3" borderId="0" xfId="29" applyFont="1" applyFill="1" applyAlignment="1">
      <alignment vertical="center"/>
    </xf>
    <xf numFmtId="0" fontId="10" fillId="3" borderId="44" xfId="29" applyFill="1" applyBorder="1" applyAlignment="1">
      <alignment vertical="center"/>
    </xf>
    <xf numFmtId="0" fontId="10" fillId="3" borderId="39" xfId="29" applyFill="1" applyBorder="1" applyAlignment="1">
      <alignment vertical="center"/>
    </xf>
    <xf numFmtId="0" fontId="10" fillId="3" borderId="40" xfId="29" applyFill="1" applyBorder="1" applyAlignment="1">
      <alignment vertical="center"/>
    </xf>
    <xf numFmtId="0" fontId="10" fillId="24" borderId="43" xfId="29" applyFill="1" applyBorder="1"/>
    <xf numFmtId="0" fontId="22" fillId="24" borderId="19" xfId="29" applyFont="1" applyFill="1" applyBorder="1"/>
    <xf numFmtId="0" fontId="10" fillId="24" borderId="19" xfId="29" applyFill="1" applyBorder="1"/>
    <xf numFmtId="0" fontId="10" fillId="24" borderId="36" xfId="29" applyFill="1" applyBorder="1"/>
    <xf numFmtId="0" fontId="10" fillId="24" borderId="42" xfId="29" applyFill="1" applyBorder="1"/>
    <xf numFmtId="0" fontId="10" fillId="24" borderId="0" xfId="29" applyFill="1"/>
    <xf numFmtId="0" fontId="10" fillId="24" borderId="16" xfId="29" applyFill="1" applyBorder="1"/>
    <xf numFmtId="0" fontId="23" fillId="3" borderId="0" xfId="29" applyFont="1" applyFill="1" applyAlignment="1">
      <alignment horizontal="left" vertical="center"/>
    </xf>
    <xf numFmtId="0" fontId="10" fillId="3" borderId="0" xfId="29" applyFill="1" applyAlignment="1">
      <alignment horizontal="left" vertical="center"/>
    </xf>
    <xf numFmtId="0" fontId="130" fillId="3" borderId="0" xfId="29" applyFont="1" applyFill="1" applyAlignment="1">
      <alignment vertical="center"/>
    </xf>
    <xf numFmtId="0" fontId="23" fillId="3" borderId="16" xfId="29" applyFont="1" applyFill="1" applyBorder="1" applyAlignment="1">
      <alignment vertical="center"/>
    </xf>
    <xf numFmtId="0" fontId="23" fillId="3" borderId="60" xfId="29" applyFont="1" applyFill="1" applyBorder="1" applyAlignment="1">
      <alignment vertical="center"/>
    </xf>
    <xf numFmtId="0" fontId="23" fillId="3" borderId="115" xfId="29" applyFont="1" applyFill="1" applyBorder="1" applyAlignment="1">
      <alignment vertical="center"/>
    </xf>
    <xf numFmtId="0" fontId="10" fillId="0" borderId="0" xfId="29" applyAlignment="1">
      <alignment vertical="center"/>
    </xf>
    <xf numFmtId="0" fontId="10" fillId="3" borderId="68" xfId="29" applyFill="1" applyBorder="1" applyAlignment="1">
      <alignment vertical="center"/>
    </xf>
    <xf numFmtId="0" fontId="10" fillId="3" borderId="54" xfId="29" applyFill="1" applyBorder="1" applyAlignment="1">
      <alignment vertical="center"/>
    </xf>
    <xf numFmtId="0" fontId="10" fillId="0" borderId="23" xfId="29" applyBorder="1" applyAlignment="1" applyProtection="1">
      <alignment horizontal="center" vertical="center"/>
      <protection locked="0"/>
    </xf>
    <xf numFmtId="0" fontId="10" fillId="0" borderId="23" xfId="29" applyBorder="1" applyAlignment="1">
      <alignment horizontal="center" vertical="center"/>
    </xf>
    <xf numFmtId="0" fontId="10" fillId="3" borderId="67" xfId="29" applyFill="1" applyBorder="1" applyAlignment="1">
      <alignment vertical="center"/>
    </xf>
    <xf numFmtId="0" fontId="10" fillId="3" borderId="70" xfId="29" applyFill="1" applyBorder="1" applyAlignment="1">
      <alignment vertical="center"/>
    </xf>
    <xf numFmtId="2" fontId="10" fillId="3" borderId="0" xfId="29" applyNumberFormat="1" applyFill="1" applyAlignment="1">
      <alignment horizontal="center" vertical="center"/>
    </xf>
    <xf numFmtId="0" fontId="10" fillId="3" borderId="0" xfId="29" applyFill="1" applyAlignment="1">
      <alignment horizontal="center" vertical="center"/>
    </xf>
    <xf numFmtId="0" fontId="52" fillId="24" borderId="19" xfId="29" applyFont="1" applyFill="1" applyBorder="1"/>
    <xf numFmtId="0" fontId="10" fillId="3" borderId="42" xfId="29" applyFill="1" applyBorder="1"/>
    <xf numFmtId="0" fontId="10" fillId="3" borderId="0" xfId="29" applyFill="1"/>
    <xf numFmtId="0" fontId="10" fillId="3" borderId="16" xfId="29" applyFill="1" applyBorder="1"/>
    <xf numFmtId="2" fontId="10" fillId="0" borderId="0" xfId="29" applyNumberFormat="1" applyAlignment="1">
      <alignment horizontal="center"/>
    </xf>
    <xf numFmtId="167" fontId="10" fillId="0" borderId="0" xfId="29" applyNumberFormat="1" applyAlignment="1" applyProtection="1">
      <alignment horizontal="center"/>
      <protection locked="0"/>
    </xf>
    <xf numFmtId="0" fontId="10" fillId="3" borderId="44" xfId="29" applyFill="1" applyBorder="1"/>
    <xf numFmtId="0" fontId="10" fillId="3" borderId="39" xfId="29" applyFill="1" applyBorder="1"/>
    <xf numFmtId="0" fontId="10" fillId="3" borderId="40" xfId="29" applyFill="1" applyBorder="1"/>
    <xf numFmtId="0" fontId="10" fillId="24" borderId="43" xfId="29" applyFill="1" applyBorder="1" applyAlignment="1">
      <alignment vertical="center"/>
    </xf>
    <xf numFmtId="0" fontId="22" fillId="24" borderId="19" xfId="29" applyFont="1" applyFill="1" applyBorder="1" applyAlignment="1">
      <alignment vertical="center"/>
    </xf>
    <xf numFmtId="0" fontId="10" fillId="24" borderId="19" xfId="29" applyFill="1" applyBorder="1" applyAlignment="1">
      <alignment vertical="center"/>
    </xf>
    <xf numFmtId="0" fontId="10" fillId="24" borderId="36" xfId="29" applyFill="1" applyBorder="1" applyAlignment="1">
      <alignment vertical="center"/>
    </xf>
    <xf numFmtId="0" fontId="23" fillId="24" borderId="0" xfId="29" applyFont="1" applyFill="1" applyAlignment="1">
      <alignment vertical="center"/>
    </xf>
    <xf numFmtId="0" fontId="10" fillId="0" borderId="42" xfId="29" applyBorder="1" applyAlignment="1">
      <alignment vertical="center"/>
    </xf>
    <xf numFmtId="0" fontId="23" fillId="0" borderId="0" xfId="29" applyFont="1" applyAlignment="1">
      <alignment vertical="center"/>
    </xf>
    <xf numFmtId="0" fontId="23" fillId="0" borderId="0" xfId="29" applyFont="1"/>
    <xf numFmtId="0" fontId="10" fillId="0" borderId="16" xfId="29" applyBorder="1" applyAlignment="1">
      <alignment vertical="center"/>
    </xf>
    <xf numFmtId="0" fontId="10" fillId="0" borderId="37" xfId="29" applyBorder="1" applyAlignment="1">
      <alignment vertical="center"/>
    </xf>
    <xf numFmtId="171" fontId="10" fillId="0" borderId="0" xfId="29" applyNumberFormat="1" applyAlignment="1">
      <alignment horizontal="center" vertical="center"/>
    </xf>
    <xf numFmtId="0" fontId="10" fillId="0" borderId="44" xfId="29" applyBorder="1" applyAlignment="1">
      <alignment vertical="center"/>
    </xf>
    <xf numFmtId="0" fontId="10" fillId="0" borderId="39" xfId="29" applyBorder="1" applyAlignment="1">
      <alignment vertical="center"/>
    </xf>
    <xf numFmtId="0" fontId="10" fillId="0" borderId="40" xfId="29" applyBorder="1" applyAlignment="1">
      <alignment vertical="center"/>
    </xf>
    <xf numFmtId="0" fontId="44" fillId="3" borderId="68" xfId="29" applyFont="1" applyFill="1" applyBorder="1" applyAlignment="1">
      <alignment vertical="center"/>
    </xf>
    <xf numFmtId="0" fontId="44" fillId="3" borderId="67" xfId="29" applyFont="1" applyFill="1" applyBorder="1" applyAlignment="1">
      <alignment vertical="center"/>
    </xf>
    <xf numFmtId="0" fontId="94" fillId="3" borderId="50" xfId="2" applyNumberFormat="1" applyFont="1" applyFill="1" applyBorder="1" applyAlignment="1" applyProtection="1">
      <alignment horizontal="center" vertical="center"/>
    </xf>
    <xf numFmtId="0" fontId="22" fillId="3" borderId="50" xfId="2" applyNumberFormat="1" applyFont="1" applyFill="1" applyBorder="1" applyAlignment="1" applyProtection="1">
      <alignment horizontal="center" vertical="center"/>
    </xf>
    <xf numFmtId="0" fontId="71" fillId="25" borderId="0" xfId="18" applyFont="1" applyFill="1" applyAlignment="1" applyProtection="1">
      <alignment horizontal="center" vertical="center" wrapText="1"/>
      <protection locked="0"/>
    </xf>
    <xf numFmtId="14" fontId="19" fillId="37" borderId="0" xfId="18" applyNumberFormat="1" applyFill="1" applyAlignment="1">
      <alignment horizontal="left"/>
    </xf>
    <xf numFmtId="14" fontId="19" fillId="37" borderId="67" xfId="18" applyNumberFormat="1" applyFill="1" applyBorder="1" applyAlignment="1">
      <alignment horizontal="left"/>
    </xf>
    <xf numFmtId="0" fontId="75" fillId="0" borderId="4" xfId="18" applyFont="1" applyBorder="1" applyAlignment="1">
      <alignment vertical="center" wrapText="1"/>
    </xf>
    <xf numFmtId="0" fontId="19" fillId="0" borderId="4" xfId="18" applyBorder="1" applyAlignment="1">
      <alignment vertical="center" wrapText="1"/>
    </xf>
    <xf numFmtId="0" fontId="75" fillId="24" borderId="84" xfId="18" applyFont="1" applyFill="1" applyBorder="1" applyAlignment="1">
      <alignment vertical="center" wrapText="1"/>
    </xf>
    <xf numFmtId="14" fontId="19" fillId="37" borderId="60" xfId="18" applyNumberFormat="1" applyFill="1" applyBorder="1" applyAlignment="1">
      <alignment horizontal="left"/>
    </xf>
    <xf numFmtId="0" fontId="75" fillId="3" borderId="4" xfId="18" applyFont="1" applyFill="1" applyBorder="1" applyAlignment="1">
      <alignment vertical="center" wrapText="1"/>
    </xf>
    <xf numFmtId="0" fontId="19" fillId="24" borderId="84" xfId="18" applyFill="1" applyBorder="1" applyAlignment="1">
      <alignment vertical="center" wrapText="1"/>
    </xf>
    <xf numFmtId="0" fontId="22" fillId="9" borderId="0" xfId="20" applyFont="1" applyFill="1" applyAlignment="1">
      <alignment horizontal="center" vertical="center" wrapText="1"/>
    </xf>
    <xf numFmtId="0" fontId="9" fillId="0" borderId="0" xfId="31" applyAlignment="1">
      <alignment horizontal="center" vertical="center"/>
    </xf>
    <xf numFmtId="0" fontId="95" fillId="3" borderId="10" xfId="2" applyNumberFormat="1" applyFont="1" applyFill="1" applyBorder="1" applyAlignment="1" applyProtection="1">
      <alignment horizontal="center" vertical="center"/>
    </xf>
    <xf numFmtId="0" fontId="94" fillId="3" borderId="0" xfId="2" applyNumberFormat="1" applyFont="1" applyFill="1" applyBorder="1" applyAlignment="1" applyProtection="1">
      <alignment horizontal="center" vertical="center"/>
    </xf>
    <xf numFmtId="0" fontId="91" fillId="3" borderId="0" xfId="0" applyFont="1" applyFill="1" applyAlignment="1">
      <alignment horizontal="center" vertical="center" wrapText="1"/>
    </xf>
    <xf numFmtId="0" fontId="91" fillId="3" borderId="0" xfId="0" applyFont="1" applyFill="1" applyAlignment="1">
      <alignment horizontal="left" vertical="center" wrapText="1" shrinkToFit="1"/>
    </xf>
    <xf numFmtId="0" fontId="96" fillId="0" borderId="0" xfId="0" applyFont="1" applyAlignment="1" applyProtection="1">
      <alignment horizontal="left" vertical="center" wrapText="1"/>
      <protection locked="0"/>
    </xf>
    <xf numFmtId="0" fontId="96" fillId="0" borderId="0" xfId="0" applyFont="1" applyAlignment="1" applyProtection="1">
      <alignment horizontal="center" vertical="center" wrapText="1"/>
      <protection locked="0"/>
    </xf>
    <xf numFmtId="14" fontId="96" fillId="0" borderId="0" xfId="0" applyNumberFormat="1" applyFont="1" applyAlignment="1" applyProtection="1">
      <alignment horizontal="center" vertical="center" wrapText="1"/>
      <protection locked="0"/>
    </xf>
    <xf numFmtId="0" fontId="95" fillId="3" borderId="8" xfId="2" applyNumberFormat="1" applyFont="1" applyFill="1" applyBorder="1" applyAlignment="1" applyProtection="1">
      <alignment horizontal="center" vertical="center"/>
    </xf>
    <xf numFmtId="0" fontId="95" fillId="3" borderId="32" xfId="2" applyNumberFormat="1" applyFont="1" applyFill="1" applyBorder="1" applyAlignment="1" applyProtection="1">
      <alignment horizontal="center" vertical="center"/>
    </xf>
    <xf numFmtId="0" fontId="95" fillId="3" borderId="8" xfId="0" applyFont="1" applyFill="1" applyBorder="1" applyAlignment="1">
      <alignment horizontal="center" vertical="center"/>
    </xf>
    <xf numFmtId="0" fontId="133" fillId="0" borderId="0" xfId="0" applyFont="1" applyAlignment="1">
      <alignment horizontal="left" vertical="center"/>
    </xf>
    <xf numFmtId="0" fontId="9" fillId="0" borderId="0" xfId="32" applyAlignment="1">
      <alignment horizontal="center" vertical="center"/>
    </xf>
    <xf numFmtId="0" fontId="0" fillId="0" borderId="0" xfId="0" quotePrefix="1">
      <alignment vertical="center"/>
    </xf>
    <xf numFmtId="0" fontId="22" fillId="3" borderId="10" xfId="0" applyFont="1" applyFill="1" applyBorder="1" applyAlignment="1">
      <alignment horizontal="center" vertical="center"/>
    </xf>
    <xf numFmtId="0" fontId="82" fillId="3" borderId="0" xfId="0" applyFont="1" applyFill="1" applyAlignment="1"/>
    <xf numFmtId="0" fontId="94" fillId="3" borderId="48" xfId="2" applyNumberFormat="1" applyFont="1" applyFill="1" applyBorder="1" applyAlignment="1" applyProtection="1">
      <alignment horizontal="center" vertical="center"/>
    </xf>
    <xf numFmtId="0" fontId="95" fillId="3" borderId="48" xfId="0" applyFont="1" applyFill="1" applyBorder="1" applyAlignment="1">
      <alignment horizontal="center" vertical="center"/>
    </xf>
    <xf numFmtId="0" fontId="32" fillId="12" borderId="135" xfId="0" applyFont="1" applyFill="1" applyBorder="1">
      <alignment vertical="center"/>
    </xf>
    <xf numFmtId="0" fontId="32" fillId="15" borderId="135" xfId="0" applyFont="1" applyFill="1" applyBorder="1">
      <alignment vertical="center"/>
    </xf>
    <xf numFmtId="0" fontId="32" fillId="15" borderId="136" xfId="0" applyFont="1" applyFill="1" applyBorder="1">
      <alignment vertical="center"/>
    </xf>
    <xf numFmtId="0" fontId="32" fillId="15" borderId="137" xfId="0" applyFont="1" applyFill="1" applyBorder="1">
      <alignment vertical="center"/>
    </xf>
    <xf numFmtId="14" fontId="19" fillId="20" borderId="0" xfId="18" applyNumberFormat="1" applyFill="1" applyAlignment="1">
      <alignment horizontal="left"/>
    </xf>
    <xf numFmtId="172" fontId="11" fillId="4" borderId="100" xfId="26" applyNumberFormat="1" applyFill="1" applyBorder="1" applyAlignment="1" applyProtection="1">
      <alignment horizontal="center" vertical="center"/>
      <protection locked="0"/>
    </xf>
    <xf numFmtId="172" fontId="11" fillId="4" borderId="69" xfId="26" applyNumberFormat="1" applyFill="1" applyBorder="1" applyAlignment="1" applyProtection="1">
      <alignment horizontal="center" vertical="center"/>
      <protection locked="0"/>
    </xf>
    <xf numFmtId="172" fontId="11" fillId="4" borderId="34" xfId="26" applyNumberFormat="1" applyFill="1" applyBorder="1" applyAlignment="1" applyProtection="1">
      <alignment horizontal="center" vertical="center"/>
      <protection locked="0"/>
    </xf>
    <xf numFmtId="172" fontId="11" fillId="4" borderId="2" xfId="26" applyNumberFormat="1" applyFill="1" applyBorder="1" applyAlignment="1" applyProtection="1">
      <alignment horizontal="center" vertical="center"/>
      <protection locked="0"/>
    </xf>
    <xf numFmtId="172" fontId="11" fillId="4" borderId="9" xfId="26" applyNumberFormat="1" applyFill="1" applyBorder="1" applyAlignment="1" applyProtection="1">
      <alignment horizontal="center" vertical="center"/>
      <protection locked="0"/>
    </xf>
    <xf numFmtId="172" fontId="11" fillId="24" borderId="70" xfId="26" applyNumberFormat="1" applyFill="1" applyBorder="1" applyAlignment="1">
      <alignment horizontal="center" vertical="center"/>
    </xf>
    <xf numFmtId="172" fontId="11" fillId="24" borderId="20" xfId="26" applyNumberFormat="1" applyFill="1" applyBorder="1" applyAlignment="1">
      <alignment horizontal="center" vertical="center"/>
    </xf>
    <xf numFmtId="172" fontId="11" fillId="24" borderId="32" xfId="26" applyNumberFormat="1" applyFill="1" applyBorder="1" applyAlignment="1">
      <alignment horizontal="center" vertical="center"/>
    </xf>
    <xf numFmtId="172" fontId="11" fillId="24" borderId="8" xfId="26" applyNumberFormat="1" applyFill="1" applyBorder="1" applyAlignment="1">
      <alignment horizontal="center" vertical="center"/>
    </xf>
    <xf numFmtId="172" fontId="11" fillId="4" borderId="4" xfId="26" applyNumberFormat="1" applyFill="1" applyBorder="1" applyAlignment="1" applyProtection="1">
      <alignment horizontal="center" vertical="center"/>
      <protection locked="0"/>
    </xf>
    <xf numFmtId="172" fontId="11" fillId="24" borderId="69" xfId="26" applyNumberFormat="1" applyFill="1" applyBorder="1" applyAlignment="1">
      <alignment horizontal="center" vertical="center"/>
    </xf>
    <xf numFmtId="172" fontId="11" fillId="4" borderId="1" xfId="26" applyNumberFormat="1" applyFill="1" applyBorder="1" applyAlignment="1" applyProtection="1">
      <alignment horizontal="center" vertical="center"/>
      <protection locked="0"/>
    </xf>
    <xf numFmtId="172" fontId="11" fillId="4" borderId="1" xfId="26" quotePrefix="1" applyNumberFormat="1" applyFill="1" applyBorder="1" applyAlignment="1" applyProtection="1">
      <alignment horizontal="center" vertical="center"/>
      <protection locked="0"/>
    </xf>
    <xf numFmtId="0" fontId="22" fillId="3" borderId="48" xfId="2" applyNumberFormat="1" applyFont="1" applyFill="1" applyBorder="1" applyAlignment="1" applyProtection="1">
      <alignment horizontal="center" vertical="center"/>
    </xf>
    <xf numFmtId="1" fontId="10" fillId="3" borderId="0" xfId="29" applyNumberFormat="1" applyFill="1" applyProtection="1">
      <protection locked="0"/>
    </xf>
    <xf numFmtId="1" fontId="10" fillId="4" borderId="1" xfId="29" applyNumberFormat="1" applyFill="1" applyBorder="1" applyAlignment="1" applyProtection="1">
      <alignment horizontal="left"/>
      <protection locked="0"/>
    </xf>
    <xf numFmtId="0" fontId="0" fillId="3" borderId="48" xfId="22" applyNumberFormat="1" applyFont="1" applyFill="1" applyBorder="1" applyAlignment="1" applyProtection="1">
      <alignment vertical="center" wrapText="1"/>
    </xf>
    <xf numFmtId="10" fontId="11" fillId="24" borderId="9" xfId="26" applyNumberFormat="1" applyFill="1" applyBorder="1" applyAlignment="1">
      <alignment horizontal="center" vertical="center"/>
    </xf>
    <xf numFmtId="10" fontId="11" fillId="24" borderId="34" xfId="26" applyNumberFormat="1" applyFill="1" applyBorder="1" applyAlignment="1">
      <alignment horizontal="center" vertical="center"/>
    </xf>
    <xf numFmtId="0" fontId="135" fillId="0" borderId="84" xfId="18" applyFont="1" applyBorder="1" applyAlignment="1">
      <alignment vertical="center" wrapText="1"/>
    </xf>
    <xf numFmtId="0" fontId="75" fillId="39" borderId="84" xfId="18" applyFont="1" applyFill="1" applyBorder="1" applyAlignment="1">
      <alignment vertical="center" wrapText="1"/>
    </xf>
    <xf numFmtId="0" fontId="11" fillId="4" borderId="100" xfId="26" applyFill="1" applyBorder="1" applyAlignment="1" applyProtection="1">
      <alignment horizontal="center" vertical="center"/>
      <protection locked="0"/>
    </xf>
    <xf numFmtId="0" fontId="11" fillId="4" borderId="55" xfId="26" applyFill="1" applyBorder="1" applyAlignment="1" applyProtection="1">
      <alignment horizontal="center" vertical="center"/>
      <protection locked="0"/>
    </xf>
    <xf numFmtId="14" fontId="19" fillId="0" borderId="84" xfId="20" applyNumberFormat="1" applyBorder="1" applyAlignment="1">
      <alignment horizontal="left" vertical="center"/>
    </xf>
    <xf numFmtId="0" fontId="19" fillId="0" borderId="84" xfId="20" applyBorder="1" applyAlignment="1">
      <alignment vertical="center" wrapText="1"/>
    </xf>
    <xf numFmtId="14" fontId="77" fillId="0" borderId="84" xfId="20" applyNumberFormat="1" applyFont="1" applyBorder="1" applyAlignment="1">
      <alignment horizontal="left" vertical="center"/>
    </xf>
    <xf numFmtId="14" fontId="19" fillId="3" borderId="0" xfId="18" applyNumberFormat="1" applyFill="1" applyAlignment="1">
      <alignment horizontal="left"/>
    </xf>
    <xf numFmtId="0" fontId="7" fillId="0" borderId="0" xfId="34"/>
    <xf numFmtId="0" fontId="39" fillId="3" borderId="1" xfId="15" applyFont="1" applyFill="1" applyBorder="1" applyAlignment="1" applyProtection="1">
      <alignment horizontal="center" vertical="center"/>
    </xf>
    <xf numFmtId="0" fontId="78" fillId="0" borderId="2" xfId="18" applyFont="1" applyBorder="1" applyAlignment="1">
      <alignment horizontal="center" vertical="center"/>
    </xf>
    <xf numFmtId="0" fontId="39" fillId="3" borderId="4" xfId="15" applyNumberFormat="1" applyFont="1" applyFill="1" applyBorder="1" applyAlignment="1" applyProtection="1">
      <alignment horizontal="center" vertical="center"/>
    </xf>
    <xf numFmtId="0" fontId="39" fillId="3" borderId="4" xfId="15" applyFont="1" applyFill="1" applyBorder="1" applyAlignment="1" applyProtection="1">
      <alignment horizontal="center" vertical="center"/>
    </xf>
    <xf numFmtId="0" fontId="32" fillId="3" borderId="0" xfId="27" applyFont="1" applyFill="1" applyAlignment="1">
      <alignment horizontal="left" vertical="center"/>
    </xf>
    <xf numFmtId="12" fontId="11" fillId="3" borderId="0" xfId="26" applyNumberFormat="1" applyFill="1"/>
    <xf numFmtId="0" fontId="31" fillId="12" borderId="0" xfId="34" applyFont="1" applyFill="1" applyAlignment="1" applyProtection="1">
      <alignment vertical="top"/>
      <protection locked="0"/>
    </xf>
    <xf numFmtId="0" fontId="7" fillId="12" borderId="0" xfId="34" applyFill="1" applyAlignment="1" applyProtection="1">
      <alignment vertical="top"/>
      <protection locked="0"/>
    </xf>
    <xf numFmtId="0" fontId="23" fillId="4" borderId="37" xfId="27" applyFill="1" applyBorder="1" applyAlignment="1" applyProtection="1">
      <alignment vertical="top"/>
      <protection locked="0"/>
    </xf>
    <xf numFmtId="0" fontId="23" fillId="4" borderId="41" xfId="27" applyFill="1" applyBorder="1" applyAlignment="1" applyProtection="1">
      <alignment vertical="top"/>
      <protection locked="0"/>
    </xf>
    <xf numFmtId="0" fontId="23" fillId="4" borderId="69" xfId="27" applyFill="1" applyBorder="1" applyAlignment="1" applyProtection="1">
      <alignment vertical="top"/>
      <protection locked="0"/>
    </xf>
    <xf numFmtId="0" fontId="23" fillId="4" borderId="67" xfId="27" applyFill="1" applyBorder="1" applyAlignment="1" applyProtection="1">
      <alignment vertical="top"/>
      <protection locked="0"/>
    </xf>
    <xf numFmtId="0" fontId="23" fillId="4" borderId="70" xfId="27" applyFill="1" applyBorder="1" applyAlignment="1" applyProtection="1">
      <alignment vertical="top"/>
      <protection locked="0"/>
    </xf>
    <xf numFmtId="0" fontId="23" fillId="4" borderId="0" xfId="27" applyFill="1" applyAlignment="1" applyProtection="1">
      <alignment vertical="top"/>
      <protection locked="0"/>
    </xf>
    <xf numFmtId="0" fontId="23" fillId="0" borderId="0" xfId="34" applyFont="1"/>
    <xf numFmtId="0" fontId="20" fillId="3" borderId="0" xfId="27" applyFont="1" applyFill="1" applyAlignment="1">
      <alignment horizontal="left" vertical="center"/>
    </xf>
    <xf numFmtId="0" fontId="6" fillId="0" borderId="0" xfId="34" applyFont="1"/>
    <xf numFmtId="0" fontId="69" fillId="0" borderId="148" xfId="34" applyFont="1" applyBorder="1"/>
    <xf numFmtId="0" fontId="11" fillId="3" borderId="68" xfId="26" applyFill="1" applyBorder="1"/>
    <xf numFmtId="49" fontId="23" fillId="3" borderId="0" xfId="27" applyNumberFormat="1" applyFill="1" applyAlignment="1">
      <alignment horizontal="right" vertical="center" wrapText="1"/>
    </xf>
    <xf numFmtId="0" fontId="11" fillId="3" borderId="41" xfId="26" applyFill="1" applyBorder="1"/>
    <xf numFmtId="0" fontId="11" fillId="3" borderId="37" xfId="26" applyFill="1" applyBorder="1"/>
    <xf numFmtId="0" fontId="52" fillId="24" borderId="26" xfId="26" applyFont="1" applyFill="1" applyBorder="1" applyAlignment="1">
      <alignment horizontal="center" vertical="center" wrapText="1"/>
    </xf>
    <xf numFmtId="172" fontId="11" fillId="4" borderId="67" xfId="26" applyNumberFormat="1" applyFill="1" applyBorder="1" applyAlignment="1" applyProtection="1">
      <alignment horizontal="center" vertical="center"/>
      <protection locked="0"/>
    </xf>
    <xf numFmtId="49" fontId="11" fillId="4" borderId="4" xfId="26" applyNumberFormat="1" applyFill="1" applyBorder="1" applyAlignment="1" applyProtection="1">
      <alignment horizontal="center" vertical="center"/>
      <protection locked="0"/>
    </xf>
    <xf numFmtId="0" fontId="52" fillId="24" borderId="10" xfId="26" applyFont="1" applyFill="1" applyBorder="1" applyAlignment="1">
      <alignment horizontal="center" vertical="center" wrapText="1"/>
    </xf>
    <xf numFmtId="0" fontId="11" fillId="4" borderId="69" xfId="26" applyFill="1" applyBorder="1" applyAlignment="1" applyProtection="1">
      <alignment horizontal="center" vertical="center"/>
      <protection locked="0"/>
    </xf>
    <xf numFmtId="49" fontId="0" fillId="4" borderId="0" xfId="27" applyNumberFormat="1" applyFont="1" applyFill="1" applyAlignment="1" applyProtection="1">
      <alignment horizontal="center" vertical="center"/>
      <protection locked="0"/>
    </xf>
    <xf numFmtId="172" fontId="11" fillId="4" borderId="32" xfId="26" applyNumberFormat="1" applyFill="1" applyBorder="1" applyAlignment="1" applyProtection="1">
      <alignment horizontal="center" vertical="center"/>
      <protection locked="0"/>
    </xf>
    <xf numFmtId="0" fontId="11" fillId="4" borderId="2" xfId="26" applyFill="1" applyBorder="1" applyAlignment="1" applyProtection="1">
      <alignment horizontal="center" vertical="center"/>
      <protection locked="0"/>
    </xf>
    <xf numFmtId="2" fontId="23" fillId="3" borderId="37" xfId="27" applyNumberFormat="1" applyFill="1" applyBorder="1" applyAlignment="1">
      <alignment horizontal="left" vertical="center"/>
    </xf>
    <xf numFmtId="49" fontId="11" fillId="4" borderId="65" xfId="26" applyNumberFormat="1" applyFill="1" applyBorder="1" applyAlignment="1" applyProtection="1">
      <alignment horizontal="center" vertical="center"/>
      <protection locked="0"/>
    </xf>
    <xf numFmtId="172" fontId="11" fillId="4" borderId="37" xfId="26" applyNumberFormat="1" applyFill="1" applyBorder="1" applyAlignment="1" applyProtection="1">
      <alignment horizontal="center" vertical="center"/>
      <protection locked="0"/>
    </xf>
    <xf numFmtId="172" fontId="11" fillId="4" borderId="65" xfId="26" applyNumberFormat="1" applyFill="1" applyBorder="1" applyAlignment="1" applyProtection="1">
      <alignment horizontal="center" vertical="center"/>
      <protection locked="0"/>
    </xf>
    <xf numFmtId="172" fontId="11" fillId="24" borderId="37" xfId="26" applyNumberFormat="1" applyFill="1" applyBorder="1" applyAlignment="1">
      <alignment horizontal="center" vertical="center"/>
    </xf>
    <xf numFmtId="172" fontId="11" fillId="4" borderId="42" xfId="26" applyNumberFormat="1" applyFill="1" applyBorder="1" applyAlignment="1" applyProtection="1">
      <alignment horizontal="center" vertical="center"/>
      <protection locked="0"/>
    </xf>
    <xf numFmtId="172" fontId="11" fillId="4" borderId="130" xfId="26" applyNumberFormat="1" applyFill="1" applyBorder="1" applyAlignment="1" applyProtection="1">
      <alignment horizontal="center" vertical="center"/>
      <protection locked="0"/>
    </xf>
    <xf numFmtId="172" fontId="11" fillId="24" borderId="41" xfId="26" applyNumberFormat="1" applyFill="1" applyBorder="1" applyAlignment="1">
      <alignment horizontal="center" vertical="center"/>
    </xf>
    <xf numFmtId="10" fontId="11" fillId="24" borderId="130" xfId="26" applyNumberFormat="1" applyFill="1" applyBorder="1" applyAlignment="1">
      <alignment horizontal="center" vertical="center"/>
    </xf>
    <xf numFmtId="172" fontId="11" fillId="24" borderId="112" xfId="26" applyNumberFormat="1" applyFill="1" applyBorder="1" applyAlignment="1">
      <alignment horizontal="center" vertical="center"/>
    </xf>
    <xf numFmtId="172" fontId="11" fillId="24" borderId="2" xfId="26" applyNumberFormat="1" applyFill="1" applyBorder="1" applyAlignment="1">
      <alignment horizontal="center" vertical="center"/>
    </xf>
    <xf numFmtId="172" fontId="11" fillId="4" borderId="55" xfId="26" applyNumberFormat="1" applyFill="1" applyBorder="1" applyAlignment="1" applyProtection="1">
      <alignment horizontal="center" vertical="center"/>
      <protection locked="0"/>
    </xf>
    <xf numFmtId="172" fontId="11" fillId="4" borderId="8" xfId="26" applyNumberFormat="1" applyFill="1" applyBorder="1" applyAlignment="1" applyProtection="1">
      <alignment horizontal="center" vertical="center"/>
      <protection locked="0"/>
    </xf>
    <xf numFmtId="3" fontId="23" fillId="3" borderId="67" xfId="27" applyNumberFormat="1" applyFill="1" applyBorder="1" applyAlignment="1">
      <alignment horizontal="right" vertical="center"/>
    </xf>
    <xf numFmtId="49" fontId="23" fillId="3" borderId="67" xfId="27" applyNumberFormat="1" applyFill="1" applyBorder="1" applyAlignment="1">
      <alignment horizontal="center" vertical="center"/>
    </xf>
    <xf numFmtId="2" fontId="32" fillId="3" borderId="37" xfId="27" applyNumberFormat="1" applyFont="1" applyFill="1" applyBorder="1" applyAlignment="1">
      <alignment horizontal="left" vertical="center"/>
    </xf>
    <xf numFmtId="0" fontId="109" fillId="3" borderId="0" xfId="26" applyFont="1" applyFill="1"/>
    <xf numFmtId="10" fontId="11" fillId="24" borderId="69" xfId="26" applyNumberFormat="1" applyFill="1" applyBorder="1" applyAlignment="1">
      <alignment horizontal="center" vertical="center"/>
    </xf>
    <xf numFmtId="0" fontId="11" fillId="4" borderId="101" xfId="26" applyFill="1" applyBorder="1" applyAlignment="1" applyProtection="1">
      <alignment horizontal="center" vertical="center"/>
      <protection locked="0"/>
    </xf>
    <xf numFmtId="172" fontId="11" fillId="24" borderId="100" xfId="26" applyNumberFormat="1" applyFill="1" applyBorder="1" applyAlignment="1">
      <alignment horizontal="center" vertical="center"/>
    </xf>
    <xf numFmtId="10" fontId="11" fillId="24" borderId="51" xfId="26" applyNumberFormat="1" applyFill="1" applyBorder="1" applyAlignment="1">
      <alignment horizontal="center" vertical="center"/>
    </xf>
    <xf numFmtId="0" fontId="11" fillId="4" borderId="149" xfId="26" applyFill="1" applyBorder="1" applyAlignment="1" applyProtection="1">
      <alignment horizontal="center" vertical="center"/>
      <protection locked="0"/>
    </xf>
    <xf numFmtId="0" fontId="11" fillId="4" borderId="1" xfId="26" applyFill="1" applyBorder="1" applyAlignment="1" applyProtection="1">
      <alignment horizontal="center" vertical="center"/>
      <protection locked="0"/>
    </xf>
    <xf numFmtId="0" fontId="11" fillId="4" borderId="57" xfId="26" applyFill="1" applyBorder="1" applyAlignment="1" applyProtection="1">
      <alignment horizontal="center" vertical="center"/>
      <protection locked="0"/>
    </xf>
    <xf numFmtId="2" fontId="0" fillId="3" borderId="0" xfId="27" applyNumberFormat="1" applyFont="1" applyFill="1" applyAlignment="1">
      <alignment vertical="center"/>
    </xf>
    <xf numFmtId="49" fontId="23" fillId="3" borderId="0" xfId="27" applyNumberFormat="1" applyFill="1" applyAlignment="1">
      <alignment vertical="center"/>
    </xf>
    <xf numFmtId="0" fontId="11" fillId="3" borderId="0" xfId="26" applyFill="1" applyAlignment="1">
      <alignment horizontal="left"/>
    </xf>
    <xf numFmtId="0" fontId="23" fillId="3" borderId="37" xfId="27" applyFill="1" applyBorder="1" applyAlignment="1">
      <alignment horizontal="left" vertical="center"/>
    </xf>
    <xf numFmtId="2" fontId="23" fillId="3" borderId="37" xfId="27" applyNumberFormat="1" applyFill="1" applyBorder="1" applyAlignment="1">
      <alignment vertical="center"/>
    </xf>
    <xf numFmtId="0" fontId="23" fillId="3" borderId="67" xfId="27" applyFill="1" applyBorder="1" applyAlignment="1">
      <alignment horizontal="right" vertical="center"/>
    </xf>
    <xf numFmtId="0" fontId="60" fillId="3" borderId="37" xfId="26" applyFont="1" applyFill="1" applyBorder="1"/>
    <xf numFmtId="2" fontId="23" fillId="3" borderId="41" xfId="27" applyNumberFormat="1" applyFill="1" applyBorder="1" applyAlignment="1">
      <alignment horizontal="left" vertical="center"/>
    </xf>
    <xf numFmtId="0" fontId="22" fillId="3" borderId="0" xfId="27" applyFont="1" applyFill="1" applyAlignment="1">
      <alignment vertical="center"/>
    </xf>
    <xf numFmtId="170" fontId="23" fillId="3" borderId="0" xfId="27" applyNumberFormat="1" applyFill="1" applyAlignment="1">
      <alignment vertical="center"/>
    </xf>
    <xf numFmtId="0" fontId="23" fillId="0" borderId="0" xfId="27" applyAlignment="1" applyProtection="1">
      <alignment vertical="center"/>
      <protection locked="0"/>
    </xf>
    <xf numFmtId="0" fontId="79" fillId="3" borderId="0" xfId="26" applyFont="1" applyFill="1"/>
    <xf numFmtId="0" fontId="41" fillId="3" borderId="0" xfId="26" applyFont="1" applyFill="1"/>
    <xf numFmtId="0" fontId="23" fillId="3" borderId="67" xfId="27" applyFill="1" applyBorder="1" applyAlignment="1">
      <alignment horizontal="left" vertical="center"/>
    </xf>
    <xf numFmtId="0" fontId="23" fillId="3" borderId="0" xfId="27" applyFill="1" applyAlignment="1">
      <alignment horizontal="center" vertical="center"/>
    </xf>
    <xf numFmtId="2" fontId="20" fillId="3" borderId="0" xfId="27" applyNumberFormat="1" applyFont="1" applyFill="1" applyAlignment="1">
      <alignment vertical="center"/>
    </xf>
    <xf numFmtId="2" fontId="22" fillId="3" borderId="0" xfId="27" applyNumberFormat="1" applyFont="1" applyFill="1" applyAlignment="1">
      <alignment horizontal="left" vertical="center"/>
    </xf>
    <xf numFmtId="2" fontId="32" fillId="3" borderId="0" xfId="27" applyNumberFormat="1" applyFont="1" applyFill="1" applyAlignment="1">
      <alignment horizontal="left" vertical="center"/>
    </xf>
    <xf numFmtId="2" fontId="120" fillId="3" borderId="0" xfId="27" applyNumberFormat="1" applyFont="1" applyFill="1" applyAlignment="1">
      <alignment horizontal="left" vertical="center"/>
    </xf>
    <xf numFmtId="0" fontId="124" fillId="3" borderId="0" xfId="26" applyFont="1" applyFill="1" applyAlignment="1">
      <alignment horizontal="left" vertical="center"/>
    </xf>
    <xf numFmtId="2" fontId="23" fillId="3" borderId="0" xfId="27" applyNumberFormat="1" applyFill="1" applyAlignment="1">
      <alignment horizontal="right" vertical="center"/>
    </xf>
    <xf numFmtId="0" fontId="87" fillId="3" borderId="0" xfId="26" applyFont="1" applyFill="1" applyAlignment="1">
      <alignment horizontal="left" vertical="center"/>
    </xf>
    <xf numFmtId="2" fontId="20" fillId="3" borderId="0" xfId="27" applyNumberFormat="1" applyFont="1" applyFill="1" applyAlignment="1">
      <alignment horizontal="left" vertical="center"/>
    </xf>
    <xf numFmtId="2" fontId="137" fillId="3" borderId="0" xfId="27" applyNumberFormat="1" applyFont="1" applyFill="1" applyAlignment="1">
      <alignment horizontal="left" vertical="center"/>
    </xf>
    <xf numFmtId="3" fontId="23" fillId="3" borderId="0" xfId="27" applyNumberFormat="1" applyFill="1" applyAlignment="1">
      <alignment horizontal="right" vertical="center"/>
    </xf>
    <xf numFmtId="49" fontId="23" fillId="3" borderId="0" xfId="27" applyNumberFormat="1" applyFill="1" applyAlignment="1">
      <alignment horizontal="center" vertical="center"/>
    </xf>
    <xf numFmtId="3" fontId="23" fillId="3" borderId="0" xfId="27" applyNumberFormat="1" applyFill="1" applyAlignment="1">
      <alignment vertical="center"/>
    </xf>
    <xf numFmtId="0" fontId="11" fillId="3" borderId="0" xfId="26" applyFill="1" applyAlignment="1">
      <alignment horizontal="left" vertical="center"/>
    </xf>
    <xf numFmtId="2" fontId="122" fillId="3" borderId="0" xfId="27" applyNumberFormat="1" applyFont="1" applyFill="1" applyAlignment="1">
      <alignment horizontal="left" vertical="center"/>
    </xf>
    <xf numFmtId="3" fontId="23" fillId="3" borderId="0" xfId="27" applyNumberFormat="1" applyFill="1" applyAlignment="1">
      <alignment horizontal="left" vertical="center"/>
    </xf>
    <xf numFmtId="2" fontId="23" fillId="3" borderId="0" xfId="27" quotePrefix="1" applyNumberFormat="1" applyFill="1" applyAlignment="1">
      <alignment horizontal="right" vertical="center"/>
    </xf>
    <xf numFmtId="0" fontId="22" fillId="3" borderId="0" xfId="27" applyFont="1" applyFill="1" applyAlignment="1">
      <alignment horizontal="left" vertical="center"/>
    </xf>
    <xf numFmtId="0" fontId="23" fillId="3" borderId="0" xfId="19" applyFill="1"/>
    <xf numFmtId="0" fontId="23" fillId="0" borderId="0" xfId="27" applyAlignment="1">
      <alignment horizontal="center" vertical="center"/>
    </xf>
    <xf numFmtId="0" fontId="23" fillId="0" borderId="0" xfId="27" applyAlignment="1">
      <alignment vertical="center"/>
    </xf>
    <xf numFmtId="0" fontId="47" fillId="3" borderId="0" xfId="27" applyFont="1" applyFill="1" applyAlignment="1">
      <alignment vertical="center"/>
    </xf>
    <xf numFmtId="0" fontId="125" fillId="3" borderId="0" xfId="27" applyFont="1" applyFill="1" applyAlignment="1">
      <alignment horizontal="center" vertical="center"/>
    </xf>
    <xf numFmtId="0" fontId="116" fillId="3" borderId="0" xfId="26" applyFont="1" applyFill="1"/>
    <xf numFmtId="0" fontId="19" fillId="3" borderId="0" xfId="27" applyFont="1" applyFill="1" applyAlignment="1">
      <alignment vertical="center"/>
    </xf>
    <xf numFmtId="0" fontId="31" fillId="3" borderId="0" xfId="27" applyFont="1" applyFill="1" applyAlignment="1">
      <alignment horizontal="center" vertical="center"/>
    </xf>
    <xf numFmtId="0" fontId="125" fillId="3" borderId="0" xfId="27" applyFont="1" applyFill="1" applyAlignment="1">
      <alignment vertical="center"/>
    </xf>
    <xf numFmtId="0" fontId="126" fillId="3" borderId="0" xfId="26" applyFont="1" applyFill="1"/>
    <xf numFmtId="0" fontId="125" fillId="3" borderId="0" xfId="27" applyFont="1" applyFill="1" applyAlignment="1">
      <alignment horizontal="left" vertical="center"/>
    </xf>
    <xf numFmtId="0" fontId="19" fillId="3" borderId="0" xfId="27" applyFont="1" applyFill="1" applyAlignment="1">
      <alignment horizontal="left" vertical="center"/>
    </xf>
    <xf numFmtId="0" fontId="124" fillId="3" borderId="0" xfId="26" applyFont="1" applyFill="1" applyAlignment="1">
      <alignment vertical="center"/>
    </xf>
    <xf numFmtId="0" fontId="11" fillId="3" borderId="0" xfId="26" applyFill="1" applyAlignment="1">
      <alignment horizontal="center" vertical="center"/>
    </xf>
    <xf numFmtId="0" fontId="20" fillId="3" borderId="0" xfId="26" applyFont="1" applyFill="1"/>
    <xf numFmtId="2" fontId="121" fillId="3" borderId="0" xfId="27" applyNumberFormat="1" applyFont="1" applyFill="1" applyAlignment="1">
      <alignment horizontal="left" vertical="center"/>
    </xf>
    <xf numFmtId="172" fontId="11" fillId="4" borderId="23" xfId="26" applyNumberFormat="1" applyFill="1" applyBorder="1" applyAlignment="1" applyProtection="1">
      <alignment horizontal="center" vertical="center"/>
      <protection locked="0"/>
    </xf>
    <xf numFmtId="0" fontId="11" fillId="4" borderId="3" xfId="26" applyFill="1" applyBorder="1" applyAlignment="1" applyProtection="1">
      <alignment horizontal="center" vertical="center"/>
      <protection locked="0"/>
    </xf>
    <xf numFmtId="0" fontId="39" fillId="3" borderId="4" xfId="15" applyFont="1" applyFill="1" applyBorder="1" applyAlignment="1" applyProtection="1">
      <alignment horizontal="left" vertical="center"/>
    </xf>
    <xf numFmtId="0" fontId="19" fillId="0" borderId="1" xfId="18" applyBorder="1" applyAlignment="1">
      <alignment vertical="center"/>
    </xf>
    <xf numFmtId="0" fontId="39" fillId="3" borderId="1" xfId="15" applyFont="1" applyFill="1" applyBorder="1" applyAlignment="1" applyProtection="1">
      <alignment horizontal="left" vertical="center"/>
    </xf>
    <xf numFmtId="0" fontId="0" fillId="0" borderId="39" xfId="0" applyBorder="1">
      <alignment vertical="center"/>
    </xf>
    <xf numFmtId="0" fontId="5" fillId="0" borderId="0" xfId="8" applyFont="1" applyAlignment="1">
      <alignment horizontal="center" vertical="center"/>
    </xf>
    <xf numFmtId="0" fontId="5" fillId="0" borderId="0" xfId="0" applyFont="1" applyAlignment="1">
      <alignment horizontal="center" vertical="center"/>
    </xf>
    <xf numFmtId="0" fontId="5" fillId="3" borderId="0" xfId="0" applyFont="1" applyFill="1" applyAlignment="1">
      <alignment horizontal="center" vertical="center"/>
    </xf>
    <xf numFmtId="0" fontId="5" fillId="0" borderId="0" xfId="21" applyFont="1" applyAlignment="1">
      <alignment horizontal="center" vertical="center"/>
    </xf>
    <xf numFmtId="0" fontId="5" fillId="0" borderId="0" xfId="29" applyFont="1"/>
    <xf numFmtId="0" fontId="5" fillId="3" borderId="0" xfId="29" applyFont="1" applyFill="1"/>
    <xf numFmtId="0" fontId="5" fillId="3" borderId="0" xfId="8" applyFont="1" applyFill="1" applyAlignment="1">
      <alignment horizontal="center" vertical="center"/>
    </xf>
    <xf numFmtId="0" fontId="5" fillId="3" borderId="0" xfId="26" applyFont="1" applyFill="1"/>
    <xf numFmtId="0" fontId="5" fillId="4" borderId="4" xfId="26" applyFont="1" applyFill="1" applyBorder="1" applyAlignment="1" applyProtection="1">
      <alignment horizontal="center" vertical="center"/>
      <protection locked="0"/>
    </xf>
    <xf numFmtId="172" fontId="5" fillId="4" borderId="69" xfId="26" applyNumberFormat="1" applyFont="1" applyFill="1" applyBorder="1" applyAlignment="1" applyProtection="1">
      <alignment horizontal="center" vertical="center"/>
      <protection locked="0"/>
    </xf>
    <xf numFmtId="0" fontId="5" fillId="4" borderId="24" xfId="26" applyFont="1" applyFill="1" applyBorder="1" applyAlignment="1" applyProtection="1">
      <alignment horizontal="center" vertical="center"/>
      <protection locked="0"/>
    </xf>
    <xf numFmtId="0" fontId="5" fillId="4" borderId="41" xfId="26" applyFont="1" applyFill="1" applyBorder="1" applyAlignment="1" applyProtection="1">
      <alignment horizontal="center" vertical="center"/>
      <protection locked="0"/>
    </xf>
    <xf numFmtId="0" fontId="5" fillId="4" borderId="1" xfId="26" applyFont="1" applyFill="1" applyBorder="1" applyAlignment="1" applyProtection="1">
      <alignment horizontal="center" vertical="center"/>
      <protection locked="0"/>
    </xf>
    <xf numFmtId="10" fontId="5" fillId="24" borderId="51" xfId="26" applyNumberFormat="1" applyFont="1" applyFill="1" applyBorder="1" applyAlignment="1">
      <alignment horizontal="center" vertical="center"/>
    </xf>
    <xf numFmtId="0" fontId="5" fillId="4" borderId="101" xfId="26" applyFont="1" applyFill="1" applyBorder="1" applyAlignment="1" applyProtection="1">
      <alignment horizontal="center" vertical="center"/>
      <protection locked="0"/>
    </xf>
    <xf numFmtId="0" fontId="5" fillId="4" borderId="70" xfId="26" applyFont="1" applyFill="1" applyBorder="1" applyAlignment="1" applyProtection="1">
      <alignment horizontal="center" vertical="center"/>
      <protection locked="0"/>
    </xf>
    <xf numFmtId="172" fontId="5" fillId="4" borderId="2" xfId="26" applyNumberFormat="1" applyFont="1" applyFill="1" applyBorder="1" applyAlignment="1" applyProtection="1">
      <alignment horizontal="center" vertical="center"/>
      <protection locked="0"/>
    </xf>
    <xf numFmtId="0" fontId="5" fillId="0" borderId="0" xfId="26" applyFont="1"/>
    <xf numFmtId="0" fontId="5" fillId="0" borderId="0" xfId="34" applyFont="1"/>
    <xf numFmtId="3" fontId="23" fillId="4" borderId="121" xfId="19" applyNumberFormat="1" applyFill="1" applyBorder="1" applyAlignment="1" applyProtection="1">
      <alignment horizontal="center" vertical="center"/>
      <protection locked="0"/>
    </xf>
    <xf numFmtId="167" fontId="23" fillId="4" borderId="121" xfId="19" applyNumberFormat="1" applyFill="1" applyBorder="1" applyAlignment="1" applyProtection="1">
      <alignment horizontal="center" vertical="center"/>
      <protection locked="0"/>
    </xf>
    <xf numFmtId="0" fontId="23" fillId="4" borderId="121" xfId="19" applyFill="1" applyBorder="1" applyAlignment="1" applyProtection="1">
      <alignment horizontal="center" vertical="center"/>
      <protection locked="0"/>
    </xf>
    <xf numFmtId="9" fontId="23" fillId="3" borderId="113" xfId="19" applyNumberFormat="1" applyFill="1" applyBorder="1" applyAlignment="1">
      <alignment vertical="center" shrinkToFit="1"/>
    </xf>
    <xf numFmtId="0" fontId="36" fillId="3" borderId="152" xfId="19" applyFont="1" applyFill="1" applyBorder="1" applyAlignment="1">
      <alignment horizontal="center" vertical="center" wrapText="1"/>
    </xf>
    <xf numFmtId="0" fontId="23" fillId="3" borderId="0" xfId="19" applyFill="1" applyAlignment="1">
      <alignment horizontal="left" vertical="center" wrapText="1" shrinkToFit="1"/>
    </xf>
    <xf numFmtId="0" fontId="77" fillId="20" borderId="84" xfId="18" applyFont="1" applyFill="1" applyBorder="1" applyAlignment="1">
      <alignment vertical="center" wrapText="1"/>
    </xf>
    <xf numFmtId="0" fontId="22" fillId="3" borderId="0" xfId="22" applyNumberFormat="1" applyFont="1" applyFill="1" applyBorder="1" applyAlignment="1" applyProtection="1">
      <alignment horizontal="center" vertical="center"/>
    </xf>
    <xf numFmtId="0" fontId="23" fillId="3" borderId="0" xfId="19" applyFill="1" applyAlignment="1">
      <alignment horizontal="center" vertical="center" wrapText="1"/>
    </xf>
    <xf numFmtId="3" fontId="23" fillId="3" borderId="121" xfId="19" applyNumberFormat="1" applyFill="1" applyBorder="1" applyAlignment="1">
      <alignment horizontal="center" vertical="center" shrinkToFit="1"/>
    </xf>
    <xf numFmtId="0" fontId="36" fillId="3" borderId="162" xfId="19" applyFont="1" applyFill="1" applyBorder="1" applyAlignment="1">
      <alignment horizontal="center" vertical="center" wrapText="1"/>
    </xf>
    <xf numFmtId="0" fontId="32" fillId="12" borderId="158" xfId="0" applyFont="1" applyFill="1" applyBorder="1" applyAlignment="1">
      <alignment vertical="center" wrapText="1"/>
    </xf>
    <xf numFmtId="0" fontId="32" fillId="15" borderId="158" xfId="0" applyFont="1" applyFill="1" applyBorder="1" applyAlignment="1">
      <alignment vertical="center" wrapText="1"/>
    </xf>
    <xf numFmtId="0" fontId="32" fillId="0" borderId="158" xfId="0" applyFont="1" applyBorder="1" applyAlignment="1">
      <alignment vertical="center" wrapText="1"/>
    </xf>
    <xf numFmtId="0" fontId="32" fillId="15" borderId="164" xfId="0" applyFont="1" applyFill="1" applyBorder="1" applyAlignment="1">
      <alignment vertical="center" wrapText="1"/>
    </xf>
    <xf numFmtId="0" fontId="56" fillId="12" borderId="158" xfId="0" applyFont="1" applyFill="1" applyBorder="1" applyAlignment="1">
      <alignment vertical="center" wrapText="1"/>
    </xf>
    <xf numFmtId="0" fontId="56" fillId="15" borderId="158" xfId="0" applyFont="1" applyFill="1" applyBorder="1" applyAlignment="1">
      <alignment vertical="center" wrapText="1"/>
    </xf>
    <xf numFmtId="0" fontId="56" fillId="0" borderId="158" xfId="0" applyFont="1" applyBorder="1" applyAlignment="1">
      <alignment vertical="center" wrapText="1"/>
    </xf>
    <xf numFmtId="0" fontId="49" fillId="0" borderId="154" xfId="18" applyFont="1" applyBorder="1" applyAlignment="1">
      <alignment vertical="center" wrapText="1"/>
    </xf>
    <xf numFmtId="0" fontId="49" fillId="0" borderId="155" xfId="18" applyFont="1" applyBorder="1" applyAlignment="1">
      <alignment vertical="center" wrapText="1"/>
    </xf>
    <xf numFmtId="0" fontId="19" fillId="6" borderId="153" xfId="18" applyFill="1" applyBorder="1" applyAlignment="1">
      <alignment vertical="center" wrapText="1"/>
    </xf>
    <xf numFmtId="0" fontId="19" fillId="0" borderId="153" xfId="18" applyBorder="1" applyAlignment="1">
      <alignment vertical="center"/>
    </xf>
    <xf numFmtId="0" fontId="19" fillId="0" borderId="153" xfId="18" applyBorder="1" applyAlignment="1">
      <alignment vertical="center" wrapText="1"/>
    </xf>
    <xf numFmtId="0" fontId="19" fillId="0" borderId="154" xfId="18" applyBorder="1" applyAlignment="1">
      <alignment vertical="center" wrapText="1"/>
    </xf>
    <xf numFmtId="0" fontId="19" fillId="0" borderId="155" xfId="18" applyBorder="1" applyAlignment="1">
      <alignment vertical="center" wrapText="1"/>
    </xf>
    <xf numFmtId="0" fontId="78" fillId="0" borderId="154" xfId="18" applyFont="1" applyBorder="1" applyAlignment="1">
      <alignment vertical="center" wrapText="1"/>
    </xf>
    <xf numFmtId="0" fontId="78" fillId="0" borderId="155" xfId="18" applyFont="1" applyBorder="1" applyAlignment="1">
      <alignment vertical="center" wrapText="1"/>
    </xf>
    <xf numFmtId="0" fontId="78" fillId="6" borderId="154" xfId="18" applyFont="1" applyFill="1" applyBorder="1" applyAlignment="1">
      <alignment vertical="center" wrapText="1"/>
    </xf>
    <xf numFmtId="0" fontId="78" fillId="6" borderId="155" xfId="18" applyFont="1" applyFill="1" applyBorder="1" applyAlignment="1">
      <alignment vertical="center" wrapText="1"/>
    </xf>
    <xf numFmtId="0" fontId="78" fillId="0" borderId="153" xfId="18" applyFont="1" applyBorder="1" applyAlignment="1">
      <alignment vertical="center" wrapText="1"/>
    </xf>
    <xf numFmtId="0" fontId="19" fillId="3" borderId="153" xfId="18" applyFill="1" applyBorder="1" applyAlignment="1">
      <alignment vertical="center" wrapText="1"/>
    </xf>
    <xf numFmtId="0" fontId="78" fillId="3" borderId="153" xfId="18" applyFont="1" applyFill="1" applyBorder="1" applyAlignment="1">
      <alignment vertical="center" wrapText="1"/>
    </xf>
    <xf numFmtId="0" fontId="135" fillId="0" borderId="153" xfId="18" applyFont="1" applyBorder="1" applyAlignment="1">
      <alignment vertical="center" wrapText="1"/>
    </xf>
    <xf numFmtId="0" fontId="19" fillId="35" borderId="153" xfId="18" applyFill="1" applyBorder="1" applyAlignment="1">
      <alignment vertical="center" wrapText="1"/>
    </xf>
    <xf numFmtId="0" fontId="19" fillId="20" borderId="153" xfId="18" applyFill="1" applyBorder="1" applyAlignment="1">
      <alignment vertical="center" wrapText="1"/>
    </xf>
    <xf numFmtId="0" fontId="19" fillId="17" borderId="153" xfId="18" applyFill="1" applyBorder="1" applyAlignment="1">
      <alignment vertical="center" wrapText="1"/>
    </xf>
    <xf numFmtId="14" fontId="75" fillId="3" borderId="156" xfId="18" applyNumberFormat="1" applyFont="1" applyFill="1" applyBorder="1" applyAlignment="1">
      <alignment horizontal="left" vertical="center"/>
    </xf>
    <xf numFmtId="0" fontId="75" fillId="0" borderId="156" xfId="18" applyFont="1" applyBorder="1" applyAlignment="1">
      <alignment vertical="center" wrapText="1"/>
    </xf>
    <xf numFmtId="0" fontId="49" fillId="0" borderId="156" xfId="18" applyFont="1" applyBorder="1" applyAlignment="1">
      <alignment vertical="center" wrapText="1"/>
    </xf>
    <xf numFmtId="0" fontId="19" fillId="0" borderId="156" xfId="18" applyBorder="1" applyAlignment="1">
      <alignment vertical="center" wrapText="1"/>
    </xf>
    <xf numFmtId="0" fontId="19" fillId="0" borderId="156" xfId="18" applyBorder="1" applyAlignment="1">
      <alignment vertical="center"/>
    </xf>
    <xf numFmtId="0" fontId="31" fillId="3" borderId="156" xfId="18" applyFont="1" applyFill="1" applyBorder="1" applyAlignment="1">
      <alignment horizontal="center" vertical="center"/>
    </xf>
    <xf numFmtId="0" fontId="49" fillId="0" borderId="153" xfId="18" applyFont="1" applyBorder="1" applyAlignment="1">
      <alignment vertical="center" wrapText="1"/>
    </xf>
    <xf numFmtId="0" fontId="31" fillId="3" borderId="153" xfId="18" applyFont="1" applyFill="1" applyBorder="1" applyAlignment="1">
      <alignment horizontal="center" vertical="center"/>
    </xf>
    <xf numFmtId="0" fontId="19" fillId="3" borderId="153" xfId="18" applyFill="1" applyBorder="1" applyAlignment="1">
      <alignment vertical="center"/>
    </xf>
    <xf numFmtId="0" fontId="19" fillId="0" borderId="154" xfId="18" applyBorder="1" applyAlignment="1">
      <alignment horizontal="left" wrapText="1"/>
    </xf>
    <xf numFmtId="0" fontId="19" fillId="0" borderId="155" xfId="18" applyBorder="1" applyAlignment="1">
      <alignment wrapText="1"/>
    </xf>
    <xf numFmtId="0" fontId="19" fillId="3" borderId="153" xfId="19" applyFont="1" applyFill="1" applyBorder="1" applyAlignment="1">
      <alignment horizontal="left" vertical="center" wrapText="1"/>
    </xf>
    <xf numFmtId="14" fontId="75" fillId="24" borderId="156" xfId="18" applyNumberFormat="1" applyFont="1" applyFill="1" applyBorder="1" applyAlignment="1">
      <alignment horizontal="left" vertical="center"/>
    </xf>
    <xf numFmtId="0" fontId="19" fillId="3" borderId="156" xfId="19" applyFont="1" applyFill="1" applyBorder="1" applyAlignment="1">
      <alignment horizontal="left" vertical="center" wrapText="1"/>
    </xf>
    <xf numFmtId="0" fontId="19" fillId="3" borderId="156" xfId="18" applyFill="1" applyBorder="1" applyAlignment="1">
      <alignment vertical="center"/>
    </xf>
    <xf numFmtId="14" fontId="19" fillId="16" borderId="156" xfId="18" applyNumberFormat="1" applyFill="1" applyBorder="1" applyAlignment="1">
      <alignment horizontal="left" vertical="center"/>
    </xf>
    <xf numFmtId="0" fontId="77" fillId="0" borderId="153" xfId="18" applyFont="1" applyBorder="1" applyAlignment="1">
      <alignment vertical="center" wrapText="1"/>
    </xf>
    <xf numFmtId="0" fontId="77" fillId="20" borderId="153" xfId="18" applyFont="1" applyFill="1" applyBorder="1" applyAlignment="1">
      <alignment vertical="center" wrapText="1"/>
    </xf>
    <xf numFmtId="0" fontId="19" fillId="0" borderId="153" xfId="18" quotePrefix="1" applyBorder="1" applyAlignment="1">
      <alignment vertical="center" wrapText="1"/>
    </xf>
    <xf numFmtId="0" fontId="19" fillId="34" borderId="153" xfId="18" quotePrefix="1" applyFill="1" applyBorder="1" applyAlignment="1">
      <alignment vertical="center" wrapText="1"/>
    </xf>
    <xf numFmtId="0" fontId="19" fillId="16" borderId="153" xfId="18" applyFill="1" applyBorder="1" applyAlignment="1">
      <alignment vertical="center" wrapText="1"/>
    </xf>
    <xf numFmtId="0" fontId="19" fillId="0" borderId="154" xfId="18" applyBorder="1" applyAlignment="1">
      <alignment wrapText="1"/>
    </xf>
    <xf numFmtId="0" fontId="77" fillId="0" borderId="153" xfId="18" quotePrefix="1" applyFont="1" applyBorder="1" applyAlignment="1">
      <alignment vertical="center" wrapText="1"/>
    </xf>
    <xf numFmtId="0" fontId="19" fillId="3" borderId="153" xfId="18" quotePrefix="1" applyFill="1" applyBorder="1" applyAlignment="1">
      <alignment vertical="center" wrapText="1"/>
    </xf>
    <xf numFmtId="0" fontId="19" fillId="3" borderId="154" xfId="18" applyFill="1" applyBorder="1" applyAlignment="1">
      <alignment vertical="top" wrapText="1"/>
    </xf>
    <xf numFmtId="0" fontId="19" fillId="0" borderId="155" xfId="18" applyBorder="1" applyAlignment="1">
      <alignment vertical="top" wrapText="1"/>
    </xf>
    <xf numFmtId="0" fontId="19" fillId="16" borderId="156" xfId="18" applyFill="1" applyBorder="1" applyAlignment="1">
      <alignment vertical="center" wrapText="1"/>
    </xf>
    <xf numFmtId="0" fontId="19" fillId="24" borderId="153" xfId="18" applyFill="1" applyBorder="1" applyAlignment="1">
      <alignment vertical="center" wrapText="1"/>
    </xf>
    <xf numFmtId="0" fontId="19" fillId="0" borderId="154" xfId="18" applyBorder="1" applyAlignment="1">
      <alignment horizontal="left" vertical="top" wrapText="1"/>
    </xf>
    <xf numFmtId="0" fontId="19" fillId="6" borderId="154" xfId="18" applyFill="1" applyBorder="1" applyAlignment="1">
      <alignment wrapText="1"/>
    </xf>
    <xf numFmtId="0" fontId="19" fillId="6" borderId="155" xfId="18" applyFill="1" applyBorder="1" applyAlignment="1">
      <alignment wrapText="1"/>
    </xf>
    <xf numFmtId="0" fontId="19" fillId="29" borderId="153" xfId="18" applyFill="1" applyBorder="1" applyAlignment="1">
      <alignment vertical="center" wrapText="1"/>
    </xf>
    <xf numFmtId="0" fontId="19" fillId="0" borderId="153" xfId="18" applyBorder="1" applyAlignment="1">
      <alignment horizontal="left" wrapText="1"/>
    </xf>
    <xf numFmtId="0" fontId="77" fillId="3" borderId="153" xfId="18" applyFont="1" applyFill="1" applyBorder="1" applyAlignment="1">
      <alignment vertical="center" wrapText="1"/>
    </xf>
    <xf numFmtId="0" fontId="77" fillId="3" borderId="154" xfId="18" applyFont="1" applyFill="1" applyBorder="1" applyAlignment="1">
      <alignment vertical="center" wrapText="1"/>
    </xf>
    <xf numFmtId="0" fontId="77" fillId="0" borderId="155" xfId="18" applyFont="1" applyBorder="1" applyAlignment="1">
      <alignment vertical="center" wrapText="1"/>
    </xf>
    <xf numFmtId="0" fontId="19" fillId="37" borderId="153" xfId="18" applyFill="1" applyBorder="1" applyAlignment="1">
      <alignment vertical="center" wrapText="1"/>
    </xf>
    <xf numFmtId="0" fontId="19" fillId="0" borderId="154" xfId="18" quotePrefix="1" applyBorder="1" applyAlignment="1">
      <alignment wrapText="1"/>
    </xf>
    <xf numFmtId="0" fontId="19" fillId="0" borderId="154" xfId="18" quotePrefix="1" applyBorder="1" applyAlignment="1">
      <alignment horizontal="left" wrapText="1"/>
    </xf>
    <xf numFmtId="0" fontId="77" fillId="0" borderId="155" xfId="18" quotePrefix="1" applyFont="1" applyBorder="1" applyAlignment="1">
      <alignment wrapText="1"/>
    </xf>
    <xf numFmtId="0" fontId="19" fillId="0" borderId="161" xfId="18" applyBorder="1" applyAlignment="1">
      <alignment vertical="center" wrapText="1"/>
    </xf>
    <xf numFmtId="0" fontId="19" fillId="31" borderId="153" xfId="18" applyFill="1" applyBorder="1" applyAlignment="1">
      <alignment vertical="center" wrapText="1"/>
    </xf>
    <xf numFmtId="0" fontId="19" fillId="31" borderId="156" xfId="18" applyFill="1" applyBorder="1" applyAlignment="1">
      <alignment vertical="center" wrapText="1"/>
    </xf>
    <xf numFmtId="0" fontId="19" fillId="32" borderId="153" xfId="18" applyFill="1" applyBorder="1" applyAlignment="1">
      <alignment vertical="center" wrapText="1"/>
    </xf>
    <xf numFmtId="0" fontId="19" fillId="32" borderId="156" xfId="18" applyFill="1" applyBorder="1" applyAlignment="1">
      <alignment vertical="center" wrapText="1"/>
    </xf>
    <xf numFmtId="0" fontId="19" fillId="33" borderId="153" xfId="18" applyFill="1" applyBorder="1" applyAlignment="1">
      <alignment vertical="center" wrapText="1"/>
    </xf>
    <xf numFmtId="0" fontId="19" fillId="33" borderId="156" xfId="18" applyFill="1" applyBorder="1" applyAlignment="1">
      <alignment vertical="center" wrapText="1"/>
    </xf>
    <xf numFmtId="0" fontId="131" fillId="0" borderId="153" xfId="18" applyFont="1" applyBorder="1" applyAlignment="1">
      <alignment vertical="center" wrapText="1"/>
    </xf>
    <xf numFmtId="0" fontId="19" fillId="24" borderId="165" xfId="18" applyFill="1" applyBorder="1" applyAlignment="1">
      <alignment vertical="center" wrapText="1"/>
    </xf>
    <xf numFmtId="0" fontId="19" fillId="0" borderId="165" xfId="18" applyBorder="1" applyAlignment="1">
      <alignment vertical="center" wrapText="1"/>
    </xf>
    <xf numFmtId="0" fontId="19" fillId="0" borderId="165" xfId="18" quotePrefix="1" applyBorder="1" applyAlignment="1">
      <alignment vertical="center" wrapText="1"/>
    </xf>
    <xf numFmtId="0" fontId="77" fillId="24" borderId="165" xfId="18" applyFont="1" applyFill="1" applyBorder="1" applyAlignment="1">
      <alignment vertical="center" wrapText="1"/>
    </xf>
    <xf numFmtId="0" fontId="56" fillId="15" borderId="164" xfId="0" applyFont="1" applyFill="1" applyBorder="1" applyAlignment="1">
      <alignment vertical="center" wrapText="1"/>
    </xf>
    <xf numFmtId="3" fontId="23" fillId="4" borderId="170" xfId="19" applyNumberFormat="1" applyFill="1" applyBorder="1" applyAlignment="1" applyProtection="1">
      <alignment horizontal="center" vertical="center"/>
      <protection locked="0"/>
    </xf>
    <xf numFmtId="167" fontId="23" fillId="4" borderId="170" xfId="19" applyNumberFormat="1" applyFill="1" applyBorder="1" applyAlignment="1" applyProtection="1">
      <alignment horizontal="center" vertical="center"/>
      <protection locked="0"/>
    </xf>
    <xf numFmtId="0" fontId="23" fillId="4" borderId="170" xfId="19" applyFill="1" applyBorder="1" applyAlignment="1" applyProtection="1">
      <alignment horizontal="center" vertical="center"/>
      <protection locked="0"/>
    </xf>
    <xf numFmtId="3" fontId="23" fillId="3" borderId="170" xfId="19" applyNumberFormat="1" applyFill="1" applyBorder="1" applyAlignment="1">
      <alignment horizontal="center" vertical="center"/>
    </xf>
    <xf numFmtId="9" fontId="5" fillId="3" borderId="171" xfId="19" applyNumberFormat="1" applyFont="1" applyFill="1" applyBorder="1" applyAlignment="1">
      <alignment vertical="center" shrinkToFit="1"/>
    </xf>
    <xf numFmtId="0" fontId="36" fillId="3" borderId="175" xfId="19" applyFont="1" applyFill="1" applyBorder="1" applyAlignment="1">
      <alignment horizontal="center" vertical="center" wrapText="1"/>
    </xf>
    <xf numFmtId="3" fontId="23" fillId="4" borderId="178" xfId="19" applyNumberFormat="1" applyFill="1" applyBorder="1" applyAlignment="1" applyProtection="1">
      <alignment horizontal="center" vertical="center"/>
      <protection locked="0"/>
    </xf>
    <xf numFmtId="167" fontId="23" fillId="4" borderId="178" xfId="19" applyNumberFormat="1" applyFill="1" applyBorder="1" applyAlignment="1" applyProtection="1">
      <alignment horizontal="center" vertical="center"/>
      <protection locked="0"/>
    </xf>
    <xf numFmtId="0" fontId="23" fillId="4" borderId="178" xfId="19" applyFill="1" applyBorder="1" applyAlignment="1" applyProtection="1">
      <alignment horizontal="center" vertical="center"/>
      <protection locked="0"/>
    </xf>
    <xf numFmtId="3" fontId="23" fillId="3" borderId="178" xfId="19" applyNumberFormat="1" applyFill="1" applyBorder="1" applyAlignment="1">
      <alignment horizontal="center" vertical="center"/>
    </xf>
    <xf numFmtId="9" fontId="23" fillId="3" borderId="179" xfId="19" applyNumberFormat="1" applyFill="1" applyBorder="1" applyAlignment="1">
      <alignment vertical="center" shrinkToFit="1"/>
    </xf>
    <xf numFmtId="0" fontId="36" fillId="3" borderId="208" xfId="19" applyFont="1" applyFill="1" applyBorder="1" applyAlignment="1">
      <alignment horizontal="center" vertical="center" wrapText="1"/>
    </xf>
    <xf numFmtId="3" fontId="23" fillId="3" borderId="170" xfId="19" applyNumberFormat="1" applyFill="1" applyBorder="1" applyAlignment="1">
      <alignment horizontal="center" vertical="center" shrinkToFit="1"/>
    </xf>
    <xf numFmtId="3" fontId="23" fillId="3" borderId="178" xfId="19" applyNumberFormat="1" applyFill="1" applyBorder="1" applyAlignment="1">
      <alignment horizontal="center" vertical="center" shrinkToFit="1"/>
    </xf>
    <xf numFmtId="9" fontId="23" fillId="3" borderId="171" xfId="19" applyNumberFormat="1" applyFill="1" applyBorder="1" applyAlignment="1">
      <alignment vertical="center" shrinkToFit="1"/>
    </xf>
    <xf numFmtId="0" fontId="32" fillId="12" borderId="187" xfId="0" applyFont="1" applyFill="1" applyBorder="1">
      <alignment vertical="center"/>
    </xf>
    <xf numFmtId="0" fontId="32" fillId="12" borderId="189" xfId="0" applyFont="1" applyFill="1" applyBorder="1" applyAlignment="1">
      <alignment vertical="center" wrapText="1"/>
    </xf>
    <xf numFmtId="166" fontId="53" fillId="10" borderId="170" xfId="0" applyNumberFormat="1" applyFont="1" applyFill="1" applyBorder="1" applyAlignment="1" applyProtection="1">
      <alignment horizontal="center" vertical="center"/>
      <protection locked="0"/>
    </xf>
    <xf numFmtId="0" fontId="32" fillId="15" borderId="189" xfId="0" applyFont="1" applyFill="1" applyBorder="1" applyAlignment="1">
      <alignment vertical="center" wrapText="1"/>
    </xf>
    <xf numFmtId="0" fontId="32" fillId="15" borderId="187" xfId="0" applyFont="1" applyFill="1" applyBorder="1">
      <alignment vertical="center"/>
    </xf>
    <xf numFmtId="0" fontId="32" fillId="0" borderId="189" xfId="0" applyFont="1" applyBorder="1" applyAlignment="1">
      <alignment vertical="center" wrapText="1"/>
    </xf>
    <xf numFmtId="166" fontId="53" fillId="10" borderId="173" xfId="0" applyNumberFormat="1" applyFont="1" applyFill="1" applyBorder="1" applyAlignment="1" applyProtection="1">
      <alignment horizontal="center" vertical="center"/>
      <protection locked="0"/>
    </xf>
    <xf numFmtId="166" fontId="53" fillId="14" borderId="170" xfId="0" applyNumberFormat="1" applyFont="1" applyFill="1" applyBorder="1" applyAlignment="1" applyProtection="1">
      <alignment horizontal="center" vertical="center"/>
      <protection locked="0"/>
    </xf>
    <xf numFmtId="0" fontId="32" fillId="15" borderId="211" xfId="0" applyFont="1" applyFill="1" applyBorder="1" applyAlignment="1">
      <alignment vertical="center" wrapText="1"/>
    </xf>
    <xf numFmtId="0" fontId="44" fillId="3" borderId="173" xfId="29" applyFont="1" applyFill="1" applyBorder="1" applyAlignment="1">
      <alignment vertical="center"/>
    </xf>
    <xf numFmtId="0" fontId="23" fillId="3" borderId="173" xfId="29" applyFont="1" applyFill="1" applyBorder="1" applyAlignment="1">
      <alignment vertical="center"/>
    </xf>
    <xf numFmtId="0" fontId="23" fillId="3" borderId="183" xfId="29" applyFont="1" applyFill="1" applyBorder="1" applyAlignment="1">
      <alignment vertical="center"/>
    </xf>
    <xf numFmtId="0" fontId="56" fillId="12" borderId="189" xfId="0" applyFont="1" applyFill="1" applyBorder="1" applyAlignment="1">
      <alignment vertical="center" wrapText="1"/>
    </xf>
    <xf numFmtId="166" fontId="53" fillId="4" borderId="170" xfId="0" applyNumberFormat="1" applyFont="1" applyFill="1" applyBorder="1" applyAlignment="1" applyProtection="1">
      <alignment horizontal="center" vertical="center"/>
      <protection locked="0"/>
    </xf>
    <xf numFmtId="166" fontId="53" fillId="4" borderId="174" xfId="0" applyNumberFormat="1" applyFont="1" applyFill="1" applyBorder="1" applyAlignment="1" applyProtection="1">
      <alignment horizontal="center" vertical="center"/>
      <protection locked="0"/>
    </xf>
    <xf numFmtId="0" fontId="56" fillId="15" borderId="189" xfId="0" applyFont="1" applyFill="1" applyBorder="1" applyAlignment="1">
      <alignment vertical="center" wrapText="1"/>
    </xf>
    <xf numFmtId="0" fontId="56" fillId="0" borderId="189" xfId="0" applyFont="1" applyBorder="1" applyAlignment="1">
      <alignment vertical="center" wrapText="1"/>
    </xf>
    <xf numFmtId="166" fontId="53" fillId="4" borderId="173" xfId="0" applyNumberFormat="1" applyFont="1" applyFill="1" applyBorder="1" applyAlignment="1" applyProtection="1">
      <alignment horizontal="center" vertical="center"/>
      <protection locked="0"/>
    </xf>
    <xf numFmtId="166" fontId="53" fillId="14" borderId="174" xfId="0" applyNumberFormat="1" applyFont="1" applyFill="1" applyBorder="1" applyAlignment="1" applyProtection="1">
      <alignment horizontal="center" vertical="center"/>
      <protection locked="0"/>
    </xf>
    <xf numFmtId="0" fontId="56" fillId="15" borderId="177" xfId="0" applyFont="1" applyFill="1" applyBorder="1" applyAlignment="1">
      <alignment vertical="center" wrapText="1"/>
    </xf>
    <xf numFmtId="0" fontId="120" fillId="0" borderId="8" xfId="0" applyFont="1" applyBorder="1" applyAlignment="1">
      <alignment horizontal="center" vertical="center"/>
    </xf>
    <xf numFmtId="0" fontId="4" fillId="0" borderId="0" xfId="35"/>
    <xf numFmtId="0" fontId="109" fillId="0" borderId="0" xfId="35" applyFont="1"/>
    <xf numFmtId="0" fontId="52" fillId="0" borderId="1" xfId="35" applyFont="1" applyBorder="1" applyAlignment="1">
      <alignment horizontal="center"/>
    </xf>
    <xf numFmtId="14" fontId="4" fillId="0" borderId="1" xfId="35" applyNumberFormat="1" applyBorder="1" applyAlignment="1">
      <alignment horizontal="center"/>
    </xf>
    <xf numFmtId="0" fontId="4" fillId="0" borderId="1" xfId="35" applyBorder="1" applyAlignment="1">
      <alignment horizontal="center"/>
    </xf>
    <xf numFmtId="0" fontId="4" fillId="0" borderId="1" xfId="35" applyBorder="1" applyAlignment="1">
      <alignment horizontal="left"/>
    </xf>
    <xf numFmtId="0" fontId="3" fillId="0" borderId="1" xfId="35" applyFont="1" applyBorder="1" applyAlignment="1">
      <alignment horizontal="left"/>
    </xf>
    <xf numFmtId="0" fontId="3" fillId="0" borderId="1" xfId="35" applyFont="1" applyBorder="1" applyAlignment="1">
      <alignment horizontal="center"/>
    </xf>
    <xf numFmtId="14" fontId="2" fillId="0" borderId="1" xfId="35" applyNumberFormat="1" applyFont="1" applyBorder="1" applyAlignment="1">
      <alignment horizontal="center"/>
    </xf>
    <xf numFmtId="0" fontId="2" fillId="0" borderId="1" xfId="35" applyFont="1" applyBorder="1" applyAlignment="1">
      <alignment horizontal="left"/>
    </xf>
    <xf numFmtId="0" fontId="19" fillId="3" borderId="2" xfId="0" quotePrefix="1" applyFont="1" applyFill="1" applyBorder="1" applyAlignment="1">
      <alignment horizontal="left" vertical="center" wrapText="1"/>
    </xf>
    <xf numFmtId="0" fontId="19" fillId="3" borderId="23" xfId="0" quotePrefix="1" applyFont="1" applyFill="1" applyBorder="1" applyAlignment="1">
      <alignment horizontal="left" vertical="center" wrapText="1"/>
    </xf>
    <xf numFmtId="0" fontId="19" fillId="3" borderId="20" xfId="0" quotePrefix="1" applyFont="1" applyFill="1" applyBorder="1" applyAlignment="1">
      <alignment horizontal="left" vertical="center" wrapText="1"/>
    </xf>
    <xf numFmtId="0" fontId="32" fillId="0" borderId="160" xfId="0" applyFont="1" applyBorder="1" applyAlignment="1">
      <alignment horizontal="center" vertical="center" wrapText="1"/>
    </xf>
    <xf numFmtId="0" fontId="32" fillId="0" borderId="159" xfId="0" applyFont="1" applyBorder="1" applyAlignment="1">
      <alignment horizontal="center" vertical="center" wrapText="1"/>
    </xf>
    <xf numFmtId="0" fontId="32" fillId="0" borderId="163" xfId="0" applyFont="1" applyBorder="1" applyAlignment="1">
      <alignment horizontal="center" vertical="center" wrapText="1"/>
    </xf>
    <xf numFmtId="0" fontId="32" fillId="0" borderId="137"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135" xfId="0" applyFont="1" applyBorder="1" applyAlignment="1">
      <alignment horizontal="center" vertical="center" wrapText="1"/>
    </xf>
    <xf numFmtId="0" fontId="32" fillId="15" borderId="160" xfId="0" applyFont="1" applyFill="1" applyBorder="1" applyAlignment="1">
      <alignment horizontal="center" vertical="center" wrapText="1"/>
    </xf>
    <xf numFmtId="0" fontId="32" fillId="15" borderId="159" xfId="0" applyFont="1" applyFill="1" applyBorder="1" applyAlignment="1">
      <alignment horizontal="center" vertical="center" wrapText="1"/>
    </xf>
    <xf numFmtId="0" fontId="32" fillId="15" borderId="163" xfId="0" applyFont="1" applyFill="1" applyBorder="1" applyAlignment="1">
      <alignment horizontal="center" vertical="center" wrapText="1"/>
    </xf>
    <xf numFmtId="0" fontId="32" fillId="15" borderId="82" xfId="0" applyFont="1" applyFill="1" applyBorder="1" applyAlignment="1">
      <alignment horizontal="center" vertical="center" wrapText="1"/>
    </xf>
    <xf numFmtId="0" fontId="32" fillId="15" borderId="67" xfId="0" applyFont="1" applyFill="1" applyBorder="1" applyAlignment="1">
      <alignment horizontal="center" vertical="center" wrapText="1"/>
    </xf>
    <xf numFmtId="0" fontId="32" fillId="15" borderId="81" xfId="0" applyFont="1" applyFill="1" applyBorder="1" applyAlignment="1">
      <alignment horizontal="center" vertical="center" wrapText="1"/>
    </xf>
    <xf numFmtId="0" fontId="32" fillId="12" borderId="58" xfId="0" applyFont="1" applyFill="1" applyBorder="1" applyAlignment="1">
      <alignment horizontal="center" vertical="center" wrapText="1"/>
    </xf>
    <xf numFmtId="0" fontId="32" fillId="12" borderId="0" xfId="0" applyFont="1" applyFill="1" applyAlignment="1">
      <alignment horizontal="center" vertical="center" wrapText="1"/>
    </xf>
    <xf numFmtId="0" fontId="32" fillId="12" borderId="59" xfId="0" applyFont="1" applyFill="1" applyBorder="1" applyAlignment="1">
      <alignment horizontal="center" vertical="center" wrapText="1"/>
    </xf>
    <xf numFmtId="0" fontId="32" fillId="12" borderId="137" xfId="0" applyFont="1" applyFill="1" applyBorder="1" applyAlignment="1">
      <alignment horizontal="center" vertical="center" wrapText="1"/>
    </xf>
    <xf numFmtId="0" fontId="32" fillId="12" borderId="60" xfId="0" applyFont="1" applyFill="1" applyBorder="1" applyAlignment="1">
      <alignment horizontal="center" vertical="center" wrapText="1"/>
    </xf>
    <xf numFmtId="0" fontId="32" fillId="12" borderId="135" xfId="0" applyFont="1" applyFill="1" applyBorder="1" applyAlignment="1">
      <alignment horizontal="center" vertical="center" wrapText="1"/>
    </xf>
    <xf numFmtId="0" fontId="32" fillId="12" borderId="160" xfId="0" applyFont="1" applyFill="1" applyBorder="1" applyAlignment="1">
      <alignment horizontal="center" vertical="center" wrapText="1"/>
    </xf>
    <xf numFmtId="0" fontId="32" fillId="12" borderId="159" xfId="0" applyFont="1" applyFill="1" applyBorder="1" applyAlignment="1">
      <alignment horizontal="center" vertical="center" wrapText="1"/>
    </xf>
    <xf numFmtId="0" fontId="32" fillId="15" borderId="137" xfId="0" applyFont="1" applyFill="1" applyBorder="1" applyAlignment="1">
      <alignment horizontal="center" vertical="center" wrapText="1"/>
    </xf>
    <xf numFmtId="0" fontId="32" fillId="15" borderId="60" xfId="0" applyFont="1" applyFill="1" applyBorder="1" applyAlignment="1">
      <alignment horizontal="center" vertical="center" wrapText="1"/>
    </xf>
    <xf numFmtId="0" fontId="32" fillId="15" borderId="135" xfId="0" applyFont="1" applyFill="1" applyBorder="1" applyAlignment="1">
      <alignment horizontal="center" vertical="center" wrapText="1"/>
    </xf>
    <xf numFmtId="0" fontId="53" fillId="0" borderId="160" xfId="0" applyFont="1" applyBorder="1" applyAlignment="1">
      <alignment horizontal="center" vertical="center" wrapText="1"/>
    </xf>
    <xf numFmtId="0" fontId="53" fillId="0" borderId="159" xfId="0" applyFont="1" applyBorder="1" applyAlignment="1">
      <alignment horizontal="center" vertical="center" wrapText="1"/>
    </xf>
    <xf numFmtId="0" fontId="53" fillId="0" borderId="163" xfId="0" applyFont="1" applyBorder="1" applyAlignment="1">
      <alignment horizontal="center" vertical="center" wrapText="1"/>
    </xf>
    <xf numFmtId="0" fontId="53" fillId="0" borderId="137" xfId="0" applyFont="1" applyBorder="1" applyAlignment="1">
      <alignment horizontal="center" vertical="center" wrapText="1"/>
    </xf>
    <xf numFmtId="0" fontId="53" fillId="0" borderId="60" xfId="0" applyFont="1" applyBorder="1" applyAlignment="1">
      <alignment horizontal="center" vertical="center" wrapText="1"/>
    </xf>
    <xf numFmtId="0" fontId="53" fillId="0" borderId="135" xfId="0" applyFont="1" applyBorder="1" applyAlignment="1">
      <alignment horizontal="center" vertical="center" wrapText="1"/>
    </xf>
    <xf numFmtId="0" fontId="0" fillId="0" borderId="160" xfId="0" applyBorder="1" applyAlignment="1">
      <alignment horizontal="center" vertical="center" wrapText="1"/>
    </xf>
    <xf numFmtId="0" fontId="0" fillId="0" borderId="159" xfId="0" applyBorder="1" applyAlignment="1">
      <alignment horizontal="center" vertical="center" wrapText="1"/>
    </xf>
    <xf numFmtId="0" fontId="0" fillId="0" borderId="163" xfId="0" applyBorder="1" applyAlignment="1">
      <alignment horizontal="center" vertical="center" wrapText="1"/>
    </xf>
    <xf numFmtId="0" fontId="0" fillId="0" borderId="137" xfId="0" applyBorder="1" applyAlignment="1">
      <alignment horizontal="center" vertical="center" wrapText="1"/>
    </xf>
    <xf numFmtId="0" fontId="0" fillId="0" borderId="60" xfId="0" applyBorder="1" applyAlignment="1">
      <alignment horizontal="center" vertical="center" wrapText="1"/>
    </xf>
    <xf numFmtId="0" fontId="0" fillId="0" borderId="135" xfId="0" applyBorder="1" applyAlignment="1">
      <alignment horizontal="center" vertical="center" wrapText="1"/>
    </xf>
    <xf numFmtId="0" fontId="5" fillId="27" borderId="1" xfId="6" applyFont="1" applyFill="1" applyBorder="1" applyAlignment="1" applyProtection="1">
      <alignment horizontal="left" vertical="top" wrapText="1" shrinkToFit="1"/>
      <protection locked="0"/>
    </xf>
    <xf numFmtId="0" fontId="0" fillId="27" borderId="11" xfId="0" applyFill="1" applyBorder="1" applyAlignment="1" applyProtection="1">
      <alignment horizontal="left" vertical="top" wrapText="1" shrinkToFit="1"/>
      <protection locked="0"/>
    </xf>
    <xf numFmtId="0" fontId="0" fillId="27" borderId="1" xfId="0" applyFill="1" applyBorder="1" applyAlignment="1" applyProtection="1">
      <alignment horizontal="left" vertical="top" wrapText="1" shrinkToFit="1"/>
      <protection locked="0"/>
    </xf>
    <xf numFmtId="0" fontId="0" fillId="27" borderId="9" xfId="0" applyFill="1" applyBorder="1" applyAlignment="1" applyProtection="1">
      <alignment horizontal="left" vertical="top" wrapText="1" shrinkToFit="1"/>
      <protection locked="0"/>
    </xf>
    <xf numFmtId="0" fontId="0" fillId="0" borderId="1" xfId="0" applyBorder="1" applyAlignment="1" applyProtection="1">
      <alignment horizontal="left" vertical="top" wrapText="1" shrinkToFit="1"/>
      <protection locked="0"/>
    </xf>
    <xf numFmtId="0" fontId="0" fillId="0" borderId="9" xfId="0" applyBorder="1" applyAlignment="1" applyProtection="1">
      <alignment horizontal="left" vertical="top" wrapText="1" shrinkToFit="1"/>
      <protection locked="0"/>
    </xf>
    <xf numFmtId="0" fontId="0" fillId="6" borderId="1" xfId="0" applyFill="1" applyBorder="1" applyAlignment="1" applyProtection="1">
      <alignment horizontal="left" vertical="top" wrapText="1" shrinkToFit="1"/>
      <protection locked="0"/>
    </xf>
    <xf numFmtId="0" fontId="0" fillId="6" borderId="9" xfId="0" applyFill="1" applyBorder="1" applyAlignment="1" applyProtection="1">
      <alignment horizontal="left" vertical="top" wrapText="1" shrinkToFit="1"/>
      <protection locked="0"/>
    </xf>
    <xf numFmtId="0" fontId="0" fillId="27" borderId="6" xfId="0" applyFill="1" applyBorder="1" applyAlignment="1" applyProtection="1">
      <alignment horizontal="left" vertical="top" wrapText="1" shrinkToFit="1"/>
      <protection locked="0"/>
    </xf>
    <xf numFmtId="0" fontId="0" fillId="27" borderId="7" xfId="0" applyFill="1" applyBorder="1" applyAlignment="1" applyProtection="1">
      <alignment horizontal="left" vertical="top" wrapText="1" shrinkToFit="1"/>
      <protection locked="0"/>
    </xf>
    <xf numFmtId="0" fontId="5" fillId="27" borderId="6" xfId="5" applyFont="1" applyFill="1" applyBorder="1" applyAlignment="1" applyProtection="1">
      <alignment horizontal="left" vertical="top" wrapText="1" shrinkToFit="1"/>
      <protection locked="0"/>
    </xf>
    <xf numFmtId="0" fontId="0" fillId="27" borderId="2" xfId="0" applyFill="1" applyBorder="1" applyAlignment="1" applyProtection="1">
      <alignment horizontal="left" vertical="top" wrapText="1" shrinkToFit="1"/>
      <protection locked="0"/>
    </xf>
    <xf numFmtId="0" fontId="0" fillId="27" borderId="23" xfId="0" applyFill="1" applyBorder="1" applyAlignment="1" applyProtection="1">
      <alignment horizontal="left" vertical="top" wrapText="1" shrinkToFit="1"/>
      <protection locked="0"/>
    </xf>
    <xf numFmtId="0" fontId="0" fillId="27" borderId="20" xfId="0" applyFill="1" applyBorder="1" applyAlignment="1" applyProtection="1">
      <alignment horizontal="left" vertical="top" wrapText="1" shrinkToFit="1"/>
      <protection locked="0"/>
    </xf>
    <xf numFmtId="0" fontId="0" fillId="27" borderId="1" xfId="5" applyFont="1" applyFill="1" applyBorder="1" applyAlignment="1" applyProtection="1">
      <alignment horizontal="left" vertical="top" wrapText="1" shrinkToFit="1"/>
      <protection locked="0"/>
    </xf>
    <xf numFmtId="0" fontId="23" fillId="27" borderId="1" xfId="5" applyFont="1" applyFill="1" applyBorder="1" applyAlignment="1" applyProtection="1">
      <alignment horizontal="left" vertical="top" wrapText="1" shrinkToFit="1"/>
      <protection locked="0"/>
    </xf>
    <xf numFmtId="0" fontId="5" fillId="27" borderId="6" xfId="0" applyFont="1" applyFill="1" applyBorder="1" applyAlignment="1" applyProtection="1">
      <alignment horizontal="left" vertical="top" wrapText="1" shrinkToFit="1"/>
      <protection locked="0"/>
    </xf>
    <xf numFmtId="0" fontId="0" fillId="0" borderId="2" xfId="0" applyBorder="1" applyAlignment="1" applyProtection="1">
      <alignment horizontal="left" vertical="top" wrapText="1" shrinkToFit="1"/>
      <protection locked="0"/>
    </xf>
    <xf numFmtId="0" fontId="5" fillId="3" borderId="1" xfId="6" applyFont="1" applyFill="1" applyBorder="1" applyAlignment="1" applyProtection="1">
      <alignment horizontal="left" vertical="top" wrapText="1" shrinkToFit="1"/>
      <protection locked="0"/>
    </xf>
    <xf numFmtId="0" fontId="5" fillId="3" borderId="2" xfId="6" applyFont="1" applyFill="1" applyBorder="1" applyAlignment="1" applyProtection="1">
      <alignment horizontal="left" vertical="top" wrapText="1" shrinkToFit="1"/>
      <protection locked="0"/>
    </xf>
    <xf numFmtId="0" fontId="0" fillId="27" borderId="29" xfId="0" applyFill="1" applyBorder="1" applyAlignment="1" applyProtection="1">
      <alignment horizontal="left" vertical="top" wrapText="1" shrinkToFit="1"/>
      <protection locked="0"/>
    </xf>
    <xf numFmtId="0" fontId="0" fillId="6" borderId="2" xfId="0" applyFill="1" applyBorder="1" applyAlignment="1" applyProtection="1">
      <alignment horizontal="left" vertical="top" wrapText="1" shrinkToFit="1"/>
      <protection locked="0"/>
    </xf>
    <xf numFmtId="0" fontId="0" fillId="27" borderId="1" xfId="0" quotePrefix="1" applyFill="1" applyBorder="1" applyAlignment="1" applyProtection="1">
      <alignment horizontal="left" vertical="top" wrapText="1" shrinkToFit="1"/>
      <protection locked="0"/>
    </xf>
    <xf numFmtId="0" fontId="0" fillId="27" borderId="25" xfId="0" applyFill="1" applyBorder="1" applyAlignment="1" applyProtection="1">
      <alignment horizontal="left" vertical="top" wrapText="1" shrinkToFit="1"/>
      <protection locked="0"/>
    </xf>
    <xf numFmtId="0" fontId="0" fillId="27" borderId="12" xfId="0" applyFill="1" applyBorder="1" applyAlignment="1" applyProtection="1">
      <alignment horizontal="left" vertical="top" wrapText="1" shrinkToFit="1"/>
      <protection locked="0"/>
    </xf>
    <xf numFmtId="0" fontId="0" fillId="27" borderId="6" xfId="5" applyFont="1" applyFill="1" applyBorder="1" applyAlignment="1" applyProtection="1">
      <alignment horizontal="left" vertical="top" wrapText="1" shrinkToFit="1"/>
      <protection locked="0"/>
    </xf>
    <xf numFmtId="0" fontId="23" fillId="27" borderId="6" xfId="5" applyFont="1" applyFill="1" applyBorder="1" applyAlignment="1" applyProtection="1">
      <alignment horizontal="left" vertical="top" wrapText="1" shrinkToFit="1"/>
      <protection locked="0"/>
    </xf>
    <xf numFmtId="0" fontId="0" fillId="27" borderId="2" xfId="0" applyFill="1" applyBorder="1" applyAlignment="1" applyProtection="1">
      <alignment horizontal="left" vertical="top" wrapText="1"/>
      <protection locked="0"/>
    </xf>
    <xf numFmtId="0" fontId="0" fillId="27" borderId="23" xfId="0" applyFill="1" applyBorder="1" applyAlignment="1" applyProtection="1">
      <alignment horizontal="left" vertical="top" wrapText="1"/>
      <protection locked="0"/>
    </xf>
    <xf numFmtId="0" fontId="0" fillId="27" borderId="20" xfId="0" applyFill="1" applyBorder="1" applyAlignment="1" applyProtection="1">
      <alignment horizontal="left" vertical="top" wrapText="1"/>
      <protection locked="0"/>
    </xf>
    <xf numFmtId="0" fontId="0" fillId="0" borderId="6" xfId="0" applyBorder="1" applyAlignment="1" applyProtection="1">
      <alignment horizontal="left" vertical="top" wrapText="1" shrinkToFit="1"/>
      <protection locked="0"/>
    </xf>
    <xf numFmtId="0" fontId="0" fillId="0" borderId="29" xfId="0" applyBorder="1" applyAlignment="1" applyProtection="1">
      <alignment horizontal="left" vertical="top" wrapText="1" shrinkToFit="1"/>
      <protection locked="0"/>
    </xf>
    <xf numFmtId="0" fontId="0" fillId="0" borderId="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23" xfId="0" applyBorder="1" applyAlignment="1" applyProtection="1">
      <alignment horizontal="left" vertical="top" wrapText="1" shrinkToFit="1"/>
      <protection locked="0"/>
    </xf>
    <xf numFmtId="0" fontId="0" fillId="0" borderId="24" xfId="0" applyBorder="1" applyAlignment="1" applyProtection="1">
      <alignment horizontal="left" vertical="top" wrapText="1" shrinkToFit="1"/>
      <protection locked="0"/>
    </xf>
    <xf numFmtId="0" fontId="0" fillId="6" borderId="23" xfId="0" applyFill="1" applyBorder="1" applyAlignment="1" applyProtection="1">
      <alignment horizontal="left" vertical="top" wrapText="1" shrinkToFit="1"/>
      <protection locked="0"/>
    </xf>
    <xf numFmtId="0" fontId="0" fillId="6" borderId="24" xfId="0" applyFill="1" applyBorder="1" applyAlignment="1" applyProtection="1">
      <alignment horizontal="left" vertical="top" wrapText="1" shrinkToFit="1"/>
      <protection locked="0"/>
    </xf>
    <xf numFmtId="0" fontId="0" fillId="27" borderId="24" xfId="0" applyFill="1" applyBorder="1" applyAlignment="1" applyProtection="1">
      <alignment horizontal="left" vertical="top" wrapText="1" shrinkToFit="1"/>
      <protection locked="0"/>
    </xf>
    <xf numFmtId="0" fontId="0" fillId="0" borderId="11" xfId="0" applyBorder="1" applyAlignment="1" applyProtection="1">
      <alignment horizontal="left" vertical="top" wrapText="1" shrinkToFit="1"/>
      <protection locked="0"/>
    </xf>
    <xf numFmtId="0" fontId="0" fillId="0" borderId="25" xfId="0" applyBorder="1" applyAlignment="1" applyProtection="1">
      <alignment horizontal="left" vertical="top" wrapText="1" shrinkToFit="1"/>
      <protection locked="0"/>
    </xf>
    <xf numFmtId="0" fontId="23" fillId="0" borderId="1" xfId="7" applyFont="1" applyFill="1" applyBorder="1" applyAlignment="1" applyProtection="1">
      <alignment horizontal="left" vertical="top" wrapText="1" shrinkToFit="1"/>
      <protection locked="0"/>
    </xf>
    <xf numFmtId="0" fontId="23" fillId="0" borderId="2" xfId="7" applyFont="1" applyFill="1" applyBorder="1" applyAlignment="1" applyProtection="1">
      <alignment horizontal="left" vertical="top" wrapText="1" shrinkToFit="1"/>
      <protection locked="0"/>
    </xf>
    <xf numFmtId="0" fontId="5" fillId="3" borderId="9" xfId="6" applyFont="1" applyFill="1" applyBorder="1" applyAlignment="1" applyProtection="1">
      <alignment horizontal="left" vertical="top" wrapText="1" shrinkToFit="1"/>
      <protection locked="0"/>
    </xf>
    <xf numFmtId="0" fontId="0" fillId="16" borderId="0" xfId="0" applyFill="1" applyAlignment="1">
      <alignment horizontal="left" vertical="top" wrapText="1"/>
    </xf>
    <xf numFmtId="0" fontId="30" fillId="16" borderId="17" xfId="0" applyFont="1" applyFill="1" applyBorder="1" applyAlignment="1">
      <alignment horizontal="center" wrapText="1"/>
    </xf>
    <xf numFmtId="0" fontId="30" fillId="16" borderId="30" xfId="0" applyFont="1" applyFill="1" applyBorder="1" applyAlignment="1">
      <alignment horizontal="center" wrapText="1"/>
    </xf>
    <xf numFmtId="0" fontId="30" fillId="16" borderId="31" xfId="0" applyFont="1" applyFill="1" applyBorder="1" applyAlignment="1">
      <alignment horizontal="center" wrapText="1"/>
    </xf>
    <xf numFmtId="0" fontId="0" fillId="3" borderId="43" xfId="0" applyFill="1" applyBorder="1" applyAlignment="1">
      <alignment horizontal="center" wrapText="1"/>
    </xf>
    <xf numFmtId="0" fontId="0" fillId="3" borderId="19" xfId="0" applyFill="1" applyBorder="1" applyAlignment="1">
      <alignment horizontal="center" wrapText="1"/>
    </xf>
    <xf numFmtId="0" fontId="0" fillId="3" borderId="36" xfId="0" applyFill="1" applyBorder="1" applyAlignment="1">
      <alignment horizontal="center" wrapText="1"/>
    </xf>
    <xf numFmtId="0" fontId="65" fillId="27" borderId="42" xfId="0" applyFont="1" applyFill="1" applyBorder="1" applyAlignment="1">
      <alignment horizontal="left" wrapText="1"/>
    </xf>
    <xf numFmtId="0" fontId="65" fillId="27" borderId="0" xfId="0" applyFont="1" applyFill="1" applyAlignment="1">
      <alignment horizontal="left" wrapText="1"/>
    </xf>
    <xf numFmtId="0" fontId="65" fillId="27" borderId="16" xfId="0" applyFont="1" applyFill="1" applyBorder="1" applyAlignment="1">
      <alignment horizontal="left" wrapText="1"/>
    </xf>
    <xf numFmtId="0" fontId="0" fillId="3" borderId="42" xfId="0" applyFill="1" applyBorder="1" applyAlignment="1">
      <alignment horizontal="left" wrapText="1"/>
    </xf>
    <xf numFmtId="0" fontId="0" fillId="3" borderId="0" xfId="0" applyFill="1" applyAlignment="1">
      <alignment horizontal="left" wrapText="1"/>
    </xf>
    <xf numFmtId="0" fontId="0" fillId="3" borderId="16" xfId="0" applyFill="1" applyBorder="1" applyAlignment="1">
      <alignment horizontal="left" wrapText="1"/>
    </xf>
    <xf numFmtId="0" fontId="0" fillId="27" borderId="42" xfId="0" applyFill="1" applyBorder="1" applyAlignment="1">
      <alignment horizontal="left" wrapText="1"/>
    </xf>
    <xf numFmtId="0" fontId="0" fillId="27" borderId="0" xfId="0" applyFill="1" applyAlignment="1">
      <alignment horizontal="left" wrapText="1"/>
    </xf>
    <xf numFmtId="0" fontId="0" fillId="27" borderId="16" xfId="0" applyFill="1" applyBorder="1" applyAlignment="1">
      <alignment horizontal="left" wrapText="1"/>
    </xf>
    <xf numFmtId="0" fontId="48" fillId="11" borderId="166" xfId="11" applyFont="1" applyFill="1" applyBorder="1" applyAlignment="1">
      <alignment horizontal="left" vertical="center" wrapText="1" indent="1"/>
    </xf>
    <xf numFmtId="0" fontId="48" fillId="11" borderId="167" xfId="11" applyFont="1" applyFill="1" applyBorder="1" applyAlignment="1">
      <alignment horizontal="left" vertical="center" wrapText="1" indent="1"/>
    </xf>
    <xf numFmtId="0" fontId="48" fillId="11" borderId="168" xfId="11" applyFont="1" applyFill="1" applyBorder="1" applyAlignment="1">
      <alignment horizontal="left" vertical="center" wrapText="1" indent="1"/>
    </xf>
    <xf numFmtId="0" fontId="38" fillId="0" borderId="167" xfId="13" applyBorder="1" applyAlignment="1">
      <alignment horizontal="center" vertical="center" wrapText="1"/>
    </xf>
    <xf numFmtId="0" fontId="19" fillId="11" borderId="166" xfId="11" applyFont="1" applyFill="1" applyBorder="1" applyAlignment="1">
      <alignment horizontal="left" vertical="center" wrapText="1" indent="1"/>
    </xf>
    <xf numFmtId="0" fontId="19" fillId="11" borderId="167" xfId="11" applyFont="1" applyFill="1" applyBorder="1" applyAlignment="1">
      <alignment horizontal="left" vertical="center" wrapText="1" indent="1"/>
    </xf>
    <xf numFmtId="0" fontId="19" fillId="11" borderId="168" xfId="11" applyFont="1" applyFill="1" applyBorder="1" applyAlignment="1">
      <alignment horizontal="left" vertical="center" wrapText="1" indent="1"/>
    </xf>
    <xf numFmtId="0" fontId="48" fillId="11" borderId="169" xfId="11" applyFont="1" applyFill="1" applyBorder="1" applyAlignment="1">
      <alignment horizontal="left" vertical="center" wrapText="1" indent="1"/>
    </xf>
    <xf numFmtId="0" fontId="48" fillId="11" borderId="169" xfId="11" quotePrefix="1" applyFont="1" applyFill="1" applyBorder="1" applyAlignment="1">
      <alignment horizontal="left" vertical="center" wrapText="1" indent="1"/>
    </xf>
    <xf numFmtId="0" fontId="45" fillId="0" borderId="167" xfId="13" applyFont="1" applyBorder="1" applyAlignment="1">
      <alignment horizontal="left" vertical="center" wrapText="1"/>
    </xf>
    <xf numFmtId="0" fontId="49" fillId="11" borderId="167" xfId="11" applyFont="1" applyFill="1" applyBorder="1" applyAlignment="1">
      <alignment horizontal="left" vertical="center" wrapText="1" indent="1"/>
    </xf>
    <xf numFmtId="0" fontId="49" fillId="11" borderId="168" xfId="11" applyFont="1" applyFill="1" applyBorder="1" applyAlignment="1">
      <alignment horizontal="left" vertical="center" wrapText="1" indent="1"/>
    </xf>
    <xf numFmtId="0" fontId="19" fillId="11" borderId="169" xfId="11" applyFont="1" applyFill="1" applyBorder="1" applyAlignment="1">
      <alignment horizontal="left" vertical="center" wrapText="1" indent="1"/>
    </xf>
    <xf numFmtId="0" fontId="19" fillId="11" borderId="169" xfId="11" quotePrefix="1" applyFont="1" applyFill="1" applyBorder="1" applyAlignment="1">
      <alignment horizontal="left" vertical="center" wrapText="1" indent="1"/>
    </xf>
    <xf numFmtId="0" fontId="82" fillId="0" borderId="0" xfId="0" applyFont="1" applyAlignment="1">
      <alignment horizontal="left" vertical="top"/>
    </xf>
    <xf numFmtId="0" fontId="51" fillId="3" borderId="181" xfId="19" applyFont="1" applyFill="1" applyBorder="1" applyAlignment="1">
      <alignment horizontal="center" vertical="center" wrapText="1"/>
    </xf>
    <xf numFmtId="0" fontId="51" fillId="3" borderId="180" xfId="19" applyFont="1" applyFill="1" applyBorder="1" applyAlignment="1">
      <alignment horizontal="center" vertical="center" wrapText="1"/>
    </xf>
    <xf numFmtId="3" fontId="23" fillId="24" borderId="178" xfId="19" applyNumberFormat="1" applyFill="1" applyBorder="1" applyAlignment="1">
      <alignment horizontal="center" vertical="center"/>
    </xf>
    <xf numFmtId="3" fontId="23" fillId="24" borderId="182" xfId="19" applyNumberFormat="1" applyFill="1" applyBorder="1" applyAlignment="1">
      <alignment horizontal="center" vertical="center"/>
    </xf>
    <xf numFmtId="0" fontId="117" fillId="35" borderId="0" xfId="0" applyFont="1" applyFill="1" applyAlignment="1">
      <alignment horizontal="left" vertical="center" wrapText="1"/>
    </xf>
    <xf numFmtId="0" fontId="117" fillId="20" borderId="0" xfId="0" applyFont="1" applyFill="1" applyAlignment="1">
      <alignment horizontal="left" vertical="center" wrapText="1"/>
    </xf>
    <xf numFmtId="49" fontId="39" fillId="4" borderId="176" xfId="0" applyNumberFormat="1" applyFont="1" applyFill="1" applyBorder="1" applyAlignment="1" applyProtection="1">
      <alignment horizontal="center" vertical="center" wrapText="1"/>
      <protection locked="0"/>
    </xf>
    <xf numFmtId="49" fontId="39" fillId="4" borderId="177" xfId="0" applyNumberFormat="1" applyFont="1" applyFill="1" applyBorder="1" applyAlignment="1" applyProtection="1">
      <alignment horizontal="center" vertical="center" wrapText="1"/>
      <protection locked="0"/>
    </xf>
    <xf numFmtId="3" fontId="23" fillId="4" borderId="178" xfId="19" applyNumberFormat="1" applyFill="1" applyBorder="1" applyAlignment="1" applyProtection="1">
      <alignment horizontal="center" vertical="center"/>
      <protection locked="0"/>
    </xf>
    <xf numFmtId="9" fontId="23" fillId="4" borderId="178" xfId="3" applyFont="1" applyFill="1" applyBorder="1" applyAlignment="1" applyProtection="1">
      <alignment horizontal="center" vertical="center"/>
      <protection locked="0"/>
    </xf>
    <xf numFmtId="0" fontId="22" fillId="24" borderId="19" xfId="19" applyFont="1" applyFill="1" applyBorder="1" applyAlignment="1">
      <alignment horizontal="center" vertical="center" textRotation="90" wrapText="1"/>
    </xf>
    <xf numFmtId="0" fontId="22" fillId="24" borderId="36" xfId="19" applyFont="1" applyFill="1" applyBorder="1" applyAlignment="1">
      <alignment horizontal="center" vertical="center" textRotation="90" wrapText="1"/>
    </xf>
    <xf numFmtId="0" fontId="22" fillId="24" borderId="0" xfId="19" applyFont="1" applyFill="1" applyAlignment="1">
      <alignment horizontal="center" vertical="center" textRotation="90" wrapText="1"/>
    </xf>
    <xf numFmtId="0" fontId="22" fillId="24" borderId="16" xfId="19" applyFont="1" applyFill="1" applyBorder="1" applyAlignment="1">
      <alignment horizontal="center" vertical="center" textRotation="90" wrapText="1"/>
    </xf>
    <xf numFmtId="49" fontId="39" fillId="4" borderId="157" xfId="0" applyNumberFormat="1" applyFont="1" applyFill="1" applyBorder="1" applyAlignment="1" applyProtection="1">
      <alignment horizontal="center" vertical="center" wrapText="1"/>
      <protection locked="0"/>
    </xf>
    <xf numFmtId="49" fontId="39" fillId="4" borderId="158" xfId="0" applyNumberFormat="1" applyFont="1" applyFill="1" applyBorder="1" applyAlignment="1" applyProtection="1">
      <alignment horizontal="center" vertical="center" wrapText="1"/>
      <protection locked="0"/>
    </xf>
    <xf numFmtId="3" fontId="23" fillId="4" borderId="170" xfId="19" applyNumberFormat="1" applyFill="1" applyBorder="1" applyAlignment="1" applyProtection="1">
      <alignment horizontal="center" vertical="center"/>
      <protection locked="0"/>
    </xf>
    <xf numFmtId="9" fontId="23" fillId="4" borderId="170" xfId="3" applyFont="1" applyFill="1" applyBorder="1" applyAlignment="1" applyProtection="1">
      <alignment horizontal="center" vertical="center"/>
      <protection locked="0"/>
    </xf>
    <xf numFmtId="0" fontId="117" fillId="17" borderId="0" xfId="0" applyFont="1" applyFill="1" applyAlignment="1">
      <alignment horizontal="left" vertical="center" wrapText="1"/>
    </xf>
    <xf numFmtId="168" fontId="23" fillId="3" borderId="178" xfId="3" applyNumberFormat="1" applyFont="1" applyFill="1" applyBorder="1" applyAlignment="1" applyProtection="1">
      <alignment horizontal="center" vertical="center"/>
    </xf>
    <xf numFmtId="3" fontId="23" fillId="4" borderId="179" xfId="19" applyNumberFormat="1" applyFill="1" applyBorder="1" applyAlignment="1" applyProtection="1">
      <alignment horizontal="center" vertical="center"/>
      <protection locked="0"/>
    </xf>
    <xf numFmtId="3" fontId="23" fillId="4" borderId="180" xfId="19" applyNumberFormat="1" applyFill="1" applyBorder="1" applyAlignment="1" applyProtection="1">
      <alignment horizontal="center" vertical="center"/>
      <protection locked="0"/>
    </xf>
    <xf numFmtId="2" fontId="23" fillId="0" borderId="178" xfId="19" applyNumberFormat="1" applyBorder="1" applyAlignment="1">
      <alignment horizontal="center" vertical="center" wrapText="1"/>
    </xf>
    <xf numFmtId="0" fontId="113" fillId="4" borderId="178" xfId="19" applyFont="1" applyFill="1" applyBorder="1" applyAlignment="1" applyProtection="1">
      <alignment horizontal="center" vertical="center" wrapText="1"/>
      <protection locked="0"/>
    </xf>
    <xf numFmtId="168" fontId="23" fillId="3" borderId="170" xfId="3" applyNumberFormat="1" applyFont="1" applyFill="1" applyBorder="1" applyAlignment="1" applyProtection="1">
      <alignment horizontal="center" vertical="center"/>
    </xf>
    <xf numFmtId="3" fontId="23" fillId="4" borderId="171" xfId="19" applyNumberFormat="1" applyFill="1" applyBorder="1" applyAlignment="1" applyProtection="1">
      <alignment horizontal="center" vertical="center"/>
      <protection locked="0"/>
    </xf>
    <xf numFmtId="3" fontId="23" fillId="4" borderId="172" xfId="19" applyNumberFormat="1" applyFill="1" applyBorder="1" applyAlignment="1" applyProtection="1">
      <alignment horizontal="center" vertical="center"/>
      <protection locked="0"/>
    </xf>
    <xf numFmtId="2" fontId="23" fillId="0" borderId="170" xfId="19" applyNumberFormat="1" applyBorder="1" applyAlignment="1">
      <alignment horizontal="center" vertical="center" wrapText="1"/>
    </xf>
    <xf numFmtId="0" fontId="113" fillId="4" borderId="170" xfId="19" applyFont="1" applyFill="1" applyBorder="1" applyAlignment="1" applyProtection="1">
      <alignment horizontal="center" vertical="center" wrapText="1"/>
      <protection locked="0"/>
    </xf>
    <xf numFmtId="0" fontId="51" fillId="3" borderId="173" xfId="19" applyFont="1" applyFill="1" applyBorder="1" applyAlignment="1">
      <alignment horizontal="center" vertical="center" wrapText="1"/>
    </xf>
    <xf numFmtId="0" fontId="51" fillId="3" borderId="172" xfId="19" applyFont="1" applyFill="1" applyBorder="1" applyAlignment="1">
      <alignment horizontal="center" vertical="center" wrapText="1"/>
    </xf>
    <xf numFmtId="3" fontId="23" fillId="24" borderId="170" xfId="19" applyNumberFormat="1" applyFill="1" applyBorder="1" applyAlignment="1">
      <alignment horizontal="center" vertical="center"/>
    </xf>
    <xf numFmtId="3" fontId="23" fillId="24" borderId="174" xfId="19" applyNumberFormat="1" applyFill="1" applyBorder="1" applyAlignment="1">
      <alignment horizontal="center" vertical="center"/>
    </xf>
    <xf numFmtId="169" fontId="20" fillId="4" borderId="6" xfId="19" applyNumberFormat="1" applyFont="1" applyFill="1" applyBorder="1" applyAlignment="1" applyProtection="1">
      <alignment horizontal="center" vertical="center"/>
      <protection locked="0"/>
    </xf>
    <xf numFmtId="169" fontId="20" fillId="4" borderId="7" xfId="19" applyNumberFormat="1" applyFont="1" applyFill="1" applyBorder="1" applyAlignment="1" applyProtection="1">
      <alignment horizontal="center" vertical="center"/>
      <protection locked="0"/>
    </xf>
    <xf numFmtId="169" fontId="20" fillId="4" borderId="11" xfId="19" applyNumberFormat="1" applyFont="1" applyFill="1" applyBorder="1" applyAlignment="1" applyProtection="1">
      <alignment horizontal="center" vertical="center"/>
      <protection locked="0"/>
    </xf>
    <xf numFmtId="169" fontId="20" fillId="4" borderId="12" xfId="19" applyNumberFormat="1" applyFont="1" applyFill="1" applyBorder="1" applyAlignment="1" applyProtection="1">
      <alignment horizontal="center" vertical="center"/>
      <protection locked="0"/>
    </xf>
    <xf numFmtId="0" fontId="22" fillId="24" borderId="43" xfId="19" applyFont="1" applyFill="1" applyBorder="1" applyAlignment="1">
      <alignment horizontal="center" vertical="center" wrapText="1"/>
    </xf>
    <xf numFmtId="0" fontId="22" fillId="24" borderId="19" xfId="19" applyFont="1" applyFill="1" applyBorder="1" applyAlignment="1">
      <alignment horizontal="center" vertical="center" wrapText="1"/>
    </xf>
    <xf numFmtId="0" fontId="22" fillId="24" borderId="46" xfId="19" applyFont="1" applyFill="1" applyBorder="1" applyAlignment="1">
      <alignment horizontal="center" vertical="center" wrapText="1"/>
    </xf>
    <xf numFmtId="0" fontId="22" fillId="24" borderId="42" xfId="19" applyFont="1" applyFill="1" applyBorder="1" applyAlignment="1">
      <alignment horizontal="center" vertical="center" wrapText="1"/>
    </xf>
    <xf numFmtId="0" fontId="22" fillId="24" borderId="0" xfId="19" applyFont="1" applyFill="1" applyAlignment="1">
      <alignment horizontal="center" vertical="center" wrapText="1"/>
    </xf>
    <xf numFmtId="0" fontId="22" fillId="24" borderId="41" xfId="19" applyFont="1" applyFill="1" applyBorder="1" applyAlignment="1">
      <alignment horizontal="center" vertical="center" wrapText="1"/>
    </xf>
    <xf numFmtId="0" fontId="22" fillId="24" borderId="6" xfId="19" applyFont="1" applyFill="1" applyBorder="1" applyAlignment="1">
      <alignment horizontal="center" vertical="center" textRotation="90" wrapText="1"/>
    </xf>
    <xf numFmtId="0" fontId="22" fillId="24" borderId="1" xfId="19" applyFont="1" applyFill="1" applyBorder="1" applyAlignment="1">
      <alignment horizontal="center" vertical="center" textRotation="90" wrapText="1"/>
    </xf>
    <xf numFmtId="0" fontId="22" fillId="24" borderId="3" xfId="19" applyFont="1" applyFill="1" applyBorder="1" applyAlignment="1">
      <alignment horizontal="center" vertical="center" textRotation="90" wrapText="1"/>
    </xf>
    <xf numFmtId="0" fontId="22" fillId="24" borderId="90" xfId="19" applyFont="1" applyFill="1" applyBorder="1" applyAlignment="1">
      <alignment horizontal="center" vertical="center" textRotation="90" wrapText="1"/>
    </xf>
    <xf numFmtId="0" fontId="22" fillId="24" borderId="65" xfId="19" applyFont="1" applyFill="1" applyBorder="1" applyAlignment="1">
      <alignment horizontal="center" vertical="center" textRotation="90" wrapText="1"/>
    </xf>
    <xf numFmtId="0" fontId="22" fillId="24" borderId="35" xfId="19" applyFont="1" applyFill="1" applyBorder="1" applyAlignment="1">
      <alignment horizontal="center" vertical="center" textRotation="90" wrapText="1"/>
    </xf>
    <xf numFmtId="0" fontId="22" fillId="24" borderId="46" xfId="19" applyFont="1" applyFill="1" applyBorder="1" applyAlignment="1">
      <alignment horizontal="center" vertical="center" textRotation="90" wrapText="1"/>
    </xf>
    <xf numFmtId="0" fontId="22" fillId="24" borderId="37" xfId="19" applyFont="1" applyFill="1" applyBorder="1" applyAlignment="1">
      <alignment horizontal="center" vertical="center" textRotation="90" wrapText="1"/>
    </xf>
    <xf numFmtId="0" fontId="22" fillId="24" borderId="41" xfId="19" applyFont="1" applyFill="1" applyBorder="1" applyAlignment="1">
      <alignment horizontal="center" vertical="center" textRotation="90" wrapText="1"/>
    </xf>
    <xf numFmtId="0" fontId="22" fillId="24" borderId="94" xfId="19" applyFont="1" applyFill="1" applyBorder="1" applyAlignment="1">
      <alignment horizontal="center" vertical="center" textRotation="90" wrapText="1"/>
    </xf>
    <xf numFmtId="0" fontId="22" fillId="24" borderId="114" xfId="19" applyFont="1" applyFill="1" applyBorder="1" applyAlignment="1">
      <alignment horizontal="center" vertical="center" textRotation="90" wrapText="1"/>
    </xf>
    <xf numFmtId="0" fontId="22" fillId="24" borderId="84" xfId="19" applyFont="1" applyFill="1" applyBorder="1" applyAlignment="1">
      <alignment horizontal="center" vertical="center" textRotation="90" wrapText="1"/>
    </xf>
    <xf numFmtId="0" fontId="22" fillId="24" borderId="121" xfId="19" applyFont="1" applyFill="1" applyBorder="1" applyAlignment="1">
      <alignment horizontal="center" vertical="center" textRotation="90" wrapText="1"/>
    </xf>
    <xf numFmtId="0" fontId="22" fillId="24" borderId="170" xfId="19" applyFont="1" applyFill="1" applyBorder="1" applyAlignment="1">
      <alignment horizontal="center" vertical="center" textRotation="90" wrapText="1"/>
    </xf>
    <xf numFmtId="0" fontId="22" fillId="24" borderId="121" xfId="19" applyFont="1" applyFill="1" applyBorder="1" applyAlignment="1">
      <alignment horizontal="center" vertical="center" wrapText="1"/>
    </xf>
    <xf numFmtId="0" fontId="22" fillId="24" borderId="170" xfId="19" applyFont="1" applyFill="1" applyBorder="1" applyAlignment="1">
      <alignment horizontal="center" vertical="center" wrapText="1"/>
    </xf>
    <xf numFmtId="0" fontId="22" fillId="24" borderId="60" xfId="19" applyFont="1" applyFill="1" applyBorder="1" applyAlignment="1">
      <alignment horizontal="center" vertical="center" wrapText="1"/>
    </xf>
    <xf numFmtId="0" fontId="22" fillId="24" borderId="114" xfId="19" applyFont="1" applyFill="1" applyBorder="1" applyAlignment="1">
      <alignment horizontal="center" vertical="center" wrapText="1"/>
    </xf>
    <xf numFmtId="0" fontId="22" fillId="24" borderId="92" xfId="19" applyFont="1" applyFill="1" applyBorder="1" applyAlignment="1">
      <alignment horizontal="center" vertical="center" wrapText="1"/>
    </xf>
    <xf numFmtId="0" fontId="22" fillId="24" borderId="90" xfId="19" applyFont="1" applyFill="1" applyBorder="1" applyAlignment="1">
      <alignment horizontal="center" vertical="center" wrapText="1"/>
    </xf>
    <xf numFmtId="0" fontId="22" fillId="24" borderId="48" xfId="19" applyFont="1" applyFill="1" applyBorder="1" applyAlignment="1">
      <alignment horizontal="center" vertical="center" wrapText="1"/>
    </xf>
    <xf numFmtId="0" fontId="22" fillId="24" borderId="49" xfId="19" applyFont="1" applyFill="1" applyBorder="1" applyAlignment="1">
      <alignment horizontal="center" vertical="center" wrapText="1"/>
    </xf>
    <xf numFmtId="1" fontId="20" fillId="4" borderId="6" xfId="19" applyNumberFormat="1" applyFont="1" applyFill="1" applyBorder="1" applyAlignment="1" applyProtection="1">
      <alignment horizontal="center" vertical="center"/>
      <protection locked="0"/>
    </xf>
    <xf numFmtId="1" fontId="20" fillId="4" borderId="7" xfId="19" applyNumberFormat="1" applyFont="1" applyFill="1" applyBorder="1" applyAlignment="1" applyProtection="1">
      <alignment horizontal="center" vertical="center"/>
      <protection locked="0"/>
    </xf>
    <xf numFmtId="1" fontId="20" fillId="4" borderId="11" xfId="19" applyNumberFormat="1" applyFont="1" applyFill="1" applyBorder="1" applyAlignment="1" applyProtection="1">
      <alignment horizontal="center" vertical="center"/>
      <protection locked="0"/>
    </xf>
    <xf numFmtId="1" fontId="20" fillId="4" borderId="12" xfId="19" applyNumberFormat="1" applyFont="1" applyFill="1" applyBorder="1" applyAlignment="1" applyProtection="1">
      <alignment horizontal="center" vertical="center"/>
      <protection locked="0"/>
    </xf>
    <xf numFmtId="2" fontId="20" fillId="4" borderId="90" xfId="19" applyNumberFormat="1" applyFont="1" applyFill="1" applyBorder="1" applyAlignment="1" applyProtection="1">
      <alignment horizontal="center" vertical="center"/>
      <protection locked="0"/>
    </xf>
    <xf numFmtId="2" fontId="20" fillId="4" borderId="91" xfId="19" applyNumberFormat="1" applyFont="1" applyFill="1" applyBorder="1" applyAlignment="1" applyProtection="1">
      <alignment horizontal="center" vertical="center"/>
      <protection locked="0"/>
    </xf>
    <xf numFmtId="2" fontId="20" fillId="4" borderId="49" xfId="19" applyNumberFormat="1" applyFont="1" applyFill="1" applyBorder="1" applyAlignment="1" applyProtection="1">
      <alignment horizontal="center" vertical="center"/>
      <protection locked="0"/>
    </xf>
    <xf numFmtId="2" fontId="20" fillId="4" borderId="52" xfId="19" applyNumberFormat="1" applyFont="1" applyFill="1" applyBorder="1" applyAlignment="1" applyProtection="1">
      <alignment horizontal="center" vertical="center"/>
      <protection locked="0"/>
    </xf>
    <xf numFmtId="0" fontId="36" fillId="3" borderId="26" xfId="0" applyFont="1" applyFill="1" applyBorder="1" applyAlignment="1">
      <alignment horizontal="center" vertical="center" wrapText="1"/>
    </xf>
    <xf numFmtId="0" fontId="36" fillId="3" borderId="33" xfId="0" applyFont="1" applyFill="1" applyBorder="1" applyAlignment="1">
      <alignment horizontal="center" vertical="center" wrapText="1"/>
    </xf>
    <xf numFmtId="0" fontId="82" fillId="0" borderId="39" xfId="0" applyFont="1" applyBorder="1" applyAlignment="1">
      <alignment horizontal="left" vertical="top"/>
    </xf>
    <xf numFmtId="0" fontId="0" fillId="23" borderId="11" xfId="15" applyNumberFormat="1" applyFont="1" applyFill="1" applyBorder="1" applyAlignment="1" applyProtection="1">
      <alignment horizontal="left" vertical="center" wrapText="1"/>
    </xf>
    <xf numFmtId="0" fontId="22" fillId="24" borderId="8" xfId="0" applyFont="1" applyFill="1" applyBorder="1" applyAlignment="1">
      <alignment horizontal="center" vertical="center" wrapText="1"/>
    </xf>
    <xf numFmtId="0" fontId="22" fillId="24" borderId="1" xfId="0" applyFont="1" applyFill="1" applyBorder="1" applyAlignment="1">
      <alignment horizontal="center" vertical="center" wrapText="1"/>
    </xf>
    <xf numFmtId="0" fontId="22" fillId="21" borderId="8" xfId="15" applyNumberFormat="1" applyFont="1" applyFill="1" applyBorder="1" applyAlignment="1" applyProtection="1">
      <alignment horizontal="center" vertical="center" wrapText="1"/>
    </xf>
    <xf numFmtId="0" fontId="22" fillId="21" borderId="1" xfId="15" applyNumberFormat="1" applyFont="1" applyFill="1" applyBorder="1" applyAlignment="1" applyProtection="1">
      <alignment horizontal="center" vertical="center" wrapText="1"/>
    </xf>
    <xf numFmtId="0" fontId="0" fillId="24" borderId="8" xfId="0" applyFill="1" applyBorder="1" applyAlignment="1">
      <alignment horizontal="center" vertical="center" wrapText="1"/>
    </xf>
    <xf numFmtId="0" fontId="0" fillId="24" borderId="1" xfId="0" applyFill="1" applyBorder="1" applyAlignment="1">
      <alignment horizontal="center" vertical="center" wrapText="1"/>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40" fillId="3" borderId="53" xfId="0" applyFont="1" applyFill="1" applyBorder="1" applyAlignment="1">
      <alignment horizontal="left" vertical="center" wrapText="1"/>
    </xf>
    <xf numFmtId="0" fontId="40" fillId="3" borderId="21" xfId="0" applyFont="1" applyFill="1" applyBorder="1" applyAlignment="1">
      <alignment horizontal="left" vertical="center" wrapText="1"/>
    </xf>
    <xf numFmtId="0" fontId="40" fillId="3" borderId="28" xfId="0" applyFont="1" applyFill="1" applyBorder="1" applyAlignment="1">
      <alignment horizontal="left" vertical="center" wrapText="1"/>
    </xf>
    <xf numFmtId="0" fontId="36" fillId="3" borderId="21" xfId="0" applyFont="1" applyFill="1" applyBorder="1" applyAlignment="1">
      <alignment horizontal="center" vertical="center" wrapText="1"/>
    </xf>
    <xf numFmtId="0" fontId="36" fillId="3" borderId="22" xfId="0" applyFont="1" applyFill="1" applyBorder="1" applyAlignment="1">
      <alignment horizontal="center" vertical="center" wrapText="1"/>
    </xf>
    <xf numFmtId="0" fontId="40" fillId="3" borderId="55" xfId="0" applyFont="1" applyFill="1" applyBorder="1" applyAlignment="1">
      <alignment horizontal="left" vertical="center" wrapText="1"/>
    </xf>
    <xf numFmtId="0" fontId="40" fillId="3" borderId="23" xfId="0" applyFont="1" applyFill="1" applyBorder="1" applyAlignment="1">
      <alignment horizontal="left" vertical="center" wrapText="1"/>
    </xf>
    <xf numFmtId="0" fontId="40" fillId="3" borderId="20" xfId="0" applyFont="1" applyFill="1" applyBorder="1" applyAlignment="1">
      <alignment horizontal="left" vertical="center" wrapText="1"/>
    </xf>
    <xf numFmtId="0" fontId="36" fillId="3" borderId="23"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40" fillId="3" borderId="56" xfId="0" applyFont="1" applyFill="1" applyBorder="1" applyAlignment="1">
      <alignment horizontal="left" vertical="center" wrapText="1"/>
    </xf>
    <xf numFmtId="0" fontId="40" fillId="3" borderId="26" xfId="0" applyFont="1" applyFill="1" applyBorder="1" applyAlignment="1">
      <alignment horizontal="left" vertical="center" wrapText="1"/>
    </xf>
    <xf numFmtId="0" fontId="40" fillId="3" borderId="27" xfId="0" applyFont="1" applyFill="1" applyBorder="1" applyAlignment="1">
      <alignment horizontal="left" vertical="center" wrapText="1"/>
    </xf>
    <xf numFmtId="0" fontId="82" fillId="6" borderId="0" xfId="19" applyFont="1" applyFill="1" applyAlignment="1">
      <alignment horizontal="left" vertical="center"/>
    </xf>
    <xf numFmtId="0" fontId="22" fillId="9" borderId="0" xfId="17" applyFont="1" applyFill="1" applyAlignment="1">
      <alignment horizontal="right" vertical="center" wrapText="1"/>
    </xf>
    <xf numFmtId="0" fontId="0" fillId="23" borderId="12" xfId="15" applyNumberFormat="1" applyFont="1" applyFill="1" applyBorder="1" applyAlignment="1" applyProtection="1">
      <alignment horizontal="left" vertical="center" wrapText="1"/>
    </xf>
    <xf numFmtId="0" fontId="0" fillId="22" borderId="1" xfId="15" applyNumberFormat="1" applyFont="1" applyFill="1" applyBorder="1" applyAlignment="1" applyProtection="1">
      <alignment horizontal="left" vertical="center" wrapText="1"/>
    </xf>
    <xf numFmtId="0" fontId="0" fillId="22" borderId="9" xfId="15" applyNumberFormat="1" applyFont="1" applyFill="1" applyBorder="1" applyAlignment="1" applyProtection="1">
      <alignment horizontal="left" vertical="center" wrapText="1"/>
    </xf>
    <xf numFmtId="0" fontId="0" fillId="21" borderId="1" xfId="15" applyNumberFormat="1" applyFont="1" applyFill="1" applyBorder="1" applyAlignment="1" applyProtection="1">
      <alignment horizontal="left" vertical="center" wrapText="1"/>
    </xf>
    <xf numFmtId="0" fontId="0" fillId="21" borderId="9" xfId="15" applyNumberFormat="1" applyFont="1" applyFill="1" applyBorder="1" applyAlignment="1" applyProtection="1">
      <alignment horizontal="left" vertical="center" wrapText="1"/>
    </xf>
    <xf numFmtId="0" fontId="0" fillId="24" borderId="1" xfId="0" applyFill="1" applyBorder="1" applyAlignment="1">
      <alignment horizontal="left" vertical="center"/>
    </xf>
    <xf numFmtId="0" fontId="0" fillId="24" borderId="9" xfId="0" applyFill="1" applyBorder="1" applyAlignment="1">
      <alignment horizontal="left" vertical="center"/>
    </xf>
    <xf numFmtId="0" fontId="20" fillId="6" borderId="6" xfId="0" applyFont="1" applyFill="1" applyBorder="1" applyAlignment="1">
      <alignment horizontal="center" vertical="center"/>
    </xf>
    <xf numFmtId="0" fontId="20" fillId="6" borderId="7" xfId="0" applyFont="1" applyFill="1" applyBorder="1" applyAlignment="1">
      <alignment horizontal="center" vertical="center"/>
    </xf>
    <xf numFmtId="0" fontId="22" fillId="22" borderId="8" xfId="15" applyNumberFormat="1" applyFont="1" applyFill="1" applyBorder="1" applyAlignment="1" applyProtection="1">
      <alignment horizontal="center" vertical="center" wrapText="1"/>
    </xf>
    <xf numFmtId="0" fontId="22" fillId="22" borderId="1" xfId="15" applyNumberFormat="1" applyFont="1" applyFill="1" applyBorder="1" applyAlignment="1" applyProtection="1">
      <alignment horizontal="center" vertical="center" wrapText="1"/>
    </xf>
    <xf numFmtId="0" fontId="22" fillId="23" borderId="10" xfId="15" applyNumberFormat="1" applyFont="1" applyFill="1" applyBorder="1" applyAlignment="1" applyProtection="1">
      <alignment horizontal="center" vertical="center" wrapText="1"/>
    </xf>
    <xf numFmtId="0" fontId="22" fillId="23" borderId="11" xfId="15" applyNumberFormat="1" applyFont="1" applyFill="1" applyBorder="1" applyAlignment="1" applyProtection="1">
      <alignment horizontal="center" vertical="center" wrapText="1"/>
    </xf>
    <xf numFmtId="0" fontId="0" fillId="24" borderId="1" xfId="0" applyFill="1" applyBorder="1" applyAlignment="1">
      <alignment horizontal="left" vertical="center" wrapText="1"/>
    </xf>
    <xf numFmtId="49" fontId="23" fillId="4" borderId="190" xfId="0" applyNumberFormat="1" applyFont="1" applyFill="1" applyBorder="1" applyAlignment="1" applyProtection="1">
      <alignment horizontal="center" vertical="center"/>
      <protection locked="0"/>
    </xf>
    <xf numFmtId="49" fontId="23" fillId="4" borderId="187" xfId="0" applyNumberFormat="1" applyFont="1" applyFill="1" applyBorder="1" applyAlignment="1" applyProtection="1">
      <alignment horizontal="center" vertical="center"/>
      <protection locked="0"/>
    </xf>
    <xf numFmtId="49" fontId="23" fillId="4" borderId="188" xfId="0" applyNumberFormat="1" applyFont="1" applyFill="1" applyBorder="1" applyAlignment="1" applyProtection="1">
      <alignment horizontal="center" vertical="center"/>
      <protection locked="0"/>
    </xf>
    <xf numFmtId="49" fontId="23" fillId="4" borderId="186" xfId="0" applyNumberFormat="1" applyFont="1" applyFill="1" applyBorder="1" applyAlignment="1" applyProtection="1">
      <alignment horizontal="center" vertical="center"/>
      <protection locked="0"/>
    </xf>
    <xf numFmtId="49" fontId="23" fillId="4" borderId="191" xfId="0" applyNumberFormat="1" applyFont="1" applyFill="1" applyBorder="1" applyAlignment="1" applyProtection="1">
      <alignment horizontal="center" vertical="center"/>
      <protection locked="0"/>
    </xf>
    <xf numFmtId="49" fontId="23" fillId="4" borderId="189" xfId="0" applyNumberFormat="1" applyFont="1" applyFill="1" applyBorder="1" applyAlignment="1" applyProtection="1">
      <alignment horizontal="center" vertical="center"/>
      <protection locked="0"/>
    </xf>
    <xf numFmtId="0" fontId="5" fillId="4" borderId="185" xfId="8" applyFont="1" applyFill="1" applyBorder="1" applyAlignment="1" applyProtection="1">
      <alignment horizontal="center" vertical="center"/>
      <protection locked="0"/>
    </xf>
    <xf numFmtId="0" fontId="5" fillId="4" borderId="173" xfId="8" applyFont="1" applyFill="1" applyBorder="1" applyAlignment="1" applyProtection="1">
      <alignment horizontal="center" vertical="center"/>
      <protection locked="0"/>
    </xf>
    <xf numFmtId="0" fontId="5" fillId="4" borderId="172" xfId="8" applyFont="1" applyFill="1" applyBorder="1" applyAlignment="1" applyProtection="1">
      <alignment horizontal="center" vertical="center"/>
      <protection locked="0"/>
    </xf>
    <xf numFmtId="49" fontId="0" fillId="4" borderId="186" xfId="0" applyNumberFormat="1" applyFill="1" applyBorder="1" applyAlignment="1" applyProtection="1">
      <alignment horizontal="center" vertical="center"/>
      <protection locked="0"/>
    </xf>
    <xf numFmtId="49" fontId="0" fillId="4" borderId="190" xfId="0" applyNumberFormat="1" applyFill="1" applyBorder="1" applyAlignment="1" applyProtection="1">
      <alignment horizontal="center" vertical="center"/>
      <protection locked="0"/>
    </xf>
    <xf numFmtId="0" fontId="52" fillId="6" borderId="5" xfId="8" applyFont="1" applyFill="1" applyBorder="1" applyAlignment="1">
      <alignment horizontal="center" vertical="center"/>
    </xf>
    <xf numFmtId="0" fontId="52" fillId="6" borderId="6" xfId="8" applyFont="1" applyFill="1" applyBorder="1" applyAlignment="1">
      <alignment horizontal="center" vertical="center"/>
    </xf>
    <xf numFmtId="0" fontId="52" fillId="6" borderId="7" xfId="8" applyFont="1" applyFill="1" applyBorder="1" applyAlignment="1">
      <alignment horizontal="center" vertical="center"/>
    </xf>
    <xf numFmtId="0" fontId="5" fillId="24" borderId="8" xfId="8" applyFont="1" applyFill="1" applyBorder="1" applyAlignment="1">
      <alignment horizontal="center" vertical="center"/>
    </xf>
    <xf numFmtId="0" fontId="5" fillId="24" borderId="1" xfId="8" applyFont="1" applyFill="1" applyBorder="1" applyAlignment="1">
      <alignment horizontal="center" vertical="center"/>
    </xf>
    <xf numFmtId="0" fontId="23" fillId="24" borderId="1" xfId="0" applyFont="1" applyFill="1" applyBorder="1" applyAlignment="1">
      <alignment horizontal="center" vertical="center"/>
    </xf>
    <xf numFmtId="0" fontId="5" fillId="24" borderId="9" xfId="8" applyFont="1" applyFill="1" applyBorder="1" applyAlignment="1">
      <alignment horizontal="center" vertical="center"/>
    </xf>
    <xf numFmtId="0" fontId="5" fillId="4" borderId="198" xfId="8" applyFont="1" applyFill="1" applyBorder="1" applyAlignment="1" applyProtection="1">
      <alignment horizontal="center" vertical="center"/>
      <protection locked="0"/>
    </xf>
    <xf numFmtId="0" fontId="5" fillId="4" borderId="181" xfId="8" applyFont="1" applyFill="1" applyBorder="1" applyAlignment="1" applyProtection="1">
      <alignment horizontal="center" vertical="center"/>
      <protection locked="0"/>
    </xf>
    <xf numFmtId="0" fontId="5" fillId="4" borderId="180" xfId="8" applyFont="1" applyFill="1" applyBorder="1" applyAlignment="1" applyProtection="1">
      <alignment horizontal="center" vertical="center"/>
      <protection locked="0"/>
    </xf>
    <xf numFmtId="49" fontId="23" fillId="4" borderId="95" xfId="0" applyNumberFormat="1" applyFont="1" applyFill="1" applyBorder="1" applyAlignment="1" applyProtection="1">
      <alignment horizontal="center" vertical="center"/>
      <protection locked="0"/>
    </xf>
    <xf numFmtId="49" fontId="23" fillId="4" borderId="96" xfId="0" applyNumberFormat="1" applyFont="1" applyFill="1" applyBorder="1" applyAlignment="1" applyProtection="1">
      <alignment horizontal="center" vertical="center"/>
      <protection locked="0"/>
    </xf>
    <xf numFmtId="49" fontId="23" fillId="4" borderId="98" xfId="0" applyNumberFormat="1" applyFont="1" applyFill="1" applyBorder="1" applyAlignment="1" applyProtection="1">
      <alignment horizontal="center" vertical="center"/>
      <protection locked="0"/>
    </xf>
    <xf numFmtId="49" fontId="23" fillId="4" borderId="97" xfId="0" applyNumberFormat="1" applyFont="1" applyFill="1" applyBorder="1" applyAlignment="1" applyProtection="1">
      <alignment horizontal="center" vertical="center"/>
      <protection locked="0"/>
    </xf>
    <xf numFmtId="49" fontId="23" fillId="4" borderId="99" xfId="0" applyNumberFormat="1" applyFont="1" applyFill="1" applyBorder="1" applyAlignment="1" applyProtection="1">
      <alignment horizontal="center" vertical="center"/>
      <protection locked="0"/>
    </xf>
    <xf numFmtId="49" fontId="23" fillId="4" borderId="119" xfId="0" applyNumberFormat="1" applyFont="1" applyFill="1" applyBorder="1" applyAlignment="1" applyProtection="1">
      <alignment horizontal="center" vertical="center"/>
      <protection locked="0"/>
    </xf>
    <xf numFmtId="49" fontId="23" fillId="4" borderId="199" xfId="0" applyNumberFormat="1" applyFont="1" applyFill="1" applyBorder="1" applyAlignment="1" applyProtection="1">
      <alignment horizontal="center" vertical="center"/>
      <protection locked="0"/>
    </xf>
    <xf numFmtId="49" fontId="23" fillId="4" borderId="176" xfId="0" applyNumberFormat="1" applyFont="1" applyFill="1" applyBorder="1" applyAlignment="1" applyProtection="1">
      <alignment horizontal="center" vertical="center"/>
      <protection locked="0"/>
    </xf>
    <xf numFmtId="49" fontId="23" fillId="4" borderId="200" xfId="0" applyNumberFormat="1" applyFont="1" applyFill="1" applyBorder="1" applyAlignment="1" applyProtection="1">
      <alignment horizontal="center" vertical="center"/>
      <protection locked="0"/>
    </xf>
    <xf numFmtId="49" fontId="23" fillId="4" borderId="177" xfId="0" applyNumberFormat="1" applyFont="1" applyFill="1" applyBorder="1" applyAlignment="1" applyProtection="1">
      <alignment horizontal="center" vertical="center"/>
      <protection locked="0"/>
    </xf>
    <xf numFmtId="49" fontId="23" fillId="4" borderId="201" xfId="0" applyNumberFormat="1" applyFont="1" applyFill="1" applyBorder="1" applyAlignment="1" applyProtection="1">
      <alignment horizontal="center" vertical="center"/>
      <protection locked="0"/>
    </xf>
    <xf numFmtId="49" fontId="23" fillId="4" borderId="202" xfId="0" applyNumberFormat="1" applyFont="1" applyFill="1" applyBorder="1" applyAlignment="1" applyProtection="1">
      <alignment horizontal="center" vertical="center"/>
      <protection locked="0"/>
    </xf>
    <xf numFmtId="49" fontId="0" fillId="4" borderId="199" xfId="0" applyNumberFormat="1" applyFill="1" applyBorder="1" applyAlignment="1" applyProtection="1">
      <alignment horizontal="center" vertical="center"/>
      <protection locked="0"/>
    </xf>
    <xf numFmtId="49" fontId="0" fillId="4" borderId="135" xfId="0" applyNumberFormat="1" applyFill="1" applyBorder="1" applyAlignment="1" applyProtection="1">
      <alignment horizontal="center" vertical="center"/>
      <protection locked="0"/>
    </xf>
    <xf numFmtId="49" fontId="23" fillId="4" borderId="136" xfId="0" applyNumberFormat="1" applyFont="1" applyFill="1" applyBorder="1" applyAlignment="1" applyProtection="1">
      <alignment horizontal="center" vertical="center"/>
      <protection locked="0"/>
    </xf>
    <xf numFmtId="49" fontId="23" fillId="4" borderId="137" xfId="0" applyNumberFormat="1" applyFont="1" applyFill="1" applyBorder="1" applyAlignment="1" applyProtection="1">
      <alignment horizontal="center" vertical="center"/>
      <protection locked="0"/>
    </xf>
    <xf numFmtId="49" fontId="0" fillId="4" borderId="138" xfId="0" applyNumberFormat="1" applyFill="1" applyBorder="1" applyAlignment="1" applyProtection="1">
      <alignment horizontal="center" vertical="center"/>
      <protection locked="0"/>
    </xf>
    <xf numFmtId="49" fontId="23" fillId="4" borderId="139" xfId="0" applyNumberFormat="1" applyFont="1" applyFill="1" applyBorder="1" applyAlignment="1" applyProtection="1">
      <alignment horizontal="center" vertical="center"/>
      <protection locked="0"/>
    </xf>
    <xf numFmtId="49" fontId="0" fillId="4" borderId="201" xfId="0" applyNumberFormat="1" applyFill="1" applyBorder="1" applyAlignment="1" applyProtection="1">
      <alignment horizontal="center" vertical="center"/>
      <protection locked="0"/>
    </xf>
    <xf numFmtId="0" fontId="5" fillId="3" borderId="185" xfId="8" applyFont="1" applyFill="1" applyBorder="1" applyAlignment="1">
      <alignment horizontal="center" vertical="center"/>
    </xf>
    <xf numFmtId="0" fontId="5" fillId="3" borderId="173" xfId="8" applyFont="1" applyFill="1" applyBorder="1" applyAlignment="1">
      <alignment horizontal="center" vertical="center"/>
    </xf>
    <xf numFmtId="0" fontId="5" fillId="3" borderId="172" xfId="8" applyFont="1" applyFill="1" applyBorder="1" applyAlignment="1">
      <alignment horizontal="center" vertical="center"/>
    </xf>
    <xf numFmtId="0" fontId="5" fillId="3" borderId="198" xfId="8" applyFont="1" applyFill="1" applyBorder="1" applyAlignment="1">
      <alignment horizontal="center" vertical="center"/>
    </xf>
    <xf numFmtId="0" fontId="5" fillId="3" borderId="181" xfId="8" applyFont="1" applyFill="1" applyBorder="1" applyAlignment="1">
      <alignment horizontal="center" vertical="center"/>
    </xf>
    <xf numFmtId="0" fontId="5" fillId="3" borderId="180" xfId="8" applyFont="1" applyFill="1" applyBorder="1" applyAlignment="1">
      <alignment horizontal="center" vertical="center"/>
    </xf>
    <xf numFmtId="0" fontId="5" fillId="3" borderId="117" xfId="8" applyFont="1" applyFill="1" applyBorder="1" applyAlignment="1">
      <alignment horizontal="center" vertical="center"/>
    </xf>
    <xf numFmtId="0" fontId="5" fillId="3" borderId="60" xfId="8" applyFont="1" applyFill="1" applyBorder="1" applyAlignment="1">
      <alignment horizontal="center" vertical="center"/>
    </xf>
    <xf numFmtId="0" fontId="5" fillId="3" borderId="114" xfId="8" applyFont="1" applyFill="1" applyBorder="1" applyAlignment="1">
      <alignment horizontal="center" vertical="center"/>
    </xf>
    <xf numFmtId="0" fontId="5" fillId="3" borderId="192" xfId="8" applyFont="1" applyFill="1" applyBorder="1" applyAlignment="1">
      <alignment horizontal="center" vertical="center"/>
    </xf>
    <xf numFmtId="0" fontId="5" fillId="3" borderId="193" xfId="8" applyFont="1" applyFill="1" applyBorder="1" applyAlignment="1">
      <alignment horizontal="center" vertical="center"/>
    </xf>
    <xf numFmtId="0" fontId="5" fillId="3" borderId="194" xfId="8" applyFont="1" applyFill="1" applyBorder="1" applyAlignment="1">
      <alignment horizontal="center" vertical="center"/>
    </xf>
    <xf numFmtId="0" fontId="5" fillId="3" borderId="55" xfId="8" applyFont="1" applyFill="1" applyBorder="1" applyAlignment="1">
      <alignment horizontal="center" vertical="center"/>
    </xf>
    <xf numFmtId="0" fontId="5" fillId="3" borderId="23" xfId="8" applyFont="1" applyFill="1" applyBorder="1" applyAlignment="1">
      <alignment horizontal="center" vertical="center"/>
    </xf>
    <xf numFmtId="0" fontId="5" fillId="3" borderId="24" xfId="8" applyFont="1" applyFill="1" applyBorder="1" applyAlignment="1">
      <alignment horizontal="center" vertical="center"/>
    </xf>
    <xf numFmtId="49" fontId="0" fillId="4" borderId="59" xfId="0" applyNumberFormat="1" applyFill="1" applyBorder="1" applyAlignment="1" applyProtection="1">
      <alignment horizontal="center" vertical="center"/>
      <protection locked="0"/>
    </xf>
    <xf numFmtId="49" fontId="23" fillId="4" borderId="61" xfId="0" applyNumberFormat="1" applyFont="1" applyFill="1" applyBorder="1" applyAlignment="1" applyProtection="1">
      <alignment horizontal="center" vertical="center"/>
      <protection locked="0"/>
    </xf>
    <xf numFmtId="49" fontId="23" fillId="4" borderId="58" xfId="0" applyNumberFormat="1" applyFont="1" applyFill="1" applyBorder="1" applyAlignment="1" applyProtection="1">
      <alignment horizontal="center" vertical="center"/>
      <protection locked="0"/>
    </xf>
    <xf numFmtId="49" fontId="0" fillId="4" borderId="74" xfId="0" applyNumberFormat="1" applyFill="1" applyBorder="1" applyAlignment="1" applyProtection="1">
      <alignment horizontal="center" vertical="center"/>
      <protection locked="0"/>
    </xf>
    <xf numFmtId="49" fontId="23" fillId="4" borderId="140" xfId="0" applyNumberFormat="1" applyFont="1" applyFill="1" applyBorder="1" applyAlignment="1" applyProtection="1">
      <alignment horizontal="center" vertical="center"/>
      <protection locked="0"/>
    </xf>
    <xf numFmtId="0" fontId="50" fillId="4" borderId="62" xfId="8" applyFont="1" applyFill="1" applyBorder="1" applyAlignment="1">
      <alignment horizontal="center" vertical="center"/>
    </xf>
    <xf numFmtId="0" fontId="50" fillId="4" borderId="64" xfId="8" applyFont="1" applyFill="1" applyBorder="1" applyAlignment="1">
      <alignment horizontal="center" vertical="center"/>
    </xf>
    <xf numFmtId="0" fontId="40" fillId="17" borderId="62" xfId="8" applyFont="1" applyFill="1" applyBorder="1" applyAlignment="1">
      <alignment horizontal="center" vertical="center" wrapText="1"/>
    </xf>
    <xf numFmtId="0" fontId="40" fillId="17" borderId="64" xfId="8" applyFont="1" applyFill="1" applyBorder="1" applyAlignment="1">
      <alignment horizontal="center" vertical="center" wrapText="1"/>
    </xf>
    <xf numFmtId="49" fontId="0" fillId="4" borderId="195" xfId="0" applyNumberFormat="1" applyFill="1" applyBorder="1" applyAlignment="1" applyProtection="1">
      <alignment horizontal="center" vertical="center"/>
      <protection locked="0"/>
    </xf>
    <xf numFmtId="49" fontId="23" fillId="4" borderId="196" xfId="0" applyNumberFormat="1" applyFont="1" applyFill="1" applyBorder="1" applyAlignment="1" applyProtection="1">
      <alignment horizontal="center" vertical="center"/>
      <protection locked="0"/>
    </xf>
    <xf numFmtId="49" fontId="23" fillId="4" borderId="197" xfId="0" applyNumberFormat="1" applyFont="1" applyFill="1" applyBorder="1" applyAlignment="1" applyProtection="1">
      <alignment horizontal="center" vertical="center"/>
      <protection locked="0"/>
    </xf>
    <xf numFmtId="0" fontId="5" fillId="3" borderId="44" xfId="8" applyFont="1" applyFill="1" applyBorder="1" applyAlignment="1">
      <alignment horizontal="center" vertical="center"/>
    </xf>
    <xf numFmtId="0" fontId="5" fillId="3" borderId="39" xfId="8" applyFont="1" applyFill="1" applyBorder="1" applyAlignment="1">
      <alignment horizontal="center" vertical="center"/>
    </xf>
    <xf numFmtId="49" fontId="0" fillId="4" borderId="71" xfId="0" applyNumberFormat="1" applyFill="1" applyBorder="1" applyAlignment="1" applyProtection="1">
      <alignment horizontal="center" vertical="center"/>
      <protection locked="0"/>
    </xf>
    <xf numFmtId="49" fontId="23" fillId="4" borderId="72" xfId="0" applyNumberFormat="1" applyFont="1" applyFill="1" applyBorder="1" applyAlignment="1" applyProtection="1">
      <alignment horizontal="center" vertical="center"/>
      <protection locked="0"/>
    </xf>
    <xf numFmtId="49" fontId="23" fillId="4" borderId="73" xfId="0" applyNumberFormat="1" applyFont="1" applyFill="1" applyBorder="1" applyAlignment="1" applyProtection="1">
      <alignment horizontal="center" vertical="center"/>
      <protection locked="0"/>
    </xf>
    <xf numFmtId="49" fontId="0" fillId="4" borderId="79" xfId="0" applyNumberFormat="1" applyFill="1" applyBorder="1" applyAlignment="1" applyProtection="1">
      <alignment horizontal="center" vertical="center"/>
      <protection locked="0"/>
    </xf>
    <xf numFmtId="49" fontId="23" fillId="4" borderId="80" xfId="0" applyNumberFormat="1" applyFont="1" applyFill="1" applyBorder="1" applyAlignment="1" applyProtection="1">
      <alignment horizontal="center" vertical="center"/>
      <protection locked="0"/>
    </xf>
    <xf numFmtId="49" fontId="23" fillId="4" borderId="134" xfId="0" applyNumberFormat="1" applyFont="1" applyFill="1" applyBorder="1" applyAlignment="1" applyProtection="1">
      <alignment horizontal="center" vertical="center"/>
      <protection locked="0"/>
    </xf>
    <xf numFmtId="49" fontId="0" fillId="4" borderId="95" xfId="0" applyNumberFormat="1" applyFill="1" applyBorder="1" applyAlignment="1" applyProtection="1">
      <alignment horizontal="center" vertical="center"/>
      <protection locked="0"/>
    </xf>
    <xf numFmtId="49" fontId="23" fillId="4" borderId="75" xfId="0" applyNumberFormat="1" applyFont="1" applyFill="1" applyBorder="1" applyAlignment="1" applyProtection="1">
      <alignment horizontal="center" vertical="center"/>
      <protection locked="0"/>
    </xf>
    <xf numFmtId="0" fontId="0" fillId="4" borderId="94" xfId="0" applyFill="1" applyBorder="1" applyAlignment="1" applyProtection="1">
      <alignment horizontal="center" vertical="center"/>
      <protection locked="0"/>
    </xf>
    <xf numFmtId="0" fontId="23" fillId="4" borderId="60" xfId="0" applyFont="1" applyFill="1" applyBorder="1" applyAlignment="1" applyProtection="1">
      <alignment horizontal="center" vertical="center"/>
      <protection locked="0"/>
    </xf>
    <xf numFmtId="0" fontId="23" fillId="4" borderId="115" xfId="0" applyFont="1" applyFill="1" applyBorder="1" applyAlignment="1" applyProtection="1">
      <alignment horizontal="center" vertical="center"/>
      <protection locked="0"/>
    </xf>
    <xf numFmtId="0" fontId="0" fillId="4" borderId="171" xfId="0" applyFill="1" applyBorder="1" applyAlignment="1" applyProtection="1">
      <alignment horizontal="center" vertical="center"/>
      <protection locked="0"/>
    </xf>
    <xf numFmtId="0" fontId="23" fillId="4" borderId="173" xfId="0" applyFont="1" applyFill="1" applyBorder="1" applyAlignment="1" applyProtection="1">
      <alignment horizontal="center" vertical="center"/>
      <protection locked="0"/>
    </xf>
    <xf numFmtId="0" fontId="23" fillId="4" borderId="183" xfId="0" applyFont="1" applyFill="1" applyBorder="1" applyAlignment="1" applyProtection="1">
      <alignment horizontal="center" vertical="center"/>
      <protection locked="0"/>
    </xf>
    <xf numFmtId="0" fontId="22" fillId="9" borderId="0" xfId="17" applyFont="1" applyFill="1" applyAlignment="1">
      <alignment horizontal="center" vertical="center" wrapText="1"/>
    </xf>
    <xf numFmtId="0" fontId="82" fillId="9" borderId="0" xfId="17" applyFont="1" applyFill="1" applyAlignment="1">
      <alignment horizontal="left" vertical="center" wrapText="1"/>
    </xf>
    <xf numFmtId="0" fontId="0" fillId="4" borderId="179" xfId="0" applyFill="1" applyBorder="1" applyAlignment="1" applyProtection="1">
      <alignment horizontal="center" vertical="center"/>
      <protection locked="0"/>
    </xf>
    <xf numFmtId="0" fontId="23" fillId="4" borderId="181" xfId="0" applyFont="1" applyFill="1" applyBorder="1" applyAlignment="1" applyProtection="1">
      <alignment horizontal="center" vertical="center"/>
      <protection locked="0"/>
    </xf>
    <xf numFmtId="0" fontId="23" fillId="4" borderId="184" xfId="0" applyFont="1" applyFill="1" applyBorder="1" applyAlignment="1" applyProtection="1">
      <alignment horizontal="center" vertical="center"/>
      <protection locked="0"/>
    </xf>
    <xf numFmtId="49" fontId="23" fillId="4" borderId="83" xfId="0" applyNumberFormat="1" applyFont="1" applyFill="1" applyBorder="1" applyAlignment="1" applyProtection="1">
      <alignment horizontal="center" vertical="center"/>
      <protection locked="0"/>
    </xf>
    <xf numFmtId="0" fontId="9" fillId="3" borderId="32" xfId="31" applyFill="1" applyBorder="1" applyAlignment="1">
      <alignment horizontal="center" vertical="center"/>
    </xf>
    <xf numFmtId="0" fontId="9" fillId="3" borderId="4" xfId="31" applyFill="1" applyBorder="1" applyAlignment="1">
      <alignment horizontal="center" vertical="center"/>
    </xf>
    <xf numFmtId="0" fontId="9" fillId="3" borderId="60" xfId="31" applyFill="1" applyBorder="1" applyAlignment="1">
      <alignment horizontal="center" vertical="center"/>
    </xf>
    <xf numFmtId="0" fontId="9" fillId="3" borderId="115" xfId="31" applyFill="1" applyBorder="1" applyAlignment="1">
      <alignment horizontal="center" vertical="center"/>
    </xf>
    <xf numFmtId="0" fontId="9" fillId="3" borderId="56" xfId="31" applyFill="1" applyBorder="1" applyAlignment="1">
      <alignment horizontal="center" vertical="center"/>
    </xf>
    <xf numFmtId="0" fontId="9" fillId="3" borderId="26" xfId="31" applyFill="1" applyBorder="1" applyAlignment="1">
      <alignment horizontal="center" vertical="center"/>
    </xf>
    <xf numFmtId="0" fontId="9" fillId="3" borderId="27" xfId="31" applyFill="1" applyBorder="1" applyAlignment="1">
      <alignment horizontal="center" vertical="center"/>
    </xf>
    <xf numFmtId="0" fontId="9" fillId="3" borderId="181" xfId="31" applyFill="1" applyBorder="1" applyAlignment="1">
      <alignment horizontal="center" vertical="center"/>
    </xf>
    <xf numFmtId="0" fontId="9" fillId="3" borderId="184" xfId="31" applyFill="1" applyBorder="1" applyAlignment="1">
      <alignment horizontal="center" vertical="center"/>
    </xf>
    <xf numFmtId="0" fontId="9" fillId="3" borderId="10" xfId="31" applyFill="1" applyBorder="1" applyAlignment="1">
      <alignment horizontal="center" vertical="center"/>
    </xf>
    <xf numFmtId="0" fontId="9" fillId="3" borderId="11" xfId="31" applyFill="1" applyBorder="1" applyAlignment="1">
      <alignment horizontal="center" vertical="center"/>
    </xf>
    <xf numFmtId="0" fontId="81" fillId="6" borderId="0" xfId="0" applyFont="1" applyFill="1" applyAlignment="1">
      <alignment horizontal="left" vertical="center"/>
    </xf>
    <xf numFmtId="0" fontId="22" fillId="9" borderId="0" xfId="20" applyFont="1" applyFill="1" applyAlignment="1">
      <alignment horizontal="right" vertical="center" wrapText="1"/>
    </xf>
    <xf numFmtId="0" fontId="53" fillId="0" borderId="0" xfId="30" applyFont="1" applyAlignment="1">
      <alignment horizontal="left" vertical="center" wrapText="1"/>
    </xf>
    <xf numFmtId="0" fontId="52" fillId="6" borderId="5" xfId="31" applyFont="1" applyFill="1" applyBorder="1" applyAlignment="1">
      <alignment horizontal="center" vertical="center"/>
    </xf>
    <xf numFmtId="0" fontId="52" fillId="6" borderId="6" xfId="31" applyFont="1" applyFill="1" applyBorder="1" applyAlignment="1">
      <alignment horizontal="center" vertical="center"/>
    </xf>
    <xf numFmtId="0" fontId="52" fillId="6" borderId="7" xfId="31" applyFont="1" applyFill="1" applyBorder="1" applyAlignment="1">
      <alignment horizontal="center" vertical="center"/>
    </xf>
    <xf numFmtId="0" fontId="23" fillId="3" borderId="170" xfId="0" applyFont="1" applyFill="1" applyBorder="1" applyAlignment="1">
      <alignment horizontal="center" vertical="center" wrapText="1"/>
    </xf>
    <xf numFmtId="0" fontId="23" fillId="3" borderId="174" xfId="0" applyFont="1" applyFill="1" applyBorder="1" applyAlignment="1">
      <alignment horizontal="center" vertical="center" wrapText="1"/>
    </xf>
    <xf numFmtId="0" fontId="79" fillId="6" borderId="5" xfId="31" applyFont="1" applyFill="1" applyBorder="1" applyAlignment="1">
      <alignment horizontal="center" vertical="center"/>
    </xf>
    <xf numFmtId="0" fontId="79" fillId="6" borderId="6" xfId="31" applyFont="1" applyFill="1" applyBorder="1" applyAlignment="1">
      <alignment horizontal="center" vertical="center"/>
    </xf>
    <xf numFmtId="0" fontId="79" fillId="6" borderId="7" xfId="31" applyFont="1" applyFill="1" applyBorder="1" applyAlignment="1">
      <alignment horizontal="center" vertical="center"/>
    </xf>
    <xf numFmtId="0" fontId="52" fillId="24" borderId="42" xfId="0" applyFont="1" applyFill="1" applyBorder="1" applyAlignment="1">
      <alignment horizontal="center" vertical="center" wrapText="1"/>
    </xf>
    <xf numFmtId="0" fontId="52" fillId="24" borderId="0" xfId="0" applyFont="1" applyFill="1" applyAlignment="1">
      <alignment horizontal="center" vertical="center" wrapText="1"/>
    </xf>
    <xf numFmtId="0" fontId="52" fillId="24" borderId="41" xfId="0" applyFont="1" applyFill="1" applyBorder="1" applyAlignment="1">
      <alignment horizontal="center" vertical="center" wrapText="1"/>
    </xf>
    <xf numFmtId="0" fontId="52" fillId="24" borderId="100" xfId="0" applyFont="1" applyFill="1" applyBorder="1" applyAlignment="1">
      <alignment horizontal="center" vertical="center" wrapText="1"/>
    </xf>
    <xf numFmtId="0" fontId="52" fillId="24" borderId="67" xfId="0" applyFont="1" applyFill="1" applyBorder="1" applyAlignment="1">
      <alignment horizontal="center" vertical="center" wrapText="1"/>
    </xf>
    <xf numFmtId="0" fontId="52" fillId="24" borderId="70" xfId="0" applyFont="1" applyFill="1" applyBorder="1" applyAlignment="1">
      <alignment horizontal="center" vertical="center" wrapText="1"/>
    </xf>
    <xf numFmtId="0" fontId="52" fillId="24" borderId="37" xfId="0" applyFont="1" applyFill="1" applyBorder="1" applyAlignment="1">
      <alignment horizontal="center" vertical="center" wrapText="1"/>
    </xf>
    <xf numFmtId="0" fontId="52" fillId="24" borderId="69" xfId="0" applyFont="1" applyFill="1" applyBorder="1" applyAlignment="1">
      <alignment horizontal="center" vertical="center" wrapText="1"/>
    </xf>
    <xf numFmtId="0" fontId="52" fillId="24" borderId="37" xfId="0" applyFont="1" applyFill="1" applyBorder="1" applyAlignment="1">
      <alignment horizontal="center" vertical="center"/>
    </xf>
    <xf numFmtId="0" fontId="52" fillId="24" borderId="0" xfId="0" applyFont="1" applyFill="1" applyAlignment="1">
      <alignment horizontal="center" vertical="center"/>
    </xf>
    <xf numFmtId="0" fontId="52" fillId="24" borderId="41" xfId="0" applyFont="1" applyFill="1" applyBorder="1" applyAlignment="1">
      <alignment horizontal="center" vertical="center"/>
    </xf>
    <xf numFmtId="0" fontId="52" fillId="24" borderId="69" xfId="0" applyFont="1" applyFill="1" applyBorder="1" applyAlignment="1">
      <alignment horizontal="center" vertical="center"/>
    </xf>
    <xf numFmtId="0" fontId="52" fillId="24" borderId="67" xfId="0" applyFont="1" applyFill="1" applyBorder="1" applyAlignment="1">
      <alignment horizontal="center" vertical="center"/>
    </xf>
    <xf numFmtId="0" fontId="52" fillId="24" borderId="70" xfId="0" applyFont="1" applyFill="1" applyBorder="1" applyAlignment="1">
      <alignment horizontal="center" vertical="center"/>
    </xf>
    <xf numFmtId="14" fontId="52" fillId="24" borderId="37" xfId="0" applyNumberFormat="1" applyFont="1" applyFill="1" applyBorder="1" applyAlignment="1">
      <alignment horizontal="center" vertical="center"/>
    </xf>
    <xf numFmtId="14" fontId="52" fillId="24" borderId="16" xfId="0" applyNumberFormat="1" applyFont="1" applyFill="1" applyBorder="1" applyAlignment="1">
      <alignment horizontal="center" vertical="center"/>
    </xf>
    <xf numFmtId="14" fontId="52" fillId="24" borderId="69" xfId="0" applyNumberFormat="1" applyFont="1" applyFill="1" applyBorder="1" applyAlignment="1">
      <alignment horizontal="center" vertical="center"/>
    </xf>
    <xf numFmtId="14" fontId="52" fillId="24" borderId="93" xfId="0" applyNumberFormat="1" applyFont="1" applyFill="1" applyBorder="1" applyAlignment="1">
      <alignment horizontal="center" vertical="center"/>
    </xf>
    <xf numFmtId="0" fontId="23" fillId="3" borderId="203" xfId="0" applyFont="1" applyFill="1" applyBorder="1" applyAlignment="1">
      <alignment horizontal="center" vertical="center" wrapText="1"/>
    </xf>
    <xf numFmtId="0" fontId="23" fillId="3" borderId="103" xfId="0" applyFont="1" applyFill="1" applyBorder="1" applyAlignment="1">
      <alignment horizontal="center" vertical="center" wrapText="1"/>
    </xf>
    <xf numFmtId="0" fontId="23" fillId="3" borderId="102" xfId="0" applyFont="1" applyFill="1" applyBorder="1" applyAlignment="1">
      <alignment horizontal="center" vertical="center" wrapText="1"/>
    </xf>
    <xf numFmtId="0" fontId="23" fillId="3" borderId="105" xfId="0" applyFont="1" applyFill="1" applyBorder="1" applyAlignment="1">
      <alignment horizontal="center" vertical="center" wrapText="1"/>
    </xf>
    <xf numFmtId="0" fontId="23" fillId="3" borderId="144" xfId="0" applyFont="1" applyFill="1" applyBorder="1" applyAlignment="1">
      <alignment horizontal="center" vertical="center" wrapText="1"/>
    </xf>
    <xf numFmtId="0" fontId="23" fillId="3" borderId="84" xfId="0" applyFont="1" applyFill="1" applyBorder="1" applyAlignment="1">
      <alignment horizontal="center" vertical="center" wrapText="1"/>
    </xf>
    <xf numFmtId="0" fontId="23" fillId="3" borderId="125" xfId="0" applyFont="1" applyFill="1" applyBorder="1" applyAlignment="1">
      <alignment horizontal="center" vertical="center" wrapText="1"/>
    </xf>
    <xf numFmtId="0" fontId="23" fillId="3" borderId="205" xfId="0" applyFont="1" applyFill="1" applyBorder="1" applyAlignment="1">
      <alignment horizontal="center" vertical="center" wrapText="1"/>
    </xf>
    <xf numFmtId="0" fontId="23" fillId="3" borderId="206" xfId="0" applyFont="1" applyFill="1" applyBorder="1" applyAlignment="1">
      <alignment horizontal="center" vertical="center" wrapText="1"/>
    </xf>
    <xf numFmtId="0" fontId="23" fillId="3" borderId="204" xfId="0" applyFont="1" applyFill="1" applyBorder="1" applyAlignment="1">
      <alignment horizontal="center" vertical="center" wrapText="1"/>
    </xf>
    <xf numFmtId="14" fontId="0" fillId="28" borderId="104" xfId="0" applyNumberFormat="1" applyFill="1" applyBorder="1" applyAlignment="1">
      <alignment horizontal="center" vertical="center"/>
    </xf>
    <xf numFmtId="14" fontId="0" fillId="28" borderId="68" xfId="0" applyNumberFormat="1" applyFill="1" applyBorder="1" applyAlignment="1">
      <alignment horizontal="center" vertical="center"/>
    </xf>
    <xf numFmtId="14" fontId="0" fillId="28" borderId="101" xfId="0" applyNumberFormat="1" applyFill="1" applyBorder="1" applyAlignment="1">
      <alignment horizontal="center" vertical="center"/>
    </xf>
    <xf numFmtId="14" fontId="0" fillId="28" borderId="100" xfId="0" applyNumberFormat="1" applyFill="1" applyBorder="1" applyAlignment="1">
      <alignment horizontal="center" vertical="center"/>
    </xf>
    <xf numFmtId="14" fontId="0" fillId="28" borderId="67" xfId="0" applyNumberFormat="1" applyFill="1" applyBorder="1" applyAlignment="1">
      <alignment horizontal="center" vertical="center"/>
    </xf>
    <xf numFmtId="14" fontId="0" fillId="28" borderId="93" xfId="0" applyNumberFormat="1" applyFill="1" applyBorder="1" applyAlignment="1">
      <alignment horizontal="center" vertical="center"/>
    </xf>
    <xf numFmtId="0" fontId="5" fillId="34" borderId="104" xfId="0" applyFont="1" applyFill="1" applyBorder="1" applyAlignment="1">
      <alignment horizontal="center" vertical="center" wrapText="1"/>
    </xf>
    <xf numFmtId="0" fontId="5" fillId="34" borderId="68" xfId="0" applyFont="1" applyFill="1" applyBorder="1" applyAlignment="1">
      <alignment horizontal="center" vertical="center" wrapText="1"/>
    </xf>
    <xf numFmtId="0" fontId="5" fillId="34" borderId="54" xfId="0" applyFont="1" applyFill="1" applyBorder="1" applyAlignment="1">
      <alignment horizontal="center" vertical="center" wrapText="1"/>
    </xf>
    <xf numFmtId="0" fontId="5" fillId="34" borderId="100" xfId="0" applyFont="1" applyFill="1" applyBorder="1" applyAlignment="1">
      <alignment horizontal="center" vertical="center" wrapText="1"/>
    </xf>
    <xf numFmtId="0" fontId="5" fillId="34" borderId="67" xfId="0" applyFont="1" applyFill="1" applyBorder="1" applyAlignment="1">
      <alignment horizontal="center" vertical="center" wrapText="1"/>
    </xf>
    <xf numFmtId="0" fontId="5" fillId="34" borderId="70" xfId="0" applyFont="1" applyFill="1" applyBorder="1" applyAlignment="1">
      <alignment horizontal="center" vertical="center" wrapText="1"/>
    </xf>
    <xf numFmtId="0" fontId="0" fillId="24" borderId="57" xfId="3" applyNumberFormat="1" applyFont="1" applyFill="1" applyBorder="1" applyAlignment="1" applyProtection="1">
      <alignment horizontal="center" vertical="center" wrapText="1"/>
    </xf>
    <xf numFmtId="0" fontId="0" fillId="24" borderId="54" xfId="3" applyNumberFormat="1" applyFont="1" applyFill="1" applyBorder="1" applyAlignment="1" applyProtection="1">
      <alignment horizontal="center" vertical="center" wrapText="1"/>
    </xf>
    <xf numFmtId="0" fontId="0" fillId="24" borderId="69" xfId="3" applyNumberFormat="1" applyFont="1" applyFill="1" applyBorder="1" applyAlignment="1" applyProtection="1">
      <alignment horizontal="center" vertical="center" wrapText="1"/>
    </xf>
    <xf numFmtId="0" fontId="0" fillId="24" borderId="70" xfId="3" applyNumberFormat="1" applyFont="1" applyFill="1" applyBorder="1" applyAlignment="1" applyProtection="1">
      <alignment horizontal="center" vertical="center" wrapText="1"/>
    </xf>
    <xf numFmtId="9" fontId="5" fillId="3" borderId="57" xfId="4" applyNumberFormat="1" applyFont="1" applyFill="1" applyBorder="1" applyAlignment="1">
      <alignment horizontal="center" vertical="center" wrapText="1"/>
    </xf>
    <xf numFmtId="9" fontId="5" fillId="3" borderId="68" xfId="4" applyNumberFormat="1" applyFont="1" applyFill="1" applyBorder="1" applyAlignment="1">
      <alignment horizontal="center" vertical="center" wrapText="1"/>
    </xf>
    <xf numFmtId="9" fontId="5" fillId="3" borderId="101" xfId="4" applyNumberFormat="1" applyFont="1" applyFill="1" applyBorder="1" applyAlignment="1">
      <alignment horizontal="center" vertical="center" wrapText="1"/>
    </xf>
    <xf numFmtId="9" fontId="5" fillId="3" borderId="69" xfId="4" applyNumberFormat="1" applyFont="1" applyFill="1" applyBorder="1" applyAlignment="1">
      <alignment horizontal="center" vertical="center" wrapText="1"/>
    </xf>
    <xf numFmtId="9" fontId="5" fillId="3" borderId="67" xfId="4" applyNumberFormat="1" applyFont="1" applyFill="1" applyBorder="1" applyAlignment="1">
      <alignment horizontal="center" vertical="center" wrapText="1"/>
    </xf>
    <xf numFmtId="9" fontId="5" fillId="3" borderId="93" xfId="4" applyNumberFormat="1" applyFont="1" applyFill="1" applyBorder="1" applyAlignment="1">
      <alignment horizontal="center" vertical="center" wrapText="1"/>
    </xf>
    <xf numFmtId="14" fontId="0" fillId="28" borderId="42" xfId="0" applyNumberFormat="1" applyFill="1" applyBorder="1" applyAlignment="1">
      <alignment horizontal="center" vertical="center"/>
    </xf>
    <xf numFmtId="14" fontId="0" fillId="28" borderId="0" xfId="0" applyNumberFormat="1" applyFill="1" applyAlignment="1">
      <alignment horizontal="center" vertical="center"/>
    </xf>
    <xf numFmtId="14" fontId="0" fillId="28" borderId="16" xfId="0" applyNumberFormat="1" applyFill="1" applyBorder="1" applyAlignment="1">
      <alignment horizontal="center" vertical="center"/>
    </xf>
    <xf numFmtId="0" fontId="52" fillId="24" borderId="1" xfId="0" applyFont="1" applyFill="1" applyBorder="1" applyAlignment="1">
      <alignment horizontal="center" vertical="center" wrapText="1"/>
    </xf>
    <xf numFmtId="0" fontId="52" fillId="24" borderId="9" xfId="0" applyFont="1" applyFill="1" applyBorder="1" applyAlignment="1">
      <alignment horizontal="center" vertical="center" wrapText="1"/>
    </xf>
    <xf numFmtId="9" fontId="0" fillId="3" borderId="57" xfId="4" applyNumberFormat="1" applyFont="1" applyFill="1" applyBorder="1" applyAlignment="1">
      <alignment horizontal="center" vertical="center" wrapText="1"/>
    </xf>
    <xf numFmtId="9" fontId="0" fillId="3" borderId="68" xfId="4" applyNumberFormat="1" applyFont="1" applyFill="1" applyBorder="1" applyAlignment="1">
      <alignment horizontal="center" vertical="center" wrapText="1"/>
    </xf>
    <xf numFmtId="9" fontId="0" fillId="3" borderId="101" xfId="4" applyNumberFormat="1" applyFont="1" applyFill="1" applyBorder="1" applyAlignment="1">
      <alignment horizontal="center" vertical="center" wrapText="1"/>
    </xf>
    <xf numFmtId="9" fontId="0" fillId="3" borderId="69" xfId="4" applyNumberFormat="1" applyFont="1" applyFill="1" applyBorder="1" applyAlignment="1">
      <alignment horizontal="center" vertical="center" wrapText="1"/>
    </xf>
    <xf numFmtId="9" fontId="0" fillId="3" borderId="67" xfId="4" applyNumberFormat="1" applyFont="1" applyFill="1" applyBorder="1" applyAlignment="1">
      <alignment horizontal="center" vertical="center" wrapText="1"/>
    </xf>
    <xf numFmtId="9" fontId="0" fillId="3" borderId="93" xfId="4" applyNumberFormat="1" applyFont="1" applyFill="1" applyBorder="1" applyAlignment="1">
      <alignment horizontal="center" vertical="center" wrapText="1"/>
    </xf>
    <xf numFmtId="0" fontId="5" fillId="3" borderId="104" xfId="0" applyFont="1" applyFill="1" applyBorder="1" applyAlignment="1">
      <alignment horizontal="center" vertical="center" wrapText="1"/>
    </xf>
    <xf numFmtId="0" fontId="5" fillId="3" borderId="68"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100" xfId="0" applyFont="1" applyFill="1" applyBorder="1" applyAlignment="1">
      <alignment horizontal="center" vertical="center" wrapText="1"/>
    </xf>
    <xf numFmtId="0" fontId="5" fillId="3" borderId="67"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4" borderId="42" xfId="0" applyFont="1" applyFill="1" applyBorder="1" applyAlignment="1">
      <alignment horizontal="center" vertical="center" wrapText="1"/>
    </xf>
    <xf numFmtId="0" fontId="5" fillId="34" borderId="0" xfId="0" applyFont="1" applyFill="1" applyAlignment="1">
      <alignment horizontal="center" vertical="center" wrapText="1"/>
    </xf>
    <xf numFmtId="0" fontId="5" fillId="34" borderId="41" xfId="0" applyFont="1" applyFill="1" applyBorder="1" applyAlignment="1">
      <alignment horizontal="center" vertical="center" wrapText="1"/>
    </xf>
    <xf numFmtId="0" fontId="0" fillId="3" borderId="57" xfId="3" applyNumberFormat="1" applyFont="1" applyFill="1" applyBorder="1" applyAlignment="1" applyProtection="1">
      <alignment horizontal="center" vertical="center" wrapText="1"/>
    </xf>
    <xf numFmtId="0" fontId="0" fillId="3" borderId="54" xfId="3" applyNumberFormat="1" applyFont="1" applyFill="1" applyBorder="1" applyAlignment="1" applyProtection="1">
      <alignment horizontal="center" vertical="center" wrapText="1"/>
    </xf>
    <xf numFmtId="0" fontId="0" fillId="3" borderId="69" xfId="3" applyNumberFormat="1" applyFont="1" applyFill="1" applyBorder="1" applyAlignment="1" applyProtection="1">
      <alignment horizontal="center" vertical="center" wrapText="1"/>
    </xf>
    <xf numFmtId="0" fontId="0" fillId="3" borderId="70" xfId="3" applyNumberFormat="1" applyFont="1" applyFill="1" applyBorder="1" applyAlignment="1" applyProtection="1">
      <alignment horizontal="center" vertical="center" wrapText="1"/>
    </xf>
    <xf numFmtId="0" fontId="0" fillId="3" borderId="37" xfId="4" applyFont="1" applyFill="1" applyBorder="1" applyAlignment="1">
      <alignment horizontal="center" vertical="center" wrapText="1"/>
    </xf>
    <xf numFmtId="0" fontId="0" fillId="3" borderId="0" xfId="4" applyFont="1" applyFill="1" applyAlignment="1">
      <alignment horizontal="center" vertical="center" wrapText="1"/>
    </xf>
    <xf numFmtId="0" fontId="0" fillId="3" borderId="16" xfId="4" applyFont="1" applyFill="1" applyBorder="1" applyAlignment="1">
      <alignment horizontal="center" vertical="center" wrapText="1"/>
    </xf>
    <xf numFmtId="0" fontId="0" fillId="3" borderId="69" xfId="4" applyFont="1" applyFill="1" applyBorder="1" applyAlignment="1">
      <alignment horizontal="center" vertical="center" wrapText="1"/>
    </xf>
    <xf numFmtId="0" fontId="0" fillId="3" borderId="67" xfId="4" applyFont="1" applyFill="1" applyBorder="1" applyAlignment="1">
      <alignment horizontal="center" vertical="center" wrapText="1"/>
    </xf>
    <xf numFmtId="0" fontId="0" fillId="3" borderId="93" xfId="4" applyFont="1" applyFill="1" applyBorder="1" applyAlignment="1">
      <alignment horizontal="center" vertical="center" wrapText="1"/>
    </xf>
    <xf numFmtId="9" fontId="0" fillId="3" borderId="37" xfId="4" applyNumberFormat="1" applyFont="1" applyFill="1" applyBorder="1" applyAlignment="1">
      <alignment horizontal="center" vertical="center" wrapText="1"/>
    </xf>
    <xf numFmtId="9" fontId="0" fillId="3" borderId="0" xfId="4" applyNumberFormat="1" applyFont="1" applyFill="1" applyAlignment="1">
      <alignment horizontal="center" vertical="center" wrapText="1"/>
    </xf>
    <xf numFmtId="9" fontId="0" fillId="3" borderId="16" xfId="4" applyNumberFormat="1" applyFont="1" applyFill="1" applyBorder="1" applyAlignment="1">
      <alignment horizontal="center" vertical="center" wrapText="1"/>
    </xf>
    <xf numFmtId="0" fontId="52" fillId="24" borderId="13" xfId="30" applyFont="1" applyFill="1" applyBorder="1" applyAlignment="1">
      <alignment horizontal="center" vertical="center" wrapText="1"/>
    </xf>
    <xf numFmtId="0" fontId="52" fillId="24" borderId="14" xfId="30" applyFont="1" applyFill="1" applyBorder="1" applyAlignment="1">
      <alignment horizontal="center" vertical="center" wrapText="1"/>
    </xf>
    <xf numFmtId="14" fontId="23" fillId="3" borderId="14" xfId="0" applyNumberFormat="1" applyFont="1" applyFill="1" applyBorder="1" applyAlignment="1">
      <alignment horizontal="center" vertical="center" wrapText="1"/>
    </xf>
    <xf numFmtId="14" fontId="23" fillId="3" borderId="14" xfId="0" applyNumberFormat="1" applyFont="1" applyFill="1" applyBorder="1" applyAlignment="1">
      <alignment horizontal="center" vertical="center"/>
    </xf>
    <xf numFmtId="14" fontId="23" fillId="3" borderId="15" xfId="0" applyNumberFormat="1" applyFont="1" applyFill="1" applyBorder="1" applyAlignment="1">
      <alignment horizontal="center" vertical="center"/>
    </xf>
    <xf numFmtId="0" fontId="52" fillId="24" borderId="5" xfId="30" applyFont="1" applyFill="1" applyBorder="1" applyAlignment="1">
      <alignment horizontal="center" vertical="center" wrapText="1"/>
    </xf>
    <xf numFmtId="0" fontId="52" fillId="24" borderId="6" xfId="30" applyFont="1" applyFill="1" applyBorder="1" applyAlignment="1">
      <alignment horizontal="center" vertical="center" wrapText="1"/>
    </xf>
    <xf numFmtId="0" fontId="52" fillId="24" borderId="10" xfId="30" applyFont="1" applyFill="1" applyBorder="1" applyAlignment="1">
      <alignment horizontal="center" vertical="center" wrapText="1"/>
    </xf>
    <xf numFmtId="0" fontId="52" fillId="24" borderId="11" xfId="30" applyFont="1" applyFill="1" applyBorder="1" applyAlignment="1">
      <alignment horizontal="center" vertical="center" wrapText="1"/>
    </xf>
    <xf numFmtId="9" fontId="118" fillId="24" borderId="35" xfId="4" applyNumberFormat="1" applyFont="1" applyFill="1" applyBorder="1" applyAlignment="1">
      <alignment horizontal="center" vertical="center" wrapText="1"/>
    </xf>
    <xf numFmtId="9" fontId="118" fillId="24" borderId="46" xfId="4" applyNumberFormat="1" applyFont="1" applyFill="1" applyBorder="1" applyAlignment="1">
      <alignment horizontal="center" vertical="center" wrapText="1"/>
    </xf>
    <xf numFmtId="9" fontId="118" fillId="24" borderId="38" xfId="4" applyNumberFormat="1" applyFont="1" applyFill="1" applyBorder="1" applyAlignment="1">
      <alignment horizontal="center" vertical="center" wrapText="1"/>
    </xf>
    <xf numFmtId="9" fontId="118" fillId="24" borderId="47" xfId="4" applyNumberFormat="1" applyFont="1" applyFill="1" applyBorder="1" applyAlignment="1">
      <alignment horizontal="center" vertical="center" wrapText="1"/>
    </xf>
    <xf numFmtId="0" fontId="5" fillId="24" borderId="6" xfId="4" applyFont="1" applyFill="1" applyBorder="1" applyAlignment="1">
      <alignment horizontal="center" vertical="center"/>
    </xf>
    <xf numFmtId="0" fontId="5" fillId="24" borderId="7" xfId="4" applyFont="1" applyFill="1" applyBorder="1" applyAlignment="1">
      <alignment horizontal="center" vertical="center"/>
    </xf>
    <xf numFmtId="0" fontId="5" fillId="24" borderId="11" xfId="4" applyFont="1" applyFill="1" applyBorder="1" applyAlignment="1">
      <alignment horizontal="center" vertical="center"/>
    </xf>
    <xf numFmtId="0" fontId="5" fillId="24" borderId="12" xfId="4" applyFont="1" applyFill="1" applyBorder="1" applyAlignment="1">
      <alignment horizontal="center" vertical="center"/>
    </xf>
    <xf numFmtId="0" fontId="52" fillId="24" borderId="8" xfId="30" applyFont="1" applyFill="1" applyBorder="1" applyAlignment="1">
      <alignment horizontal="center" vertical="center" wrapText="1"/>
    </xf>
    <xf numFmtId="0" fontId="52" fillId="24" borderId="1" xfId="30" applyFont="1" applyFill="1" applyBorder="1" applyAlignment="1">
      <alignment horizontal="center" vertical="center" wrapText="1"/>
    </xf>
    <xf numFmtId="0" fontId="52" fillId="24" borderId="50" xfId="30" applyFont="1" applyFill="1" applyBorder="1" applyAlignment="1">
      <alignment horizontal="center" vertical="center" wrapText="1"/>
    </xf>
    <xf numFmtId="0" fontId="52" fillId="24" borderId="3" xfId="30" applyFont="1" applyFill="1" applyBorder="1" applyAlignment="1">
      <alignment horizontal="center" vertical="center" wrapText="1"/>
    </xf>
    <xf numFmtId="0" fontId="22" fillId="3" borderId="6" xfId="30" applyFont="1" applyFill="1" applyBorder="1" applyAlignment="1">
      <alignment horizontal="left" vertical="top" wrapText="1"/>
    </xf>
    <xf numFmtId="0" fontId="22" fillId="3" borderId="7" xfId="30" applyFont="1" applyFill="1" applyBorder="1" applyAlignment="1">
      <alignment horizontal="left" vertical="top" wrapText="1"/>
    </xf>
    <xf numFmtId="0" fontId="22" fillId="3" borderId="1" xfId="30" applyFont="1" applyFill="1" applyBorder="1" applyAlignment="1">
      <alignment horizontal="left" vertical="top" wrapText="1"/>
    </xf>
    <xf numFmtId="0" fontId="22" fillId="3" borderId="9" xfId="30" applyFont="1" applyFill="1" applyBorder="1" applyAlignment="1">
      <alignment horizontal="left" vertical="top" wrapText="1"/>
    </xf>
    <xf numFmtId="0" fontId="22" fillId="3" borderId="3" xfId="30" applyFont="1" applyFill="1" applyBorder="1" applyAlignment="1">
      <alignment horizontal="left" vertical="top" wrapText="1"/>
    </xf>
    <xf numFmtId="0" fontId="22" fillId="3" borderId="51" xfId="30" applyFont="1" applyFill="1" applyBorder="1" applyAlignment="1">
      <alignment horizontal="left" vertical="top" wrapText="1"/>
    </xf>
    <xf numFmtId="0" fontId="22" fillId="3" borderId="11" xfId="30" applyFont="1" applyFill="1" applyBorder="1" applyAlignment="1">
      <alignment horizontal="left" vertical="top" wrapText="1"/>
    </xf>
    <xf numFmtId="0" fontId="22" fillId="3" borderId="12" xfId="30" applyFont="1" applyFill="1" applyBorder="1" applyAlignment="1">
      <alignment horizontal="left" vertical="top" wrapText="1"/>
    </xf>
    <xf numFmtId="9" fontId="118" fillId="3" borderId="35" xfId="4" applyNumberFormat="1" applyFont="1" applyFill="1" applyBorder="1" applyAlignment="1">
      <alignment horizontal="center" vertical="center" wrapText="1"/>
    </xf>
    <xf numFmtId="9" fontId="118" fillId="3" borderId="46" xfId="4" applyNumberFormat="1" applyFont="1" applyFill="1" applyBorder="1" applyAlignment="1">
      <alignment horizontal="center" vertical="center" wrapText="1"/>
    </xf>
    <xf numFmtId="9" fontId="118" fillId="3" borderId="38" xfId="4" applyNumberFormat="1" applyFont="1" applyFill="1" applyBorder="1" applyAlignment="1">
      <alignment horizontal="center" vertical="center" wrapText="1"/>
    </xf>
    <xf numFmtId="9" fontId="118" fillId="3" borderId="47" xfId="4" applyNumberFormat="1" applyFont="1" applyFill="1" applyBorder="1" applyAlignment="1">
      <alignment horizontal="center" vertical="center" wrapText="1"/>
    </xf>
    <xf numFmtId="0" fontId="52" fillId="24" borderId="5" xfId="0" applyFont="1" applyFill="1" applyBorder="1" applyAlignment="1">
      <alignment horizontal="center" vertical="center"/>
    </xf>
    <xf numFmtId="0" fontId="52" fillId="24" borderId="6" xfId="0" applyFont="1" applyFill="1" applyBorder="1" applyAlignment="1">
      <alignment horizontal="center" vertical="center"/>
    </xf>
    <xf numFmtId="0" fontId="52" fillId="24" borderId="7" xfId="0" applyFont="1" applyFill="1" applyBorder="1" applyAlignment="1">
      <alignment horizontal="center" vertical="center"/>
    </xf>
    <xf numFmtId="0" fontId="9" fillId="3" borderId="8" xfId="31" applyFill="1" applyBorder="1" applyAlignment="1">
      <alignment horizontal="center" vertical="center"/>
    </xf>
    <xf numFmtId="0" fontId="9" fillId="3" borderId="1" xfId="31" applyFill="1" applyBorder="1" applyAlignment="1">
      <alignment horizontal="center" vertical="center"/>
    </xf>
    <xf numFmtId="0" fontId="9" fillId="3" borderId="102" xfId="31" applyFill="1" applyBorder="1" applyAlignment="1">
      <alignment horizontal="center" vertical="center"/>
    </xf>
    <xf numFmtId="0" fontId="9" fillId="3" borderId="105" xfId="31" applyFill="1" applyBorder="1" applyAlignment="1">
      <alignment horizontal="center" vertical="center"/>
    </xf>
    <xf numFmtId="14" fontId="23" fillId="4" borderId="8" xfId="0" applyNumberFormat="1" applyFont="1" applyFill="1" applyBorder="1" applyAlignment="1" applyProtection="1">
      <alignment horizontal="center" vertical="center"/>
      <protection locked="0"/>
    </xf>
    <xf numFmtId="14" fontId="23" fillId="4" borderId="1" xfId="0" applyNumberFormat="1" applyFont="1" applyFill="1" applyBorder="1" applyAlignment="1" applyProtection="1">
      <alignment horizontal="center" vertical="center"/>
      <protection locked="0"/>
    </xf>
    <xf numFmtId="14" fontId="23" fillId="4" borderId="9" xfId="0" applyNumberFormat="1" applyFont="1" applyFill="1" applyBorder="1" applyAlignment="1" applyProtection="1">
      <alignment horizontal="center" vertical="center"/>
      <protection locked="0"/>
    </xf>
    <xf numFmtId="14" fontId="23" fillId="4" borderId="10" xfId="0" applyNumberFormat="1" applyFont="1" applyFill="1" applyBorder="1" applyAlignment="1" applyProtection="1">
      <alignment horizontal="center" vertical="center"/>
      <protection locked="0"/>
    </xf>
    <xf numFmtId="14" fontId="23" fillId="4" borderId="11" xfId="0" applyNumberFormat="1" applyFont="1" applyFill="1" applyBorder="1" applyAlignment="1" applyProtection="1">
      <alignment horizontal="center" vertical="center"/>
      <protection locked="0"/>
    </xf>
    <xf numFmtId="14" fontId="23" fillId="4" borderId="12" xfId="0" applyNumberFormat="1" applyFont="1" applyFill="1" applyBorder="1" applyAlignment="1" applyProtection="1">
      <alignment horizontal="center" vertical="center"/>
      <protection locked="0"/>
    </xf>
    <xf numFmtId="0" fontId="9" fillId="3" borderId="178" xfId="31" applyFill="1" applyBorder="1" applyAlignment="1">
      <alignment horizontal="center" vertical="center"/>
    </xf>
    <xf numFmtId="0" fontId="9" fillId="3" borderId="182" xfId="31" applyFill="1" applyBorder="1" applyAlignment="1">
      <alignment horizontal="center" vertical="center"/>
    </xf>
    <xf numFmtId="0" fontId="132" fillId="24" borderId="5" xfId="0" applyFont="1" applyFill="1" applyBorder="1" applyAlignment="1">
      <alignment horizontal="center" vertical="center" wrapText="1"/>
    </xf>
    <xf numFmtId="0" fontId="132" fillId="24" borderId="6" xfId="0" applyFont="1" applyFill="1" applyBorder="1" applyAlignment="1">
      <alignment horizontal="center" vertical="center" wrapText="1"/>
    </xf>
    <xf numFmtId="0" fontId="132" fillId="24" borderId="7" xfId="0" applyFont="1" applyFill="1" applyBorder="1" applyAlignment="1">
      <alignment horizontal="center" vertical="center" wrapText="1"/>
    </xf>
    <xf numFmtId="0" fontId="132" fillId="24" borderId="8" xfId="0" applyFont="1" applyFill="1" applyBorder="1" applyAlignment="1">
      <alignment horizontal="center" vertical="center" wrapText="1"/>
    </xf>
    <xf numFmtId="0" fontId="132" fillId="24" borderId="1" xfId="0" applyFont="1" applyFill="1" applyBorder="1" applyAlignment="1">
      <alignment horizontal="center" vertical="center" wrapText="1"/>
    </xf>
    <xf numFmtId="0" fontId="132" fillId="24" borderId="9" xfId="0" applyFont="1" applyFill="1" applyBorder="1" applyAlignment="1">
      <alignment horizontal="center" vertical="center" wrapText="1"/>
    </xf>
    <xf numFmtId="0" fontId="5" fillId="24" borderId="8" xfId="0" applyFont="1" applyFill="1" applyBorder="1" applyAlignment="1">
      <alignment horizontal="center" vertical="center" wrapText="1"/>
    </xf>
    <xf numFmtId="0" fontId="5" fillId="24" borderId="1" xfId="0" applyFont="1" applyFill="1" applyBorder="1" applyAlignment="1">
      <alignment horizontal="center" vertical="center" wrapText="1"/>
    </xf>
    <xf numFmtId="0" fontId="5" fillId="24" borderId="1" xfId="0" applyFont="1" applyFill="1" applyBorder="1" applyAlignment="1">
      <alignment horizontal="center" vertical="center"/>
    </xf>
    <xf numFmtId="0" fontId="5" fillId="24" borderId="9" xfId="0" applyFont="1" applyFill="1" applyBorder="1" applyAlignment="1">
      <alignment horizontal="center" vertical="center" wrapText="1"/>
    </xf>
    <xf numFmtId="0" fontId="23" fillId="24" borderId="8" xfId="0" applyFont="1" applyFill="1" applyBorder="1" applyAlignment="1">
      <alignment horizontal="center" vertical="center" wrapText="1"/>
    </xf>
    <xf numFmtId="0" fontId="23" fillId="24" borderId="1" xfId="0" applyFont="1" applyFill="1" applyBorder="1" applyAlignment="1">
      <alignment horizontal="center" vertical="center" wrapText="1"/>
    </xf>
    <xf numFmtId="0" fontId="23" fillId="24" borderId="9" xfId="0" applyFont="1" applyFill="1" applyBorder="1" applyAlignment="1">
      <alignment horizontal="center" vertical="center" wrapText="1"/>
    </xf>
    <xf numFmtId="0" fontId="23" fillId="4" borderId="170" xfId="0" applyFont="1" applyFill="1" applyBorder="1" applyAlignment="1" applyProtection="1">
      <alignment horizontal="center" vertical="center"/>
      <protection locked="0"/>
    </xf>
    <xf numFmtId="0" fontId="23" fillId="4" borderId="174" xfId="0" applyFont="1" applyFill="1" applyBorder="1" applyAlignment="1" applyProtection="1">
      <alignment horizontal="center" vertical="center"/>
      <protection locked="0"/>
    </xf>
    <xf numFmtId="0" fontId="5" fillId="3"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14" fontId="23" fillId="4" borderId="170" xfId="0" applyNumberFormat="1" applyFont="1" applyFill="1" applyBorder="1" applyAlignment="1" applyProtection="1">
      <alignment horizontal="center" vertical="center"/>
      <protection locked="0"/>
    </xf>
    <xf numFmtId="14" fontId="23" fillId="4" borderId="174" xfId="0" applyNumberFormat="1" applyFont="1" applyFill="1" applyBorder="1" applyAlignment="1" applyProtection="1">
      <alignment horizontal="center" vertical="center"/>
      <protection locked="0"/>
    </xf>
    <xf numFmtId="14" fontId="23" fillId="4" borderId="102" xfId="0" applyNumberFormat="1" applyFont="1" applyFill="1" applyBorder="1" applyAlignment="1" applyProtection="1">
      <alignment horizontal="center" vertical="center"/>
      <protection locked="0"/>
    </xf>
    <xf numFmtId="14" fontId="23" fillId="4" borderId="105" xfId="0" applyNumberFormat="1" applyFont="1" applyFill="1" applyBorder="1" applyAlignment="1" applyProtection="1">
      <alignment horizontal="center" vertical="center"/>
      <protection locked="0"/>
    </xf>
    <xf numFmtId="0" fontId="23" fillId="3" borderId="8"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4" borderId="203" xfId="0" applyFont="1" applyFill="1" applyBorder="1" applyAlignment="1" applyProtection="1">
      <alignment horizontal="center" vertical="center"/>
      <protection locked="0"/>
    </xf>
    <xf numFmtId="0" fontId="0" fillId="4" borderId="170" xfId="0" applyFill="1" applyBorder="1" applyAlignment="1" applyProtection="1">
      <alignment horizontal="center" vertical="center"/>
      <protection locked="0"/>
    </xf>
    <xf numFmtId="0" fontId="0" fillId="4" borderId="103" xfId="0" applyFill="1" applyBorder="1" applyAlignment="1" applyProtection="1">
      <alignment horizontal="center" vertical="center"/>
      <protection locked="0"/>
    </xf>
    <xf numFmtId="0" fontId="23" fillId="4" borderId="102" xfId="0" applyFont="1" applyFill="1" applyBorder="1" applyAlignment="1" applyProtection="1">
      <alignment horizontal="center" vertical="center"/>
      <protection locked="0"/>
    </xf>
    <xf numFmtId="0" fontId="0" fillId="4" borderId="102" xfId="0" applyFill="1" applyBorder="1" applyAlignment="1" applyProtection="1">
      <alignment horizontal="center" vertical="center"/>
      <protection locked="0"/>
    </xf>
    <xf numFmtId="0" fontId="23" fillId="4" borderId="105" xfId="0" applyFont="1" applyFill="1" applyBorder="1" applyAlignment="1" applyProtection="1">
      <alignment horizontal="center" vertical="center"/>
      <protection locked="0"/>
    </xf>
    <xf numFmtId="14" fontId="23" fillId="30" borderId="102" xfId="0" applyNumberFormat="1" applyFont="1" applyFill="1" applyBorder="1" applyAlignment="1">
      <alignment horizontal="center" vertical="center"/>
    </xf>
    <xf numFmtId="0" fontId="23" fillId="4" borderId="207" xfId="0" applyFont="1" applyFill="1" applyBorder="1" applyAlignment="1" applyProtection="1">
      <alignment horizontal="center" vertical="center"/>
      <protection locked="0"/>
    </xf>
    <xf numFmtId="0" fontId="23" fillId="4" borderId="178" xfId="0" applyFont="1" applyFill="1" applyBorder="1" applyAlignment="1" applyProtection="1">
      <alignment horizontal="center" vertical="center"/>
      <protection locked="0"/>
    </xf>
    <xf numFmtId="0" fontId="23" fillId="4" borderId="182" xfId="0" applyFont="1" applyFill="1" applyBorder="1" applyAlignment="1" applyProtection="1">
      <alignment horizontal="center" vertical="center"/>
      <protection locked="0"/>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14" fontId="23" fillId="4" borderId="178" xfId="0" applyNumberFormat="1" applyFont="1" applyFill="1" applyBorder="1" applyAlignment="1" applyProtection="1">
      <alignment horizontal="center" vertical="center"/>
      <protection locked="0"/>
    </xf>
    <xf numFmtId="14" fontId="23" fillId="4" borderId="182" xfId="0" applyNumberFormat="1" applyFont="1" applyFill="1" applyBorder="1" applyAlignment="1" applyProtection="1">
      <alignment horizontal="center" vertical="center"/>
      <protection locked="0"/>
    </xf>
    <xf numFmtId="0" fontId="93" fillId="3" borderId="5" xfId="3" applyNumberFormat="1" applyFont="1" applyFill="1" applyBorder="1" applyAlignment="1" applyProtection="1">
      <alignment horizontal="left" vertical="center" wrapText="1"/>
    </xf>
    <xf numFmtId="0" fontId="93" fillId="3" borderId="6" xfId="3" applyNumberFormat="1" applyFont="1" applyFill="1" applyBorder="1" applyAlignment="1" applyProtection="1">
      <alignment horizontal="left" vertical="center" wrapText="1"/>
    </xf>
    <xf numFmtId="0" fontId="93" fillId="3" borderId="7" xfId="3" applyNumberFormat="1" applyFont="1" applyFill="1" applyBorder="1" applyAlignment="1" applyProtection="1">
      <alignment horizontal="left" vertical="center" wrapText="1"/>
    </xf>
    <xf numFmtId="0" fontId="93" fillId="3" borderId="8" xfId="3" applyNumberFormat="1" applyFont="1" applyFill="1" applyBorder="1" applyAlignment="1" applyProtection="1">
      <alignment horizontal="left" vertical="center" wrapText="1"/>
    </xf>
    <xf numFmtId="0" fontId="93" fillId="3" borderId="1" xfId="3" applyNumberFormat="1" applyFont="1" applyFill="1" applyBorder="1" applyAlignment="1" applyProtection="1">
      <alignment horizontal="left" vertical="center" wrapText="1"/>
    </xf>
    <xf numFmtId="0" fontId="93" fillId="3" borderId="9" xfId="3" applyNumberFormat="1" applyFont="1" applyFill="1" applyBorder="1" applyAlignment="1" applyProtection="1">
      <alignment horizontal="left" vertical="center" wrapText="1"/>
    </xf>
    <xf numFmtId="0" fontId="94" fillId="24" borderId="8" xfId="0" applyFont="1" applyFill="1" applyBorder="1" applyAlignment="1">
      <alignment horizontal="center" vertical="center" wrapText="1"/>
    </xf>
    <xf numFmtId="0" fontId="94" fillId="24" borderId="1" xfId="0" applyFont="1" applyFill="1" applyBorder="1" applyAlignment="1">
      <alignment horizontal="center" vertical="center" wrapText="1"/>
    </xf>
    <xf numFmtId="0" fontId="95" fillId="24" borderId="1" xfId="0" applyFont="1" applyFill="1" applyBorder="1" applyAlignment="1">
      <alignment horizontal="center" vertical="center" wrapText="1"/>
    </xf>
    <xf numFmtId="0" fontId="94" fillId="24" borderId="9" xfId="0" applyFont="1" applyFill="1" applyBorder="1" applyAlignment="1">
      <alignment horizontal="center" vertical="center" wrapText="1"/>
    </xf>
    <xf numFmtId="0" fontId="91" fillId="3" borderId="25" xfId="0" applyFont="1" applyFill="1" applyBorder="1" applyAlignment="1">
      <alignment horizontal="center" vertical="center" wrapText="1"/>
    </xf>
    <xf numFmtId="0" fontId="91" fillId="3" borderId="27" xfId="0" applyFont="1" applyFill="1" applyBorder="1" applyAlignment="1">
      <alignment horizontal="center" vertical="center" wrapText="1"/>
    </xf>
    <xf numFmtId="0" fontId="91" fillId="3" borderId="11" xfId="0" applyFont="1" applyFill="1" applyBorder="1" applyAlignment="1">
      <alignment horizontal="left" vertical="center" wrapText="1" shrinkToFit="1"/>
    </xf>
    <xf numFmtId="0" fontId="96" fillId="4" borderId="11" xfId="0" applyFont="1" applyFill="1" applyBorder="1" applyAlignment="1" applyProtection="1">
      <alignment horizontal="left" vertical="center" wrapText="1"/>
      <protection locked="0"/>
    </xf>
    <xf numFmtId="0" fontId="96" fillId="4" borderId="11" xfId="0" applyFont="1" applyFill="1" applyBorder="1" applyAlignment="1" applyProtection="1">
      <alignment horizontal="center" vertical="center" wrapText="1"/>
      <protection locked="0"/>
    </xf>
    <xf numFmtId="14" fontId="96" fillId="4" borderId="11" xfId="0" applyNumberFormat="1" applyFont="1" applyFill="1" applyBorder="1" applyAlignment="1" applyProtection="1">
      <alignment horizontal="center" vertical="center" wrapText="1"/>
      <protection locked="0"/>
    </xf>
    <xf numFmtId="0" fontId="96" fillId="4" borderId="12" xfId="0" applyFont="1" applyFill="1" applyBorder="1" applyAlignment="1" applyProtection="1">
      <alignment horizontal="center" vertical="center" wrapText="1"/>
      <protection locked="0"/>
    </xf>
    <xf numFmtId="0" fontId="28" fillId="0" borderId="43" xfId="0" applyFont="1" applyBorder="1">
      <alignment vertical="center"/>
    </xf>
    <xf numFmtId="0" fontId="28" fillId="0" borderId="19" xfId="0" applyFont="1" applyBorder="1">
      <alignment vertical="center"/>
    </xf>
    <xf numFmtId="0" fontId="28" fillId="0" borderId="36" xfId="0" applyFont="1" applyBorder="1">
      <alignment vertical="center"/>
    </xf>
    <xf numFmtId="0" fontId="28" fillId="0" borderId="42" xfId="0" applyFont="1" applyBorder="1">
      <alignment vertical="center"/>
    </xf>
    <xf numFmtId="0" fontId="28" fillId="0" borderId="0" xfId="0" applyFont="1">
      <alignment vertical="center"/>
    </xf>
    <xf numFmtId="0" fontId="28" fillId="0" borderId="16" xfId="0" applyFont="1" applyBorder="1">
      <alignment vertical="center"/>
    </xf>
    <xf numFmtId="0" fontId="91" fillId="3" borderId="1" xfId="0" applyFont="1" applyFill="1" applyBorder="1" applyAlignment="1">
      <alignment horizontal="center" vertical="center" wrapText="1"/>
    </xf>
    <xf numFmtId="0" fontId="5" fillId="0" borderId="23" xfId="0" applyFont="1" applyBorder="1" applyAlignment="1">
      <alignment vertical="center" wrapText="1"/>
    </xf>
    <xf numFmtId="0" fontId="91" fillId="3" borderId="1" xfId="0" applyFont="1" applyFill="1" applyBorder="1" applyAlignment="1">
      <alignment horizontal="left" vertical="center" wrapText="1" shrinkToFit="1"/>
    </xf>
    <xf numFmtId="0" fontId="96" fillId="4" borderId="1" xfId="0" applyFont="1" applyFill="1" applyBorder="1" applyAlignment="1" applyProtection="1">
      <alignment horizontal="left" vertical="center" wrapText="1"/>
      <protection locked="0"/>
    </xf>
    <xf numFmtId="0" fontId="96" fillId="4" borderId="1" xfId="0" applyFont="1" applyFill="1" applyBorder="1" applyAlignment="1" applyProtection="1">
      <alignment horizontal="center" vertical="center" wrapText="1"/>
      <protection locked="0"/>
    </xf>
    <xf numFmtId="14" fontId="96" fillId="4" borderId="1" xfId="0" applyNumberFormat="1" applyFont="1" applyFill="1" applyBorder="1" applyAlignment="1" applyProtection="1">
      <alignment horizontal="center" vertical="center" wrapText="1"/>
      <protection locked="0"/>
    </xf>
    <xf numFmtId="0" fontId="96" fillId="4" borderId="9" xfId="0" applyFont="1" applyFill="1" applyBorder="1" applyAlignment="1" applyProtection="1">
      <alignment horizontal="center" vertical="center" wrapText="1"/>
      <protection locked="0"/>
    </xf>
    <xf numFmtId="0" fontId="96" fillId="4" borderId="69" xfId="0" applyFont="1" applyFill="1" applyBorder="1" applyAlignment="1" applyProtection="1">
      <alignment horizontal="center" vertical="center" wrapText="1"/>
      <protection locked="0"/>
    </xf>
    <xf numFmtId="0" fontId="96" fillId="4" borderId="67" xfId="0" applyFont="1" applyFill="1" applyBorder="1" applyAlignment="1" applyProtection="1">
      <alignment horizontal="center" vertical="center" wrapText="1"/>
      <protection locked="0"/>
    </xf>
    <xf numFmtId="0" fontId="96" fillId="4" borderId="70" xfId="0" applyFont="1" applyFill="1" applyBorder="1" applyAlignment="1" applyProtection="1">
      <alignment horizontal="center" vertical="center" wrapText="1"/>
      <protection locked="0"/>
    </xf>
    <xf numFmtId="14" fontId="96" fillId="4" borderId="69" xfId="0" applyNumberFormat="1" applyFont="1" applyFill="1" applyBorder="1" applyAlignment="1" applyProtection="1">
      <alignment horizontal="center" vertical="center" wrapText="1"/>
      <protection locked="0"/>
    </xf>
    <xf numFmtId="14" fontId="96" fillId="4" borderId="70" xfId="0" applyNumberFormat="1" applyFont="1" applyFill="1" applyBorder="1" applyAlignment="1" applyProtection="1">
      <alignment horizontal="center" vertical="center" wrapText="1"/>
      <protection locked="0"/>
    </xf>
    <xf numFmtId="14" fontId="96" fillId="4" borderId="93" xfId="0" applyNumberFormat="1" applyFont="1" applyFill="1" applyBorder="1" applyAlignment="1" applyProtection="1">
      <alignment horizontal="center" vertical="center" wrapText="1"/>
      <protection locked="0"/>
    </xf>
    <xf numFmtId="0" fontId="91" fillId="3" borderId="2" xfId="0" applyFont="1" applyFill="1" applyBorder="1" applyAlignment="1">
      <alignment horizontal="left" vertical="center" wrapText="1" shrinkToFit="1"/>
    </xf>
    <xf numFmtId="0" fontId="91" fillId="3" borderId="23" xfId="0" applyFont="1" applyFill="1" applyBorder="1" applyAlignment="1">
      <alignment horizontal="left" vertical="center" wrapText="1" shrinkToFit="1"/>
    </xf>
    <xf numFmtId="0" fontId="91" fillId="3" borderId="20" xfId="0" applyFont="1" applyFill="1" applyBorder="1" applyAlignment="1">
      <alignment horizontal="left" vertical="center" wrapText="1" shrinkToFit="1"/>
    </xf>
    <xf numFmtId="0" fontId="91" fillId="3" borderId="1" xfId="0" quotePrefix="1" applyFont="1" applyFill="1" applyBorder="1" applyAlignment="1">
      <alignment horizontal="left" vertical="center" wrapText="1" shrinkToFit="1"/>
    </xf>
    <xf numFmtId="0" fontId="91" fillId="3" borderId="69" xfId="0" applyFont="1" applyFill="1" applyBorder="1" applyAlignment="1">
      <alignment horizontal="center" vertical="center" wrapText="1"/>
    </xf>
    <xf numFmtId="0" fontId="91" fillId="3" borderId="70"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23" xfId="0" applyFont="1" applyBorder="1" applyAlignment="1">
      <alignment horizontal="left" vertical="center" wrapText="1"/>
    </xf>
    <xf numFmtId="0" fontId="5" fillId="0" borderId="20" xfId="0" applyFont="1" applyBorder="1" applyAlignment="1">
      <alignment horizontal="left" vertical="center" wrapText="1"/>
    </xf>
    <xf numFmtId="0" fontId="91" fillId="3" borderId="69" xfId="0" applyFont="1" applyFill="1" applyBorder="1" applyAlignment="1">
      <alignment horizontal="left" vertical="center" wrapText="1" shrinkToFit="1"/>
    </xf>
    <xf numFmtId="0" fontId="91" fillId="3" borderId="67" xfId="0" applyFont="1" applyFill="1" applyBorder="1" applyAlignment="1">
      <alignment horizontal="left" vertical="center" wrapText="1" shrinkToFit="1"/>
    </xf>
    <xf numFmtId="0" fontId="91" fillId="3" borderId="70" xfId="0" applyFont="1" applyFill="1" applyBorder="1" applyAlignment="1">
      <alignment horizontal="left" vertical="center" wrapText="1" shrinkToFit="1"/>
    </xf>
    <xf numFmtId="0" fontId="96" fillId="4" borderId="69" xfId="0" applyFont="1" applyFill="1" applyBorder="1" applyAlignment="1" applyProtection="1">
      <alignment horizontal="left" vertical="center" wrapText="1"/>
      <protection locked="0"/>
    </xf>
    <xf numFmtId="0" fontId="96" fillId="4" borderId="67" xfId="0" applyFont="1" applyFill="1" applyBorder="1" applyAlignment="1" applyProtection="1">
      <alignment horizontal="left" vertical="center" wrapText="1"/>
      <protection locked="0"/>
    </xf>
    <xf numFmtId="0" fontId="96" fillId="4" borderId="70" xfId="0" applyFont="1" applyFill="1" applyBorder="1" applyAlignment="1" applyProtection="1">
      <alignment horizontal="left" vertical="center" wrapText="1"/>
      <protection locked="0"/>
    </xf>
    <xf numFmtId="0" fontId="91" fillId="3" borderId="4" xfId="0" applyFont="1" applyFill="1" applyBorder="1" applyAlignment="1">
      <alignment horizontal="left" vertical="center" wrapText="1" shrinkToFit="1"/>
    </xf>
    <xf numFmtId="0" fontId="5" fillId="0" borderId="0" xfId="0" applyFont="1" applyAlignment="1">
      <alignment vertical="center" wrapText="1"/>
    </xf>
    <xf numFmtId="0" fontId="0" fillId="4" borderId="8" xfId="0" applyFill="1" applyBorder="1" applyAlignment="1" applyProtection="1">
      <alignment horizontal="center" vertical="center" wrapText="1" shrinkToFit="1"/>
      <protection locked="0"/>
    </xf>
    <xf numFmtId="0" fontId="0" fillId="4" borderId="1" xfId="0" applyFill="1" applyBorder="1" applyAlignment="1" applyProtection="1">
      <alignment horizontal="center" vertical="center" wrapText="1" shrinkToFit="1"/>
      <protection locked="0"/>
    </xf>
    <xf numFmtId="0" fontId="0" fillId="4" borderId="57" xfId="0" applyFill="1" applyBorder="1" applyAlignment="1" applyProtection="1">
      <alignment horizontal="center" vertical="center" wrapText="1" shrinkToFit="1"/>
      <protection locked="0"/>
    </xf>
    <xf numFmtId="0" fontId="0" fillId="4" borderId="68" xfId="0" applyFill="1" applyBorder="1" applyAlignment="1" applyProtection="1">
      <alignment horizontal="center" vertical="center" wrapText="1" shrinkToFit="1"/>
      <protection locked="0"/>
    </xf>
    <xf numFmtId="0" fontId="0" fillId="4" borderId="54" xfId="0" applyFill="1" applyBorder="1" applyAlignment="1" applyProtection="1">
      <alignment horizontal="center" vertical="center" wrapText="1" shrinkToFit="1"/>
      <protection locked="0"/>
    </xf>
    <xf numFmtId="0" fontId="0" fillId="4" borderId="69" xfId="0" applyFill="1" applyBorder="1" applyAlignment="1" applyProtection="1">
      <alignment horizontal="center" vertical="center" wrapText="1" shrinkToFit="1"/>
      <protection locked="0"/>
    </xf>
    <xf numFmtId="0" fontId="0" fillId="4" borderId="67" xfId="0" applyFill="1" applyBorder="1" applyAlignment="1" applyProtection="1">
      <alignment horizontal="center" vertical="center" wrapText="1" shrinkToFit="1"/>
      <protection locked="0"/>
    </xf>
    <xf numFmtId="0" fontId="0" fillId="4" borderId="70" xfId="0" applyFill="1" applyBorder="1" applyAlignment="1" applyProtection="1">
      <alignment horizontal="center" vertical="center" wrapText="1" shrinkToFit="1"/>
      <protection locked="0"/>
    </xf>
    <xf numFmtId="14" fontId="0" fillId="3" borderId="1" xfId="0" applyNumberFormat="1" applyFill="1" applyBorder="1" applyAlignment="1">
      <alignment horizontal="center" vertical="center" wrapText="1" shrinkToFit="1"/>
    </xf>
    <xf numFmtId="14" fontId="0" fillId="3" borderId="9" xfId="0" applyNumberFormat="1" applyFill="1" applyBorder="1" applyAlignment="1">
      <alignment horizontal="center" vertical="center" wrapText="1" shrinkToFit="1"/>
    </xf>
    <xf numFmtId="14" fontId="0" fillId="3" borderId="11" xfId="0" applyNumberFormat="1" applyFill="1" applyBorder="1" applyAlignment="1">
      <alignment horizontal="center" vertical="center" wrapText="1" shrinkToFit="1"/>
    </xf>
    <xf numFmtId="14" fontId="0" fillId="3" borderId="12" xfId="0" applyNumberFormat="1" applyFill="1" applyBorder="1" applyAlignment="1">
      <alignment horizontal="center" vertical="center" wrapText="1" shrinkToFit="1"/>
    </xf>
    <xf numFmtId="0" fontId="0" fillId="4" borderId="10" xfId="0" applyFill="1" applyBorder="1" applyAlignment="1" applyProtection="1">
      <alignment horizontal="center" vertical="center" wrapText="1" shrinkToFit="1"/>
      <protection locked="0"/>
    </xf>
    <xf numFmtId="0" fontId="0" fillId="4" borderId="11" xfId="0" applyFill="1" applyBorder="1" applyAlignment="1" applyProtection="1">
      <alignment horizontal="center" vertical="center" wrapText="1" shrinkToFit="1"/>
      <protection locked="0"/>
    </xf>
    <xf numFmtId="0" fontId="0" fillId="4" borderId="38" xfId="0" applyFill="1" applyBorder="1" applyAlignment="1" applyProtection="1">
      <alignment horizontal="center" vertical="center" wrapText="1" shrinkToFit="1"/>
      <protection locked="0"/>
    </xf>
    <xf numFmtId="0" fontId="0" fillId="4" borderId="39" xfId="0" applyFill="1" applyBorder="1" applyAlignment="1" applyProtection="1">
      <alignment horizontal="center" vertical="center" wrapText="1" shrinkToFit="1"/>
      <protection locked="0"/>
    </xf>
    <xf numFmtId="0" fontId="0" fillId="4" borderId="47" xfId="0" applyFill="1" applyBorder="1" applyAlignment="1" applyProtection="1">
      <alignment horizontal="center" vertical="center" wrapText="1" shrinkToFit="1"/>
      <protection locked="0"/>
    </xf>
    <xf numFmtId="0" fontId="91" fillId="3" borderId="11" xfId="0" applyFont="1" applyFill="1" applyBorder="1" applyAlignment="1">
      <alignment horizontal="center" vertical="center" wrapText="1"/>
    </xf>
    <xf numFmtId="0" fontId="91" fillId="3" borderId="11" xfId="0" quotePrefix="1" applyFont="1" applyFill="1" applyBorder="1" applyAlignment="1">
      <alignment horizontal="left" vertical="center" wrapText="1" shrinkToFit="1"/>
    </xf>
    <xf numFmtId="0" fontId="52" fillId="24" borderId="53" xfId="0" applyFont="1" applyFill="1" applyBorder="1" applyAlignment="1">
      <alignment horizontal="left" vertical="center"/>
    </xf>
    <xf numFmtId="0" fontId="52" fillId="24" borderId="21" xfId="0" applyFont="1" applyFill="1" applyBorder="1" applyAlignment="1">
      <alignment horizontal="left" vertical="center"/>
    </xf>
    <xf numFmtId="0" fontId="52" fillId="24" borderId="22" xfId="0" applyFont="1" applyFill="1" applyBorder="1" applyAlignment="1">
      <alignment horizontal="left" vertical="center"/>
    </xf>
    <xf numFmtId="0" fontId="0" fillId="4" borderId="8" xfId="0" applyFill="1" applyBorder="1" applyAlignment="1" applyProtection="1">
      <alignment horizontal="left" vertical="top" wrapText="1" shrinkToFit="1"/>
      <protection locked="0"/>
    </xf>
    <xf numFmtId="0" fontId="0" fillId="4" borderId="1" xfId="0" applyFill="1" applyBorder="1" applyAlignment="1" applyProtection="1">
      <alignment horizontal="left" vertical="top" wrapText="1" shrinkToFit="1"/>
      <protection locked="0"/>
    </xf>
    <xf numFmtId="0" fontId="0" fillId="4" borderId="9" xfId="0" applyFill="1" applyBorder="1" applyAlignment="1" applyProtection="1">
      <alignment horizontal="left" vertical="top" wrapText="1" shrinkToFit="1"/>
      <protection locked="0"/>
    </xf>
    <xf numFmtId="0" fontId="0" fillId="4" borderId="10" xfId="0" applyFill="1" applyBorder="1" applyAlignment="1" applyProtection="1">
      <alignment horizontal="left" vertical="top" wrapText="1" shrinkToFit="1"/>
      <protection locked="0"/>
    </xf>
    <xf numFmtId="0" fontId="0" fillId="4" borderId="11" xfId="0" applyFill="1" applyBorder="1" applyAlignment="1" applyProtection="1">
      <alignment horizontal="left" vertical="top" wrapText="1" shrinkToFit="1"/>
      <protection locked="0"/>
    </xf>
    <xf numFmtId="0" fontId="0" fillId="4" borderId="12" xfId="0" applyFill="1" applyBorder="1" applyAlignment="1" applyProtection="1">
      <alignment horizontal="left" vertical="top" wrapText="1" shrinkToFit="1"/>
      <protection locked="0"/>
    </xf>
    <xf numFmtId="14" fontId="0" fillId="4" borderId="11" xfId="0" applyNumberFormat="1" applyFill="1" applyBorder="1" applyAlignment="1" applyProtection="1">
      <alignment horizontal="center" vertical="center" wrapText="1"/>
      <protection locked="0"/>
    </xf>
    <xf numFmtId="0" fontId="0" fillId="4" borderId="11" xfId="0"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68" fillId="3" borderId="5" xfId="3" applyNumberFormat="1" applyFont="1" applyFill="1" applyBorder="1" applyAlignment="1" applyProtection="1">
      <alignment horizontal="left" vertical="center" wrapText="1"/>
    </xf>
    <xf numFmtId="0" fontId="68" fillId="3" borderId="6" xfId="3" applyNumberFormat="1" applyFont="1" applyFill="1" applyBorder="1" applyAlignment="1" applyProtection="1">
      <alignment horizontal="left" vertical="center" wrapText="1"/>
    </xf>
    <xf numFmtId="0" fontId="68" fillId="3" borderId="7" xfId="3" applyNumberFormat="1" applyFont="1" applyFill="1" applyBorder="1" applyAlignment="1" applyProtection="1">
      <alignment horizontal="left" vertical="center" wrapText="1"/>
    </xf>
    <xf numFmtId="0" fontId="68" fillId="3" borderId="8" xfId="3" applyNumberFormat="1" applyFont="1" applyFill="1" applyBorder="1" applyAlignment="1" applyProtection="1">
      <alignment horizontal="left" vertical="center" wrapText="1"/>
    </xf>
    <xf numFmtId="0" fontId="68" fillId="3" borderId="1" xfId="3" applyNumberFormat="1" applyFont="1" applyFill="1" applyBorder="1" applyAlignment="1" applyProtection="1">
      <alignment horizontal="left" vertical="center" wrapText="1"/>
    </xf>
    <xf numFmtId="0" fontId="68" fillId="3" borderId="9" xfId="3" applyNumberFormat="1" applyFont="1" applyFill="1" applyBorder="1" applyAlignment="1" applyProtection="1">
      <alignment horizontal="left" vertical="center" wrapText="1"/>
    </xf>
    <xf numFmtId="0" fontId="31" fillId="24" borderId="1" xfId="0" applyFont="1" applyFill="1" applyBorder="1" applyAlignment="1">
      <alignment horizontal="center" vertical="center" wrapText="1"/>
    </xf>
    <xf numFmtId="0" fontId="22" fillId="24" borderId="9" xfId="0" applyFont="1" applyFill="1" applyBorder="1" applyAlignment="1">
      <alignment horizontal="center" vertical="center" wrapText="1"/>
    </xf>
    <xf numFmtId="0" fontId="0" fillId="4" borderId="11" xfId="0" applyFill="1" applyBorder="1" applyAlignment="1" applyProtection="1">
      <alignment horizontal="left" vertical="center" wrapText="1"/>
      <protection locked="0"/>
    </xf>
    <xf numFmtId="0" fontId="23" fillId="4" borderId="11" xfId="3" applyNumberFormat="1" applyFont="1" applyFill="1" applyBorder="1" applyAlignment="1" applyProtection="1">
      <alignment horizontal="center" vertical="center" wrapText="1"/>
      <protection locked="0"/>
    </xf>
    <xf numFmtId="0" fontId="52" fillId="6" borderId="5" xfId="32" applyFont="1" applyFill="1" applyBorder="1" applyAlignment="1">
      <alignment horizontal="center" vertical="center"/>
    </xf>
    <xf numFmtId="0" fontId="52" fillId="6" borderId="6" xfId="32" applyFont="1" applyFill="1" applyBorder="1" applyAlignment="1">
      <alignment horizontal="center" vertical="center"/>
    </xf>
    <xf numFmtId="0" fontId="52" fillId="6" borderId="7" xfId="32" applyFont="1" applyFill="1" applyBorder="1" applyAlignment="1">
      <alignment horizontal="center" vertical="center"/>
    </xf>
    <xf numFmtId="0" fontId="9" fillId="3" borderId="8" xfId="32" applyFill="1" applyBorder="1" applyAlignment="1">
      <alignment horizontal="center" vertical="center"/>
    </xf>
    <xf numFmtId="0" fontId="9" fillId="3" borderId="1" xfId="32" applyFill="1" applyBorder="1" applyAlignment="1">
      <alignment horizontal="center" vertical="center"/>
    </xf>
    <xf numFmtId="0" fontId="9" fillId="3" borderId="102" xfId="32" applyFill="1" applyBorder="1" applyAlignment="1">
      <alignment horizontal="center" vertical="center"/>
    </xf>
    <xf numFmtId="0" fontId="9" fillId="3" borderId="105" xfId="32" applyFill="1" applyBorder="1" applyAlignment="1">
      <alignment horizontal="center" vertical="center"/>
    </xf>
    <xf numFmtId="0" fontId="9" fillId="3" borderId="10" xfId="32" applyFill="1" applyBorder="1" applyAlignment="1">
      <alignment horizontal="center" vertical="center"/>
    </xf>
    <xf numFmtId="0" fontId="9" fillId="3" borderId="11" xfId="32" applyFill="1" applyBorder="1" applyAlignment="1">
      <alignment horizontal="center" vertical="center"/>
    </xf>
    <xf numFmtId="0" fontId="9" fillId="3" borderId="178" xfId="32" applyFill="1" applyBorder="1" applyAlignment="1">
      <alignment horizontal="center" vertical="center"/>
    </xf>
    <xf numFmtId="0" fontId="9" fillId="3" borderId="182" xfId="32" applyFill="1" applyBorder="1" applyAlignment="1">
      <alignment horizontal="center" vertical="center"/>
    </xf>
    <xf numFmtId="0" fontId="52" fillId="24" borderId="5" xfId="0" applyFont="1" applyFill="1" applyBorder="1" applyAlignment="1">
      <alignment horizontal="center" vertical="center" wrapText="1"/>
    </xf>
    <xf numFmtId="0" fontId="52" fillId="24" borderId="6" xfId="0" applyFont="1" applyFill="1" applyBorder="1" applyAlignment="1">
      <alignment horizontal="center" vertical="center" wrapText="1"/>
    </xf>
    <xf numFmtId="0" fontId="52" fillId="24" borderId="7" xfId="0" applyFont="1" applyFill="1" applyBorder="1" applyAlignment="1">
      <alignment horizontal="center" vertical="center" wrapText="1"/>
    </xf>
    <xf numFmtId="0" fontId="52" fillId="24" borderId="8" xfId="0" applyFont="1" applyFill="1" applyBorder="1" applyAlignment="1">
      <alignment horizontal="center" vertical="center" wrapText="1"/>
    </xf>
    <xf numFmtId="0" fontId="23" fillId="4" borderId="171" xfId="0" applyFont="1" applyFill="1" applyBorder="1" applyAlignment="1" applyProtection="1">
      <alignment horizontal="center" vertical="center"/>
      <protection locked="0"/>
    </xf>
    <xf numFmtId="0" fontId="23" fillId="4" borderId="172" xfId="0" applyFont="1" applyFill="1" applyBorder="1" applyAlignment="1" applyProtection="1">
      <alignment horizontal="center" vertical="center"/>
      <protection locked="0"/>
    </xf>
    <xf numFmtId="14" fontId="23" fillId="4" borderId="171" xfId="0" applyNumberFormat="1" applyFont="1" applyFill="1" applyBorder="1" applyAlignment="1" applyProtection="1">
      <alignment horizontal="center" vertical="center"/>
      <protection locked="0"/>
    </xf>
    <xf numFmtId="14" fontId="23" fillId="4" borderId="173" xfId="0" applyNumberFormat="1" applyFont="1" applyFill="1" applyBorder="1" applyAlignment="1" applyProtection="1">
      <alignment horizontal="center" vertical="center"/>
      <protection locked="0"/>
    </xf>
    <xf numFmtId="14" fontId="23" fillId="4" borderId="172" xfId="0" applyNumberFormat="1" applyFont="1" applyFill="1" applyBorder="1" applyAlignment="1" applyProtection="1">
      <alignment horizontal="center" vertical="center"/>
      <protection locked="0"/>
    </xf>
    <xf numFmtId="14" fontId="23" fillId="4" borderId="183" xfId="0" applyNumberFormat="1" applyFont="1" applyFill="1" applyBorder="1" applyAlignment="1" applyProtection="1">
      <alignment horizontal="center" vertical="center"/>
      <protection locked="0"/>
    </xf>
    <xf numFmtId="14" fontId="23" fillId="4" borderId="141" xfId="0" applyNumberFormat="1" applyFont="1" applyFill="1" applyBorder="1" applyAlignment="1" applyProtection="1">
      <alignment horizontal="center" vertical="center"/>
      <protection locked="0"/>
    </xf>
    <xf numFmtId="14" fontId="23" fillId="4" borderId="142" xfId="0" applyNumberFormat="1" applyFont="1" applyFill="1" applyBorder="1" applyAlignment="1" applyProtection="1">
      <alignment horizontal="center" vertical="center"/>
      <protection locked="0"/>
    </xf>
    <xf numFmtId="14" fontId="23" fillId="4" borderId="143" xfId="0" applyNumberFormat="1" applyFont="1" applyFill="1" applyBorder="1" applyAlignment="1" applyProtection="1">
      <alignment horizontal="center" vertical="center"/>
      <protection locked="0"/>
    </xf>
    <xf numFmtId="0" fontId="23" fillId="4" borderId="185" xfId="0" applyFont="1" applyFill="1" applyBorder="1" applyAlignment="1" applyProtection="1">
      <alignment horizontal="center" vertical="center"/>
      <protection locked="0"/>
    </xf>
    <xf numFmtId="0" fontId="0" fillId="4" borderId="173" xfId="0" applyFill="1" applyBorder="1" applyAlignment="1" applyProtection="1">
      <alignment horizontal="center" vertical="center"/>
      <protection locked="0"/>
    </xf>
    <xf numFmtId="0" fontId="0" fillId="4" borderId="172" xfId="0" applyFill="1" applyBorder="1" applyAlignment="1" applyProtection="1">
      <alignment horizontal="center" vertical="center"/>
      <protection locked="0"/>
    </xf>
    <xf numFmtId="0" fontId="0" fillId="4" borderId="183" xfId="0" applyFill="1" applyBorder="1" applyAlignment="1" applyProtection="1">
      <alignment horizontal="center" vertical="center"/>
      <protection locked="0"/>
    </xf>
    <xf numFmtId="0" fontId="0" fillId="4" borderId="147" xfId="0" applyFill="1" applyBorder="1" applyAlignment="1" applyProtection="1">
      <alignment horizontal="center" vertical="center"/>
      <protection locked="0"/>
    </xf>
    <xf numFmtId="0" fontId="0" fillId="4" borderId="142" xfId="0" applyFill="1" applyBorder="1" applyAlignment="1" applyProtection="1">
      <alignment horizontal="center" vertical="center"/>
      <protection locked="0"/>
    </xf>
    <xf numFmtId="0" fontId="0" fillId="4" borderId="146" xfId="0" applyFill="1" applyBorder="1" applyAlignment="1" applyProtection="1">
      <alignment horizontal="center" vertical="center"/>
      <protection locked="0"/>
    </xf>
    <xf numFmtId="0" fontId="0" fillId="4" borderId="141" xfId="0" applyFill="1" applyBorder="1" applyAlignment="1" applyProtection="1">
      <alignment horizontal="center" vertical="center"/>
      <protection locked="0"/>
    </xf>
    <xf numFmtId="0" fontId="0" fillId="4" borderId="143" xfId="0" applyFill="1" applyBorder="1" applyAlignment="1" applyProtection="1">
      <alignment horizontal="center" vertical="center"/>
      <protection locked="0"/>
    </xf>
    <xf numFmtId="0" fontId="5" fillId="3" borderId="8" xfId="0" applyFont="1" applyFill="1" applyBorder="1" applyAlignment="1">
      <alignment horizontal="center" vertical="center"/>
    </xf>
    <xf numFmtId="0" fontId="5" fillId="3" borderId="1" xfId="0" applyFont="1" applyFill="1" applyBorder="1" applyAlignment="1">
      <alignment horizontal="center" vertical="center"/>
    </xf>
    <xf numFmtId="14" fontId="23" fillId="30" borderId="141" xfId="0" applyNumberFormat="1" applyFont="1" applyFill="1" applyBorder="1" applyAlignment="1">
      <alignment horizontal="center" vertical="center"/>
    </xf>
    <xf numFmtId="14" fontId="23" fillId="30" borderId="142" xfId="0" applyNumberFormat="1" applyFont="1" applyFill="1" applyBorder="1" applyAlignment="1">
      <alignment horizontal="center" vertical="center"/>
    </xf>
    <xf numFmtId="14" fontId="23" fillId="30" borderId="146" xfId="0" applyNumberFormat="1" applyFont="1" applyFill="1" applyBorder="1" applyAlignment="1">
      <alignment horizontal="center" vertical="center"/>
    </xf>
    <xf numFmtId="0" fontId="23" fillId="4" borderId="198" xfId="0" applyFont="1" applyFill="1" applyBorder="1" applyAlignment="1" applyProtection="1">
      <alignment horizontal="center" vertical="center"/>
      <protection locked="0"/>
    </xf>
    <xf numFmtId="0" fontId="23" fillId="4" borderId="180" xfId="0" applyFont="1" applyFill="1" applyBorder="1" applyAlignment="1" applyProtection="1">
      <alignment horizontal="center" vertical="center"/>
      <protection locked="0"/>
    </xf>
    <xf numFmtId="0" fontId="23" fillId="4" borderId="179" xfId="0" applyFont="1" applyFill="1" applyBorder="1" applyAlignment="1" applyProtection="1">
      <alignment horizontal="center" vertical="center"/>
      <protection locked="0"/>
    </xf>
    <xf numFmtId="14" fontId="23" fillId="4" borderId="179" xfId="0" applyNumberFormat="1" applyFont="1" applyFill="1" applyBorder="1" applyAlignment="1" applyProtection="1">
      <alignment horizontal="center" vertical="center"/>
      <protection locked="0"/>
    </xf>
    <xf numFmtId="14" fontId="23" fillId="4" borderId="181" xfId="0" applyNumberFormat="1" applyFont="1" applyFill="1" applyBorder="1" applyAlignment="1" applyProtection="1">
      <alignment horizontal="center" vertical="center"/>
      <protection locked="0"/>
    </xf>
    <xf numFmtId="14" fontId="23" fillId="4" borderId="180" xfId="0" applyNumberFormat="1" applyFont="1" applyFill="1" applyBorder="1" applyAlignment="1" applyProtection="1">
      <alignment horizontal="center" vertical="center"/>
      <protection locked="0"/>
    </xf>
    <xf numFmtId="14" fontId="23" fillId="4" borderId="184" xfId="0" applyNumberFormat="1" applyFont="1" applyFill="1" applyBorder="1" applyAlignment="1" applyProtection="1">
      <alignment horizontal="center" vertical="center"/>
      <protection locked="0"/>
    </xf>
    <xf numFmtId="0" fontId="91" fillId="3" borderId="2" xfId="0" applyFont="1" applyFill="1" applyBorder="1" applyAlignment="1">
      <alignment horizontal="center" vertical="center" wrapText="1"/>
    </xf>
    <xf numFmtId="0" fontId="91" fillId="3" borderId="20" xfId="0" applyFont="1" applyFill="1" applyBorder="1" applyAlignment="1">
      <alignment horizontal="center" vertical="center" wrapText="1"/>
    </xf>
    <xf numFmtId="0" fontId="91" fillId="3" borderId="25" xfId="0" applyFont="1" applyFill="1" applyBorder="1" applyAlignment="1">
      <alignment horizontal="left" vertical="center" wrapText="1" shrinkToFit="1"/>
    </xf>
    <xf numFmtId="0" fontId="91" fillId="3" borderId="26" xfId="0" applyFont="1" applyFill="1" applyBorder="1" applyAlignment="1">
      <alignment horizontal="left" vertical="center" wrapText="1" shrinkToFit="1"/>
    </xf>
    <xf numFmtId="0" fontId="91" fillId="3" borderId="27" xfId="0" applyFont="1" applyFill="1" applyBorder="1" applyAlignment="1">
      <alignment horizontal="left" vertical="center" wrapText="1" shrinkToFit="1"/>
    </xf>
    <xf numFmtId="0" fontId="0" fillId="4" borderId="104" xfId="0" applyFill="1" applyBorder="1" applyAlignment="1" applyProtection="1">
      <alignment horizontal="center" vertical="center" wrapText="1" shrinkToFit="1"/>
      <protection locked="0"/>
    </xf>
    <xf numFmtId="0" fontId="0" fillId="4" borderId="100" xfId="0" applyFill="1" applyBorder="1" applyAlignment="1" applyProtection="1">
      <alignment horizontal="center" vertical="center" wrapText="1" shrinkToFit="1"/>
      <protection locked="0"/>
    </xf>
    <xf numFmtId="0" fontId="0" fillId="4" borderId="44" xfId="0" applyFill="1" applyBorder="1" applyAlignment="1" applyProtection="1">
      <alignment horizontal="center" vertical="center" wrapText="1" shrinkToFit="1"/>
      <protection locked="0"/>
    </xf>
    <xf numFmtId="0" fontId="79" fillId="6" borderId="0" xfId="0" applyFont="1" applyFill="1" applyAlignment="1">
      <alignment horizontal="left" vertical="center" wrapText="1"/>
    </xf>
    <xf numFmtId="0" fontId="94" fillId="9" borderId="0" xfId="20" applyFont="1" applyFill="1" applyAlignment="1">
      <alignment horizontal="right" vertical="center" wrapText="1"/>
    </xf>
    <xf numFmtId="0" fontId="52" fillId="6" borderId="53" xfId="32" applyFont="1" applyFill="1" applyBorder="1" applyAlignment="1">
      <alignment horizontal="center" vertical="center"/>
    </xf>
    <xf numFmtId="0" fontId="52" fillId="6" borderId="21" xfId="32" applyFont="1" applyFill="1" applyBorder="1" applyAlignment="1">
      <alignment horizontal="center" vertical="center"/>
    </xf>
    <xf numFmtId="0" fontId="52" fillId="6" borderId="28" xfId="32" applyFont="1" applyFill="1" applyBorder="1" applyAlignment="1">
      <alignment horizontal="center" vertical="center"/>
    </xf>
    <xf numFmtId="0" fontId="9" fillId="3" borderId="32" xfId="32" applyFill="1" applyBorder="1" applyAlignment="1">
      <alignment horizontal="center" vertical="center"/>
    </xf>
    <xf numFmtId="0" fontId="9" fillId="3" borderId="4" xfId="32" applyFill="1" applyBorder="1" applyAlignment="1">
      <alignment horizontal="center" vertical="center"/>
    </xf>
    <xf numFmtId="0" fontId="9" fillId="3" borderId="84" xfId="32" applyFill="1" applyBorder="1" applyAlignment="1">
      <alignment horizontal="center" vertical="center"/>
    </xf>
    <xf numFmtId="0" fontId="9" fillId="3" borderId="125" xfId="32" applyFill="1" applyBorder="1" applyAlignment="1">
      <alignment horizontal="center" vertical="center"/>
    </xf>
    <xf numFmtId="14" fontId="23" fillId="4" borderId="32" xfId="0" applyNumberFormat="1" applyFont="1" applyFill="1" applyBorder="1" applyAlignment="1" applyProtection="1">
      <alignment horizontal="center" vertical="center"/>
      <protection locked="0"/>
    </xf>
    <xf numFmtId="14" fontId="23" fillId="4" borderId="4" xfId="0" applyNumberFormat="1" applyFont="1" applyFill="1" applyBorder="1" applyAlignment="1" applyProtection="1">
      <alignment horizontal="center" vertical="center"/>
      <protection locked="0"/>
    </xf>
    <xf numFmtId="14" fontId="23" fillId="4" borderId="34" xfId="0" applyNumberFormat="1" applyFont="1" applyFill="1" applyBorder="1" applyAlignment="1" applyProtection="1">
      <alignment horizontal="center" vertical="center"/>
      <protection locked="0"/>
    </xf>
    <xf numFmtId="0" fontId="9" fillId="3" borderId="49" xfId="32" applyFill="1" applyBorder="1" applyAlignment="1">
      <alignment horizontal="center" vertical="center"/>
    </xf>
    <xf numFmtId="0" fontId="9" fillId="3" borderId="52" xfId="32" applyFill="1" applyBorder="1" applyAlignment="1">
      <alignment horizontal="center" vertical="center"/>
    </xf>
    <xf numFmtId="0" fontId="5" fillId="24" borderId="32" xfId="0" applyFont="1" applyFill="1" applyBorder="1" applyAlignment="1">
      <alignment horizontal="center" vertical="center" wrapText="1"/>
    </xf>
    <xf numFmtId="0" fontId="5" fillId="24" borderId="4" xfId="0" applyFont="1" applyFill="1" applyBorder="1" applyAlignment="1">
      <alignment horizontal="center" vertical="center" wrapText="1"/>
    </xf>
    <xf numFmtId="0" fontId="5" fillId="24" borderId="4" xfId="0" applyFont="1" applyFill="1" applyBorder="1" applyAlignment="1">
      <alignment horizontal="center" vertical="center"/>
    </xf>
    <xf numFmtId="0" fontId="5" fillId="24" borderId="34" xfId="0" applyFont="1" applyFill="1" applyBorder="1" applyAlignment="1">
      <alignment horizontal="center" vertical="center" wrapText="1"/>
    </xf>
    <xf numFmtId="0" fontId="23" fillId="24" borderId="32" xfId="0" applyFont="1" applyFill="1" applyBorder="1" applyAlignment="1">
      <alignment horizontal="center" vertical="center" wrapText="1"/>
    </xf>
    <xf numFmtId="0" fontId="23" fillId="24" borderId="4" xfId="0" applyFont="1" applyFill="1" applyBorder="1" applyAlignment="1">
      <alignment horizontal="center" vertical="center" wrapText="1"/>
    </xf>
    <xf numFmtId="0" fontId="23" fillId="24" borderId="34" xfId="0" applyFont="1" applyFill="1" applyBorder="1" applyAlignment="1">
      <alignment horizontal="center" vertical="center" wrapText="1"/>
    </xf>
    <xf numFmtId="0" fontId="91" fillId="3" borderId="4" xfId="0" applyFont="1" applyFill="1" applyBorder="1" applyAlignment="1">
      <alignment horizontal="center" vertical="center" wrapText="1"/>
    </xf>
    <xf numFmtId="0" fontId="96" fillId="4" borderId="4" xfId="0" applyFont="1" applyFill="1" applyBorder="1" applyAlignment="1" applyProtection="1">
      <alignment horizontal="left" vertical="center" wrapText="1"/>
      <protection locked="0"/>
    </xf>
    <xf numFmtId="0" fontId="96" fillId="4" borderId="4" xfId="3" applyNumberFormat="1" applyFont="1" applyFill="1" applyBorder="1" applyAlignment="1" applyProtection="1">
      <alignment horizontal="center" vertical="center" wrapText="1"/>
      <protection locked="0"/>
    </xf>
    <xf numFmtId="0" fontId="96" fillId="4" borderId="4" xfId="0" applyFont="1" applyFill="1" applyBorder="1" applyAlignment="1" applyProtection="1">
      <alignment horizontal="center" vertical="center" wrapText="1"/>
      <protection locked="0"/>
    </xf>
    <xf numFmtId="14" fontId="96" fillId="4" borderId="4" xfId="0" applyNumberFormat="1" applyFont="1" applyFill="1" applyBorder="1" applyAlignment="1" applyProtection="1">
      <alignment horizontal="center" vertical="center" wrapText="1"/>
      <protection locked="0"/>
    </xf>
    <xf numFmtId="0" fontId="96" fillId="4" borderId="4" xfId="0" applyFont="1" applyFill="1" applyBorder="1" applyAlignment="1" applyProtection="1">
      <alignment horizontal="center" vertical="center"/>
      <protection locked="0"/>
    </xf>
    <xf numFmtId="0" fontId="96" fillId="4" borderId="34" xfId="0" applyFont="1" applyFill="1" applyBorder="1" applyAlignment="1" applyProtection="1">
      <alignment horizontal="center" vertical="center"/>
      <protection locked="0"/>
    </xf>
    <xf numFmtId="0" fontId="0" fillId="4" borderId="2" xfId="0" applyFill="1" applyBorder="1" applyAlignment="1" applyProtection="1">
      <alignment horizontal="left" vertical="center" wrapText="1"/>
      <protection locked="0"/>
    </xf>
    <xf numFmtId="0" fontId="0" fillId="4" borderId="23" xfId="0" applyFill="1" applyBorder="1" applyAlignment="1" applyProtection="1">
      <alignment horizontal="left" vertical="center" wrapText="1"/>
      <protection locked="0"/>
    </xf>
    <xf numFmtId="0" fontId="0" fillId="4" borderId="20" xfId="0" applyFill="1" applyBorder="1" applyAlignment="1" applyProtection="1">
      <alignment horizontal="left" vertical="center" wrapText="1"/>
      <protection locked="0"/>
    </xf>
    <xf numFmtId="0" fontId="0" fillId="4" borderId="2" xfId="3" applyNumberFormat="1" applyFont="1" applyFill="1" applyBorder="1" applyAlignment="1" applyProtection="1">
      <alignment horizontal="center" vertical="center" wrapText="1"/>
      <protection locked="0"/>
    </xf>
    <xf numFmtId="0" fontId="0" fillId="4" borderId="20" xfId="3" applyNumberFormat="1" applyFont="1" applyFill="1" applyBorder="1" applyAlignment="1" applyProtection="1">
      <alignment horizontal="center" vertical="center" wrapText="1"/>
      <protection locked="0"/>
    </xf>
    <xf numFmtId="0" fontId="0" fillId="4" borderId="2" xfId="0"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14" fontId="0" fillId="4" borderId="2" xfId="0" applyNumberFormat="1" applyFill="1" applyBorder="1" applyAlignment="1" applyProtection="1">
      <alignment horizontal="center" vertical="center" wrapText="1"/>
      <protection locked="0"/>
    </xf>
    <xf numFmtId="14" fontId="0" fillId="4" borderId="20" xfId="0" applyNumberFormat="1"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4" borderId="1" xfId="0" applyFill="1" applyBorder="1" applyAlignment="1" applyProtection="1">
      <alignment horizontal="left" vertical="center" wrapText="1"/>
      <protection locked="0"/>
    </xf>
    <xf numFmtId="0" fontId="0" fillId="4" borderId="1" xfId="3" applyNumberFormat="1" applyFont="1" applyFill="1" applyBorder="1" applyAlignment="1" applyProtection="1">
      <alignment horizontal="center" vertical="center" wrapText="1"/>
      <protection locked="0"/>
    </xf>
    <xf numFmtId="0" fontId="23" fillId="4" borderId="1" xfId="3" applyNumberFormat="1"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14" fontId="0" fillId="4" borderId="1" xfId="0" applyNumberFormat="1"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0" fillId="4" borderId="11" xfId="3" applyNumberFormat="1" applyFont="1" applyFill="1" applyBorder="1" applyAlignment="1" applyProtection="1">
      <alignment horizontal="center" vertical="center" wrapText="1"/>
      <protection locked="0"/>
    </xf>
    <xf numFmtId="14" fontId="96" fillId="3" borderId="37" xfId="0" applyNumberFormat="1" applyFont="1" applyFill="1" applyBorder="1" applyAlignment="1">
      <alignment horizontal="center" vertical="center" wrapText="1" shrinkToFit="1"/>
    </xf>
    <xf numFmtId="14" fontId="96" fillId="3" borderId="0" xfId="0" applyNumberFormat="1" applyFont="1" applyFill="1" applyAlignment="1">
      <alignment horizontal="center" vertical="center" wrapText="1" shrinkToFit="1"/>
    </xf>
    <xf numFmtId="14" fontId="96" fillId="3" borderId="16" xfId="0" applyNumberFormat="1" applyFont="1" applyFill="1" applyBorder="1" applyAlignment="1">
      <alignment horizontal="center" vertical="center" wrapText="1" shrinkToFit="1"/>
    </xf>
    <xf numFmtId="14" fontId="96" fillId="3" borderId="38" xfId="0" applyNumberFormat="1" applyFont="1" applyFill="1" applyBorder="1" applyAlignment="1">
      <alignment horizontal="center" vertical="center" wrapText="1" shrinkToFit="1"/>
    </xf>
    <xf numFmtId="14" fontId="96" fillId="3" borderId="39" xfId="0" applyNumberFormat="1" applyFont="1" applyFill="1" applyBorder="1" applyAlignment="1">
      <alignment horizontal="center" vertical="center" wrapText="1" shrinkToFit="1"/>
    </xf>
    <xf numFmtId="14" fontId="96" fillId="3" borderId="40" xfId="0" applyNumberFormat="1" applyFont="1" applyFill="1" applyBorder="1" applyAlignment="1">
      <alignment horizontal="center" vertical="center" wrapText="1" shrinkToFit="1"/>
    </xf>
    <xf numFmtId="0" fontId="96" fillId="4" borderId="55" xfId="0" applyFont="1" applyFill="1" applyBorder="1" applyAlignment="1" applyProtection="1">
      <alignment horizontal="left" vertical="top" wrapText="1" shrinkToFit="1"/>
      <protection locked="0"/>
    </xf>
    <xf numFmtId="0" fontId="96" fillId="4" borderId="23" xfId="0" applyFont="1" applyFill="1" applyBorder="1" applyAlignment="1" applyProtection="1">
      <alignment horizontal="left" vertical="top" wrapText="1" shrinkToFit="1"/>
      <protection locked="0"/>
    </xf>
    <xf numFmtId="0" fontId="96" fillId="4" borderId="24" xfId="0" applyFont="1" applyFill="1" applyBorder="1" applyAlignment="1" applyProtection="1">
      <alignment horizontal="left" vertical="top" wrapText="1" shrinkToFit="1"/>
      <protection locked="0"/>
    </xf>
    <xf numFmtId="0" fontId="96" fillId="4" borderId="56" xfId="0" applyFont="1" applyFill="1" applyBorder="1" applyAlignment="1" applyProtection="1">
      <alignment horizontal="left" vertical="top" wrapText="1" shrinkToFit="1"/>
      <protection locked="0"/>
    </xf>
    <xf numFmtId="0" fontId="96" fillId="4" borderId="26" xfId="0" applyFont="1" applyFill="1" applyBorder="1" applyAlignment="1" applyProtection="1">
      <alignment horizontal="left" vertical="top" wrapText="1" shrinkToFit="1"/>
      <protection locked="0"/>
    </xf>
    <xf numFmtId="0" fontId="96" fillId="4" borderId="33" xfId="0" applyFont="1" applyFill="1" applyBorder="1" applyAlignment="1" applyProtection="1">
      <alignment horizontal="left" vertical="top" wrapText="1" shrinkToFit="1"/>
      <protection locked="0"/>
    </xf>
    <xf numFmtId="0" fontId="91" fillId="3" borderId="49" xfId="0" applyFont="1" applyFill="1" applyBorder="1" applyAlignment="1">
      <alignment horizontal="center" vertical="center" wrapText="1"/>
    </xf>
    <xf numFmtId="0" fontId="91" fillId="3" borderId="49" xfId="0" applyFont="1" applyFill="1" applyBorder="1" applyAlignment="1">
      <alignment horizontal="left" vertical="center" wrapText="1" shrinkToFit="1"/>
    </xf>
    <xf numFmtId="0" fontId="96" fillId="4" borderId="49" xfId="0" applyFont="1" applyFill="1" applyBorder="1" applyAlignment="1" applyProtection="1">
      <alignment horizontal="left" vertical="center" wrapText="1"/>
      <protection locked="0"/>
    </xf>
    <xf numFmtId="0" fontId="96" fillId="4" borderId="49" xfId="0" applyFont="1" applyFill="1" applyBorder="1" applyAlignment="1" applyProtection="1">
      <alignment horizontal="center" vertical="center" wrapText="1"/>
      <protection locked="0"/>
    </xf>
    <xf numFmtId="14" fontId="96" fillId="4" borderId="49" xfId="0" applyNumberFormat="1" applyFont="1" applyFill="1" applyBorder="1" applyAlignment="1" applyProtection="1">
      <alignment horizontal="center" vertical="center" wrapText="1"/>
      <protection locked="0"/>
    </xf>
    <xf numFmtId="0" fontId="96" fillId="4" borderId="52" xfId="0" applyFont="1" applyFill="1" applyBorder="1" applyAlignment="1" applyProtection="1">
      <alignment horizontal="center" vertical="center" wrapText="1"/>
      <protection locked="0"/>
    </xf>
    <xf numFmtId="0" fontId="22" fillId="34" borderId="6" xfId="1" applyFont="1" applyFill="1" applyBorder="1" applyAlignment="1">
      <alignment horizontal="left" vertical="top" wrapText="1"/>
    </xf>
    <xf numFmtId="0" fontId="22" fillId="34" borderId="7" xfId="1" applyFont="1" applyFill="1" applyBorder="1" applyAlignment="1">
      <alignment horizontal="left" vertical="top" wrapText="1"/>
    </xf>
    <xf numFmtId="0" fontId="22" fillId="34" borderId="1" xfId="1" applyFont="1" applyFill="1" applyBorder="1" applyAlignment="1">
      <alignment horizontal="left" vertical="top" wrapText="1"/>
    </xf>
    <xf numFmtId="0" fontId="22" fillId="34" borderId="9" xfId="1" applyFont="1" applyFill="1" applyBorder="1" applyAlignment="1">
      <alignment horizontal="left" vertical="top" wrapText="1"/>
    </xf>
    <xf numFmtId="0" fontId="22" fillId="34" borderId="3" xfId="1" applyFont="1" applyFill="1" applyBorder="1" applyAlignment="1">
      <alignment horizontal="left" vertical="top" wrapText="1"/>
    </xf>
    <xf numFmtId="0" fontId="22" fillId="34" borderId="51" xfId="1" applyFont="1" applyFill="1" applyBorder="1" applyAlignment="1">
      <alignment horizontal="left" vertical="top" wrapText="1"/>
    </xf>
    <xf numFmtId="0" fontId="22" fillId="34" borderId="11" xfId="1" applyFont="1" applyFill="1" applyBorder="1" applyAlignment="1">
      <alignment horizontal="left" vertical="top" wrapText="1"/>
    </xf>
    <xf numFmtId="0" fontId="22" fillId="34" borderId="12" xfId="1" applyFont="1" applyFill="1" applyBorder="1" applyAlignment="1">
      <alignment horizontal="left" vertical="top" wrapText="1"/>
    </xf>
    <xf numFmtId="0" fontId="53" fillId="0" borderId="0" xfId="1" applyFont="1" applyAlignment="1">
      <alignment horizontal="left" vertical="center" wrapText="1"/>
    </xf>
    <xf numFmtId="0" fontId="52" fillId="24" borderId="5" xfId="1" applyFont="1" applyFill="1" applyBorder="1" applyAlignment="1">
      <alignment horizontal="center" vertical="center" wrapText="1"/>
    </xf>
    <xf numFmtId="0" fontId="52" fillId="24" borderId="6" xfId="1" applyFont="1" applyFill="1" applyBorder="1" applyAlignment="1">
      <alignment horizontal="center" vertical="center" wrapText="1"/>
    </xf>
    <xf numFmtId="0" fontId="52" fillId="24" borderId="10" xfId="1" applyFont="1" applyFill="1" applyBorder="1" applyAlignment="1">
      <alignment horizontal="center" vertical="center" wrapText="1"/>
    </xf>
    <xf numFmtId="0" fontId="52" fillId="24" borderId="11" xfId="1" applyFont="1" applyFill="1" applyBorder="1" applyAlignment="1">
      <alignment horizontal="center" vertical="center" wrapText="1"/>
    </xf>
    <xf numFmtId="0" fontId="0" fillId="24" borderId="6" xfId="4" applyFont="1" applyFill="1" applyBorder="1" applyAlignment="1">
      <alignment horizontal="center" vertical="center"/>
    </xf>
    <xf numFmtId="0" fontId="0" fillId="24" borderId="7" xfId="4" applyFont="1" applyFill="1" applyBorder="1" applyAlignment="1">
      <alignment horizontal="center" vertical="center"/>
    </xf>
    <xf numFmtId="0" fontId="0" fillId="24" borderId="11" xfId="4" applyFont="1" applyFill="1" applyBorder="1" applyAlignment="1">
      <alignment horizontal="center" vertical="center"/>
    </xf>
    <xf numFmtId="0" fontId="0" fillId="24" borderId="12" xfId="4" applyFont="1" applyFill="1" applyBorder="1" applyAlignment="1">
      <alignment horizontal="center" vertical="center"/>
    </xf>
    <xf numFmtId="0" fontId="52" fillId="24" borderId="8" xfId="1" applyFont="1" applyFill="1" applyBorder="1" applyAlignment="1">
      <alignment horizontal="center" vertical="center" wrapText="1"/>
    </xf>
    <xf numFmtId="0" fontId="52" fillId="24" borderId="1" xfId="1" applyFont="1" applyFill="1" applyBorder="1" applyAlignment="1">
      <alignment horizontal="center" vertical="center" wrapText="1"/>
    </xf>
    <xf numFmtId="0" fontId="52" fillId="24" borderId="50" xfId="1" applyFont="1" applyFill="1" applyBorder="1" applyAlignment="1">
      <alignment horizontal="center" vertical="center" wrapText="1"/>
    </xf>
    <xf numFmtId="0" fontId="52" fillId="24" borderId="3" xfId="1" applyFont="1" applyFill="1" applyBorder="1" applyAlignment="1">
      <alignment horizontal="center" vertical="center" wrapText="1"/>
    </xf>
    <xf numFmtId="0" fontId="79" fillId="6" borderId="5" xfId="8" applyFont="1" applyFill="1" applyBorder="1" applyAlignment="1">
      <alignment horizontal="center" vertical="center"/>
    </xf>
    <xf numFmtId="0" fontId="79" fillId="6" borderId="6" xfId="8" applyFont="1" applyFill="1" applyBorder="1" applyAlignment="1">
      <alignment horizontal="center" vertical="center"/>
    </xf>
    <xf numFmtId="0" fontId="79" fillId="6" borderId="7" xfId="8" applyFont="1" applyFill="1" applyBorder="1" applyAlignment="1">
      <alignment horizontal="center" vertical="center"/>
    </xf>
    <xf numFmtId="0" fontId="52" fillId="24" borderId="13" xfId="1" applyFont="1" applyFill="1" applyBorder="1" applyAlignment="1">
      <alignment horizontal="center" vertical="center" wrapText="1"/>
    </xf>
    <xf numFmtId="0" fontId="52" fillId="24" borderId="14" xfId="1" applyFont="1" applyFill="1" applyBorder="1" applyAlignment="1">
      <alignment horizontal="center" vertical="center" wrapText="1"/>
    </xf>
    <xf numFmtId="14" fontId="23" fillId="34" borderId="14" xfId="0" applyNumberFormat="1" applyFont="1" applyFill="1" applyBorder="1" applyAlignment="1">
      <alignment horizontal="center" vertical="center"/>
    </xf>
    <xf numFmtId="14" fontId="23" fillId="34" borderId="15" xfId="0" applyNumberFormat="1" applyFont="1" applyFill="1" applyBorder="1" applyAlignment="1">
      <alignment horizontal="center" vertical="center"/>
    </xf>
    <xf numFmtId="0" fontId="0" fillId="3" borderId="37" xfId="3" applyNumberFormat="1" applyFont="1" applyFill="1" applyBorder="1" applyAlignment="1" applyProtection="1">
      <alignment horizontal="center" vertical="center" wrapText="1"/>
    </xf>
    <xf numFmtId="0" fontId="0" fillId="3" borderId="41" xfId="3" applyNumberFormat="1" applyFont="1" applyFill="1" applyBorder="1" applyAlignment="1" applyProtection="1">
      <alignment horizontal="center" vertical="center" wrapText="1"/>
    </xf>
    <xf numFmtId="0" fontId="5" fillId="3" borderId="10" xfId="8" applyFont="1" applyFill="1" applyBorder="1" applyAlignment="1">
      <alignment horizontal="center" vertical="center"/>
    </xf>
    <xf numFmtId="0" fontId="5" fillId="3" borderId="11" xfId="8" applyFont="1" applyFill="1" applyBorder="1" applyAlignment="1">
      <alignment horizontal="center" vertical="center"/>
    </xf>
    <xf numFmtId="0" fontId="5" fillId="3" borderId="32" xfId="8" applyFont="1" applyFill="1" applyBorder="1" applyAlignment="1">
      <alignment horizontal="center" vertical="center"/>
    </xf>
    <xf numFmtId="0" fontId="5" fillId="3" borderId="4" xfId="8" applyFont="1" applyFill="1" applyBorder="1" applyAlignment="1">
      <alignment horizontal="center" vertical="center"/>
    </xf>
    <xf numFmtId="0" fontId="5" fillId="3" borderId="184" xfId="8" applyFont="1" applyFill="1" applyBorder="1" applyAlignment="1">
      <alignment horizontal="center" vertical="center"/>
    </xf>
    <xf numFmtId="0" fontId="5" fillId="3" borderId="115" xfId="8" applyFont="1" applyFill="1" applyBorder="1" applyAlignment="1">
      <alignment horizontal="center" vertical="center"/>
    </xf>
    <xf numFmtId="0" fontId="5" fillId="3" borderId="56" xfId="8" applyFont="1" applyFill="1" applyBorder="1" applyAlignment="1">
      <alignment horizontal="center" vertical="center"/>
    </xf>
    <xf numFmtId="0" fontId="5" fillId="3" borderId="26" xfId="8" applyFont="1" applyFill="1" applyBorder="1" applyAlignment="1">
      <alignment horizontal="center" vertical="center"/>
    </xf>
    <xf numFmtId="0" fontId="5" fillId="3" borderId="27" xfId="8" applyFont="1" applyFill="1" applyBorder="1" applyAlignment="1">
      <alignment horizontal="center" vertical="center"/>
    </xf>
    <xf numFmtId="0" fontId="5" fillId="3" borderId="11" xfId="0" applyFont="1" applyFill="1" applyBorder="1" applyAlignment="1">
      <alignment horizontal="left" vertical="center" wrapText="1" shrinkToFit="1"/>
    </xf>
    <xf numFmtId="0" fontId="142" fillId="0" borderId="1" xfId="0" applyFont="1" applyBorder="1" applyAlignment="1">
      <alignment horizontal="left" vertical="center" wrapText="1" shrinkToFit="1"/>
    </xf>
    <xf numFmtId="0" fontId="91" fillId="3" borderId="3" xfId="0" applyFont="1" applyFill="1" applyBorder="1" applyAlignment="1">
      <alignment horizontal="left" vertical="center" wrapText="1" shrinkToFit="1"/>
    </xf>
    <xf numFmtId="0" fontId="96" fillId="0" borderId="1" xfId="0" applyFont="1" applyBorder="1" applyAlignment="1">
      <alignment horizontal="left" vertical="center" wrapText="1" shrinkToFit="1"/>
    </xf>
    <xf numFmtId="14" fontId="0" fillId="4" borderId="3" xfId="0" applyNumberFormat="1"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4" borderId="51" xfId="0" applyFill="1" applyBorder="1" applyAlignment="1" applyProtection="1">
      <alignment horizontal="center" vertical="center" wrapText="1"/>
      <protection locked="0"/>
    </xf>
    <xf numFmtId="0" fontId="97" fillId="3" borderId="1" xfId="0" applyFont="1" applyFill="1" applyBorder="1" applyAlignment="1">
      <alignment horizontal="center" vertical="center" wrapText="1"/>
    </xf>
    <xf numFmtId="0" fontId="91" fillId="3" borderId="3" xfId="0" applyFont="1" applyFill="1" applyBorder="1" applyAlignment="1">
      <alignment horizontal="center" vertical="center" wrapText="1"/>
    </xf>
    <xf numFmtId="0" fontId="142" fillId="0" borderId="1" xfId="0" applyFont="1" applyBorder="1" applyAlignment="1">
      <alignment horizontal="center" vertical="center" wrapText="1"/>
    </xf>
    <xf numFmtId="0" fontId="0" fillId="4" borderId="3" xfId="0" applyFill="1" applyBorder="1" applyAlignment="1" applyProtection="1">
      <alignment horizontal="left" vertical="center" wrapText="1"/>
      <protection locked="0"/>
    </xf>
    <xf numFmtId="0" fontId="0" fillId="4" borderId="3" xfId="3" applyNumberFormat="1" applyFont="1" applyFill="1" applyBorder="1" applyAlignment="1" applyProtection="1">
      <alignment horizontal="center" vertical="center" wrapText="1"/>
      <protection locked="0"/>
    </xf>
    <xf numFmtId="0" fontId="23" fillId="4" borderId="3" xfId="3" applyNumberFormat="1" applyFont="1" applyFill="1" applyBorder="1" applyAlignment="1" applyProtection="1">
      <alignment horizontal="center" vertical="center" wrapText="1"/>
      <protection locked="0"/>
    </xf>
    <xf numFmtId="0" fontId="5" fillId="3" borderId="8" xfId="8" applyFont="1" applyFill="1" applyBorder="1" applyAlignment="1">
      <alignment horizontal="center" vertical="center"/>
    </xf>
    <xf numFmtId="0" fontId="5" fillId="3" borderId="1" xfId="8" applyFont="1" applyFill="1" applyBorder="1" applyAlignment="1">
      <alignment horizontal="center" vertical="center"/>
    </xf>
    <xf numFmtId="0" fontId="5" fillId="3" borderId="102" xfId="8" applyFont="1" applyFill="1" applyBorder="1" applyAlignment="1">
      <alignment horizontal="center" vertical="center"/>
    </xf>
    <xf numFmtId="0" fontId="5" fillId="3" borderId="105" xfId="8" applyFont="1" applyFill="1" applyBorder="1" applyAlignment="1">
      <alignment horizontal="center" vertical="center"/>
    </xf>
    <xf numFmtId="0" fontId="5" fillId="3" borderId="178" xfId="8" applyFont="1" applyFill="1" applyBorder="1" applyAlignment="1">
      <alignment horizontal="center" vertical="center"/>
    </xf>
    <xf numFmtId="0" fontId="5" fillId="3" borderId="182" xfId="8" applyFont="1" applyFill="1" applyBorder="1" applyAlignment="1">
      <alignment horizontal="center" vertical="center"/>
    </xf>
    <xf numFmtId="0" fontId="23" fillId="3" borderId="8" xfId="0" applyFont="1" applyFill="1" applyBorder="1" applyAlignment="1">
      <alignment horizontal="center" vertical="center"/>
    </xf>
    <xf numFmtId="0" fontId="23" fillId="3" borderId="1" xfId="0" applyFont="1" applyFill="1" applyBorder="1" applyAlignment="1">
      <alignment horizontal="center" vertical="center"/>
    </xf>
    <xf numFmtId="0" fontId="96" fillId="4" borderId="3" xfId="0" applyFont="1" applyFill="1" applyBorder="1" applyAlignment="1" applyProtection="1">
      <alignment horizontal="center" vertical="center"/>
      <protection locked="0"/>
    </xf>
    <xf numFmtId="0" fontId="96" fillId="4" borderId="51" xfId="0" applyFont="1" applyFill="1" applyBorder="1" applyAlignment="1" applyProtection="1">
      <alignment horizontal="center" vertical="center"/>
      <protection locked="0"/>
    </xf>
    <xf numFmtId="0" fontId="94" fillId="9" borderId="0" xfId="17" applyFont="1" applyFill="1" applyAlignment="1">
      <alignment horizontal="right" vertical="center" wrapText="1"/>
    </xf>
    <xf numFmtId="0" fontId="52" fillId="6" borderId="53" xfId="8" applyFont="1" applyFill="1" applyBorder="1" applyAlignment="1">
      <alignment horizontal="center" vertical="center"/>
    </xf>
    <xf numFmtId="0" fontId="52" fillId="6" borderId="21" xfId="8" applyFont="1" applyFill="1" applyBorder="1" applyAlignment="1">
      <alignment horizontal="center" vertical="center"/>
    </xf>
    <xf numFmtId="0" fontId="52" fillId="6" borderId="28" xfId="8" applyFont="1" applyFill="1" applyBorder="1" applyAlignment="1">
      <alignment horizontal="center" vertical="center"/>
    </xf>
    <xf numFmtId="0" fontId="5" fillId="3" borderId="84" xfId="8" applyFont="1" applyFill="1" applyBorder="1" applyAlignment="1">
      <alignment horizontal="center" vertical="center"/>
    </xf>
    <xf numFmtId="0" fontId="5" fillId="3" borderId="125" xfId="8" applyFont="1" applyFill="1" applyBorder="1" applyAlignment="1">
      <alignment horizontal="center" vertical="center"/>
    </xf>
    <xf numFmtId="0" fontId="5" fillId="3" borderId="49" xfId="8" applyFont="1" applyFill="1" applyBorder="1" applyAlignment="1">
      <alignment horizontal="center" vertical="center"/>
    </xf>
    <xf numFmtId="0" fontId="5" fillId="3" borderId="52" xfId="8" applyFont="1" applyFill="1" applyBorder="1" applyAlignment="1">
      <alignment horizontal="center" vertical="center"/>
    </xf>
    <xf numFmtId="0" fontId="93" fillId="3" borderId="43" xfId="3" applyNumberFormat="1" applyFont="1" applyFill="1" applyBorder="1" applyAlignment="1" applyProtection="1">
      <alignment horizontal="left" vertical="center" wrapText="1"/>
    </xf>
    <xf numFmtId="0" fontId="93" fillId="3" borderId="19" xfId="3" applyNumberFormat="1" applyFont="1" applyFill="1" applyBorder="1" applyAlignment="1" applyProtection="1">
      <alignment horizontal="left" vertical="center" wrapText="1"/>
    </xf>
    <xf numFmtId="0" fontId="93" fillId="3" borderId="36" xfId="3" applyNumberFormat="1" applyFont="1" applyFill="1" applyBorder="1" applyAlignment="1" applyProtection="1">
      <alignment horizontal="left" vertical="center" wrapText="1"/>
    </xf>
    <xf numFmtId="0" fontId="93" fillId="3" borderId="100" xfId="3" applyNumberFormat="1" applyFont="1" applyFill="1" applyBorder="1" applyAlignment="1" applyProtection="1">
      <alignment horizontal="left" vertical="center" wrapText="1"/>
    </xf>
    <xf numFmtId="0" fontId="93" fillId="3" borderId="67" xfId="3" applyNumberFormat="1" applyFont="1" applyFill="1" applyBorder="1" applyAlignment="1" applyProtection="1">
      <alignment horizontal="left" vertical="center" wrapText="1"/>
    </xf>
    <xf numFmtId="0" fontId="93" fillId="3" borderId="93" xfId="3" applyNumberFormat="1" applyFont="1" applyFill="1" applyBorder="1" applyAlignment="1" applyProtection="1">
      <alignment horizontal="left" vertical="center" wrapText="1"/>
    </xf>
    <xf numFmtId="0" fontId="94" fillId="24" borderId="50" xfId="0" applyFont="1" applyFill="1" applyBorder="1" applyAlignment="1">
      <alignment horizontal="center" vertical="center" wrapText="1"/>
    </xf>
    <xf numFmtId="0" fontId="94" fillId="24" borderId="32" xfId="0" applyFont="1" applyFill="1" applyBorder="1" applyAlignment="1">
      <alignment horizontal="center" vertical="center" wrapText="1"/>
    </xf>
    <xf numFmtId="0" fontId="94" fillId="24" borderId="57" xfId="0" applyFont="1" applyFill="1" applyBorder="1" applyAlignment="1">
      <alignment horizontal="center" vertical="center" wrapText="1"/>
    </xf>
    <xf numFmtId="0" fontId="94" fillId="24" borderId="68" xfId="0" applyFont="1" applyFill="1" applyBorder="1" applyAlignment="1">
      <alignment horizontal="center" vertical="center" wrapText="1"/>
    </xf>
    <xf numFmtId="0" fontId="94" fillId="24" borderId="69" xfId="0" applyFont="1" applyFill="1" applyBorder="1" applyAlignment="1">
      <alignment horizontal="center" vertical="center" wrapText="1"/>
    </xf>
    <xf numFmtId="0" fontId="94" fillId="24" borderId="67" xfId="0" applyFont="1" applyFill="1" applyBorder="1" applyAlignment="1">
      <alignment horizontal="center" vertical="center" wrapText="1"/>
    </xf>
    <xf numFmtId="0" fontId="95" fillId="24" borderId="68" xfId="0" applyFont="1" applyFill="1" applyBorder="1" applyAlignment="1">
      <alignment horizontal="center" vertical="center" wrapText="1"/>
    </xf>
    <xf numFmtId="0" fontId="95" fillId="24" borderId="54" xfId="0" applyFont="1" applyFill="1" applyBorder="1" applyAlignment="1">
      <alignment horizontal="center" vertical="center" wrapText="1"/>
    </xf>
    <xf numFmtId="0" fontId="95" fillId="24" borderId="67" xfId="0" applyFont="1" applyFill="1" applyBorder="1" applyAlignment="1">
      <alignment horizontal="center" vertical="center" wrapText="1"/>
    </xf>
    <xf numFmtId="0" fontId="95" fillId="24" borderId="70" xfId="0" applyFont="1" applyFill="1" applyBorder="1" applyAlignment="1">
      <alignment horizontal="center" vertical="center" wrapText="1"/>
    </xf>
    <xf numFmtId="0" fontId="94" fillId="24" borderId="54" xfId="0" applyFont="1" applyFill="1" applyBorder="1" applyAlignment="1">
      <alignment horizontal="center" vertical="center" wrapText="1"/>
    </xf>
    <xf numFmtId="0" fontId="94" fillId="24" borderId="70" xfId="0" applyFont="1" applyFill="1" applyBorder="1" applyAlignment="1">
      <alignment horizontal="center" vertical="center" wrapText="1"/>
    </xf>
    <xf numFmtId="0" fontId="95" fillId="24" borderId="57" xfId="0" applyFont="1" applyFill="1" applyBorder="1" applyAlignment="1">
      <alignment horizontal="center" vertical="center" wrapText="1"/>
    </xf>
    <xf numFmtId="0" fontId="95" fillId="24" borderId="69" xfId="0" applyFont="1" applyFill="1" applyBorder="1" applyAlignment="1">
      <alignment horizontal="center" vertical="center" wrapText="1"/>
    </xf>
    <xf numFmtId="0" fontId="94" fillId="24" borderId="101" xfId="0" applyFont="1" applyFill="1" applyBorder="1" applyAlignment="1">
      <alignment horizontal="center" vertical="center" wrapText="1"/>
    </xf>
    <xf numFmtId="0" fontId="94" fillId="24" borderId="93" xfId="0" applyFont="1" applyFill="1" applyBorder="1" applyAlignment="1">
      <alignment horizontal="center" vertical="center" wrapText="1"/>
    </xf>
    <xf numFmtId="0" fontId="96" fillId="4" borderId="69" xfId="3" applyNumberFormat="1" applyFont="1" applyFill="1" applyBorder="1" applyAlignment="1" applyProtection="1">
      <alignment horizontal="center" vertical="center" wrapText="1"/>
      <protection locked="0"/>
    </xf>
    <xf numFmtId="0" fontId="96" fillId="4" borderId="70" xfId="3" applyNumberFormat="1" applyFont="1" applyFill="1" applyBorder="1" applyAlignment="1" applyProtection="1">
      <alignment horizontal="center" vertical="center" wrapText="1"/>
      <protection locked="0"/>
    </xf>
    <xf numFmtId="0" fontId="96" fillId="4" borderId="93" xfId="0" applyFont="1" applyFill="1" applyBorder="1" applyAlignment="1" applyProtection="1">
      <alignment horizontal="center" vertical="center" wrapText="1"/>
      <protection locked="0"/>
    </xf>
    <xf numFmtId="0" fontId="96" fillId="4" borderId="1" xfId="3" applyNumberFormat="1" applyFont="1" applyFill="1" applyBorder="1" applyAlignment="1" applyProtection="1">
      <alignment horizontal="center" vertical="center" wrapText="1"/>
      <protection locked="0"/>
    </xf>
    <xf numFmtId="0" fontId="96" fillId="4" borderId="1" xfId="0" applyFont="1" applyFill="1" applyBorder="1" applyAlignment="1" applyProtection="1">
      <alignment horizontal="center" vertical="center"/>
      <protection locked="0"/>
    </xf>
    <xf numFmtId="0" fontId="96" fillId="4" borderId="9" xfId="0" applyFont="1" applyFill="1" applyBorder="1" applyAlignment="1" applyProtection="1">
      <alignment horizontal="center" vertical="center"/>
      <protection locked="0"/>
    </xf>
    <xf numFmtId="0" fontId="142" fillId="3" borderId="1" xfId="0" applyFont="1" applyFill="1" applyBorder="1" applyAlignment="1">
      <alignment horizontal="left" vertical="center" wrapText="1" shrinkToFit="1"/>
    </xf>
    <xf numFmtId="0" fontId="91" fillId="34" borderId="1" xfId="0" applyFont="1" applyFill="1" applyBorder="1" applyAlignment="1">
      <alignment horizontal="left" vertical="center" wrapText="1" shrinkToFit="1"/>
    </xf>
    <xf numFmtId="0" fontId="96" fillId="3" borderId="1" xfId="0" applyFont="1" applyFill="1" applyBorder="1" applyAlignment="1">
      <alignment horizontal="left" vertical="center" wrapText="1" shrinkToFit="1"/>
    </xf>
    <xf numFmtId="0" fontId="96" fillId="4" borderId="1" xfId="0" quotePrefix="1" applyFont="1" applyFill="1" applyBorder="1" applyAlignment="1" applyProtection="1">
      <alignment horizontal="left" vertical="center" wrapText="1"/>
      <protection locked="0"/>
    </xf>
    <xf numFmtId="0" fontId="96" fillId="4" borderId="3" xfId="3" applyNumberFormat="1" applyFont="1" applyFill="1" applyBorder="1" applyAlignment="1" applyProtection="1">
      <alignment horizontal="center" vertical="center" wrapText="1"/>
      <protection locked="0"/>
    </xf>
    <xf numFmtId="0" fontId="96" fillId="4" borderId="3" xfId="0" applyFont="1" applyFill="1" applyBorder="1" applyAlignment="1" applyProtection="1">
      <alignment horizontal="center" vertical="center" wrapText="1"/>
      <protection locked="0"/>
    </xf>
    <xf numFmtId="14" fontId="96" fillId="4" borderId="3" xfId="0" applyNumberFormat="1" applyFont="1" applyFill="1" applyBorder="1" applyAlignment="1" applyProtection="1">
      <alignment horizontal="center" vertical="center" wrapText="1"/>
      <protection locked="0"/>
    </xf>
    <xf numFmtId="0" fontId="96" fillId="4" borderId="3" xfId="0" applyFont="1" applyFill="1" applyBorder="1" applyAlignment="1" applyProtection="1">
      <alignment horizontal="left" vertical="center" wrapText="1"/>
      <protection locked="0"/>
    </xf>
    <xf numFmtId="0" fontId="96" fillId="4" borderId="42" xfId="0" applyFont="1" applyFill="1" applyBorder="1" applyAlignment="1" applyProtection="1">
      <alignment horizontal="center" vertical="center" wrapText="1" shrinkToFit="1"/>
      <protection locked="0"/>
    </xf>
    <xf numFmtId="0" fontId="96" fillId="4" borderId="0" xfId="0" applyFont="1" applyFill="1" applyAlignment="1" applyProtection="1">
      <alignment horizontal="center" vertical="center" wrapText="1" shrinkToFit="1"/>
      <protection locked="0"/>
    </xf>
    <xf numFmtId="0" fontId="96" fillId="4" borderId="100" xfId="0" applyFont="1" applyFill="1" applyBorder="1" applyAlignment="1" applyProtection="1">
      <alignment horizontal="center" vertical="center" wrapText="1" shrinkToFit="1"/>
      <protection locked="0"/>
    </xf>
    <xf numFmtId="0" fontId="96" fillId="4" borderId="67" xfId="0" applyFont="1" applyFill="1" applyBorder="1" applyAlignment="1" applyProtection="1">
      <alignment horizontal="center" vertical="center" wrapText="1" shrinkToFit="1"/>
      <protection locked="0"/>
    </xf>
    <xf numFmtId="0" fontId="96" fillId="4" borderId="37" xfId="0" applyFont="1" applyFill="1" applyBorder="1" applyAlignment="1" applyProtection="1">
      <alignment horizontal="center" vertical="center" wrapText="1" shrinkToFit="1"/>
      <protection locked="0"/>
    </xf>
    <xf numFmtId="0" fontId="96" fillId="4" borderId="41" xfId="0" applyFont="1" applyFill="1" applyBorder="1" applyAlignment="1" applyProtection="1">
      <alignment horizontal="center" vertical="center" wrapText="1" shrinkToFit="1"/>
      <protection locked="0"/>
    </xf>
    <xf numFmtId="0" fontId="96" fillId="4" borderId="69" xfId="0" applyFont="1" applyFill="1" applyBorder="1" applyAlignment="1" applyProtection="1">
      <alignment horizontal="center" vertical="center" wrapText="1" shrinkToFit="1"/>
      <protection locked="0"/>
    </xf>
    <xf numFmtId="0" fontId="96" fillId="4" borderId="70" xfId="0" applyFont="1" applyFill="1" applyBorder="1" applyAlignment="1" applyProtection="1">
      <alignment horizontal="center" vertical="center" wrapText="1" shrinkToFit="1"/>
      <protection locked="0"/>
    </xf>
    <xf numFmtId="0" fontId="96" fillId="4" borderId="104" xfId="0" applyFont="1" applyFill="1" applyBorder="1" applyAlignment="1" applyProtection="1">
      <alignment horizontal="center" vertical="center" wrapText="1" shrinkToFit="1"/>
      <protection locked="0"/>
    </xf>
    <xf numFmtId="0" fontId="96" fillId="4" borderId="68" xfId="0" applyFont="1" applyFill="1" applyBorder="1" applyAlignment="1" applyProtection="1">
      <alignment horizontal="center" vertical="center" wrapText="1" shrinkToFit="1"/>
      <protection locked="0"/>
    </xf>
    <xf numFmtId="0" fontId="96" fillId="4" borderId="57" xfId="0" applyFont="1" applyFill="1" applyBorder="1" applyAlignment="1" applyProtection="1">
      <alignment horizontal="center" vertical="center" wrapText="1" shrinkToFit="1"/>
      <protection locked="0"/>
    </xf>
    <xf numFmtId="0" fontId="96" fillId="4" borderId="54" xfId="0" applyFont="1" applyFill="1" applyBorder="1" applyAlignment="1" applyProtection="1">
      <alignment horizontal="center" vertical="center" wrapText="1" shrinkToFit="1"/>
      <protection locked="0"/>
    </xf>
    <xf numFmtId="0" fontId="96" fillId="4" borderId="44" xfId="0" applyFont="1" applyFill="1" applyBorder="1" applyAlignment="1" applyProtection="1">
      <alignment horizontal="center" vertical="center" wrapText="1" shrinkToFit="1"/>
      <protection locked="0"/>
    </xf>
    <xf numFmtId="0" fontId="96" fillId="4" borderId="39" xfId="0" applyFont="1" applyFill="1" applyBorder="1" applyAlignment="1" applyProtection="1">
      <alignment horizontal="center" vertical="center" wrapText="1" shrinkToFit="1"/>
      <protection locked="0"/>
    </xf>
    <xf numFmtId="0" fontId="96" fillId="4" borderId="38" xfId="0" applyFont="1" applyFill="1" applyBorder="1" applyAlignment="1" applyProtection="1">
      <alignment horizontal="center" vertical="center" wrapText="1" shrinkToFit="1"/>
      <protection locked="0"/>
    </xf>
    <xf numFmtId="0" fontId="96" fillId="4" borderId="47" xfId="0" applyFont="1" applyFill="1" applyBorder="1" applyAlignment="1" applyProtection="1">
      <alignment horizontal="center" vertical="center" wrapText="1" shrinkToFit="1"/>
      <protection locked="0"/>
    </xf>
    <xf numFmtId="0" fontId="91" fillId="3" borderId="38" xfId="0" applyFont="1" applyFill="1" applyBorder="1" applyAlignment="1">
      <alignment horizontal="left" vertical="center" wrapText="1" shrinkToFit="1"/>
    </xf>
    <xf numFmtId="0" fontId="91" fillId="3" borderId="39" xfId="0" applyFont="1" applyFill="1" applyBorder="1" applyAlignment="1">
      <alignment horizontal="left" vertical="center" wrapText="1" shrinkToFit="1"/>
    </xf>
    <xf numFmtId="0" fontId="91" fillId="3" borderId="47" xfId="0" applyFont="1" applyFill="1" applyBorder="1" applyAlignment="1">
      <alignment horizontal="left" vertical="center" wrapText="1" shrinkToFit="1"/>
    </xf>
    <xf numFmtId="0" fontId="96" fillId="4" borderId="49" xfId="3" applyNumberFormat="1" applyFont="1" applyFill="1" applyBorder="1" applyAlignment="1" applyProtection="1">
      <alignment horizontal="center" vertical="center" wrapText="1"/>
      <protection locked="0"/>
    </xf>
    <xf numFmtId="0" fontId="96" fillId="4" borderId="49" xfId="0" applyFont="1" applyFill="1" applyBorder="1" applyAlignment="1" applyProtection="1">
      <alignment horizontal="center" vertical="center"/>
      <protection locked="0"/>
    </xf>
    <xf numFmtId="0" fontId="96" fillId="4" borderId="52" xfId="0" applyFont="1" applyFill="1" applyBorder="1" applyAlignment="1" applyProtection="1">
      <alignment horizontal="center" vertical="center"/>
      <protection locked="0"/>
    </xf>
    <xf numFmtId="0" fontId="96" fillId="3" borderId="3" xfId="0" applyFont="1" applyFill="1" applyBorder="1" applyAlignment="1">
      <alignment horizontal="center" vertical="center" wrapText="1"/>
    </xf>
    <xf numFmtId="0" fontId="96" fillId="3" borderId="3" xfId="0" applyFont="1" applyFill="1" applyBorder="1" applyAlignment="1">
      <alignment horizontal="left" vertical="center" wrapText="1" shrinkToFit="1"/>
    </xf>
    <xf numFmtId="0" fontId="96" fillId="0" borderId="3" xfId="0" applyFont="1" applyBorder="1" applyAlignment="1">
      <alignment horizontal="left" vertical="center" wrapText="1" shrinkToFit="1"/>
    </xf>
    <xf numFmtId="0" fontId="96" fillId="4" borderId="3" xfId="0" quotePrefix="1" applyFont="1" applyFill="1" applyBorder="1" applyAlignment="1" applyProtection="1">
      <alignment horizontal="left" vertical="center" wrapText="1"/>
      <protection locked="0"/>
    </xf>
    <xf numFmtId="0" fontId="96" fillId="3" borderId="11" xfId="0" applyFont="1" applyFill="1" applyBorder="1" applyAlignment="1">
      <alignment horizontal="center" vertical="center" wrapText="1"/>
    </xf>
    <xf numFmtId="0" fontId="96" fillId="3" borderId="11" xfId="0" applyFont="1" applyFill="1" applyBorder="1" applyAlignment="1">
      <alignment horizontal="left" vertical="center" wrapText="1" shrinkToFit="1"/>
    </xf>
    <xf numFmtId="0" fontId="96" fillId="4" borderId="11" xfId="0" quotePrefix="1" applyFont="1" applyFill="1" applyBorder="1" applyAlignment="1" applyProtection="1">
      <alignment horizontal="left" vertical="center" wrapText="1"/>
      <protection locked="0"/>
    </xf>
    <xf numFmtId="0" fontId="96" fillId="4" borderId="11" xfId="3" applyNumberFormat="1" applyFont="1" applyFill="1" applyBorder="1" applyAlignment="1" applyProtection="1">
      <alignment horizontal="center" vertical="center" wrapText="1"/>
      <protection locked="0"/>
    </xf>
    <xf numFmtId="0" fontId="96" fillId="4" borderId="11" xfId="0" applyFont="1" applyFill="1" applyBorder="1" applyAlignment="1" applyProtection="1">
      <alignment horizontal="center" vertical="center"/>
      <protection locked="0"/>
    </xf>
    <xf numFmtId="0" fontId="96" fillId="4" borderId="12" xfId="0" applyFont="1" applyFill="1" applyBorder="1" applyAlignment="1" applyProtection="1">
      <alignment horizontal="center" vertical="center"/>
      <protection locked="0"/>
    </xf>
    <xf numFmtId="0" fontId="28" fillId="3" borderId="53" xfId="3" applyNumberFormat="1" applyFont="1" applyFill="1" applyBorder="1" applyAlignment="1" applyProtection="1">
      <alignment horizontal="left" vertical="center" wrapText="1"/>
    </xf>
    <xf numFmtId="0" fontId="28" fillId="3" borderId="21" xfId="3" applyNumberFormat="1" applyFont="1" applyFill="1" applyBorder="1" applyAlignment="1" applyProtection="1">
      <alignment horizontal="left" vertical="center" wrapText="1"/>
    </xf>
    <xf numFmtId="0" fontId="28" fillId="3" borderId="22" xfId="3" applyNumberFormat="1" applyFont="1" applyFill="1" applyBorder="1" applyAlignment="1" applyProtection="1">
      <alignment horizontal="left" vertical="center" wrapText="1"/>
    </xf>
    <xf numFmtId="0" fontId="28" fillId="3" borderId="55" xfId="3" applyNumberFormat="1" applyFont="1" applyFill="1" applyBorder="1" applyAlignment="1" applyProtection="1">
      <alignment horizontal="left" vertical="center" wrapText="1"/>
    </xf>
    <xf numFmtId="0" fontId="28" fillId="3" borderId="23" xfId="3" applyNumberFormat="1" applyFont="1" applyFill="1" applyBorder="1" applyAlignment="1" applyProtection="1">
      <alignment horizontal="left" vertical="center" wrapText="1"/>
    </xf>
    <xf numFmtId="0" fontId="28" fillId="3" borderId="24" xfId="3" applyNumberFormat="1" applyFont="1" applyFill="1" applyBorder="1" applyAlignment="1" applyProtection="1">
      <alignment horizontal="left" vertical="center" wrapText="1"/>
    </xf>
    <xf numFmtId="0" fontId="22" fillId="24" borderId="2" xfId="0" applyFont="1" applyFill="1" applyBorder="1" applyAlignment="1">
      <alignment horizontal="center" vertical="center" wrapText="1"/>
    </xf>
    <xf numFmtId="0" fontId="22" fillId="24" borderId="23" xfId="0" applyFont="1" applyFill="1" applyBorder="1" applyAlignment="1">
      <alignment horizontal="center" vertical="center" wrapText="1"/>
    </xf>
    <xf numFmtId="0" fontId="52" fillId="24" borderId="23" xfId="0" applyFont="1" applyFill="1" applyBorder="1" applyAlignment="1">
      <alignment horizontal="center" vertical="center" wrapText="1"/>
    </xf>
    <xf numFmtId="0" fontId="52" fillId="24" borderId="20" xfId="0" applyFont="1" applyFill="1" applyBorder="1" applyAlignment="1">
      <alignment horizontal="center" vertical="center" wrapText="1"/>
    </xf>
    <xf numFmtId="0" fontId="22" fillId="24" borderId="20" xfId="0" applyFont="1" applyFill="1" applyBorder="1" applyAlignment="1">
      <alignment horizontal="center" vertical="center" wrapText="1"/>
    </xf>
    <xf numFmtId="0" fontId="52" fillId="24" borderId="2" xfId="0" applyFont="1" applyFill="1" applyBorder="1" applyAlignment="1">
      <alignment horizontal="center" vertical="center" wrapText="1"/>
    </xf>
    <xf numFmtId="0" fontId="22" fillId="24" borderId="2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 xfId="0" applyFont="1" applyFill="1" applyBorder="1" applyAlignment="1">
      <alignment horizontal="left" vertical="center" wrapText="1" shrinkToFit="1"/>
    </xf>
    <xf numFmtId="0" fontId="5" fillId="3" borderId="23" xfId="0" applyFont="1" applyFill="1" applyBorder="1" applyAlignment="1">
      <alignment horizontal="left" vertical="center" wrapText="1" shrinkToFit="1"/>
    </xf>
    <xf numFmtId="0" fontId="5" fillId="3" borderId="20" xfId="0" applyFont="1" applyFill="1" applyBorder="1" applyAlignment="1">
      <alignment horizontal="left" vertical="center" wrapText="1" shrinkToFit="1"/>
    </xf>
    <xf numFmtId="0" fontId="23" fillId="4" borderId="2" xfId="0" applyFont="1" applyFill="1" applyBorder="1" applyAlignment="1" applyProtection="1">
      <alignment horizontal="left" vertical="center" wrapText="1"/>
      <protection locked="0"/>
    </xf>
    <xf numFmtId="0" fontId="23" fillId="4" borderId="23" xfId="0" applyFont="1" applyFill="1" applyBorder="1" applyAlignment="1" applyProtection="1">
      <alignment horizontal="left" vertical="center" wrapText="1"/>
      <protection locked="0"/>
    </xf>
    <xf numFmtId="0" fontId="23" fillId="4" borderId="20" xfId="0" applyFont="1" applyFill="1" applyBorder="1" applyAlignment="1" applyProtection="1">
      <alignment horizontal="left" vertical="center" wrapText="1"/>
      <protection locked="0"/>
    </xf>
    <xf numFmtId="0" fontId="23" fillId="4" borderId="2" xfId="3" applyNumberFormat="1" applyFont="1" applyFill="1" applyBorder="1" applyAlignment="1" applyProtection="1">
      <alignment horizontal="center" vertical="center" wrapText="1"/>
      <protection locked="0"/>
    </xf>
    <xf numFmtId="0" fontId="23" fillId="4" borderId="20" xfId="3" applyNumberFormat="1" applyFont="1" applyFill="1" applyBorder="1" applyAlignment="1" applyProtection="1">
      <alignment horizontal="center" vertical="center" wrapText="1"/>
      <protection locked="0"/>
    </xf>
    <xf numFmtId="0" fontId="23" fillId="4" borderId="2" xfId="0" applyFont="1" applyFill="1" applyBorder="1" applyAlignment="1" applyProtection="1">
      <alignment horizontal="center" vertical="center" wrapText="1"/>
      <protection locked="0"/>
    </xf>
    <xf numFmtId="0" fontId="23" fillId="4" borderId="23" xfId="0" applyFont="1" applyFill="1" applyBorder="1" applyAlignment="1" applyProtection="1">
      <alignment horizontal="center" vertical="center" wrapText="1"/>
      <protection locked="0"/>
    </xf>
    <xf numFmtId="0" fontId="23" fillId="4" borderId="20" xfId="0" applyFont="1" applyFill="1" applyBorder="1" applyAlignment="1" applyProtection="1">
      <alignment horizontal="center" vertical="center" wrapText="1"/>
      <protection locked="0"/>
    </xf>
    <xf numFmtId="14" fontId="23" fillId="4" borderId="2" xfId="0" applyNumberFormat="1" applyFont="1" applyFill="1" applyBorder="1" applyAlignment="1" applyProtection="1">
      <alignment horizontal="center" vertical="center" wrapText="1"/>
      <protection locked="0"/>
    </xf>
    <xf numFmtId="14" fontId="23" fillId="4" borderId="20" xfId="0" applyNumberFormat="1" applyFont="1" applyFill="1" applyBorder="1" applyAlignment="1" applyProtection="1">
      <alignment horizontal="center" vertical="center" wrapText="1"/>
      <protection locked="0"/>
    </xf>
    <xf numFmtId="0" fontId="23" fillId="4" borderId="24"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center" vertical="center" wrapText="1"/>
      <protection locked="0"/>
    </xf>
    <xf numFmtId="14" fontId="23" fillId="4" borderId="1" xfId="0" applyNumberFormat="1"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0" fontId="23" fillId="4" borderId="9" xfId="0" applyFont="1" applyFill="1" applyBorder="1" applyAlignment="1" applyProtection="1">
      <alignment horizontal="center" vertical="center"/>
      <protection locked="0"/>
    </xf>
    <xf numFmtId="0" fontId="5" fillId="3" borderId="1" xfId="0" applyFont="1" applyFill="1" applyBorder="1" applyAlignment="1">
      <alignment horizontal="left" vertical="center" wrapText="1" shrinkToFit="1"/>
    </xf>
    <xf numFmtId="0" fontId="23" fillId="4" borderId="1" xfId="0" applyFont="1" applyFill="1" applyBorder="1" applyAlignment="1" applyProtection="1">
      <alignment horizontal="left" vertical="center" wrapText="1"/>
      <protection locked="0"/>
    </xf>
    <xf numFmtId="0" fontId="5" fillId="3" borderId="38"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5" fillId="3" borderId="38" xfId="0" applyFont="1" applyFill="1" applyBorder="1" applyAlignment="1">
      <alignment horizontal="left" vertical="center" wrapText="1" shrinkToFit="1"/>
    </xf>
    <xf numFmtId="0" fontId="5" fillId="3" borderId="39" xfId="0" applyFont="1" applyFill="1" applyBorder="1" applyAlignment="1">
      <alignment horizontal="left" vertical="center" wrapText="1" shrinkToFit="1"/>
    </xf>
    <xf numFmtId="0" fontId="5" fillId="3" borderId="47" xfId="0" applyFont="1" applyFill="1" applyBorder="1" applyAlignment="1">
      <alignment horizontal="left" vertical="center" wrapText="1" shrinkToFit="1"/>
    </xf>
    <xf numFmtId="0" fontId="23" fillId="4" borderId="38" xfId="0" applyFont="1" applyFill="1" applyBorder="1" applyAlignment="1" applyProtection="1">
      <alignment horizontal="left" vertical="center" wrapText="1"/>
      <protection locked="0"/>
    </xf>
    <xf numFmtId="0" fontId="23" fillId="4" borderId="39" xfId="0" applyFont="1" applyFill="1" applyBorder="1" applyAlignment="1" applyProtection="1">
      <alignment horizontal="left" vertical="center" wrapText="1"/>
      <protection locked="0"/>
    </xf>
    <xf numFmtId="0" fontId="23" fillId="4" borderId="47" xfId="0" applyFont="1" applyFill="1" applyBorder="1" applyAlignment="1" applyProtection="1">
      <alignment horizontal="left" vertical="center" wrapText="1"/>
      <protection locked="0"/>
    </xf>
    <xf numFmtId="0" fontId="0" fillId="4" borderId="38" xfId="3" applyNumberFormat="1" applyFont="1" applyFill="1" applyBorder="1" applyAlignment="1" applyProtection="1">
      <alignment horizontal="center" vertical="center" wrapText="1"/>
      <protection locked="0"/>
    </xf>
    <xf numFmtId="0" fontId="0" fillId="4" borderId="47" xfId="3" applyNumberFormat="1" applyFont="1" applyFill="1" applyBorder="1" applyAlignment="1" applyProtection="1">
      <alignment horizontal="center" vertical="center" wrapText="1"/>
      <protection locked="0"/>
    </xf>
    <xf numFmtId="0" fontId="23" fillId="4" borderId="38" xfId="0" applyFont="1" applyFill="1" applyBorder="1" applyAlignment="1" applyProtection="1">
      <alignment horizontal="center" vertical="center" wrapText="1"/>
      <protection locked="0"/>
    </xf>
    <xf numFmtId="0" fontId="23" fillId="4" borderId="39" xfId="0" applyFont="1" applyFill="1" applyBorder="1" applyAlignment="1" applyProtection="1">
      <alignment horizontal="center" vertical="center" wrapText="1"/>
      <protection locked="0"/>
    </xf>
    <xf numFmtId="0" fontId="23" fillId="4" borderId="47" xfId="0" applyFont="1" applyFill="1" applyBorder="1" applyAlignment="1" applyProtection="1">
      <alignment horizontal="center" vertical="center" wrapText="1"/>
      <protection locked="0"/>
    </xf>
    <xf numFmtId="14" fontId="23" fillId="4" borderId="38" xfId="0" applyNumberFormat="1" applyFont="1" applyFill="1" applyBorder="1" applyAlignment="1" applyProtection="1">
      <alignment horizontal="center" vertical="center" wrapText="1"/>
      <protection locked="0"/>
    </xf>
    <xf numFmtId="14" fontId="23" fillId="4" borderId="47" xfId="0" applyNumberFormat="1" applyFont="1" applyFill="1" applyBorder="1" applyAlignment="1" applyProtection="1">
      <alignment horizontal="center" vertical="center" wrapText="1"/>
      <protection locked="0"/>
    </xf>
    <xf numFmtId="0" fontId="0" fillId="4" borderId="38" xfId="0" applyFill="1" applyBorder="1" applyAlignment="1" applyProtection="1">
      <alignment horizontal="center" vertical="center"/>
      <protection locked="0"/>
    </xf>
    <xf numFmtId="0" fontId="0" fillId="4" borderId="40" xfId="0" applyFill="1" applyBorder="1" applyAlignment="1" applyProtection="1">
      <alignment horizontal="center" vertical="center"/>
      <protection locked="0"/>
    </xf>
    <xf numFmtId="0" fontId="129" fillId="4" borderId="4" xfId="0" applyFont="1" applyFill="1" applyBorder="1" applyAlignment="1" applyProtection="1">
      <alignment horizontal="left" vertical="center" wrapText="1"/>
      <protection locked="0"/>
    </xf>
    <xf numFmtId="0" fontId="23" fillId="4" borderId="1" xfId="0" applyFont="1" applyFill="1" applyBorder="1" applyAlignment="1" applyProtection="1">
      <alignment horizontal="center" vertical="center"/>
      <protection locked="0"/>
    </xf>
    <xf numFmtId="14" fontId="23" fillId="4" borderId="3" xfId="0" applyNumberFormat="1" applyFont="1" applyFill="1" applyBorder="1" applyAlignment="1" applyProtection="1">
      <alignment horizontal="center" vertical="center" wrapText="1"/>
      <protection locked="0"/>
    </xf>
    <xf numFmtId="0" fontId="23" fillId="4" borderId="3" xfId="0" applyFont="1" applyFill="1" applyBorder="1" applyAlignment="1" applyProtection="1">
      <alignment horizontal="center" vertical="center" wrapText="1"/>
      <protection locked="0"/>
    </xf>
    <xf numFmtId="0" fontId="0" fillId="4" borderId="3" xfId="0" applyFill="1" applyBorder="1" applyAlignment="1" applyProtection="1">
      <alignment horizontal="center" vertical="center"/>
      <protection locked="0"/>
    </xf>
    <xf numFmtId="0" fontId="23" fillId="4" borderId="51" xfId="0" applyFont="1" applyFill="1" applyBorder="1" applyAlignment="1" applyProtection="1">
      <alignment horizontal="center" vertical="center"/>
      <protection locked="0"/>
    </xf>
    <xf numFmtId="0" fontId="0" fillId="3" borderId="1" xfId="0" applyFill="1" applyBorder="1" applyAlignment="1">
      <alignment horizontal="left" vertical="center" wrapText="1" shrinkToFit="1"/>
    </xf>
    <xf numFmtId="0" fontId="0" fillId="4" borderId="2" xfId="0" applyFill="1" applyBorder="1" applyAlignment="1" applyProtection="1">
      <alignment horizontal="center" vertical="center"/>
      <protection locked="0"/>
    </xf>
    <xf numFmtId="0" fontId="23" fillId="4" borderId="24" xfId="0" applyFont="1" applyFill="1" applyBorder="1" applyAlignment="1" applyProtection="1">
      <alignment horizontal="center" vertical="center"/>
      <protection locked="0"/>
    </xf>
    <xf numFmtId="0" fontId="23" fillId="4" borderId="11" xfId="0" applyFont="1" applyFill="1" applyBorder="1" applyAlignment="1" applyProtection="1">
      <alignment horizontal="left" vertical="center" wrapText="1"/>
      <protection locked="0"/>
    </xf>
    <xf numFmtId="0" fontId="23" fillId="4" borderId="11" xfId="0" applyFont="1" applyFill="1" applyBorder="1" applyAlignment="1" applyProtection="1">
      <alignment horizontal="center" vertical="center" wrapText="1"/>
      <protection locked="0"/>
    </xf>
    <xf numFmtId="14" fontId="23" fillId="4" borderId="11" xfId="0" applyNumberFormat="1" applyFont="1" applyFill="1" applyBorder="1" applyAlignment="1" applyProtection="1">
      <alignment horizontal="center" vertical="center" wrapText="1"/>
      <protection locked="0"/>
    </xf>
    <xf numFmtId="0" fontId="0" fillId="4" borderId="11" xfId="0" applyFill="1" applyBorder="1" applyAlignment="1" applyProtection="1">
      <alignment horizontal="center" vertical="center"/>
      <protection locked="0"/>
    </xf>
    <xf numFmtId="0" fontId="23" fillId="4" borderId="12" xfId="0" applyFont="1" applyFill="1" applyBorder="1" applyAlignment="1" applyProtection="1">
      <alignment horizontal="center" vertical="center"/>
      <protection locked="0"/>
    </xf>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shrinkToFit="1"/>
    </xf>
    <xf numFmtId="0" fontId="23" fillId="4" borderId="3" xfId="0" applyFont="1" applyFill="1" applyBorder="1" applyAlignment="1" applyProtection="1">
      <alignment horizontal="left" vertical="center" wrapText="1"/>
      <protection locked="0"/>
    </xf>
    <xf numFmtId="0" fontId="23" fillId="4" borderId="104" xfId="0" applyFont="1" applyFill="1" applyBorder="1" applyAlignment="1" applyProtection="1">
      <alignment horizontal="center" vertical="center" wrapText="1" shrinkToFit="1"/>
      <protection locked="0"/>
    </xf>
    <xf numFmtId="0" fontId="23" fillId="4" borderId="68" xfId="0" applyFont="1" applyFill="1" applyBorder="1" applyAlignment="1" applyProtection="1">
      <alignment horizontal="center" vertical="center" wrapText="1" shrinkToFit="1"/>
      <protection locked="0"/>
    </xf>
    <xf numFmtId="0" fontId="23" fillId="4" borderId="44" xfId="0" applyFont="1" applyFill="1" applyBorder="1" applyAlignment="1" applyProtection="1">
      <alignment horizontal="center" vertical="center" wrapText="1" shrinkToFit="1"/>
      <protection locked="0"/>
    </xf>
    <xf numFmtId="0" fontId="23" fillId="4" borderId="39" xfId="0" applyFont="1" applyFill="1" applyBorder="1" applyAlignment="1" applyProtection="1">
      <alignment horizontal="center" vertical="center" wrapText="1" shrinkToFit="1"/>
      <protection locked="0"/>
    </xf>
    <xf numFmtId="0" fontId="23" fillId="4" borderId="57" xfId="0" applyFont="1" applyFill="1" applyBorder="1" applyAlignment="1" applyProtection="1">
      <alignment horizontal="center" vertical="center" wrapText="1" shrinkToFit="1"/>
      <protection locked="0"/>
    </xf>
    <xf numFmtId="0" fontId="23" fillId="4" borderId="54" xfId="0" applyFont="1" applyFill="1" applyBorder="1" applyAlignment="1" applyProtection="1">
      <alignment horizontal="center" vertical="center" wrapText="1" shrinkToFit="1"/>
      <protection locked="0"/>
    </xf>
    <xf numFmtId="0" fontId="23" fillId="4" borderId="38" xfId="0" applyFont="1" applyFill="1" applyBorder="1" applyAlignment="1" applyProtection="1">
      <alignment horizontal="center" vertical="center" wrapText="1" shrinkToFit="1"/>
      <protection locked="0"/>
    </xf>
    <xf numFmtId="0" fontId="23" fillId="4" borderId="47" xfId="0" applyFont="1" applyFill="1" applyBorder="1" applyAlignment="1" applyProtection="1">
      <alignment horizontal="center" vertical="center" wrapText="1" shrinkToFit="1"/>
      <protection locked="0"/>
    </xf>
    <xf numFmtId="0" fontId="0" fillId="4" borderId="55" xfId="0" applyFill="1" applyBorder="1" applyAlignment="1" applyProtection="1">
      <alignment horizontal="left" vertical="top" wrapText="1" shrinkToFit="1"/>
      <protection locked="0"/>
    </xf>
    <xf numFmtId="0" fontId="23" fillId="4" borderId="23" xfId="0" applyFont="1" applyFill="1" applyBorder="1" applyAlignment="1" applyProtection="1">
      <alignment horizontal="left" vertical="top" wrapText="1" shrinkToFit="1"/>
      <protection locked="0"/>
    </xf>
    <xf numFmtId="0" fontId="23" fillId="4" borderId="24" xfId="0" applyFont="1" applyFill="1" applyBorder="1" applyAlignment="1" applyProtection="1">
      <alignment horizontal="left" vertical="top" wrapText="1" shrinkToFit="1"/>
      <protection locked="0"/>
    </xf>
    <xf numFmtId="0" fontId="23" fillId="4" borderId="55" xfId="0" applyFont="1" applyFill="1" applyBorder="1" applyAlignment="1" applyProtection="1">
      <alignment horizontal="left" vertical="top" wrapText="1" shrinkToFit="1"/>
      <protection locked="0"/>
    </xf>
    <xf numFmtId="0" fontId="23" fillId="4" borderId="56" xfId="0" applyFont="1" applyFill="1" applyBorder="1" applyAlignment="1" applyProtection="1">
      <alignment horizontal="left" vertical="top" wrapText="1" shrinkToFit="1"/>
      <protection locked="0"/>
    </xf>
    <xf numFmtId="0" fontId="23" fillId="4" borderId="26" xfId="0" applyFont="1" applyFill="1" applyBorder="1" applyAlignment="1" applyProtection="1">
      <alignment horizontal="left" vertical="top" wrapText="1" shrinkToFit="1"/>
      <protection locked="0"/>
    </xf>
    <xf numFmtId="0" fontId="23" fillId="4" borderId="33" xfId="0" applyFont="1" applyFill="1" applyBorder="1" applyAlignment="1" applyProtection="1">
      <alignment horizontal="left" vertical="top" wrapText="1" shrinkToFit="1"/>
      <protection locked="0"/>
    </xf>
    <xf numFmtId="0" fontId="23" fillId="4" borderId="42" xfId="0" applyFont="1" applyFill="1" applyBorder="1" applyAlignment="1" applyProtection="1">
      <alignment horizontal="center" vertical="center" wrapText="1" shrinkToFit="1"/>
      <protection locked="0"/>
    </xf>
    <xf numFmtId="0" fontId="23" fillId="4" borderId="0" xfId="0" applyFont="1" applyFill="1" applyAlignment="1" applyProtection="1">
      <alignment horizontal="center" vertical="center" wrapText="1" shrinkToFit="1"/>
      <protection locked="0"/>
    </xf>
    <xf numFmtId="0" fontId="23" fillId="4" borderId="100" xfId="0" applyFont="1" applyFill="1" applyBorder="1" applyAlignment="1" applyProtection="1">
      <alignment horizontal="center" vertical="center" wrapText="1" shrinkToFit="1"/>
      <protection locked="0"/>
    </xf>
    <xf numFmtId="0" fontId="23" fillId="4" borderId="67" xfId="0" applyFont="1" applyFill="1" applyBorder="1" applyAlignment="1" applyProtection="1">
      <alignment horizontal="center" vertical="center" wrapText="1" shrinkToFit="1"/>
      <protection locked="0"/>
    </xf>
    <xf numFmtId="0" fontId="23" fillId="4" borderId="37" xfId="0" applyFont="1" applyFill="1" applyBorder="1" applyAlignment="1" applyProtection="1">
      <alignment horizontal="center" vertical="center" wrapText="1" shrinkToFit="1"/>
      <protection locked="0"/>
    </xf>
    <xf numFmtId="0" fontId="23" fillId="4" borderId="41" xfId="0" applyFont="1" applyFill="1" applyBorder="1" applyAlignment="1" applyProtection="1">
      <alignment horizontal="center" vertical="center" wrapText="1" shrinkToFit="1"/>
      <protection locked="0"/>
    </xf>
    <xf numFmtId="0" fontId="23" fillId="4" borderId="69" xfId="0" applyFont="1" applyFill="1" applyBorder="1" applyAlignment="1" applyProtection="1">
      <alignment horizontal="center" vertical="center" wrapText="1" shrinkToFit="1"/>
      <protection locked="0"/>
    </xf>
    <xf numFmtId="0" fontId="23" fillId="4" borderId="70" xfId="0" applyFont="1" applyFill="1" applyBorder="1" applyAlignment="1" applyProtection="1">
      <alignment horizontal="center" vertical="center" wrapText="1" shrinkToFit="1"/>
      <protection locked="0"/>
    </xf>
    <xf numFmtId="14" fontId="23" fillId="3" borderId="37" xfId="0" applyNumberFormat="1" applyFont="1" applyFill="1" applyBorder="1" applyAlignment="1">
      <alignment horizontal="center" vertical="center" wrapText="1" shrinkToFit="1"/>
    </xf>
    <xf numFmtId="14" fontId="23" fillId="3" borderId="0" xfId="0" applyNumberFormat="1" applyFont="1" applyFill="1" applyAlignment="1">
      <alignment horizontal="center" vertical="center" wrapText="1" shrinkToFit="1"/>
    </xf>
    <xf numFmtId="14" fontId="23" fillId="3" borderId="16" xfId="0" applyNumberFormat="1" applyFont="1" applyFill="1" applyBorder="1" applyAlignment="1">
      <alignment horizontal="center" vertical="center" wrapText="1" shrinkToFit="1"/>
    </xf>
    <xf numFmtId="14" fontId="23" fillId="3" borderId="38" xfId="0" applyNumberFormat="1" applyFont="1" applyFill="1" applyBorder="1" applyAlignment="1">
      <alignment horizontal="center" vertical="center" wrapText="1" shrinkToFit="1"/>
    </xf>
    <xf numFmtId="14" fontId="23" fillId="3" borderId="39" xfId="0" applyNumberFormat="1" applyFont="1" applyFill="1" applyBorder="1" applyAlignment="1">
      <alignment horizontal="center" vertical="center" wrapText="1" shrinkToFit="1"/>
    </xf>
    <xf numFmtId="14" fontId="23" fillId="3" borderId="40" xfId="0" applyNumberFormat="1" applyFont="1" applyFill="1" applyBorder="1" applyAlignment="1">
      <alignment horizontal="center" vertical="center" wrapText="1" shrinkToFit="1"/>
    </xf>
    <xf numFmtId="0" fontId="0" fillId="4" borderId="24" xfId="0" applyFill="1" applyBorder="1" applyAlignment="1" applyProtection="1">
      <alignment horizontal="center" vertical="center"/>
      <protection locked="0"/>
    </xf>
    <xf numFmtId="0" fontId="26" fillId="4" borderId="18" xfId="1" applyFont="1" applyFill="1" applyBorder="1" applyAlignment="1">
      <alignment horizontal="center" vertical="center" wrapText="1"/>
    </xf>
    <xf numFmtId="0" fontId="26" fillId="4" borderId="30" xfId="1" applyFont="1" applyFill="1" applyBorder="1" applyAlignment="1">
      <alignment horizontal="center" vertical="center" wrapText="1"/>
    </xf>
    <xf numFmtId="0" fontId="26" fillId="4" borderId="31" xfId="1" applyFont="1" applyFill="1" applyBorder="1" applyAlignment="1">
      <alignment horizontal="center" vertical="center" wrapText="1"/>
    </xf>
    <xf numFmtId="0" fontId="0" fillId="4" borderId="18" xfId="0" applyFill="1" applyBorder="1" applyAlignment="1" applyProtection="1">
      <alignment horizontal="center" vertical="center"/>
      <protection locked="0"/>
    </xf>
    <xf numFmtId="0" fontId="0" fillId="4" borderId="30" xfId="0" applyFill="1" applyBorder="1" applyAlignment="1" applyProtection="1">
      <alignment horizontal="center" vertical="center"/>
      <protection locked="0"/>
    </xf>
    <xf numFmtId="0" fontId="0" fillId="4" borderId="31" xfId="0" applyFill="1" applyBorder="1" applyAlignment="1" applyProtection="1">
      <alignment horizontal="center" vertical="center"/>
      <protection locked="0"/>
    </xf>
    <xf numFmtId="0" fontId="0" fillId="4" borderId="4" xfId="0" applyFill="1" applyBorder="1" applyAlignment="1">
      <alignment horizontal="left" vertical="center" wrapText="1"/>
    </xf>
    <xf numFmtId="0" fontId="0" fillId="4" borderId="34" xfId="0" applyFill="1" applyBorder="1" applyAlignment="1">
      <alignment horizontal="left" vertical="center" wrapText="1"/>
    </xf>
    <xf numFmtId="0" fontId="0" fillId="4" borderId="4" xfId="0" applyFill="1" applyBorder="1" applyAlignment="1">
      <alignment horizontal="right" vertical="center" wrapText="1"/>
    </xf>
    <xf numFmtId="9" fontId="23" fillId="3" borderId="20" xfId="4" applyNumberFormat="1" applyFill="1" applyBorder="1" applyAlignment="1">
      <alignment horizontal="center" vertical="center"/>
    </xf>
    <xf numFmtId="9" fontId="23" fillId="3" borderId="1" xfId="4" applyNumberFormat="1" applyFill="1" applyBorder="1" applyAlignment="1">
      <alignment horizontal="center" vertical="center"/>
    </xf>
    <xf numFmtId="9" fontId="23" fillId="3" borderId="9" xfId="4" applyNumberFormat="1" applyFill="1" applyBorder="1" applyAlignment="1">
      <alignment horizontal="center" vertical="center"/>
    </xf>
    <xf numFmtId="9" fontId="23" fillId="3" borderId="17" xfId="4" applyNumberFormat="1" applyFill="1" applyBorder="1" applyAlignment="1">
      <alignment horizontal="center" vertical="center"/>
    </xf>
    <xf numFmtId="9" fontId="23" fillId="3" borderId="30" xfId="4" applyNumberFormat="1" applyFill="1" applyBorder="1" applyAlignment="1">
      <alignment horizontal="center" vertical="center"/>
    </xf>
    <xf numFmtId="9" fontId="23" fillId="3" borderId="31" xfId="4" applyNumberFormat="1" applyFill="1" applyBorder="1" applyAlignment="1">
      <alignment horizontal="center" vertical="center"/>
    </xf>
    <xf numFmtId="0" fontId="23" fillId="3" borderId="4" xfId="3" applyNumberFormat="1" applyFont="1" applyFill="1" applyBorder="1" applyAlignment="1" applyProtection="1">
      <alignment horizontal="center" vertical="center" wrapText="1"/>
    </xf>
    <xf numFmtId="0" fontId="23" fillId="3" borderId="1" xfId="3" applyNumberFormat="1" applyFont="1" applyFill="1" applyBorder="1" applyAlignment="1" applyProtection="1">
      <alignment horizontal="center" vertical="center" wrapText="1"/>
    </xf>
    <xf numFmtId="0" fontId="0" fillId="4" borderId="6" xfId="0" applyFill="1" applyBorder="1" applyAlignment="1">
      <alignment horizontal="right" vertical="center" wrapText="1"/>
    </xf>
    <xf numFmtId="0" fontId="0" fillId="4" borderId="6" xfId="0" applyFill="1" applyBorder="1" applyAlignment="1">
      <alignment horizontal="left" vertical="center" wrapText="1"/>
    </xf>
    <xf numFmtId="0" fontId="0" fillId="4" borderId="7" xfId="0" applyFill="1" applyBorder="1" applyAlignment="1">
      <alignment horizontal="left"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2"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27" xfId="0" applyFill="1" applyBorder="1" applyAlignment="1">
      <alignment horizontal="center" vertical="center" wrapText="1"/>
    </xf>
    <xf numFmtId="0" fontId="22" fillId="3" borderId="18" xfId="0" applyFont="1" applyFill="1" applyBorder="1" applyAlignment="1">
      <alignment horizontal="center" vertical="center" wrapText="1"/>
    </xf>
    <xf numFmtId="0" fontId="22" fillId="3" borderId="30" xfId="0" applyFont="1" applyFill="1" applyBorder="1" applyAlignment="1">
      <alignment horizontal="center" vertical="center" wrapText="1"/>
    </xf>
    <xf numFmtId="0" fontId="22" fillId="3" borderId="45" xfId="0" applyFont="1" applyFill="1" applyBorder="1" applyAlignment="1">
      <alignment horizontal="center" vertical="center" wrapText="1"/>
    </xf>
    <xf numFmtId="0" fontId="0" fillId="4" borderId="5" xfId="0" applyFill="1" applyBorder="1" applyAlignment="1">
      <alignment horizontal="right" vertical="center" wrapText="1"/>
    </xf>
    <xf numFmtId="0" fontId="0" fillId="4" borderId="49" xfId="0" applyFill="1" applyBorder="1" applyAlignment="1">
      <alignment horizontal="right" vertical="center" wrapText="1"/>
    </xf>
    <xf numFmtId="0" fontId="0" fillId="4" borderId="49" xfId="0" applyFill="1" applyBorder="1" applyAlignment="1">
      <alignment horizontal="left" vertical="center" wrapText="1"/>
    </xf>
    <xf numFmtId="0" fontId="0" fillId="4" borderId="52" xfId="0" applyFill="1" applyBorder="1" applyAlignment="1">
      <alignment horizontal="left" vertical="center" wrapText="1"/>
    </xf>
    <xf numFmtId="0" fontId="22" fillId="13" borderId="43" xfId="0" applyFont="1" applyFill="1" applyBorder="1" applyAlignment="1">
      <alignment horizontal="center" vertical="center"/>
    </xf>
    <xf numFmtId="0" fontId="22" fillId="13" borderId="19" xfId="0" applyFont="1" applyFill="1" applyBorder="1" applyAlignment="1">
      <alignment horizontal="center" vertical="center"/>
    </xf>
    <xf numFmtId="0" fontId="22" fillId="13" borderId="36" xfId="0" applyFont="1" applyFill="1" applyBorder="1" applyAlignment="1">
      <alignment horizontal="center" vertical="center"/>
    </xf>
    <xf numFmtId="0" fontId="22" fillId="3" borderId="13"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3" borderId="14" xfId="0" applyFont="1" applyFill="1" applyBorder="1" applyAlignment="1" applyProtection="1">
      <alignment horizontal="center" vertical="center"/>
      <protection locked="0"/>
    </xf>
    <xf numFmtId="14" fontId="22" fillId="3" borderId="14" xfId="0" applyNumberFormat="1" applyFont="1" applyFill="1" applyBorder="1" applyAlignment="1" applyProtection="1">
      <alignment horizontal="center" vertical="center"/>
      <protection locked="0"/>
    </xf>
    <xf numFmtId="14" fontId="22" fillId="3" borderId="15" xfId="0" applyNumberFormat="1" applyFont="1" applyFill="1" applyBorder="1" applyAlignment="1" applyProtection="1">
      <alignment horizontal="center" vertical="center"/>
      <protection locked="0"/>
    </xf>
    <xf numFmtId="0" fontId="0" fillId="4" borderId="32" xfId="0" applyFill="1" applyBorder="1" applyAlignment="1">
      <alignment horizontal="right" vertical="center" wrapText="1"/>
    </xf>
    <xf numFmtId="0" fontId="25" fillId="0" borderId="0" xfId="1" applyFont="1" applyAlignment="1">
      <alignment horizontal="left" vertical="center" wrapText="1"/>
    </xf>
    <xf numFmtId="0" fontId="0" fillId="0" borderId="0" xfId="0" applyAlignment="1">
      <alignment horizontal="center" vertical="center"/>
    </xf>
    <xf numFmtId="0" fontId="22" fillId="0" borderId="17" xfId="0" applyFont="1" applyBorder="1" applyAlignment="1">
      <alignment horizontal="right" vertical="center"/>
    </xf>
    <xf numFmtId="0" fontId="22" fillId="0" borderId="30" xfId="0" applyFont="1" applyBorder="1" applyAlignment="1">
      <alignment horizontal="right" vertical="center"/>
    </xf>
    <xf numFmtId="0" fontId="0" fillId="0" borderId="19" xfId="0" applyBorder="1" applyAlignment="1">
      <alignment horizontal="center" vertical="center"/>
    </xf>
    <xf numFmtId="0" fontId="22" fillId="0" borderId="43" xfId="1" applyFont="1" applyBorder="1" applyAlignment="1">
      <alignment horizontal="right" vertical="center" wrapText="1"/>
    </xf>
    <xf numFmtId="0" fontId="22" fillId="0" borderId="19" xfId="1" applyFont="1" applyBorder="1" applyAlignment="1">
      <alignment horizontal="right" vertical="center" wrapText="1"/>
    </xf>
    <xf numFmtId="0" fontId="22" fillId="0" borderId="46" xfId="1" applyFont="1" applyBorder="1" applyAlignment="1">
      <alignment horizontal="right" vertical="center" wrapText="1"/>
    </xf>
    <xf numFmtId="0" fontId="22" fillId="0" borderId="42" xfId="1" applyFont="1" applyBorder="1" applyAlignment="1">
      <alignment horizontal="right" vertical="center" wrapText="1"/>
    </xf>
    <xf numFmtId="0" fontId="22" fillId="0" borderId="0" xfId="1" applyFont="1" applyAlignment="1">
      <alignment horizontal="right" vertical="center" wrapText="1"/>
    </xf>
    <xf numFmtId="0" fontId="22" fillId="0" borderId="41" xfId="1" applyFont="1" applyBorder="1" applyAlignment="1">
      <alignment horizontal="right" vertical="center" wrapText="1"/>
    </xf>
    <xf numFmtId="0" fontId="22" fillId="0" borderId="44" xfId="1" applyFont="1" applyBorder="1" applyAlignment="1">
      <alignment horizontal="right" vertical="center" wrapText="1"/>
    </xf>
    <xf numFmtId="0" fontId="22" fillId="0" borderId="39" xfId="1" applyFont="1" applyBorder="1" applyAlignment="1">
      <alignment horizontal="right" vertical="center" wrapText="1"/>
    </xf>
    <xf numFmtId="0" fontId="22" fillId="0" borderId="47" xfId="1" applyFont="1" applyBorder="1" applyAlignment="1">
      <alignment horizontal="right" vertical="center" wrapText="1"/>
    </xf>
    <xf numFmtId="0" fontId="0" fillId="0" borderId="29"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42" fillId="0" borderId="17" xfId="1" applyFont="1" applyBorder="1" applyAlignment="1" applyProtection="1">
      <alignment horizontal="left" vertical="center" wrapText="1"/>
      <protection locked="0"/>
    </xf>
    <xf numFmtId="0" fontId="42" fillId="0" borderId="30" xfId="1" applyFont="1" applyBorder="1" applyAlignment="1" applyProtection="1">
      <alignment horizontal="left" vertical="center" wrapText="1"/>
      <protection locked="0"/>
    </xf>
    <xf numFmtId="0" fontId="42" fillId="0" borderId="31" xfId="1" applyFont="1" applyBorder="1" applyAlignment="1" applyProtection="1">
      <alignment horizontal="left" vertical="center" wrapText="1"/>
      <protection locked="0"/>
    </xf>
    <xf numFmtId="0" fontId="0" fillId="0" borderId="35"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42" fillId="0" borderId="30" xfId="1" applyFont="1" applyBorder="1" applyAlignment="1" applyProtection="1">
      <alignment horizontal="center" vertical="center" wrapText="1"/>
      <protection locked="0"/>
    </xf>
    <xf numFmtId="0" fontId="42" fillId="0" borderId="31" xfId="1" applyFont="1" applyBorder="1" applyAlignment="1" applyProtection="1">
      <alignment horizontal="center" vertical="center" wrapText="1"/>
      <protection locked="0"/>
    </xf>
    <xf numFmtId="0" fontId="22" fillId="0" borderId="43" xfId="1" applyFont="1" applyBorder="1" applyAlignment="1">
      <alignment horizontal="center" vertical="center" wrapText="1"/>
    </xf>
    <xf numFmtId="0" fontId="22" fillId="0" borderId="19" xfId="1" applyFont="1" applyBorder="1" applyAlignment="1">
      <alignment horizontal="center" vertical="center" wrapText="1"/>
    </xf>
    <xf numFmtId="0" fontId="22" fillId="0" borderId="46" xfId="1" applyFont="1" applyBorder="1" applyAlignment="1">
      <alignment horizontal="center" vertical="center" wrapText="1"/>
    </xf>
    <xf numFmtId="0" fontId="22" fillId="0" borderId="42" xfId="1" applyFont="1" applyBorder="1" applyAlignment="1">
      <alignment horizontal="center" vertical="center" wrapText="1"/>
    </xf>
    <xf numFmtId="0" fontId="22" fillId="0" borderId="0" xfId="1" applyFont="1" applyAlignment="1">
      <alignment horizontal="center" vertical="center" wrapText="1"/>
    </xf>
    <xf numFmtId="0" fontId="22" fillId="0" borderId="41" xfId="1" applyFont="1" applyBorder="1" applyAlignment="1">
      <alignment horizontal="center" vertical="center" wrapText="1"/>
    </xf>
    <xf numFmtId="0" fontId="22" fillId="0" borderId="44" xfId="1" applyFont="1" applyBorder="1" applyAlignment="1">
      <alignment horizontal="center" vertical="center" wrapText="1"/>
    </xf>
    <xf numFmtId="0" fontId="22" fillId="0" borderId="39" xfId="1" applyFont="1" applyBorder="1" applyAlignment="1">
      <alignment horizontal="center" vertical="center" wrapText="1"/>
    </xf>
    <xf numFmtId="0" fontId="22" fillId="0" borderId="47" xfId="1" applyFont="1" applyBorder="1" applyAlignment="1">
      <alignment horizontal="center" vertical="center" wrapText="1"/>
    </xf>
    <xf numFmtId="0" fontId="0" fillId="0" borderId="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4" borderId="8" xfId="0" applyFill="1" applyBorder="1" applyAlignment="1">
      <alignment horizontal="right" vertical="center" wrapText="1"/>
    </xf>
    <xf numFmtId="0" fontId="0" fillId="4" borderId="1" xfId="0" applyFill="1" applyBorder="1" applyAlignment="1">
      <alignment horizontal="right" vertical="center" wrapText="1"/>
    </xf>
    <xf numFmtId="0" fontId="0" fillId="4" borderId="1" xfId="0" applyFill="1" applyBorder="1" applyAlignment="1">
      <alignment horizontal="left" vertical="center" wrapText="1"/>
    </xf>
    <xf numFmtId="0" fontId="0" fillId="4" borderId="9" xfId="0" applyFill="1" applyBorder="1" applyAlignment="1">
      <alignment horizontal="left" vertical="center" wrapText="1"/>
    </xf>
    <xf numFmtId="0" fontId="0" fillId="4" borderId="48" xfId="0" applyFill="1" applyBorder="1" applyAlignment="1">
      <alignment horizontal="right" vertical="center" wrapText="1"/>
    </xf>
    <xf numFmtId="0" fontId="0" fillId="4" borderId="10" xfId="0" applyFill="1" applyBorder="1" applyAlignment="1">
      <alignment horizontal="right" vertical="center" wrapText="1"/>
    </xf>
    <xf numFmtId="0" fontId="0" fillId="4" borderId="11" xfId="0" applyFill="1" applyBorder="1" applyAlignment="1">
      <alignment horizontal="right" vertical="center" wrapText="1"/>
    </xf>
    <xf numFmtId="0" fontId="0" fillId="4" borderId="11" xfId="0" applyFill="1" applyBorder="1" applyAlignment="1">
      <alignment horizontal="left" vertical="center" wrapText="1"/>
    </xf>
    <xf numFmtId="0" fontId="0" fillId="4" borderId="12" xfId="0" applyFill="1" applyBorder="1" applyAlignment="1">
      <alignment horizontal="left" vertical="center" wrapText="1"/>
    </xf>
    <xf numFmtId="0" fontId="0" fillId="0" borderId="50" xfId="0" applyBorder="1" applyAlignment="1">
      <alignment horizontal="center" vertical="center" wrapText="1"/>
    </xf>
    <xf numFmtId="0" fontId="0" fillId="0" borderId="3"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9" fillId="3" borderId="5" xfId="0" applyFont="1" applyFill="1" applyBorder="1" applyAlignment="1">
      <alignment vertical="center" wrapText="1"/>
    </xf>
    <xf numFmtId="0" fontId="19" fillId="3" borderId="6" xfId="0" applyFont="1" applyFill="1" applyBorder="1" applyAlignment="1">
      <alignment vertical="center" wrapText="1"/>
    </xf>
    <xf numFmtId="0" fontId="19" fillId="3" borderId="29" xfId="0" applyFont="1" applyFill="1" applyBorder="1" applyAlignment="1">
      <alignment vertical="center" wrapText="1"/>
    </xf>
    <xf numFmtId="9" fontId="23" fillId="3" borderId="70" xfId="4" applyNumberFormat="1" applyFill="1" applyBorder="1" applyAlignment="1">
      <alignment horizontal="center" vertical="center"/>
    </xf>
    <xf numFmtId="9" fontId="23" fillId="3" borderId="4" xfId="4" applyNumberFormat="1" applyFill="1" applyBorder="1" applyAlignment="1">
      <alignment horizontal="center" vertical="center"/>
    </xf>
    <xf numFmtId="9" fontId="23" fillId="3" borderId="34" xfId="4" applyNumberFormat="1" applyFill="1" applyBorder="1" applyAlignment="1">
      <alignment horizontal="center" vertical="center"/>
    </xf>
    <xf numFmtId="0" fontId="19" fillId="3" borderId="5" xfId="0" applyFont="1" applyFill="1" applyBorder="1" applyAlignment="1">
      <alignment horizontal="left" vertical="center" wrapText="1"/>
    </xf>
    <xf numFmtId="0" fontId="19" fillId="3" borderId="6" xfId="0" applyFont="1" applyFill="1" applyBorder="1" applyAlignment="1">
      <alignment horizontal="left" vertical="center" wrapText="1"/>
    </xf>
    <xf numFmtId="0" fontId="19" fillId="3" borderId="29" xfId="0" applyFont="1" applyFill="1" applyBorder="1" applyAlignment="1">
      <alignment horizontal="left" vertical="center" wrapText="1"/>
    </xf>
    <xf numFmtId="0" fontId="19" fillId="3" borderId="8" xfId="0" applyFont="1" applyFill="1" applyBorder="1" applyAlignment="1">
      <alignment vertical="center" wrapText="1"/>
    </xf>
    <xf numFmtId="0" fontId="19" fillId="3" borderId="1" xfId="0" applyFont="1" applyFill="1" applyBorder="1" applyAlignment="1">
      <alignment vertical="center" wrapText="1"/>
    </xf>
    <xf numFmtId="0" fontId="19" fillId="3" borderId="2" xfId="0" applyFont="1" applyFill="1" applyBorder="1" applyAlignment="1">
      <alignment vertical="center" wrapText="1"/>
    </xf>
    <xf numFmtId="0" fontId="23" fillId="3" borderId="8" xfId="0" applyFont="1" applyFill="1" applyBorder="1" applyAlignment="1">
      <alignment vertical="center" wrapText="1"/>
    </xf>
    <xf numFmtId="0" fontId="23" fillId="3" borderId="1" xfId="0" applyFont="1" applyFill="1" applyBorder="1" applyAlignment="1">
      <alignment vertical="center" wrapText="1"/>
    </xf>
    <xf numFmtId="0" fontId="23" fillId="3" borderId="2" xfId="0" applyFont="1" applyFill="1" applyBorder="1" applyAlignment="1">
      <alignment vertical="center" wrapText="1"/>
    </xf>
    <xf numFmtId="0" fontId="23" fillId="3" borderId="8"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3" borderId="2" xfId="0" applyFont="1" applyFill="1" applyBorder="1" applyAlignment="1">
      <alignment horizontal="left" vertical="center" wrapText="1"/>
    </xf>
    <xf numFmtId="0" fontId="0" fillId="3" borderId="8" xfId="0" applyFill="1" applyBorder="1" applyAlignment="1">
      <alignment vertical="center" wrapText="1"/>
    </xf>
    <xf numFmtId="0" fontId="0" fillId="3" borderId="8" xfId="0" applyFill="1" applyBorder="1" applyAlignment="1">
      <alignment horizontal="left" vertical="center" wrapText="1"/>
    </xf>
    <xf numFmtId="0" fontId="23" fillId="3" borderId="3" xfId="3" applyNumberFormat="1" applyFont="1" applyFill="1" applyBorder="1" applyAlignment="1" applyProtection="1">
      <alignment horizontal="center" vertical="center" wrapText="1"/>
    </xf>
    <xf numFmtId="0" fontId="53" fillId="0" borderId="0" xfId="1" applyFont="1" applyAlignment="1" applyProtection="1">
      <alignment horizontal="center" vertical="center" wrapText="1"/>
      <protection locked="0"/>
    </xf>
    <xf numFmtId="0" fontId="26" fillId="3" borderId="13" xfId="1" applyFont="1" applyFill="1" applyBorder="1" applyAlignment="1">
      <alignment horizontal="right" vertical="center" wrapText="1"/>
    </xf>
    <xf numFmtId="0" fontId="26" fillId="3" borderId="14" xfId="1" applyFont="1" applyFill="1" applyBorder="1" applyAlignment="1">
      <alignment horizontal="right" vertical="center" wrapText="1"/>
    </xf>
    <xf numFmtId="0" fontId="26" fillId="0" borderId="13" xfId="1" applyFont="1" applyBorder="1" applyAlignment="1">
      <alignment horizontal="left" vertical="center" wrapText="1"/>
    </xf>
    <xf numFmtId="0" fontId="26" fillId="0" borderId="14" xfId="1" applyFont="1" applyBorder="1" applyAlignment="1">
      <alignment horizontal="left" vertical="center" wrapText="1"/>
    </xf>
    <xf numFmtId="0" fontId="26" fillId="0" borderId="18" xfId="1" applyFont="1" applyBorder="1" applyAlignment="1">
      <alignment horizontal="left" vertical="center" wrapText="1"/>
    </xf>
    <xf numFmtId="0" fontId="26" fillId="0" borderId="17" xfId="1" applyFont="1" applyBorder="1" applyAlignment="1">
      <alignment horizontal="right" vertical="center" wrapText="1"/>
    </xf>
    <xf numFmtId="0" fontId="26" fillId="0" borderId="30" xfId="1" applyFont="1" applyBorder="1" applyAlignment="1">
      <alignment horizontal="right" vertical="center" wrapText="1"/>
    </xf>
    <xf numFmtId="0" fontId="26" fillId="0" borderId="45" xfId="1" applyFont="1" applyBorder="1" applyAlignment="1">
      <alignment horizontal="right" vertical="center" wrapText="1"/>
    </xf>
    <xf numFmtId="0" fontId="26" fillId="0" borderId="13" xfId="1" applyFont="1" applyBorder="1" applyAlignment="1">
      <alignment vertical="center" wrapText="1"/>
    </xf>
    <xf numFmtId="0" fontId="26" fillId="0" borderId="14" xfId="1" applyFont="1" applyBorder="1" applyAlignment="1">
      <alignment vertical="center" wrapText="1"/>
    </xf>
    <xf numFmtId="0" fontId="26" fillId="0" borderId="18" xfId="1" applyFont="1" applyBorder="1" applyAlignment="1">
      <alignment vertical="center" wrapText="1"/>
    </xf>
    <xf numFmtId="0" fontId="23" fillId="3" borderId="50" xfId="0" applyFont="1" applyFill="1" applyBorder="1" applyAlignment="1">
      <alignment vertical="center" wrapText="1"/>
    </xf>
    <xf numFmtId="0" fontId="23" fillId="3" borderId="3" xfId="0" applyFont="1" applyFill="1" applyBorder="1" applyAlignment="1">
      <alignment vertical="center" wrapText="1"/>
    </xf>
    <xf numFmtId="0" fontId="23" fillId="3" borderId="57" xfId="0" applyFont="1" applyFill="1" applyBorder="1" applyAlignment="1">
      <alignment vertical="center" wrapText="1"/>
    </xf>
    <xf numFmtId="9" fontId="23" fillId="3" borderId="54" xfId="4" applyNumberFormat="1" applyFill="1" applyBorder="1" applyAlignment="1">
      <alignment horizontal="center" vertical="center"/>
    </xf>
    <xf numFmtId="9" fontId="23" fillId="3" borderId="3" xfId="4" applyNumberFormat="1" applyFill="1" applyBorder="1" applyAlignment="1">
      <alignment horizontal="center" vertical="center"/>
    </xf>
    <xf numFmtId="9" fontId="23" fillId="3" borderId="51" xfId="4" applyNumberFormat="1" applyFill="1" applyBorder="1" applyAlignment="1">
      <alignment horizontal="center" vertical="center"/>
    </xf>
    <xf numFmtId="0" fontId="23" fillId="3" borderId="50"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57" xfId="0" applyFont="1" applyFill="1" applyBorder="1" applyAlignment="1">
      <alignment horizontal="left" vertical="center" wrapText="1"/>
    </xf>
    <xf numFmtId="0" fontId="23" fillId="6" borderId="2" xfId="3" applyNumberFormat="1" applyFont="1" applyFill="1" applyBorder="1" applyAlignment="1" applyProtection="1">
      <alignment horizontal="center" vertical="center" wrapText="1"/>
    </xf>
    <xf numFmtId="0" fontId="23" fillId="6" borderId="20" xfId="3" applyNumberFormat="1" applyFont="1" applyFill="1" applyBorder="1" applyAlignment="1" applyProtection="1">
      <alignment horizontal="center" vertical="center" wrapText="1"/>
    </xf>
    <xf numFmtId="0" fontId="23" fillId="4" borderId="2" xfId="3" applyNumberFormat="1" applyFont="1" applyFill="1" applyBorder="1" applyAlignment="1" applyProtection="1">
      <alignment horizontal="center" vertical="center" wrapText="1"/>
    </xf>
    <xf numFmtId="0" fontId="23" fillId="4" borderId="20" xfId="3" applyNumberFormat="1" applyFont="1" applyFill="1" applyBorder="1" applyAlignment="1" applyProtection="1">
      <alignment horizontal="center" vertical="center" wrapText="1"/>
    </xf>
    <xf numFmtId="0" fontId="23" fillId="4" borderId="25" xfId="3" applyNumberFormat="1" applyFont="1" applyFill="1" applyBorder="1" applyAlignment="1" applyProtection="1">
      <alignment horizontal="center" vertical="center" wrapText="1"/>
    </xf>
    <xf numFmtId="0" fontId="23" fillId="4" borderId="27" xfId="3" applyNumberFormat="1" applyFont="1" applyFill="1" applyBorder="1" applyAlignment="1" applyProtection="1">
      <alignment horizontal="center" vertical="center" wrapText="1"/>
    </xf>
    <xf numFmtId="0" fontId="22" fillId="0" borderId="0" xfId="0" applyFont="1" applyAlignment="1" applyProtection="1">
      <alignment horizontal="right" vertical="center"/>
      <protection locked="0"/>
    </xf>
    <xf numFmtId="0" fontId="0" fillId="3" borderId="1" xfId="0" applyFill="1" applyBorder="1" applyAlignment="1" applyProtection="1">
      <alignment horizontal="center" vertical="center" wrapText="1"/>
      <protection locked="0"/>
    </xf>
    <xf numFmtId="0" fontId="19" fillId="6" borderId="1" xfId="0" applyFont="1" applyFill="1" applyBorder="1" applyAlignment="1" applyProtection="1">
      <alignment horizontal="center" vertical="center" wrapText="1"/>
      <protection locked="0"/>
    </xf>
    <xf numFmtId="0" fontId="0" fillId="0" borderId="32" xfId="0" applyBorder="1" applyAlignment="1" applyProtection="1">
      <alignment horizontal="right" vertical="center" wrapText="1"/>
      <protection locked="0"/>
    </xf>
    <xf numFmtId="0" fontId="0" fillId="0" borderId="4" xfId="0" applyBorder="1" applyAlignment="1" applyProtection="1">
      <alignment horizontal="right" vertical="center" wrapText="1"/>
      <protection locked="0"/>
    </xf>
    <xf numFmtId="0" fontId="22" fillId="0" borderId="28" xfId="0" applyFont="1" applyBorder="1" applyAlignment="1" applyProtection="1">
      <alignment horizontal="center" vertical="center" wrapText="1"/>
      <protection locked="0"/>
    </xf>
    <xf numFmtId="0" fontId="22" fillId="0" borderId="6" xfId="0" applyFont="1" applyBorder="1" applyAlignment="1" applyProtection="1">
      <alignment horizontal="center" vertical="center" wrapText="1"/>
      <protection locked="0"/>
    </xf>
    <xf numFmtId="0" fontId="22" fillId="0" borderId="54"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0" fillId="2" borderId="28" xfId="0" applyFill="1" applyBorder="1" applyAlignment="1" applyProtection="1">
      <alignment horizontal="left" vertical="center" wrapText="1"/>
      <protection locked="0"/>
    </xf>
    <xf numFmtId="0" fontId="0" fillId="2" borderId="6"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22" fillId="3" borderId="13" xfId="0" applyFont="1" applyFill="1" applyBorder="1" applyAlignment="1" applyProtection="1">
      <alignment horizontal="center" vertical="center"/>
      <protection locked="0"/>
    </xf>
    <xf numFmtId="0" fontId="0" fillId="6" borderId="1" xfId="5" applyFont="1" applyFill="1" applyBorder="1" applyAlignment="1" applyProtection="1">
      <alignment horizontal="left" vertical="top" wrapText="1" shrinkToFit="1"/>
      <protection locked="0"/>
    </xf>
    <xf numFmtId="0" fontId="23" fillId="6" borderId="1" xfId="5" applyFont="1" applyFill="1" applyBorder="1" applyAlignment="1" applyProtection="1">
      <alignment horizontal="left" vertical="top" wrapText="1" shrinkToFit="1"/>
      <protection locked="0"/>
    </xf>
    <xf numFmtId="0" fontId="22" fillId="4" borderId="56" xfId="0" applyFont="1" applyFill="1" applyBorder="1" applyAlignment="1" applyProtection="1">
      <alignment horizontal="left" vertical="center"/>
      <protection locked="0"/>
    </xf>
    <xf numFmtId="0" fontId="22" fillId="4" borderId="33" xfId="0" applyFont="1" applyFill="1" applyBorder="1" applyAlignment="1" applyProtection="1">
      <alignment horizontal="left" vertical="center"/>
      <protection locked="0"/>
    </xf>
    <xf numFmtId="0" fontId="22" fillId="4" borderId="55" xfId="0" applyFont="1" applyFill="1" applyBorder="1" applyAlignment="1" applyProtection="1">
      <alignment horizontal="left" vertical="center"/>
      <protection locked="0"/>
    </xf>
    <xf numFmtId="0" fontId="22" fillId="4" borderId="24" xfId="0" applyFont="1" applyFill="1" applyBorder="1" applyAlignment="1" applyProtection="1">
      <alignment horizontal="left" vertical="center"/>
      <protection locked="0"/>
    </xf>
    <xf numFmtId="0" fontId="22" fillId="4" borderId="53" xfId="0" applyFont="1" applyFill="1" applyBorder="1" applyAlignment="1" applyProtection="1">
      <alignment horizontal="left" vertical="center"/>
      <protection locked="0"/>
    </xf>
    <xf numFmtId="0" fontId="22" fillId="4" borderId="22" xfId="0" applyFont="1" applyFill="1" applyBorder="1" applyAlignment="1" applyProtection="1">
      <alignment horizontal="left" vertical="center"/>
      <protection locked="0"/>
    </xf>
    <xf numFmtId="0" fontId="31" fillId="0" borderId="35" xfId="0" applyFont="1" applyBorder="1" applyAlignment="1" applyProtection="1">
      <alignment horizontal="center" vertical="center" wrapText="1"/>
      <protection locked="0"/>
    </xf>
    <xf numFmtId="0" fontId="31" fillId="0" borderId="46" xfId="0" applyFont="1" applyBorder="1" applyAlignment="1" applyProtection="1">
      <alignment horizontal="center" vertical="center" wrapText="1"/>
      <protection locked="0"/>
    </xf>
    <xf numFmtId="0" fontId="31" fillId="0" borderId="38" xfId="0" applyFont="1" applyBorder="1" applyAlignment="1" applyProtection="1">
      <alignment horizontal="center" vertical="center" wrapText="1"/>
      <protection locked="0"/>
    </xf>
    <xf numFmtId="0" fontId="31" fillId="0" borderId="47" xfId="0" applyFont="1" applyBorder="1" applyAlignment="1" applyProtection="1">
      <alignment horizontal="center" vertical="center" wrapText="1"/>
      <protection locked="0"/>
    </xf>
    <xf numFmtId="0" fontId="19" fillId="3" borderId="35" xfId="0" applyFont="1" applyFill="1" applyBorder="1" applyAlignment="1" applyProtection="1">
      <alignment horizontal="center" vertical="center" wrapText="1"/>
      <protection locked="0"/>
    </xf>
    <xf numFmtId="0" fontId="19" fillId="3" borderId="46" xfId="0"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22" fillId="3" borderId="8" xfId="0" applyFont="1" applyFill="1" applyBorder="1" applyAlignment="1" applyProtection="1">
      <alignment horizontal="right" vertical="center"/>
      <protection locked="0"/>
    </xf>
    <xf numFmtId="0" fontId="22" fillId="3" borderId="9" xfId="0" applyFont="1" applyFill="1" applyBorder="1" applyAlignment="1" applyProtection="1">
      <alignment horizontal="right" vertical="center"/>
      <protection locked="0"/>
    </xf>
    <xf numFmtId="0" fontId="28"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22" fillId="0" borderId="0" xfId="0" applyFont="1" applyAlignment="1" applyProtection="1">
      <alignment horizontal="left" vertical="center"/>
      <protection locked="0"/>
    </xf>
    <xf numFmtId="0" fontId="22" fillId="3" borderId="17" xfId="0" applyFont="1" applyFill="1" applyBorder="1" applyAlignment="1" applyProtection="1">
      <alignment horizontal="right" vertical="center"/>
      <protection locked="0"/>
    </xf>
    <xf numFmtId="0" fontId="22" fillId="3" borderId="31" xfId="0" applyFont="1" applyFill="1" applyBorder="1" applyAlignment="1" applyProtection="1">
      <alignment horizontal="right" vertical="center"/>
      <protection locked="0"/>
    </xf>
    <xf numFmtId="0" fontId="22" fillId="0" borderId="17" xfId="0" applyFont="1" applyBorder="1" applyAlignment="1" applyProtection="1">
      <alignment horizontal="left" vertical="center"/>
      <protection locked="0"/>
    </xf>
    <xf numFmtId="0" fontId="22" fillId="0" borderId="31" xfId="0" applyFont="1" applyBorder="1" applyAlignment="1" applyProtection="1">
      <alignment horizontal="left" vertical="center"/>
      <protection locked="0"/>
    </xf>
    <xf numFmtId="0" fontId="22" fillId="0" borderId="30" xfId="0" applyFont="1" applyBorder="1" applyAlignment="1" applyProtection="1">
      <alignment horizontal="left" vertical="center"/>
      <protection locked="0"/>
    </xf>
    <xf numFmtId="0" fontId="22" fillId="3" borderId="43" xfId="0" applyFont="1" applyFill="1" applyBorder="1" applyAlignment="1" applyProtection="1">
      <alignment horizontal="right" vertical="center"/>
      <protection locked="0"/>
    </xf>
    <xf numFmtId="0" fontId="22" fillId="3" borderId="36" xfId="0" applyFont="1" applyFill="1" applyBorder="1" applyAlignment="1" applyProtection="1">
      <alignment horizontal="right" vertical="center"/>
      <protection locked="0"/>
    </xf>
    <xf numFmtId="0" fontId="22" fillId="3" borderId="42" xfId="0" applyFont="1" applyFill="1" applyBorder="1" applyAlignment="1" applyProtection="1">
      <alignment horizontal="right" vertical="center"/>
      <protection locked="0"/>
    </xf>
    <xf numFmtId="0" fontId="22" fillId="3" borderId="16" xfId="0" applyFont="1" applyFill="1" applyBorder="1" applyAlignment="1" applyProtection="1">
      <alignment horizontal="right" vertical="center"/>
      <protection locked="0"/>
    </xf>
    <xf numFmtId="0" fontId="22" fillId="3" borderId="44" xfId="0" applyFont="1" applyFill="1" applyBorder="1" applyAlignment="1" applyProtection="1">
      <alignment horizontal="right" vertical="center"/>
      <protection locked="0"/>
    </xf>
    <xf numFmtId="0" fontId="22" fillId="3" borderId="40" xfId="0" applyFont="1" applyFill="1" applyBorder="1" applyAlignment="1" applyProtection="1">
      <alignment horizontal="right" vertical="center"/>
      <protection locked="0"/>
    </xf>
    <xf numFmtId="0" fontId="22" fillId="0" borderId="43" xfId="0" applyFont="1" applyBorder="1" applyAlignment="1" applyProtection="1">
      <alignment horizontal="left" vertical="center"/>
      <protection locked="0"/>
    </xf>
    <xf numFmtId="0" fontId="22" fillId="0" borderId="36" xfId="0" applyFont="1" applyBorder="1" applyAlignment="1" applyProtection="1">
      <alignment horizontal="left" vertical="center"/>
      <protection locked="0"/>
    </xf>
    <xf numFmtId="0" fontId="22" fillId="0" borderId="42" xfId="0" applyFont="1" applyBorder="1" applyAlignment="1" applyProtection="1">
      <alignment horizontal="left" vertical="center"/>
      <protection locked="0"/>
    </xf>
    <xf numFmtId="0" fontId="22" fillId="0" borderId="16" xfId="0" applyFont="1" applyBorder="1" applyAlignment="1" applyProtection="1">
      <alignment horizontal="left" vertical="center"/>
      <protection locked="0"/>
    </xf>
    <xf numFmtId="0" fontId="22" fillId="0" borderId="44" xfId="0" applyFont="1" applyBorder="1" applyAlignment="1" applyProtection="1">
      <alignment horizontal="left" vertical="center"/>
      <protection locked="0"/>
    </xf>
    <xf numFmtId="0" fontId="22" fillId="0" borderId="40" xfId="0" applyFont="1" applyBorder="1" applyAlignment="1" applyProtection="1">
      <alignment horizontal="left" vertical="center"/>
      <protection locked="0"/>
    </xf>
    <xf numFmtId="0" fontId="22" fillId="3" borderId="19" xfId="0" applyFont="1" applyFill="1" applyBorder="1" applyAlignment="1" applyProtection="1">
      <alignment horizontal="right" vertical="center"/>
      <protection locked="0"/>
    </xf>
    <xf numFmtId="0" fontId="22" fillId="3" borderId="0" xfId="0" applyFont="1" applyFill="1" applyAlignment="1" applyProtection="1">
      <alignment horizontal="right" vertical="center"/>
      <protection locked="0"/>
    </xf>
    <xf numFmtId="0" fontId="22" fillId="3" borderId="39" xfId="0" applyFont="1" applyFill="1" applyBorder="1" applyAlignment="1" applyProtection="1">
      <alignment horizontal="right" vertical="center"/>
      <protection locked="0"/>
    </xf>
    <xf numFmtId="0" fontId="22" fillId="0" borderId="5" xfId="0" applyFont="1" applyBorder="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22" fillId="0" borderId="7" xfId="0" applyFont="1" applyBorder="1" applyAlignment="1" applyProtection="1">
      <alignment horizontal="left" vertical="center"/>
      <protection locked="0"/>
    </xf>
    <xf numFmtId="0" fontId="22" fillId="0" borderId="19" xfId="0" applyFont="1" applyBorder="1" applyAlignment="1" applyProtection="1">
      <alignment horizontal="left" vertical="center"/>
      <protection locked="0"/>
    </xf>
    <xf numFmtId="0" fontId="22" fillId="0" borderId="39" xfId="0" applyFont="1" applyBorder="1" applyAlignment="1" applyProtection="1">
      <alignment horizontal="left" vertical="center"/>
      <protection locked="0"/>
    </xf>
    <xf numFmtId="0" fontId="22" fillId="0" borderId="8" xfId="0" applyFont="1" applyBorder="1" applyAlignment="1" applyProtection="1">
      <alignment horizontal="left" vertical="center"/>
      <protection locked="0"/>
    </xf>
    <xf numFmtId="0" fontId="22" fillId="0" borderId="1" xfId="0" applyFont="1" applyBorder="1" applyAlignment="1" applyProtection="1">
      <alignment horizontal="left" vertical="center"/>
      <protection locked="0"/>
    </xf>
    <xf numFmtId="0" fontId="22" fillId="0" borderId="9" xfId="0" applyFont="1" applyBorder="1" applyAlignment="1" applyProtection="1">
      <alignment horizontal="left" vertical="center"/>
      <protection locked="0"/>
    </xf>
    <xf numFmtId="0" fontId="22" fillId="0" borderId="10" xfId="0" applyFont="1" applyBorder="1" applyAlignment="1" applyProtection="1">
      <alignment horizontal="left" vertical="center"/>
      <protection locked="0"/>
    </xf>
    <xf numFmtId="0" fontId="22" fillId="0" borderId="11" xfId="0" applyFont="1" applyBorder="1" applyAlignment="1" applyProtection="1">
      <alignment horizontal="left" vertical="center"/>
      <protection locked="0"/>
    </xf>
    <xf numFmtId="0" fontId="22" fillId="0" borderId="12" xfId="0" applyFont="1" applyBorder="1" applyAlignment="1" applyProtection="1">
      <alignment horizontal="left" vertical="center"/>
      <protection locked="0"/>
    </xf>
    <xf numFmtId="0" fontId="22" fillId="3" borderId="5" xfId="0" applyFont="1" applyFill="1" applyBorder="1" applyAlignment="1" applyProtection="1">
      <alignment horizontal="right" vertical="center"/>
      <protection locked="0"/>
    </xf>
    <xf numFmtId="0" fontId="22" fillId="3" borderId="7" xfId="0" applyFont="1" applyFill="1" applyBorder="1" applyAlignment="1" applyProtection="1">
      <alignment horizontal="right" vertical="center"/>
      <protection locked="0"/>
    </xf>
    <xf numFmtId="0" fontId="22" fillId="0" borderId="35" xfId="0" applyFont="1" applyBorder="1" applyAlignment="1" applyProtection="1">
      <alignment horizontal="center" vertical="center" wrapText="1"/>
      <protection locked="0"/>
    </xf>
    <xf numFmtId="0" fontId="22" fillId="0" borderId="46" xfId="0" applyFont="1" applyBorder="1" applyAlignment="1" applyProtection="1">
      <alignment horizontal="center" vertical="center" wrapText="1"/>
      <protection locked="0"/>
    </xf>
    <xf numFmtId="0" fontId="22" fillId="0" borderId="37" xfId="0" applyFont="1" applyBorder="1" applyAlignment="1" applyProtection="1">
      <alignment horizontal="center" vertical="center" wrapText="1"/>
      <protection locked="0"/>
    </xf>
    <xf numFmtId="0" fontId="22" fillId="0" borderId="41"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wrapText="1"/>
      <protection locked="0"/>
    </xf>
    <xf numFmtId="0" fontId="22" fillId="3" borderId="10" xfId="0" applyFont="1" applyFill="1" applyBorder="1" applyAlignment="1" applyProtection="1">
      <alignment horizontal="right" vertical="center"/>
      <protection locked="0"/>
    </xf>
    <xf numFmtId="0" fontId="22" fillId="3" borderId="12" xfId="0" applyFont="1" applyFill="1" applyBorder="1" applyAlignment="1" applyProtection="1">
      <alignment horizontal="right" vertical="center"/>
      <protection locked="0"/>
    </xf>
    <xf numFmtId="0" fontId="22" fillId="0" borderId="5"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22" fillId="0" borderId="29" xfId="0" applyFont="1" applyBorder="1" applyAlignment="1" applyProtection="1">
      <alignment horizontal="center" vertical="center" wrapText="1"/>
      <protection locked="0"/>
    </xf>
    <xf numFmtId="0" fontId="22" fillId="0" borderId="21" xfId="0" applyFont="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0" fillId="3" borderId="43"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0" fontId="0" fillId="3" borderId="36" xfId="0" applyFill="1" applyBorder="1" applyAlignment="1" applyProtection="1">
      <alignment horizontal="left" vertical="center" wrapText="1"/>
      <protection locked="0"/>
    </xf>
    <xf numFmtId="0" fontId="0" fillId="3" borderId="42" xfId="0"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0" fillId="3" borderId="16" xfId="0" applyFill="1" applyBorder="1" applyAlignment="1" applyProtection="1">
      <alignment horizontal="left" vertical="center" wrapText="1"/>
      <protection locked="0"/>
    </xf>
    <xf numFmtId="0" fontId="0" fillId="3" borderId="44" xfId="0" applyFill="1" applyBorder="1" applyAlignment="1" applyProtection="1">
      <alignment horizontal="left" vertical="center" wrapText="1"/>
      <protection locked="0"/>
    </xf>
    <xf numFmtId="0" fontId="0" fillId="3" borderId="39" xfId="0" applyFill="1" applyBorder="1" applyAlignment="1" applyProtection="1">
      <alignment horizontal="left" vertical="center" wrapText="1"/>
      <protection locked="0"/>
    </xf>
    <xf numFmtId="0" fontId="0" fillId="3" borderId="40" xfId="0" applyFill="1" applyBorder="1" applyAlignment="1" applyProtection="1">
      <alignment horizontal="left" vertical="center" wrapText="1"/>
      <protection locked="0"/>
    </xf>
    <xf numFmtId="0" fontId="22" fillId="0" borderId="43" xfId="0" applyFont="1" applyBorder="1" applyAlignment="1" applyProtection="1">
      <alignment horizontal="center" vertical="center" wrapText="1"/>
      <protection locked="0"/>
    </xf>
    <xf numFmtId="0" fontId="22" fillId="0" borderId="36" xfId="0" applyFont="1" applyBorder="1" applyAlignment="1" applyProtection="1">
      <alignment horizontal="center" vertical="center" wrapText="1"/>
      <protection locked="0"/>
    </xf>
    <xf numFmtId="0" fontId="22" fillId="0" borderId="42"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44" xfId="0" applyFont="1" applyBorder="1" applyAlignment="1" applyProtection="1">
      <alignment horizontal="center" vertical="center" wrapText="1"/>
      <protection locked="0"/>
    </xf>
    <xf numFmtId="0" fontId="22" fillId="0" borderId="40" xfId="0" applyFont="1" applyBorder="1" applyAlignment="1" applyProtection="1">
      <alignment horizontal="center" vertical="center" wrapText="1"/>
      <protection locked="0"/>
    </xf>
    <xf numFmtId="9" fontId="0" fillId="4" borderId="62" xfId="4" applyNumberFormat="1" applyFont="1" applyFill="1" applyBorder="1" applyAlignment="1" applyProtection="1">
      <alignment horizontal="center" vertical="center"/>
      <protection locked="0"/>
    </xf>
    <xf numFmtId="9" fontId="0" fillId="4" borderId="63" xfId="4" applyNumberFormat="1" applyFont="1" applyFill="1" applyBorder="1" applyAlignment="1" applyProtection="1">
      <alignment horizontal="center" vertical="center"/>
      <protection locked="0"/>
    </xf>
    <xf numFmtId="9" fontId="0" fillId="4" borderId="89" xfId="4" applyNumberFormat="1" applyFont="1" applyFill="1" applyBorder="1" applyAlignment="1" applyProtection="1">
      <alignment horizontal="center" vertical="center"/>
      <protection locked="0"/>
    </xf>
    <xf numFmtId="0" fontId="22" fillId="0" borderId="38"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6" xfId="5" applyFont="1" applyFill="1" applyBorder="1" applyAlignment="1" applyProtection="1">
      <alignment horizontal="left" vertical="top" wrapText="1" shrinkToFit="1"/>
      <protection locked="0"/>
    </xf>
    <xf numFmtId="0" fontId="23" fillId="0" borderId="6" xfId="5" applyFont="1" applyFill="1" applyBorder="1" applyAlignment="1" applyProtection="1">
      <alignment horizontal="left" vertical="top" wrapText="1" shrinkToFit="1"/>
      <protection locked="0"/>
    </xf>
    <xf numFmtId="0" fontId="0" fillId="2" borderId="5" xfId="0" applyFill="1"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2" borderId="20" xfId="0" applyFill="1" applyBorder="1" applyAlignment="1" applyProtection="1">
      <alignment horizontal="left"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23" fillId="4" borderId="69" xfId="3" applyNumberFormat="1" applyFont="1" applyFill="1" applyBorder="1" applyAlignment="1" applyProtection="1">
      <alignment horizontal="center" vertical="center" wrapText="1"/>
    </xf>
    <xf numFmtId="0" fontId="23" fillId="4" borderId="70" xfId="3" applyNumberFormat="1" applyFont="1" applyFill="1" applyBorder="1" applyAlignment="1" applyProtection="1">
      <alignment horizontal="center" vertical="center" wrapText="1"/>
    </xf>
    <xf numFmtId="0" fontId="0" fillId="0" borderId="20" xfId="0" applyBorder="1" applyAlignment="1" applyProtection="1">
      <alignment horizontal="left" vertical="top" wrapText="1" shrinkToFit="1"/>
      <protection locked="0"/>
    </xf>
    <xf numFmtId="0" fontId="0" fillId="6" borderId="8" xfId="0" applyFill="1" applyBorder="1" applyAlignment="1" applyProtection="1">
      <alignment horizontal="left" vertical="center" wrapText="1"/>
      <protection locked="0"/>
    </xf>
    <xf numFmtId="0" fontId="0" fillId="6" borderId="1" xfId="0" applyFill="1" applyBorder="1" applyAlignment="1" applyProtection="1">
      <alignment horizontal="left" vertical="center" wrapText="1"/>
      <protection locked="0"/>
    </xf>
    <xf numFmtId="0" fontId="0" fillId="6" borderId="1" xfId="0" applyFill="1" applyBorder="1" applyAlignment="1" applyProtection="1">
      <alignment horizontal="center" vertical="center" wrapText="1"/>
      <protection locked="0"/>
    </xf>
    <xf numFmtId="0" fontId="0" fillId="6" borderId="2" xfId="0" applyFill="1" applyBorder="1" applyAlignment="1" applyProtection="1">
      <alignment horizontal="center" vertical="center" wrapText="1"/>
      <protection locked="0"/>
    </xf>
    <xf numFmtId="0" fontId="0" fillId="3" borderId="1" xfId="0" applyFill="1" applyBorder="1" applyAlignment="1" applyProtection="1">
      <alignment horizontal="left" vertical="top" wrapText="1" shrinkToFit="1"/>
      <protection locked="0"/>
    </xf>
    <xf numFmtId="0" fontId="19" fillId="3" borderId="25" xfId="0" applyFont="1" applyFill="1" applyBorder="1" applyAlignment="1" applyProtection="1">
      <alignment horizontal="center" vertical="center" wrapText="1"/>
      <protection locked="0"/>
    </xf>
    <xf numFmtId="0" fontId="19" fillId="3" borderId="27" xfId="0" applyFont="1" applyFill="1" applyBorder="1" applyAlignment="1" applyProtection="1">
      <alignment horizontal="center" vertical="center" wrapText="1"/>
      <protection locked="0"/>
    </xf>
    <xf numFmtId="0" fontId="0" fillId="2" borderId="11" xfId="0" applyFill="1" applyBorder="1" applyAlignment="1" applyProtection="1">
      <alignment horizontal="left" vertical="center" wrapText="1"/>
      <protection locked="0"/>
    </xf>
    <xf numFmtId="0" fontId="0" fillId="2" borderId="11"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20" fillId="0" borderId="17" xfId="0" applyFont="1" applyBorder="1" applyAlignment="1" applyProtection="1">
      <alignment horizontal="right" vertical="center"/>
      <protection locked="0"/>
    </xf>
    <xf numFmtId="0" fontId="20" fillId="0" borderId="31" xfId="0" applyFont="1" applyBorder="1" applyAlignment="1" applyProtection="1">
      <alignment horizontal="right" vertical="center"/>
      <protection locked="0"/>
    </xf>
    <xf numFmtId="0" fontId="22" fillId="4" borderId="17" xfId="0" applyFont="1" applyFill="1" applyBorder="1" applyAlignment="1" applyProtection="1">
      <alignment horizontal="left" vertical="center"/>
      <protection locked="0"/>
    </xf>
    <xf numFmtId="0" fontId="22" fillId="4" borderId="30" xfId="0" applyFont="1" applyFill="1" applyBorder="1" applyAlignment="1" applyProtection="1">
      <alignment horizontal="left" vertical="center"/>
      <protection locked="0"/>
    </xf>
    <xf numFmtId="0" fontId="22" fillId="4" borderId="31" xfId="0" applyFont="1" applyFill="1" applyBorder="1" applyAlignment="1" applyProtection="1">
      <alignment horizontal="left" vertical="center"/>
      <protection locked="0"/>
    </xf>
    <xf numFmtId="0" fontId="0" fillId="2" borderId="10" xfId="0" applyFill="1"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20" fillId="0" borderId="32" xfId="0" applyFont="1" applyBorder="1" applyAlignment="1" applyProtection="1">
      <alignment horizontal="right" vertical="center" wrapText="1" shrinkToFit="1"/>
      <protection locked="0"/>
    </xf>
    <xf numFmtId="0" fontId="20" fillId="0" borderId="34" xfId="0" applyFont="1" applyBorder="1" applyAlignment="1" applyProtection="1">
      <alignment horizontal="right" vertical="center" wrapText="1" shrinkToFit="1"/>
      <protection locked="0"/>
    </xf>
    <xf numFmtId="0" fontId="20" fillId="0" borderId="10" xfId="0" applyFont="1" applyBorder="1" applyAlignment="1" applyProtection="1">
      <alignment horizontal="right" vertical="center" wrapText="1" shrinkToFit="1"/>
      <protection locked="0"/>
    </xf>
    <xf numFmtId="0" fontId="20" fillId="0" borderId="12" xfId="0" applyFont="1" applyBorder="1" applyAlignment="1" applyProtection="1">
      <alignment horizontal="right" vertical="center" wrapText="1" shrinkToFit="1"/>
      <protection locked="0"/>
    </xf>
    <xf numFmtId="0" fontId="0" fillId="0" borderId="43" xfId="0" applyBorder="1" applyAlignment="1" applyProtection="1">
      <alignment horizontal="left" vertical="center" wrapText="1" shrinkToFit="1"/>
      <protection locked="0"/>
    </xf>
    <xf numFmtId="0" fontId="0" fillId="0" borderId="36" xfId="0" applyBorder="1" applyAlignment="1" applyProtection="1">
      <alignment horizontal="left" vertical="center" wrapText="1" shrinkToFit="1"/>
      <protection locked="0"/>
    </xf>
    <xf numFmtId="0" fontId="0" fillId="0" borderId="44" xfId="0" applyBorder="1" applyAlignment="1" applyProtection="1">
      <alignment horizontal="left" vertical="center" wrapText="1" shrinkToFit="1"/>
      <protection locked="0"/>
    </xf>
    <xf numFmtId="0" fontId="0" fillId="0" borderId="40" xfId="0" applyBorder="1" applyAlignment="1" applyProtection="1">
      <alignment horizontal="left" vertical="center" wrapText="1" shrinkToFit="1"/>
      <protection locked="0"/>
    </xf>
    <xf numFmtId="0" fontId="0" fillId="4" borderId="43" xfId="0" applyFill="1" applyBorder="1" applyAlignment="1" applyProtection="1">
      <alignment horizontal="left" vertical="center" wrapText="1" shrinkToFit="1"/>
      <protection locked="0"/>
    </xf>
    <xf numFmtId="0" fontId="0" fillId="4" borderId="19" xfId="0" applyFill="1" applyBorder="1" applyAlignment="1" applyProtection="1">
      <alignment horizontal="left" vertical="center" wrapText="1" shrinkToFit="1"/>
      <protection locked="0"/>
    </xf>
    <xf numFmtId="0" fontId="0" fillId="4" borderId="36" xfId="0" applyFill="1" applyBorder="1" applyAlignment="1" applyProtection="1">
      <alignment horizontal="left" vertical="center" wrapText="1" shrinkToFit="1"/>
      <protection locked="0"/>
    </xf>
    <xf numFmtId="0" fontId="0" fillId="4" borderId="44" xfId="0" applyFill="1" applyBorder="1" applyAlignment="1" applyProtection="1">
      <alignment horizontal="left" vertical="center" wrapText="1" shrinkToFit="1"/>
      <protection locked="0"/>
    </xf>
    <xf numFmtId="0" fontId="0" fillId="4" borderId="39" xfId="0" applyFill="1" applyBorder="1" applyAlignment="1" applyProtection="1">
      <alignment horizontal="left" vertical="center" wrapText="1" shrinkToFit="1"/>
      <protection locked="0"/>
    </xf>
    <xf numFmtId="0" fontId="0" fillId="4" borderId="40" xfId="0" applyFill="1" applyBorder="1" applyAlignment="1" applyProtection="1">
      <alignment horizontal="left" vertical="center" wrapText="1" shrinkToFit="1"/>
      <protection locked="0"/>
    </xf>
    <xf numFmtId="0" fontId="20" fillId="0" borderId="5" xfId="0" applyFont="1" applyBorder="1" applyAlignment="1" applyProtection="1">
      <alignment horizontal="right" vertical="center" wrapText="1" shrinkToFit="1"/>
      <protection locked="0"/>
    </xf>
    <xf numFmtId="0" fontId="20" fillId="0" borderId="7" xfId="0" applyFont="1" applyBorder="1" applyAlignment="1" applyProtection="1">
      <alignment horizontal="right" vertical="center" wrapText="1" shrinkToFit="1"/>
      <protection locked="0"/>
    </xf>
    <xf numFmtId="0" fontId="20" fillId="0" borderId="8" xfId="0" applyFont="1" applyBorder="1" applyAlignment="1" applyProtection="1">
      <alignment horizontal="right" vertical="center" wrapText="1" shrinkToFit="1"/>
      <protection locked="0"/>
    </xf>
    <xf numFmtId="0" fontId="20" fillId="0" borderId="9" xfId="0" applyFont="1" applyBorder="1" applyAlignment="1" applyProtection="1">
      <alignment horizontal="right" vertical="center" wrapText="1" shrinkToFit="1"/>
      <protection locked="0"/>
    </xf>
    <xf numFmtId="0" fontId="19" fillId="4" borderId="43" xfId="0" applyFont="1" applyFill="1" applyBorder="1" applyAlignment="1" applyProtection="1">
      <alignment horizontal="left" vertical="center" wrapText="1"/>
      <protection locked="0"/>
    </xf>
    <xf numFmtId="0" fontId="19" fillId="4" borderId="19" xfId="0" applyFont="1" applyFill="1" applyBorder="1" applyAlignment="1" applyProtection="1">
      <alignment horizontal="left" vertical="center" wrapText="1"/>
      <protection locked="0"/>
    </xf>
    <xf numFmtId="0" fontId="19" fillId="4" borderId="36" xfId="0" applyFont="1" applyFill="1" applyBorder="1" applyAlignment="1" applyProtection="1">
      <alignment horizontal="left" vertical="center" wrapText="1"/>
      <protection locked="0"/>
    </xf>
    <xf numFmtId="0" fontId="19" fillId="4" borderId="42" xfId="0" applyFont="1" applyFill="1" applyBorder="1" applyAlignment="1" applyProtection="1">
      <alignment horizontal="left" vertical="center" wrapText="1"/>
      <protection locked="0"/>
    </xf>
    <xf numFmtId="0" fontId="19" fillId="4" borderId="0" xfId="0" applyFont="1" applyFill="1" applyAlignment="1" applyProtection="1">
      <alignment horizontal="left" vertical="center" wrapText="1"/>
      <protection locked="0"/>
    </xf>
    <xf numFmtId="0" fontId="19" fillId="4" borderId="16" xfId="0" applyFont="1" applyFill="1" applyBorder="1" applyAlignment="1" applyProtection="1">
      <alignment horizontal="left" vertical="center" wrapText="1"/>
      <protection locked="0"/>
    </xf>
    <xf numFmtId="0" fontId="19" fillId="4" borderId="44" xfId="0" applyFont="1" applyFill="1" applyBorder="1" applyAlignment="1" applyProtection="1">
      <alignment horizontal="left" vertical="center" wrapText="1"/>
      <protection locked="0"/>
    </xf>
    <xf numFmtId="0" fontId="19" fillId="4" borderId="39" xfId="0" applyFont="1" applyFill="1" applyBorder="1" applyAlignment="1" applyProtection="1">
      <alignment horizontal="left" vertical="center" wrapText="1"/>
      <protection locked="0"/>
    </xf>
    <xf numFmtId="0" fontId="19" fillId="4" borderId="40" xfId="0" applyFont="1" applyFill="1" applyBorder="1" applyAlignment="1" applyProtection="1">
      <alignment horizontal="left" vertical="center" wrapText="1"/>
      <protection locked="0"/>
    </xf>
    <xf numFmtId="0" fontId="22" fillId="3" borderId="0" xfId="0" applyFont="1" applyFill="1" applyAlignment="1" applyProtection="1">
      <alignment horizontal="center" vertical="center" wrapText="1"/>
      <protection locked="0"/>
    </xf>
    <xf numFmtId="0" fontId="0" fillId="6" borderId="20" xfId="0" applyFill="1" applyBorder="1" applyAlignment="1" applyProtection="1">
      <alignment horizontal="left" vertical="top" wrapText="1" shrinkToFit="1"/>
      <protection locked="0"/>
    </xf>
    <xf numFmtId="0" fontId="0" fillId="6" borderId="20" xfId="0" applyFill="1" applyBorder="1" applyAlignment="1" applyProtection="1">
      <alignment horizontal="left" vertical="center" wrapText="1"/>
      <protection locked="0"/>
    </xf>
    <xf numFmtId="0" fontId="0" fillId="2" borderId="27" xfId="0" applyFill="1" applyBorder="1" applyAlignment="1" applyProtection="1">
      <alignment horizontal="left" vertical="center" wrapText="1"/>
      <protection locked="0"/>
    </xf>
    <xf numFmtId="0" fontId="0" fillId="0" borderId="7" xfId="0" applyBorder="1" applyAlignment="1" applyProtection="1">
      <alignment horizontal="left" vertical="top" wrapText="1" shrinkToFit="1"/>
      <protection locked="0"/>
    </xf>
    <xf numFmtId="0" fontId="0" fillId="0" borderId="12" xfId="0" applyBorder="1" applyAlignment="1" applyProtection="1">
      <alignment horizontal="left" vertical="top" wrapText="1" shrinkToFit="1"/>
      <protection locked="0"/>
    </xf>
    <xf numFmtId="0" fontId="19" fillId="3" borderId="2" xfId="0" applyFont="1" applyFill="1" applyBorder="1" applyAlignment="1" applyProtection="1">
      <alignment horizontal="center" vertical="center" wrapText="1"/>
      <protection locked="0"/>
    </xf>
    <xf numFmtId="0" fontId="19" fillId="3" borderId="20" xfId="0" applyFont="1" applyFill="1" applyBorder="1" applyAlignment="1" applyProtection="1">
      <alignment horizontal="center" vertical="center" wrapText="1"/>
      <protection locked="0"/>
    </xf>
    <xf numFmtId="0" fontId="23" fillId="4" borderId="1" xfId="19" applyFill="1" applyBorder="1" applyAlignment="1" applyProtection="1">
      <alignment horizontal="center" vertical="center" wrapText="1"/>
      <protection locked="0"/>
    </xf>
    <xf numFmtId="14" fontId="23" fillId="4" borderId="1" xfId="19" applyNumberFormat="1" applyFill="1" applyBorder="1" applyAlignment="1" applyProtection="1">
      <alignment horizontal="center" vertical="center" wrapText="1"/>
      <protection locked="0"/>
    </xf>
    <xf numFmtId="14" fontId="23" fillId="4" borderId="9" xfId="19" applyNumberFormat="1" applyFill="1" applyBorder="1" applyAlignment="1" applyProtection="1">
      <alignment horizontal="center" vertical="center" wrapText="1"/>
      <protection locked="0"/>
    </xf>
    <xf numFmtId="14" fontId="23" fillId="4" borderId="11" xfId="19" applyNumberFormat="1" applyFill="1" applyBorder="1" applyAlignment="1" applyProtection="1">
      <alignment horizontal="center" vertical="center" wrapText="1"/>
      <protection locked="0"/>
    </xf>
    <xf numFmtId="14" fontId="23" fillId="4" borderId="12" xfId="19" applyNumberFormat="1" applyFill="1" applyBorder="1" applyAlignment="1" applyProtection="1">
      <alignment horizontal="center" vertical="center" wrapText="1"/>
      <protection locked="0"/>
    </xf>
    <xf numFmtId="0" fontId="28" fillId="3" borderId="5" xfId="3" applyNumberFormat="1" applyFont="1" applyFill="1" applyBorder="1" applyAlignment="1" applyProtection="1">
      <alignment horizontal="left" vertical="center" wrapText="1"/>
    </xf>
    <xf numFmtId="0" fontId="28" fillId="3" borderId="6" xfId="3" applyNumberFormat="1" applyFont="1" applyFill="1" applyBorder="1" applyAlignment="1" applyProtection="1">
      <alignment horizontal="left" vertical="center" wrapText="1"/>
    </xf>
    <xf numFmtId="0" fontId="28" fillId="3" borderId="7" xfId="3" applyNumberFormat="1" applyFont="1" applyFill="1" applyBorder="1" applyAlignment="1" applyProtection="1">
      <alignment horizontal="left" vertical="center" wrapText="1"/>
    </xf>
    <xf numFmtId="0" fontId="28" fillId="3" borderId="8" xfId="3" applyNumberFormat="1" applyFont="1" applyFill="1" applyBorder="1" applyAlignment="1" applyProtection="1">
      <alignment horizontal="left" vertical="center" wrapText="1"/>
    </xf>
    <xf numFmtId="0" fontId="28" fillId="3" borderId="1" xfId="3" applyNumberFormat="1" applyFont="1" applyFill="1" applyBorder="1" applyAlignment="1" applyProtection="1">
      <alignment horizontal="left" vertical="center" wrapText="1"/>
    </xf>
    <xf numFmtId="0" fontId="28" fillId="3" borderId="9" xfId="3" applyNumberFormat="1" applyFont="1" applyFill="1" applyBorder="1" applyAlignment="1" applyProtection="1">
      <alignment horizontal="left" vertical="center" wrapText="1"/>
    </xf>
    <xf numFmtId="0" fontId="22" fillId="3" borderId="8" xfId="22" applyNumberFormat="1" applyFont="1" applyFill="1" applyBorder="1" applyAlignment="1" applyProtection="1">
      <alignment horizontal="center" vertical="center" wrapText="1"/>
    </xf>
    <xf numFmtId="0" fontId="22" fillId="3" borderId="8" xfId="22" applyNumberFormat="1" applyFont="1" applyFill="1" applyBorder="1" applyAlignment="1" applyProtection="1">
      <alignment horizontal="center" vertical="center"/>
    </xf>
    <xf numFmtId="0" fontId="22" fillId="3" borderId="10" xfId="22" applyNumberFormat="1" applyFont="1" applyFill="1" applyBorder="1" applyAlignment="1" applyProtection="1">
      <alignment horizontal="center" vertical="center"/>
    </xf>
    <xf numFmtId="0" fontId="23" fillId="3" borderId="1" xfId="19" applyFill="1" applyBorder="1" applyAlignment="1">
      <alignment horizontal="center" vertical="center" wrapText="1"/>
    </xf>
    <xf numFmtId="0" fontId="23" fillId="3" borderId="11" xfId="19" applyFill="1" applyBorder="1" applyAlignment="1">
      <alignment horizontal="center" vertical="center" wrapText="1"/>
    </xf>
    <xf numFmtId="0" fontId="23" fillId="3" borderId="1" xfId="19" applyFill="1" applyBorder="1" applyAlignment="1">
      <alignment horizontal="left" vertical="center" wrapText="1" shrinkToFit="1"/>
    </xf>
    <xf numFmtId="0" fontId="23" fillId="3" borderId="11" xfId="19" applyFill="1" applyBorder="1" applyAlignment="1">
      <alignment horizontal="left" vertical="center" wrapText="1" shrinkToFit="1"/>
    </xf>
    <xf numFmtId="0" fontId="23" fillId="4" borderId="1" xfId="19" applyFill="1" applyBorder="1" applyAlignment="1" applyProtection="1">
      <alignment horizontal="left" vertical="center" wrapText="1"/>
      <protection locked="0"/>
    </xf>
    <xf numFmtId="0" fontId="23" fillId="4" borderId="11" xfId="19" applyFill="1" applyBorder="1" applyAlignment="1" applyProtection="1">
      <alignment horizontal="left" vertical="center" wrapText="1"/>
      <protection locked="0"/>
    </xf>
    <xf numFmtId="0" fontId="0" fillId="4" borderId="1" xfId="19" applyFont="1" applyFill="1" applyBorder="1" applyAlignment="1" applyProtection="1">
      <alignment horizontal="center" vertical="center" wrapText="1"/>
      <protection locked="0"/>
    </xf>
    <xf numFmtId="0" fontId="23" fillId="4" borderId="11" xfId="19" applyFill="1" applyBorder="1" applyAlignment="1" applyProtection="1">
      <alignment horizontal="center" vertical="center" wrapText="1"/>
      <protection locked="0"/>
    </xf>
    <xf numFmtId="0" fontId="86" fillId="0" borderId="0" xfId="19" applyFont="1" applyAlignment="1">
      <alignment horizontal="left" vertical="center"/>
    </xf>
    <xf numFmtId="0" fontId="52" fillId="24" borderId="53" xfId="0" applyFont="1" applyFill="1" applyBorder="1" applyAlignment="1">
      <alignment horizontal="center" vertical="center"/>
    </xf>
    <xf numFmtId="0" fontId="52" fillId="24" borderId="21" xfId="0" applyFont="1" applyFill="1" applyBorder="1" applyAlignment="1">
      <alignment horizontal="center" vertical="center"/>
    </xf>
    <xf numFmtId="0" fontId="52" fillId="24" borderId="22" xfId="0" applyFont="1" applyFill="1" applyBorder="1" applyAlignment="1">
      <alignment horizontal="center" vertical="center"/>
    </xf>
    <xf numFmtId="0" fontId="5" fillId="3" borderId="9" xfId="8" applyFont="1" applyFill="1" applyBorder="1" applyAlignment="1">
      <alignment horizontal="center" vertical="center"/>
    </xf>
    <xf numFmtId="14" fontId="23" fillId="4" borderId="42" xfId="0" applyNumberFormat="1" applyFont="1" applyFill="1" applyBorder="1" applyAlignment="1" applyProtection="1">
      <alignment horizontal="center" vertical="center"/>
      <protection locked="0"/>
    </xf>
    <xf numFmtId="14" fontId="23" fillId="4" borderId="0" xfId="0" applyNumberFormat="1" applyFont="1" applyFill="1" applyAlignment="1" applyProtection="1">
      <alignment horizontal="center" vertical="center"/>
      <protection locked="0"/>
    </xf>
    <xf numFmtId="14" fontId="23" fillId="4" borderId="16" xfId="0" applyNumberFormat="1" applyFont="1" applyFill="1" applyBorder="1" applyAlignment="1" applyProtection="1">
      <alignment horizontal="center" vertical="center"/>
      <protection locked="0"/>
    </xf>
    <xf numFmtId="14" fontId="23" fillId="4" borderId="44" xfId="0" applyNumberFormat="1" applyFont="1" applyFill="1" applyBorder="1" applyAlignment="1" applyProtection="1">
      <alignment horizontal="center" vertical="center"/>
      <protection locked="0"/>
    </xf>
    <xf numFmtId="14" fontId="23" fillId="4" borderId="39" xfId="0" applyNumberFormat="1" applyFont="1" applyFill="1" applyBorder="1" applyAlignment="1" applyProtection="1">
      <alignment horizontal="center" vertical="center"/>
      <protection locked="0"/>
    </xf>
    <xf numFmtId="14" fontId="23" fillId="4" borderId="40" xfId="0" applyNumberFormat="1" applyFont="1" applyFill="1" applyBorder="1" applyAlignment="1" applyProtection="1">
      <alignment horizontal="center" vertical="center"/>
      <protection locked="0"/>
    </xf>
    <xf numFmtId="0" fontId="5" fillId="3" borderId="12" xfId="8" applyFont="1" applyFill="1" applyBorder="1" applyAlignment="1">
      <alignment horizontal="center" vertical="center"/>
    </xf>
    <xf numFmtId="0" fontId="52" fillId="6" borderId="5" xfId="21" applyFont="1" applyFill="1" applyBorder="1" applyAlignment="1">
      <alignment horizontal="center" vertical="center"/>
    </xf>
    <xf numFmtId="0" fontId="52" fillId="6" borderId="6" xfId="21" applyFont="1" applyFill="1" applyBorder="1" applyAlignment="1">
      <alignment horizontal="center" vertical="center"/>
    </xf>
    <xf numFmtId="0" fontId="52" fillId="6" borderId="7" xfId="21" applyFont="1" applyFill="1" applyBorder="1" applyAlignment="1">
      <alignment horizontal="center" vertical="center"/>
    </xf>
    <xf numFmtId="0" fontId="52" fillId="24" borderId="43" xfId="0" applyFont="1" applyFill="1" applyBorder="1" applyAlignment="1">
      <alignment horizontal="center" vertical="center" wrapText="1"/>
    </xf>
    <xf numFmtId="0" fontId="52" fillId="24" borderId="19" xfId="0" applyFont="1" applyFill="1" applyBorder="1" applyAlignment="1">
      <alignment horizontal="center" vertical="center" wrapText="1"/>
    </xf>
    <xf numFmtId="0" fontId="52" fillId="24" borderId="36" xfId="0" applyFont="1" applyFill="1" applyBorder="1" applyAlignment="1">
      <alignment horizontal="center" vertical="center" wrapText="1"/>
    </xf>
    <xf numFmtId="0" fontId="52" fillId="24" borderId="93" xfId="0" applyFont="1" applyFill="1" applyBorder="1" applyAlignment="1">
      <alignment horizontal="center" vertical="center" wrapText="1"/>
    </xf>
    <xf numFmtId="0" fontId="23" fillId="3" borderId="8" xfId="19" applyFill="1" applyBorder="1" applyAlignment="1">
      <alignment horizontal="center" vertical="center" wrapText="1"/>
    </xf>
    <xf numFmtId="14" fontId="5" fillId="4" borderId="1" xfId="19" applyNumberFormat="1" applyFont="1" applyFill="1" applyBorder="1" applyAlignment="1" applyProtection="1">
      <alignment horizontal="center" vertical="center"/>
      <protection locked="0"/>
    </xf>
    <xf numFmtId="14" fontId="5" fillId="4" borderId="9" xfId="19" applyNumberFormat="1" applyFont="1" applyFill="1" applyBorder="1" applyAlignment="1" applyProtection="1">
      <alignment horizontal="center" vertical="center"/>
      <protection locked="0"/>
    </xf>
    <xf numFmtId="0" fontId="0" fillId="4" borderId="50" xfId="0" applyFill="1" applyBorder="1" applyAlignment="1" applyProtection="1">
      <alignment horizontal="center" vertical="center"/>
      <protection locked="0"/>
    </xf>
    <xf numFmtId="0" fontId="23" fillId="4" borderId="3" xfId="0" applyFont="1" applyFill="1" applyBorder="1" applyAlignment="1" applyProtection="1">
      <alignment horizontal="center" vertical="center"/>
      <protection locked="0"/>
    </xf>
    <xf numFmtId="0" fontId="0" fillId="4" borderId="42" xfId="19" applyFont="1" applyFill="1" applyBorder="1" applyAlignment="1" applyProtection="1">
      <alignment horizontal="center" vertical="top" wrapText="1" shrinkToFit="1"/>
      <protection locked="0"/>
    </xf>
    <xf numFmtId="0" fontId="0" fillId="4" borderId="0" xfId="19" applyFont="1" applyFill="1" applyAlignment="1" applyProtection="1">
      <alignment horizontal="center" vertical="top" wrapText="1" shrinkToFit="1"/>
      <protection locked="0"/>
    </xf>
    <xf numFmtId="0" fontId="0" fillId="4" borderId="16" xfId="19" applyFont="1" applyFill="1" applyBorder="1" applyAlignment="1" applyProtection="1">
      <alignment horizontal="center" vertical="top" wrapText="1" shrinkToFit="1"/>
      <protection locked="0"/>
    </xf>
    <xf numFmtId="0" fontId="0" fillId="4" borderId="44" xfId="19" applyFont="1" applyFill="1" applyBorder="1" applyAlignment="1" applyProtection="1">
      <alignment horizontal="center" vertical="top" wrapText="1" shrinkToFit="1"/>
      <protection locked="0"/>
    </xf>
    <xf numFmtId="0" fontId="0" fillId="4" borderId="39" xfId="19" applyFont="1" applyFill="1" applyBorder="1" applyAlignment="1" applyProtection="1">
      <alignment horizontal="center" vertical="top" wrapText="1" shrinkToFit="1"/>
      <protection locked="0"/>
    </xf>
    <xf numFmtId="0" fontId="0" fillId="4" borderId="40" xfId="19" applyFont="1" applyFill="1" applyBorder="1" applyAlignment="1" applyProtection="1">
      <alignment horizontal="center" vertical="top" wrapText="1" shrinkToFit="1"/>
      <protection locked="0"/>
    </xf>
    <xf numFmtId="0" fontId="52" fillId="24" borderId="28" xfId="0" applyFont="1" applyFill="1" applyBorder="1" applyAlignment="1">
      <alignment horizontal="center" vertical="center"/>
    </xf>
    <xf numFmtId="0" fontId="52" fillId="24" borderId="29" xfId="0" applyFont="1" applyFill="1" applyBorder="1" applyAlignment="1">
      <alignment horizontal="center" vertical="center"/>
    </xf>
    <xf numFmtId="0" fontId="23" fillId="3" borderId="10" xfId="19" applyFill="1" applyBorder="1" applyAlignment="1">
      <alignment horizontal="center" vertical="center" wrapText="1"/>
    </xf>
    <xf numFmtId="14" fontId="5" fillId="4" borderId="11" xfId="19" applyNumberFormat="1" applyFont="1" applyFill="1" applyBorder="1" applyAlignment="1" applyProtection="1">
      <alignment horizontal="center" vertical="center"/>
      <protection locked="0"/>
    </xf>
    <xf numFmtId="14" fontId="5" fillId="4" borderId="12" xfId="19" applyNumberFormat="1" applyFont="1" applyFill="1" applyBorder="1" applyAlignment="1" applyProtection="1">
      <alignment horizontal="center" vertical="center"/>
      <protection locked="0"/>
    </xf>
    <xf numFmtId="0" fontId="23" fillId="4" borderId="48" xfId="0" applyFont="1" applyFill="1" applyBorder="1" applyAlignment="1" applyProtection="1">
      <alignment horizontal="center" vertical="center"/>
      <protection locked="0"/>
    </xf>
    <xf numFmtId="0" fontId="23" fillId="4" borderId="49" xfId="0" applyFont="1" applyFill="1" applyBorder="1" applyAlignment="1" applyProtection="1">
      <alignment horizontal="center" vertical="center"/>
      <protection locked="0"/>
    </xf>
    <xf numFmtId="0" fontId="23" fillId="4" borderId="52" xfId="0" applyFont="1" applyFill="1" applyBorder="1" applyAlignment="1" applyProtection="1">
      <alignment horizontal="center" vertical="center"/>
      <protection locked="0"/>
    </xf>
    <xf numFmtId="0" fontId="23" fillId="3" borderId="42"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23" fillId="3" borderId="44"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23" fillId="3" borderId="40" xfId="0" applyFont="1" applyFill="1" applyBorder="1" applyAlignment="1">
      <alignment horizontal="center" vertical="center" wrapText="1"/>
    </xf>
    <xf numFmtId="14" fontId="23" fillId="4" borderId="1" xfId="19" applyNumberFormat="1" applyFill="1" applyBorder="1" applyAlignment="1" applyProtection="1">
      <alignment horizontal="center" vertical="center"/>
      <protection locked="0"/>
    </xf>
    <xf numFmtId="14" fontId="23" fillId="4" borderId="9" xfId="19" applyNumberFormat="1" applyFill="1" applyBorder="1" applyAlignment="1" applyProtection="1">
      <alignment horizontal="center" vertical="center"/>
      <protection locked="0"/>
    </xf>
    <xf numFmtId="0" fontId="23" fillId="4" borderId="104" xfId="19" applyFill="1" applyBorder="1" applyAlignment="1" applyProtection="1">
      <alignment horizontal="center" vertical="center" wrapText="1" shrinkToFit="1"/>
      <protection locked="0"/>
    </xf>
    <xf numFmtId="0" fontId="23" fillId="4" borderId="68" xfId="19" applyFill="1" applyBorder="1" applyAlignment="1" applyProtection="1">
      <alignment horizontal="center" vertical="center" wrapText="1" shrinkToFit="1"/>
      <protection locked="0"/>
    </xf>
    <xf numFmtId="0" fontId="23" fillId="4" borderId="54" xfId="19" applyFill="1" applyBorder="1" applyAlignment="1" applyProtection="1">
      <alignment horizontal="center" vertical="center" wrapText="1" shrinkToFit="1"/>
      <protection locked="0"/>
    </xf>
    <xf numFmtId="0" fontId="23" fillId="4" borderId="42" xfId="19" applyFill="1" applyBorder="1" applyAlignment="1" applyProtection="1">
      <alignment horizontal="center" vertical="center" wrapText="1" shrinkToFit="1"/>
      <protection locked="0"/>
    </xf>
    <xf numFmtId="0" fontId="23" fillId="4" borderId="0" xfId="19" applyFill="1" applyAlignment="1" applyProtection="1">
      <alignment horizontal="center" vertical="center" wrapText="1" shrinkToFit="1"/>
      <protection locked="0"/>
    </xf>
    <xf numFmtId="0" fontId="23" fillId="4" borderId="41" xfId="19" applyFill="1" applyBorder="1" applyAlignment="1" applyProtection="1">
      <alignment horizontal="center" vertical="center" wrapText="1" shrinkToFit="1"/>
      <protection locked="0"/>
    </xf>
    <xf numFmtId="0" fontId="23" fillId="4" borderId="100" xfId="19" applyFill="1" applyBorder="1" applyAlignment="1" applyProtection="1">
      <alignment horizontal="center" vertical="center" wrapText="1" shrinkToFit="1"/>
      <protection locked="0"/>
    </xf>
    <xf numFmtId="0" fontId="23" fillId="4" borderId="67" xfId="19" applyFill="1" applyBorder="1" applyAlignment="1" applyProtection="1">
      <alignment horizontal="center" vertical="center" wrapText="1" shrinkToFit="1"/>
      <protection locked="0"/>
    </xf>
    <xf numFmtId="0" fontId="23" fillId="4" borderId="70" xfId="19" applyFill="1" applyBorder="1" applyAlignment="1" applyProtection="1">
      <alignment horizontal="center" vertical="center" wrapText="1" shrinkToFit="1"/>
      <protection locked="0"/>
    </xf>
    <xf numFmtId="0" fontId="23" fillId="4" borderId="57" xfId="19" applyFill="1" applyBorder="1" applyAlignment="1" applyProtection="1">
      <alignment horizontal="center" vertical="center" wrapText="1" shrinkToFit="1"/>
      <protection locked="0"/>
    </xf>
    <xf numFmtId="0" fontId="23" fillId="4" borderId="37" xfId="19" applyFill="1" applyBorder="1" applyAlignment="1" applyProtection="1">
      <alignment horizontal="center" vertical="center" wrapText="1" shrinkToFit="1"/>
      <protection locked="0"/>
    </xf>
    <xf numFmtId="0" fontId="23" fillId="4" borderId="69" xfId="19" applyFill="1" applyBorder="1" applyAlignment="1" applyProtection="1">
      <alignment horizontal="center" vertical="center" wrapText="1" shrinkToFit="1"/>
      <protection locked="0"/>
    </xf>
    <xf numFmtId="14" fontId="23" fillId="3" borderId="1" xfId="19" applyNumberFormat="1" applyFill="1" applyBorder="1" applyAlignment="1">
      <alignment horizontal="center" vertical="center" wrapText="1" shrinkToFit="1"/>
    </xf>
    <xf numFmtId="14" fontId="23" fillId="3" borderId="9" xfId="19" applyNumberFormat="1" applyFill="1" applyBorder="1" applyAlignment="1">
      <alignment horizontal="center" vertical="center" wrapText="1" shrinkToFit="1"/>
    </xf>
    <xf numFmtId="14" fontId="23" fillId="3" borderId="11" xfId="19" applyNumberFormat="1" applyFill="1" applyBorder="1" applyAlignment="1">
      <alignment horizontal="center" vertical="center" wrapText="1" shrinkToFit="1"/>
    </xf>
    <xf numFmtId="14" fontId="23" fillId="3" borderId="12" xfId="19" applyNumberFormat="1" applyFill="1" applyBorder="1" applyAlignment="1">
      <alignment horizontal="center" vertical="center" wrapText="1" shrinkToFit="1"/>
    </xf>
    <xf numFmtId="14" fontId="23" fillId="3" borderId="42" xfId="19" applyNumberFormat="1" applyFill="1" applyBorder="1" applyAlignment="1">
      <alignment horizontal="center" vertical="center" wrapText="1" shrinkToFit="1"/>
    </xf>
    <xf numFmtId="14" fontId="23" fillId="3" borderId="0" xfId="19" applyNumberFormat="1" applyFill="1" applyAlignment="1">
      <alignment horizontal="center" vertical="center" wrapText="1" shrinkToFit="1"/>
    </xf>
    <xf numFmtId="14" fontId="23" fillId="3" borderId="16" xfId="19" applyNumberFormat="1" applyFill="1" applyBorder="1" applyAlignment="1">
      <alignment horizontal="center" vertical="center" wrapText="1" shrinkToFit="1"/>
    </xf>
    <xf numFmtId="14" fontId="23" fillId="3" borderId="44" xfId="19" applyNumberFormat="1" applyFill="1" applyBorder="1" applyAlignment="1">
      <alignment horizontal="center" vertical="center" wrapText="1" shrinkToFit="1"/>
    </xf>
    <xf numFmtId="14" fontId="23" fillId="3" borderId="39" xfId="19" applyNumberFormat="1" applyFill="1" applyBorder="1" applyAlignment="1">
      <alignment horizontal="center" vertical="center" wrapText="1" shrinkToFit="1"/>
    </xf>
    <xf numFmtId="14" fontId="23" fillId="3" borderId="40" xfId="19" applyNumberFormat="1" applyFill="1" applyBorder="1" applyAlignment="1">
      <alignment horizontal="center" vertical="center" wrapText="1" shrinkToFit="1"/>
    </xf>
    <xf numFmtId="0" fontId="23" fillId="4" borderId="44" xfId="19" applyFill="1" applyBorder="1" applyAlignment="1" applyProtection="1">
      <alignment horizontal="center" vertical="center" wrapText="1" shrinkToFit="1"/>
      <protection locked="0"/>
    </xf>
    <xf numFmtId="0" fontId="23" fillId="4" borderId="39" xfId="19" applyFill="1" applyBorder="1" applyAlignment="1" applyProtection="1">
      <alignment horizontal="center" vertical="center" wrapText="1" shrinkToFit="1"/>
      <protection locked="0"/>
    </xf>
    <xf numFmtId="0" fontId="23" fillId="4" borderId="47" xfId="19" applyFill="1" applyBorder="1" applyAlignment="1" applyProtection="1">
      <alignment horizontal="center" vertical="center" wrapText="1" shrinkToFit="1"/>
      <protection locked="0"/>
    </xf>
    <xf numFmtId="0" fontId="23" fillId="4" borderId="38" xfId="19" applyFill="1" applyBorder="1" applyAlignment="1" applyProtection="1">
      <alignment horizontal="center" vertical="center" wrapText="1" shrinkToFit="1"/>
      <protection locked="0"/>
    </xf>
    <xf numFmtId="49" fontId="39" fillId="4" borderId="187" xfId="0" applyNumberFormat="1" applyFont="1" applyFill="1" applyBorder="1" applyAlignment="1" applyProtection="1">
      <alignment horizontal="center" vertical="center" wrapText="1"/>
      <protection locked="0"/>
    </xf>
    <xf numFmtId="49" fontId="39" fillId="4" borderId="189" xfId="0" applyNumberFormat="1" applyFont="1" applyFill="1" applyBorder="1" applyAlignment="1" applyProtection="1">
      <alignment horizontal="center" vertical="center" wrapText="1"/>
      <protection locked="0"/>
    </xf>
    <xf numFmtId="3" fontId="23" fillId="4" borderId="121" xfId="19" applyNumberFormat="1" applyFill="1" applyBorder="1" applyAlignment="1" applyProtection="1">
      <alignment horizontal="center" vertical="center"/>
      <protection locked="0"/>
    </xf>
    <xf numFmtId="3" fontId="23" fillId="4" borderId="113" xfId="19" applyNumberFormat="1" applyFill="1" applyBorder="1" applyAlignment="1" applyProtection="1">
      <alignment horizontal="center" vertical="center"/>
      <protection locked="0"/>
    </xf>
    <xf numFmtId="3" fontId="23" fillId="4" borderId="150" xfId="19" applyNumberFormat="1" applyFill="1" applyBorder="1" applyAlignment="1" applyProtection="1">
      <alignment horizontal="center" vertical="center"/>
      <protection locked="0"/>
    </xf>
    <xf numFmtId="2" fontId="23" fillId="0" borderId="121" xfId="19" applyNumberFormat="1" applyBorder="1" applyAlignment="1">
      <alignment horizontal="center" vertical="center" wrapText="1"/>
    </xf>
    <xf numFmtId="0" fontId="113" fillId="4" borderId="121" xfId="19" applyFont="1" applyFill="1" applyBorder="1" applyAlignment="1" applyProtection="1">
      <alignment horizontal="center" vertical="center" wrapText="1"/>
      <protection locked="0"/>
    </xf>
    <xf numFmtId="0" fontId="51" fillId="3" borderId="118" xfId="19" applyFont="1" applyFill="1" applyBorder="1" applyAlignment="1">
      <alignment horizontal="center" vertical="center" wrapText="1"/>
    </xf>
    <xf numFmtId="0" fontId="51" fillId="3" borderId="150" xfId="19" applyFont="1" applyFill="1" applyBorder="1" applyAlignment="1">
      <alignment horizontal="center" vertical="center" wrapText="1"/>
    </xf>
    <xf numFmtId="3" fontId="23" fillId="24" borderId="118" xfId="19" applyNumberFormat="1" applyFill="1" applyBorder="1" applyAlignment="1">
      <alignment horizontal="center" vertical="center"/>
    </xf>
    <xf numFmtId="3" fontId="23" fillId="24" borderId="151" xfId="19" applyNumberFormat="1" applyFill="1" applyBorder="1" applyAlignment="1">
      <alignment horizontal="center" vertical="center"/>
    </xf>
    <xf numFmtId="49" fontId="39" fillId="4" borderId="122" xfId="0" applyNumberFormat="1" applyFont="1" applyFill="1" applyBorder="1" applyAlignment="1" applyProtection="1">
      <alignment horizontal="center" vertical="center" wrapText="1"/>
      <protection locked="0"/>
    </xf>
    <xf numFmtId="49" fontId="39" fillId="4" borderId="133" xfId="0" applyNumberFormat="1" applyFont="1" applyFill="1" applyBorder="1" applyAlignment="1" applyProtection="1">
      <alignment horizontal="center" vertical="center" wrapText="1"/>
      <protection locked="0"/>
    </xf>
    <xf numFmtId="9" fontId="23" fillId="4" borderId="121" xfId="3" applyFont="1" applyFill="1" applyBorder="1" applyAlignment="1" applyProtection="1">
      <alignment horizontal="center" vertical="center"/>
      <protection locked="0"/>
    </xf>
    <xf numFmtId="168" fontId="23" fillId="3" borderId="113" xfId="3" applyNumberFormat="1" applyFont="1" applyFill="1" applyBorder="1" applyAlignment="1" applyProtection="1">
      <alignment horizontal="center" vertical="center"/>
    </xf>
    <xf numFmtId="168" fontId="23" fillId="3" borderId="150" xfId="3" applyNumberFormat="1" applyFont="1" applyFill="1" applyBorder="1" applyAlignment="1" applyProtection="1">
      <alignment horizontal="center" vertical="center"/>
    </xf>
    <xf numFmtId="3" fontId="23" fillId="24" borderId="173" xfId="19" applyNumberFormat="1" applyFill="1" applyBorder="1" applyAlignment="1">
      <alignment horizontal="center" vertical="center"/>
    </xf>
    <xf numFmtId="3" fontId="23" fillId="24" borderId="183" xfId="19" applyNumberFormat="1" applyFill="1" applyBorder="1" applyAlignment="1">
      <alignment horizontal="center" vertical="center"/>
    </xf>
    <xf numFmtId="168" fontId="23" fillId="3" borderId="171" xfId="3" applyNumberFormat="1" applyFont="1" applyFill="1" applyBorder="1" applyAlignment="1" applyProtection="1">
      <alignment horizontal="center" vertical="center"/>
    </xf>
    <xf numFmtId="168" fontId="23" fillId="3" borderId="172" xfId="3" applyNumberFormat="1" applyFont="1" applyFill="1" applyBorder="1" applyAlignment="1" applyProtection="1">
      <alignment horizontal="center" vertical="center"/>
    </xf>
    <xf numFmtId="3" fontId="23" fillId="24" borderId="171" xfId="19" applyNumberFormat="1" applyFill="1" applyBorder="1" applyAlignment="1">
      <alignment horizontal="center" vertical="center"/>
    </xf>
    <xf numFmtId="3" fontId="23" fillId="24" borderId="179" xfId="19" applyNumberFormat="1" applyFill="1" applyBorder="1" applyAlignment="1">
      <alignment horizontal="center" vertical="center"/>
    </xf>
    <xf numFmtId="3" fontId="23" fillId="24" borderId="184" xfId="19" applyNumberFormat="1" applyFill="1" applyBorder="1" applyAlignment="1">
      <alignment horizontal="center" vertical="center"/>
    </xf>
    <xf numFmtId="168" fontId="23" fillId="3" borderId="179" xfId="3" applyNumberFormat="1" applyFont="1" applyFill="1" applyBorder="1" applyAlignment="1" applyProtection="1">
      <alignment horizontal="center" vertical="center"/>
    </xf>
    <xf numFmtId="168" fontId="23" fillId="3" borderId="180" xfId="3" applyNumberFormat="1" applyFont="1" applyFill="1" applyBorder="1" applyAlignment="1" applyProtection="1">
      <alignment horizontal="center" vertical="center"/>
    </xf>
    <xf numFmtId="0" fontId="0" fillId="4" borderId="1" xfId="19" applyFont="1" applyFill="1" applyBorder="1" applyAlignment="1" applyProtection="1">
      <alignment horizontal="left" vertical="center" wrapText="1"/>
      <protection locked="0"/>
    </xf>
    <xf numFmtId="0" fontId="0" fillId="4" borderId="1" xfId="19" applyFont="1" applyFill="1" applyBorder="1" applyAlignment="1">
      <alignment horizontal="center" vertical="center" wrapText="1"/>
    </xf>
    <xf numFmtId="0" fontId="23" fillId="4" borderId="1" xfId="19" applyFill="1" applyBorder="1" applyAlignment="1">
      <alignment horizontal="center" vertical="center" wrapText="1"/>
    </xf>
    <xf numFmtId="0" fontId="23" fillId="4" borderId="11" xfId="19" applyFill="1" applyBorder="1" applyAlignment="1">
      <alignment horizontal="center" vertical="center" wrapText="1"/>
    </xf>
    <xf numFmtId="0" fontId="0" fillId="3" borderId="1" xfId="19" applyFont="1" applyFill="1" applyBorder="1" applyAlignment="1">
      <alignment horizontal="center" vertical="center" wrapText="1"/>
    </xf>
    <xf numFmtId="0" fontId="0" fillId="3" borderId="1" xfId="19" applyFont="1" applyFill="1" applyBorder="1" applyAlignment="1">
      <alignment horizontal="left" vertical="center" wrapText="1" shrinkToFit="1"/>
    </xf>
    <xf numFmtId="0" fontId="23" fillId="0" borderId="1" xfId="19" applyBorder="1" applyAlignment="1">
      <alignment horizontal="left" vertical="center" wrapText="1" shrinkToFit="1"/>
    </xf>
    <xf numFmtId="0" fontId="23" fillId="3" borderId="57" xfId="19" applyFill="1" applyBorder="1" applyAlignment="1">
      <alignment horizontal="left" vertical="center" wrapText="1" shrinkToFit="1"/>
    </xf>
    <xf numFmtId="0" fontId="23" fillId="3" borderId="68" xfId="19" applyFill="1" applyBorder="1" applyAlignment="1">
      <alignment horizontal="left" vertical="center" wrapText="1" shrinkToFit="1"/>
    </xf>
    <xf numFmtId="0" fontId="23" fillId="3" borderId="54" xfId="19" applyFill="1" applyBorder="1" applyAlignment="1">
      <alignment horizontal="left" vertical="center" wrapText="1" shrinkToFit="1"/>
    </xf>
    <xf numFmtId="0" fontId="23" fillId="3" borderId="37" xfId="19" applyFill="1" applyBorder="1" applyAlignment="1">
      <alignment horizontal="left" vertical="center" wrapText="1" shrinkToFit="1"/>
    </xf>
    <xf numFmtId="0" fontId="23" fillId="3" borderId="0" xfId="19" applyFill="1" applyAlignment="1">
      <alignment horizontal="left" vertical="center" wrapText="1" shrinkToFit="1"/>
    </xf>
    <xf numFmtId="0" fontId="23" fillId="3" borderId="41" xfId="19" applyFill="1" applyBorder="1" applyAlignment="1">
      <alignment horizontal="left" vertical="center" wrapText="1" shrinkToFit="1"/>
    </xf>
    <xf numFmtId="0" fontId="23" fillId="3" borderId="69" xfId="19" applyFill="1" applyBorder="1" applyAlignment="1">
      <alignment horizontal="left" vertical="center" wrapText="1" shrinkToFit="1"/>
    </xf>
    <xf numFmtId="0" fontId="23" fillId="3" borderId="67" xfId="19" applyFill="1" applyBorder="1" applyAlignment="1">
      <alignment horizontal="left" vertical="center" wrapText="1" shrinkToFit="1"/>
    </xf>
    <xf numFmtId="0" fontId="23" fillId="3" borderId="70" xfId="19" applyFill="1" applyBorder="1" applyAlignment="1">
      <alignment horizontal="left" vertical="center" wrapText="1" shrinkToFit="1"/>
    </xf>
    <xf numFmtId="0" fontId="0" fillId="4" borderId="1" xfId="19" quotePrefix="1" applyFont="1" applyFill="1" applyBorder="1" applyAlignment="1" applyProtection="1">
      <alignment horizontal="left" vertical="center" wrapText="1"/>
      <protection locked="0"/>
    </xf>
    <xf numFmtId="0" fontId="23" fillId="4" borderId="57" xfId="3" applyNumberFormat="1" applyFont="1" applyFill="1" applyBorder="1" applyAlignment="1" applyProtection="1">
      <alignment horizontal="center" vertical="center" wrapText="1"/>
      <protection locked="0"/>
    </xf>
    <xf numFmtId="0" fontId="23" fillId="4" borderId="54" xfId="3" applyNumberFormat="1" applyFont="1" applyFill="1" applyBorder="1" applyAlignment="1" applyProtection="1">
      <alignment horizontal="center" vertical="center" wrapText="1"/>
      <protection locked="0"/>
    </xf>
    <xf numFmtId="0" fontId="23" fillId="4" borderId="37" xfId="3" applyNumberFormat="1" applyFont="1" applyFill="1" applyBorder="1" applyAlignment="1" applyProtection="1">
      <alignment horizontal="center" vertical="center" wrapText="1"/>
      <protection locked="0"/>
    </xf>
    <xf numFmtId="0" fontId="23" fillId="4" borderId="41" xfId="3" applyNumberFormat="1" applyFont="1" applyFill="1" applyBorder="1" applyAlignment="1" applyProtection="1">
      <alignment horizontal="center" vertical="center" wrapText="1"/>
      <protection locked="0"/>
    </xf>
    <xf numFmtId="0" fontId="23" fillId="4" borderId="69" xfId="3" applyNumberFormat="1" applyFont="1" applyFill="1" applyBorder="1" applyAlignment="1" applyProtection="1">
      <alignment horizontal="center" vertical="center" wrapText="1"/>
      <protection locked="0"/>
    </xf>
    <xf numFmtId="0" fontId="23" fillId="4" borderId="70" xfId="3" applyNumberFormat="1" applyFont="1" applyFill="1" applyBorder="1" applyAlignment="1" applyProtection="1">
      <alignment horizontal="center" vertical="center" wrapText="1"/>
      <protection locked="0"/>
    </xf>
    <xf numFmtId="0" fontId="23" fillId="0" borderId="1" xfId="19" quotePrefix="1" applyBorder="1" applyAlignment="1">
      <alignment horizontal="left" vertical="center" wrapText="1" shrinkToFit="1"/>
    </xf>
    <xf numFmtId="0" fontId="0" fillId="4" borderId="1" xfId="19" quotePrefix="1" applyFont="1" applyFill="1" applyBorder="1" applyAlignment="1">
      <alignment horizontal="left" vertical="center" wrapText="1" shrinkToFit="1"/>
    </xf>
    <xf numFmtId="0" fontId="23" fillId="4" borderId="1" xfId="19" applyFill="1" applyBorder="1" applyAlignment="1">
      <alignment horizontal="left" vertical="center" wrapText="1" shrinkToFit="1"/>
    </xf>
    <xf numFmtId="0" fontId="23" fillId="0" borderId="1" xfId="19" applyBorder="1" applyAlignment="1">
      <alignment horizontal="center" vertical="center" wrapText="1"/>
    </xf>
    <xf numFmtId="0" fontId="23" fillId="0" borderId="11" xfId="19" applyBorder="1" applyAlignment="1">
      <alignment horizontal="center" vertical="center" wrapText="1"/>
    </xf>
    <xf numFmtId="0" fontId="23" fillId="0" borderId="11" xfId="19" applyBorder="1" applyAlignment="1">
      <alignment horizontal="left" vertical="center" wrapText="1" shrinkToFit="1"/>
    </xf>
    <xf numFmtId="0" fontId="139" fillId="4" borderId="1" xfId="19" applyFont="1" applyFill="1" applyBorder="1" applyAlignment="1" applyProtection="1">
      <alignment horizontal="left" vertical="center" wrapText="1" shrinkToFit="1"/>
      <protection locked="0"/>
    </xf>
    <xf numFmtId="0" fontId="139" fillId="4" borderId="11" xfId="19" applyFont="1" applyFill="1" applyBorder="1" applyAlignment="1" applyProtection="1">
      <alignment horizontal="left" vertical="center" wrapText="1" shrinkToFit="1"/>
      <protection locked="0"/>
    </xf>
    <xf numFmtId="0" fontId="138" fillId="4" borderId="1" xfId="19" applyFont="1" applyFill="1" applyBorder="1" applyAlignment="1" applyProtection="1">
      <alignment horizontal="left" vertical="center" wrapText="1" shrinkToFit="1"/>
      <protection locked="0"/>
    </xf>
    <xf numFmtId="0" fontId="0" fillId="4" borderId="54" xfId="19" applyFont="1" applyFill="1" applyBorder="1" applyAlignment="1" applyProtection="1">
      <alignment horizontal="center" vertical="center" wrapText="1"/>
      <protection locked="0"/>
    </xf>
    <xf numFmtId="0" fontId="0" fillId="4" borderId="37" xfId="19" applyFont="1" applyFill="1" applyBorder="1" applyAlignment="1" applyProtection="1">
      <alignment horizontal="center" vertical="center" wrapText="1"/>
      <protection locked="0"/>
    </xf>
    <xf numFmtId="0" fontId="0" fillId="4" borderId="41" xfId="19" applyFont="1" applyFill="1" applyBorder="1" applyAlignment="1" applyProtection="1">
      <alignment horizontal="center" vertical="center" wrapText="1"/>
      <protection locked="0"/>
    </xf>
    <xf numFmtId="0" fontId="0" fillId="4" borderId="69" xfId="19" applyFont="1" applyFill="1" applyBorder="1" applyAlignment="1" applyProtection="1">
      <alignment horizontal="center" vertical="center" wrapText="1"/>
      <protection locked="0"/>
    </xf>
    <xf numFmtId="0" fontId="0" fillId="4" borderId="70" xfId="19" applyFont="1" applyFill="1" applyBorder="1" applyAlignment="1" applyProtection="1">
      <alignment horizontal="center" vertical="center" wrapText="1"/>
      <protection locked="0"/>
    </xf>
    <xf numFmtId="0" fontId="136" fillId="3" borderId="2" xfId="19" applyFont="1" applyFill="1" applyBorder="1" applyAlignment="1">
      <alignment horizontal="left" vertical="center" wrapText="1" shrinkToFit="1"/>
    </xf>
    <xf numFmtId="0" fontId="136" fillId="3" borderId="23" xfId="19" applyFont="1" applyFill="1" applyBorder="1" applyAlignment="1">
      <alignment horizontal="left" vertical="center" wrapText="1" shrinkToFit="1"/>
    </xf>
    <xf numFmtId="0" fontId="136" fillId="3" borderId="20" xfId="19" applyFont="1" applyFill="1" applyBorder="1" applyAlignment="1">
      <alignment horizontal="left" vertical="center" wrapText="1" shrinkToFit="1"/>
    </xf>
    <xf numFmtId="0" fontId="23" fillId="4" borderId="2" xfId="19" applyFill="1" applyBorder="1" applyAlignment="1" applyProtection="1">
      <alignment horizontal="left" vertical="center" wrapText="1" shrinkToFit="1"/>
      <protection locked="0"/>
    </xf>
    <xf numFmtId="0" fontId="23" fillId="4" borderId="23" xfId="19" applyFill="1" applyBorder="1" applyAlignment="1" applyProtection="1">
      <alignment horizontal="left" vertical="center" wrapText="1" shrinkToFit="1"/>
      <protection locked="0"/>
    </xf>
    <xf numFmtId="0" fontId="23" fillId="4" borderId="20" xfId="19" applyFill="1" applyBorder="1" applyAlignment="1" applyProtection="1">
      <alignment horizontal="left" vertical="center" wrapText="1" shrinkToFit="1"/>
      <protection locked="0"/>
    </xf>
    <xf numFmtId="0" fontId="22" fillId="3" borderId="10" xfId="22" applyNumberFormat="1" applyFont="1" applyFill="1" applyBorder="1" applyAlignment="1" applyProtection="1">
      <alignment horizontal="center" vertical="center" wrapText="1"/>
    </xf>
    <xf numFmtId="0" fontId="23" fillId="3" borderId="57" xfId="19" applyFill="1" applyBorder="1" applyAlignment="1">
      <alignment horizontal="center" vertical="center" wrapText="1" shrinkToFit="1"/>
    </xf>
    <xf numFmtId="0" fontId="23" fillId="3" borderId="68" xfId="19" applyFill="1" applyBorder="1" applyAlignment="1">
      <alignment horizontal="center" vertical="center" wrapText="1" shrinkToFit="1"/>
    </xf>
    <xf numFmtId="0" fontId="23" fillId="3" borderId="54" xfId="19" applyFill="1" applyBorder="1" applyAlignment="1">
      <alignment horizontal="center" vertical="center" wrapText="1" shrinkToFit="1"/>
    </xf>
    <xf numFmtId="0" fontId="23" fillId="3" borderId="38" xfId="19" applyFill="1" applyBorder="1" applyAlignment="1">
      <alignment horizontal="center" vertical="center" wrapText="1" shrinkToFit="1"/>
    </xf>
    <xf numFmtId="0" fontId="23" fillId="3" borderId="39" xfId="19" applyFill="1" applyBorder="1" applyAlignment="1">
      <alignment horizontal="center" vertical="center" wrapText="1" shrinkToFit="1"/>
    </xf>
    <xf numFmtId="0" fontId="23" fillId="3" borderId="47" xfId="19" applyFill="1" applyBorder="1" applyAlignment="1">
      <alignment horizontal="center" vertical="center" wrapText="1" shrinkToFit="1"/>
    </xf>
    <xf numFmtId="0" fontId="23" fillId="3" borderId="2" xfId="19" applyFill="1" applyBorder="1" applyAlignment="1">
      <alignment horizontal="center" vertical="center" wrapText="1" shrinkToFit="1"/>
    </xf>
    <xf numFmtId="0" fontId="23" fillId="3" borderId="23" xfId="19" applyFill="1" applyBorder="1" applyAlignment="1">
      <alignment horizontal="center" vertical="center" wrapText="1" shrinkToFit="1"/>
    </xf>
    <xf numFmtId="0" fontId="23" fillId="3" borderId="20" xfId="19" applyFill="1" applyBorder="1" applyAlignment="1">
      <alignment horizontal="center" vertical="center" wrapText="1" shrinkToFit="1"/>
    </xf>
    <xf numFmtId="0" fontId="23" fillId="3" borderId="25" xfId="19" applyFill="1" applyBorder="1" applyAlignment="1">
      <alignment horizontal="center" vertical="center" wrapText="1" shrinkToFit="1"/>
    </xf>
    <xf numFmtId="0" fontId="23" fillId="3" borderId="26" xfId="19" applyFill="1" applyBorder="1" applyAlignment="1">
      <alignment horizontal="center" vertical="center" wrapText="1" shrinkToFit="1"/>
    </xf>
    <xf numFmtId="0" fontId="23" fillId="3" borderId="27" xfId="19" applyFill="1" applyBorder="1" applyAlignment="1">
      <alignment horizontal="center" vertical="center" wrapText="1" shrinkToFit="1"/>
    </xf>
    <xf numFmtId="0" fontId="120" fillId="3" borderId="32" xfId="22" applyNumberFormat="1" applyFont="1" applyFill="1" applyBorder="1" applyAlignment="1" applyProtection="1">
      <alignment horizontal="center" vertical="center"/>
    </xf>
    <xf numFmtId="0" fontId="120" fillId="3" borderId="8" xfId="22" applyNumberFormat="1" applyFont="1" applyFill="1" applyBorder="1" applyAlignment="1" applyProtection="1">
      <alignment horizontal="center" vertical="center"/>
    </xf>
    <xf numFmtId="0" fontId="120" fillId="3" borderId="10" xfId="22" applyNumberFormat="1" applyFont="1" applyFill="1" applyBorder="1" applyAlignment="1" applyProtection="1">
      <alignment horizontal="center" vertical="center"/>
    </xf>
    <xf numFmtId="0" fontId="86" fillId="3" borderId="4" xfId="19" applyFont="1" applyFill="1" applyBorder="1" applyAlignment="1">
      <alignment horizontal="center" vertical="center" wrapText="1"/>
    </xf>
    <xf numFmtId="0" fontId="86" fillId="3" borderId="1" xfId="19" applyFont="1" applyFill="1" applyBorder="1" applyAlignment="1">
      <alignment horizontal="center" vertical="center" wrapText="1"/>
    </xf>
    <xf numFmtId="0" fontId="86" fillId="3" borderId="11" xfId="19" applyFont="1" applyFill="1" applyBorder="1" applyAlignment="1">
      <alignment horizontal="center" vertical="center" wrapText="1"/>
    </xf>
    <xf numFmtId="0" fontId="86" fillId="3" borderId="4" xfId="19" applyFont="1" applyFill="1" applyBorder="1" applyAlignment="1">
      <alignment horizontal="left" vertical="center" wrapText="1" shrinkToFit="1"/>
    </xf>
    <xf numFmtId="0" fontId="86" fillId="3" borderId="1" xfId="19" applyFont="1" applyFill="1" applyBorder="1" applyAlignment="1">
      <alignment horizontal="left" vertical="center" wrapText="1" shrinkToFit="1"/>
    </xf>
    <xf numFmtId="0" fontId="86" fillId="3" borderId="11" xfId="19" applyFont="1" applyFill="1" applyBorder="1" applyAlignment="1">
      <alignment horizontal="left" vertical="center" wrapText="1" shrinkToFit="1"/>
    </xf>
    <xf numFmtId="0" fontId="23" fillId="4" borderId="4" xfId="19" applyFill="1" applyBorder="1" applyAlignment="1" applyProtection="1">
      <alignment horizontal="left" vertical="center" wrapText="1"/>
      <protection locked="0"/>
    </xf>
    <xf numFmtId="0" fontId="23" fillId="4" borderId="4" xfId="19" applyFill="1" applyBorder="1" applyAlignment="1" applyProtection="1">
      <alignment horizontal="center" vertical="center" wrapText="1"/>
      <protection locked="0"/>
    </xf>
    <xf numFmtId="14" fontId="23" fillId="4" borderId="4" xfId="19" applyNumberFormat="1" applyFill="1" applyBorder="1" applyAlignment="1" applyProtection="1">
      <alignment horizontal="center" vertical="center" wrapText="1"/>
      <protection locked="0"/>
    </xf>
    <xf numFmtId="14" fontId="23" fillId="4" borderId="34" xfId="19" applyNumberFormat="1" applyFill="1" applyBorder="1" applyAlignment="1" applyProtection="1">
      <alignment horizontal="center" vertical="center" wrapText="1"/>
      <protection locked="0"/>
    </xf>
    <xf numFmtId="0" fontId="86" fillId="3" borderId="38" xfId="19" applyFont="1" applyFill="1" applyBorder="1" applyAlignment="1">
      <alignment horizontal="center" vertical="center" wrapText="1"/>
    </xf>
    <xf numFmtId="0" fontId="86" fillId="3" borderId="47" xfId="19" applyFont="1" applyFill="1" applyBorder="1" applyAlignment="1">
      <alignment horizontal="center" vertical="center" wrapText="1"/>
    </xf>
    <xf numFmtId="0" fontId="23" fillId="0" borderId="0" xfId="19" applyAlignment="1" applyProtection="1">
      <alignment horizontal="left" vertical="center" wrapText="1"/>
      <protection locked="0"/>
    </xf>
    <xf numFmtId="0" fontId="23" fillId="0" borderId="0" xfId="19" applyAlignment="1" applyProtection="1">
      <alignment horizontal="center" vertical="center" wrapText="1"/>
      <protection locked="0"/>
    </xf>
    <xf numFmtId="14" fontId="23" fillId="0" borderId="0" xfId="19" applyNumberFormat="1" applyAlignment="1" applyProtection="1">
      <alignment horizontal="center" vertical="center" wrapText="1"/>
      <protection locked="0"/>
    </xf>
    <xf numFmtId="0" fontId="44" fillId="3" borderId="1" xfId="19" applyFont="1" applyFill="1" applyBorder="1" applyAlignment="1">
      <alignment horizontal="center" vertical="center" wrapText="1"/>
    </xf>
    <xf numFmtId="0" fontId="120" fillId="0" borderId="8" xfId="22" applyNumberFormat="1" applyFont="1" applyFill="1" applyBorder="1" applyAlignment="1" applyProtection="1">
      <alignment horizontal="center" vertical="center" wrapText="1"/>
    </xf>
    <xf numFmtId="0" fontId="120" fillId="0" borderId="8" xfId="22" applyNumberFormat="1" applyFont="1" applyFill="1" applyBorder="1" applyAlignment="1" applyProtection="1">
      <alignment horizontal="center" vertical="center"/>
    </xf>
    <xf numFmtId="0" fontId="137" fillId="0" borderId="1" xfId="19" applyFont="1" applyBorder="1" applyAlignment="1">
      <alignment horizontal="center" vertical="center" wrapText="1"/>
    </xf>
    <xf numFmtId="0" fontId="86" fillId="0" borderId="57" xfId="19" applyFont="1" applyBorder="1" applyAlignment="1">
      <alignment horizontal="left" vertical="center" wrapText="1" shrinkToFit="1"/>
    </xf>
    <xf numFmtId="0" fontId="86" fillId="0" borderId="68" xfId="19" applyFont="1" applyBorder="1" applyAlignment="1">
      <alignment horizontal="left" vertical="center" wrapText="1" shrinkToFit="1"/>
    </xf>
    <xf numFmtId="0" fontId="86" fillId="0" borderId="54" xfId="19" applyFont="1" applyBorder="1" applyAlignment="1">
      <alignment horizontal="left" vertical="center" wrapText="1" shrinkToFit="1"/>
    </xf>
    <xf numFmtId="0" fontId="86" fillId="0" borderId="37" xfId="19" applyFont="1" applyBorder="1" applyAlignment="1">
      <alignment horizontal="left" vertical="center" wrapText="1" shrinkToFit="1"/>
    </xf>
    <xf numFmtId="0" fontId="86" fillId="0" borderId="0" xfId="19" applyFont="1" applyAlignment="1">
      <alignment horizontal="left" vertical="center" wrapText="1" shrinkToFit="1"/>
    </xf>
    <xf numFmtId="0" fontId="86" fillId="0" borderId="41" xfId="19" applyFont="1" applyBorder="1" applyAlignment="1">
      <alignment horizontal="left" vertical="center" wrapText="1" shrinkToFit="1"/>
    </xf>
    <xf numFmtId="0" fontId="86" fillId="0" borderId="69" xfId="19" applyFont="1" applyBorder="1" applyAlignment="1">
      <alignment horizontal="left" vertical="center" wrapText="1" shrinkToFit="1"/>
    </xf>
    <xf numFmtId="0" fontId="86" fillId="0" borderId="67" xfId="19" applyFont="1" applyBorder="1" applyAlignment="1">
      <alignment horizontal="left" vertical="center" wrapText="1" shrinkToFit="1"/>
    </xf>
    <xf numFmtId="0" fontId="86" fillId="0" borderId="70" xfId="19" applyFont="1" applyBorder="1" applyAlignment="1">
      <alignment horizontal="left" vertical="center" wrapText="1" shrinkToFit="1"/>
    </xf>
    <xf numFmtId="0" fontId="44" fillId="3" borderId="11" xfId="19" applyFont="1" applyFill="1" applyBorder="1" applyAlignment="1">
      <alignment horizontal="center" vertical="center" wrapText="1"/>
    </xf>
    <xf numFmtId="0" fontId="0" fillId="3" borderId="43" xfId="0" applyFill="1" applyBorder="1" applyAlignment="1">
      <alignment horizontal="center" vertical="center"/>
    </xf>
    <xf numFmtId="0" fontId="0" fillId="3" borderId="36" xfId="0" applyFill="1" applyBorder="1" applyAlignment="1">
      <alignment horizontal="center" vertical="center"/>
    </xf>
    <xf numFmtId="0" fontId="0" fillId="3" borderId="42" xfId="0" applyFill="1" applyBorder="1" applyAlignment="1">
      <alignment horizontal="center" vertical="center"/>
    </xf>
    <xf numFmtId="0" fontId="0" fillId="3" borderId="16" xfId="0" applyFill="1" applyBorder="1" applyAlignment="1">
      <alignment horizontal="center" vertical="center"/>
    </xf>
    <xf numFmtId="0" fontId="0" fillId="3" borderId="44" xfId="0" applyFill="1" applyBorder="1" applyAlignment="1">
      <alignment horizontal="center" vertical="center"/>
    </xf>
    <xf numFmtId="0" fontId="0" fillId="3" borderId="40" xfId="0" applyFill="1" applyBorder="1" applyAlignment="1">
      <alignment horizontal="center" vertical="center"/>
    </xf>
    <xf numFmtId="0" fontId="0" fillId="3" borderId="19" xfId="0" applyFill="1" applyBorder="1" applyAlignment="1">
      <alignment horizontal="center" vertical="center"/>
    </xf>
    <xf numFmtId="0" fontId="0" fillId="3" borderId="0" xfId="0" applyFill="1" applyAlignment="1">
      <alignment horizontal="center" vertical="center"/>
    </xf>
    <xf numFmtId="0" fontId="0" fillId="3" borderId="39" xfId="0" applyFill="1" applyBorder="1" applyAlignment="1">
      <alignment horizontal="center" vertical="center"/>
    </xf>
    <xf numFmtId="0" fontId="17" fillId="0" borderId="17" xfId="14" applyBorder="1" applyAlignment="1">
      <alignment horizontal="center"/>
    </xf>
    <xf numFmtId="0" fontId="17" fillId="0" borderId="30" xfId="14" applyBorder="1" applyAlignment="1">
      <alignment horizontal="center"/>
    </xf>
    <xf numFmtId="0" fontId="17" fillId="0" borderId="31" xfId="14" applyBorder="1" applyAlignment="1">
      <alignment horizontal="center"/>
    </xf>
    <xf numFmtId="0" fontId="0" fillId="0" borderId="43" xfId="0" applyBorder="1" applyAlignment="1">
      <alignment horizontal="center" vertical="center"/>
    </xf>
    <xf numFmtId="0" fontId="0" fillId="0" borderId="36" xfId="0" applyBorder="1" applyAlignment="1">
      <alignment horizontal="center" vertical="center"/>
    </xf>
    <xf numFmtId="0" fontId="0" fillId="0" borderId="42" xfId="0" applyBorder="1" applyAlignment="1">
      <alignment horizontal="center" vertical="center"/>
    </xf>
    <xf numFmtId="0" fontId="0" fillId="0" borderId="16" xfId="0" applyBorder="1" applyAlignment="1">
      <alignment horizontal="center" vertical="center"/>
    </xf>
    <xf numFmtId="0" fontId="0" fillId="0" borderId="44"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3" borderId="17" xfId="0" applyFill="1" applyBorder="1" applyAlignment="1">
      <alignment horizontal="center" vertical="center"/>
    </xf>
    <xf numFmtId="0" fontId="0" fillId="3" borderId="30" xfId="0" applyFill="1" applyBorder="1" applyAlignment="1">
      <alignment horizontal="center" vertical="center"/>
    </xf>
    <xf numFmtId="0" fontId="0" fillId="3" borderId="31" xfId="0" applyFill="1" applyBorder="1" applyAlignment="1">
      <alignment horizontal="center" vertical="center"/>
    </xf>
    <xf numFmtId="0" fontId="44" fillId="3" borderId="43" xfId="0" applyFont="1" applyFill="1" applyBorder="1" applyAlignment="1">
      <alignment horizontal="center" vertical="center"/>
    </xf>
    <xf numFmtId="0" fontId="44" fillId="3" borderId="19" xfId="0" applyFont="1" applyFill="1" applyBorder="1" applyAlignment="1">
      <alignment horizontal="center" vertical="center"/>
    </xf>
    <xf numFmtId="0" fontId="44" fillId="3" borderId="36" xfId="0" applyFont="1" applyFill="1" applyBorder="1" applyAlignment="1">
      <alignment horizontal="center" vertical="center"/>
    </xf>
    <xf numFmtId="0" fontId="44" fillId="3" borderId="42" xfId="0" applyFont="1" applyFill="1" applyBorder="1" applyAlignment="1">
      <alignment horizontal="center" vertical="center"/>
    </xf>
    <xf numFmtId="0" fontId="44" fillId="3" borderId="0" xfId="0" applyFont="1" applyFill="1" applyAlignment="1">
      <alignment horizontal="center" vertical="center"/>
    </xf>
    <xf numFmtId="0" fontId="44" fillId="3" borderId="16" xfId="0" applyFont="1" applyFill="1" applyBorder="1" applyAlignment="1">
      <alignment horizontal="center" vertical="center"/>
    </xf>
    <xf numFmtId="0" fontId="44" fillId="3" borderId="44" xfId="0" applyFont="1" applyFill="1" applyBorder="1" applyAlignment="1">
      <alignment horizontal="center" vertical="center"/>
    </xf>
    <xf numFmtId="0" fontId="44" fillId="3" borderId="39" xfId="0" applyFont="1" applyFill="1" applyBorder="1" applyAlignment="1">
      <alignment horizontal="center" vertical="center"/>
    </xf>
    <xf numFmtId="0" fontId="44" fillId="3" borderId="40" xfId="0" applyFont="1" applyFill="1" applyBorder="1" applyAlignment="1">
      <alignment horizontal="center" vertical="center"/>
    </xf>
    <xf numFmtId="0" fontId="5" fillId="0" borderId="17" xfId="14" applyFont="1" applyBorder="1" applyAlignment="1">
      <alignment horizontal="center"/>
    </xf>
    <xf numFmtId="0" fontId="17" fillId="4" borderId="17" xfId="14" applyFill="1" applyBorder="1" applyAlignment="1">
      <alignment horizontal="center"/>
    </xf>
    <xf numFmtId="0" fontId="17" fillId="4" borderId="30" xfId="14" applyFill="1" applyBorder="1" applyAlignment="1">
      <alignment horizontal="center"/>
    </xf>
    <xf numFmtId="0" fontId="17" fillId="4" borderId="31" xfId="14" applyFill="1" applyBorder="1" applyAlignment="1">
      <alignment horizontal="center"/>
    </xf>
    <xf numFmtId="0" fontId="0" fillId="0" borderId="17"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7" fillId="4" borderId="2" xfId="14" applyFill="1" applyBorder="1" applyAlignment="1" applyProtection="1">
      <alignment horizontal="center"/>
      <protection locked="0"/>
    </xf>
    <xf numFmtId="0" fontId="17" fillId="4" borderId="23" xfId="14" applyFill="1" applyBorder="1" applyAlignment="1" applyProtection="1">
      <alignment horizontal="center"/>
      <protection locked="0"/>
    </xf>
    <xf numFmtId="0" fontId="17" fillId="4" borderId="20" xfId="14" applyFill="1" applyBorder="1" applyAlignment="1" applyProtection="1">
      <alignment horizontal="center"/>
      <protection locked="0"/>
    </xf>
    <xf numFmtId="2" fontId="17" fillId="3" borderId="2" xfId="14" applyNumberFormat="1" applyFill="1" applyBorder="1" applyAlignment="1" applyProtection="1">
      <alignment horizontal="center"/>
      <protection locked="0"/>
    </xf>
    <xf numFmtId="2" fontId="17" fillId="3" borderId="23" xfId="14" applyNumberFormat="1" applyFill="1" applyBorder="1" applyAlignment="1" applyProtection="1">
      <alignment horizontal="center"/>
      <protection locked="0"/>
    </xf>
    <xf numFmtId="2" fontId="17" fillId="3" borderId="20" xfId="14" applyNumberFormat="1" applyFill="1" applyBorder="1" applyAlignment="1" applyProtection="1">
      <alignment horizontal="center"/>
      <protection locked="0"/>
    </xf>
    <xf numFmtId="2" fontId="17" fillId="4" borderId="2" xfId="14" applyNumberFormat="1" applyFill="1" applyBorder="1" applyAlignment="1" applyProtection="1">
      <alignment horizontal="center"/>
      <protection locked="0"/>
    </xf>
    <xf numFmtId="2" fontId="17" fillId="4" borderId="23" xfId="14" applyNumberFormat="1" applyFill="1" applyBorder="1" applyAlignment="1" applyProtection="1">
      <alignment horizontal="center"/>
      <protection locked="0"/>
    </xf>
    <xf numFmtId="2" fontId="17" fillId="4" borderId="20" xfId="14" applyNumberFormat="1" applyFill="1" applyBorder="1" applyAlignment="1" applyProtection="1">
      <alignment horizontal="center"/>
      <protection locked="0"/>
    </xf>
    <xf numFmtId="167" fontId="17" fillId="4" borderId="2" xfId="14" applyNumberFormat="1" applyFill="1" applyBorder="1" applyAlignment="1" applyProtection="1">
      <alignment horizontal="center"/>
      <protection locked="0"/>
    </xf>
    <xf numFmtId="167" fontId="17" fillId="4" borderId="23" xfId="14" applyNumberFormat="1" applyFill="1" applyBorder="1" applyAlignment="1" applyProtection="1">
      <alignment horizontal="center"/>
      <protection locked="0"/>
    </xf>
    <xf numFmtId="167" fontId="17" fillId="4" borderId="20" xfId="14" applyNumberFormat="1" applyFill="1" applyBorder="1" applyAlignment="1" applyProtection="1">
      <alignment horizontal="center"/>
      <protection locked="0"/>
    </xf>
    <xf numFmtId="0" fontId="17" fillId="0" borderId="5" xfId="14" applyBorder="1" applyAlignment="1">
      <alignment horizontal="center" vertical="center" wrapText="1"/>
    </xf>
    <xf numFmtId="0" fontId="17" fillId="0" borderId="6" xfId="14" applyBorder="1" applyAlignment="1">
      <alignment horizontal="center" vertical="center" wrapText="1"/>
    </xf>
    <xf numFmtId="0" fontId="17" fillId="0" borderId="8" xfId="14" applyBorder="1" applyAlignment="1">
      <alignment horizontal="center" vertical="center" wrapText="1"/>
    </xf>
    <xf numFmtId="0" fontId="17" fillId="0" borderId="1" xfId="14" applyBorder="1" applyAlignment="1">
      <alignment horizontal="center" vertical="center" wrapText="1"/>
    </xf>
    <xf numFmtId="0" fontId="17" fillId="0" borderId="10" xfId="14" applyBorder="1" applyAlignment="1">
      <alignment horizontal="center" vertical="center" wrapText="1"/>
    </xf>
    <xf numFmtId="0" fontId="17" fillId="0" borderId="11" xfId="14" applyBorder="1" applyAlignment="1">
      <alignment horizontal="center" vertical="center" wrapText="1"/>
    </xf>
    <xf numFmtId="0" fontId="38" fillId="4" borderId="2" xfId="13" applyFill="1" applyBorder="1" applyAlignment="1" applyProtection="1">
      <alignment horizontal="left" vertical="center" wrapText="1" indent="1"/>
      <protection locked="0"/>
    </xf>
    <xf numFmtId="0" fontId="38" fillId="4" borderId="23" xfId="13" applyFill="1" applyBorder="1" applyAlignment="1" applyProtection="1">
      <alignment horizontal="left" vertical="center" wrapText="1" indent="1"/>
      <protection locked="0"/>
    </xf>
    <xf numFmtId="0" fontId="38" fillId="4" borderId="20" xfId="13" applyFill="1" applyBorder="1" applyAlignment="1" applyProtection="1">
      <alignment horizontal="left" vertical="center" wrapText="1" indent="1"/>
      <protection locked="0"/>
    </xf>
    <xf numFmtId="0" fontId="50" fillId="0" borderId="0" xfId="14" applyFont="1" applyAlignment="1">
      <alignment horizontal="left"/>
    </xf>
    <xf numFmtId="0" fontId="17" fillId="0" borderId="6" xfId="14" applyBorder="1" applyAlignment="1">
      <alignment horizontal="center" vertical="center"/>
    </xf>
    <xf numFmtId="0" fontId="17" fillId="0" borderId="1" xfId="14" applyBorder="1" applyAlignment="1">
      <alignment horizontal="center" vertical="center"/>
    </xf>
    <xf numFmtId="0" fontId="17" fillId="0" borderId="69" xfId="14" applyBorder="1" applyAlignment="1">
      <alignment horizontal="center"/>
    </xf>
    <xf numFmtId="0" fontId="17" fillId="0" borderId="93" xfId="14" applyBorder="1" applyAlignment="1">
      <alignment horizontal="center"/>
    </xf>
    <xf numFmtId="0" fontId="17" fillId="0" borderId="38" xfId="14" applyBorder="1" applyAlignment="1">
      <alignment horizontal="center"/>
    </xf>
    <xf numFmtId="0" fontId="17" fillId="0" borderId="40" xfId="14" applyBorder="1" applyAlignment="1">
      <alignment horizontal="center"/>
    </xf>
    <xf numFmtId="0" fontId="17" fillId="0" borderId="11" xfId="14" applyBorder="1" applyAlignment="1">
      <alignment horizontal="center" vertical="center"/>
    </xf>
    <xf numFmtId="0" fontId="17" fillId="0" borderId="35" xfId="14" applyBorder="1" applyAlignment="1">
      <alignment horizontal="center" vertical="center" wrapText="1"/>
    </xf>
    <xf numFmtId="0" fontId="17" fillId="0" borderId="19" xfId="14" applyBorder="1" applyAlignment="1">
      <alignment horizontal="center" vertical="center" wrapText="1"/>
    </xf>
    <xf numFmtId="0" fontId="17" fillId="0" borderId="46" xfId="14" applyBorder="1" applyAlignment="1">
      <alignment horizontal="center" vertical="center" wrapText="1"/>
    </xf>
    <xf numFmtId="0" fontId="17" fillId="0" borderId="37" xfId="14" applyBorder="1" applyAlignment="1">
      <alignment horizontal="center" vertical="center" wrapText="1"/>
    </xf>
    <xf numFmtId="0" fontId="17" fillId="0" borderId="0" xfId="14" applyAlignment="1">
      <alignment horizontal="center" vertical="center" wrapText="1"/>
    </xf>
    <xf numFmtId="0" fontId="17" fillId="0" borderId="41" xfId="14" applyBorder="1" applyAlignment="1">
      <alignment horizontal="center" vertical="center" wrapText="1"/>
    </xf>
    <xf numFmtId="0" fontId="17" fillId="0" borderId="38" xfId="14" applyBorder="1" applyAlignment="1">
      <alignment horizontal="center" vertical="center" wrapText="1"/>
    </xf>
    <xf numFmtId="0" fontId="17" fillId="0" borderId="39" xfId="14" applyBorder="1" applyAlignment="1">
      <alignment horizontal="center" vertical="center" wrapText="1"/>
    </xf>
    <xf numFmtId="0" fontId="17" fillId="0" borderId="47" xfId="14" applyBorder="1" applyAlignment="1">
      <alignment horizontal="center" vertical="center" wrapText="1"/>
    </xf>
    <xf numFmtId="0" fontId="5" fillId="0" borderId="90" xfId="14" applyFont="1" applyBorder="1" applyAlignment="1">
      <alignment horizontal="center" vertical="center" wrapText="1"/>
    </xf>
    <xf numFmtId="0" fontId="17" fillId="0" borderId="65" xfId="14" applyBorder="1" applyAlignment="1">
      <alignment horizontal="center" vertical="center" wrapText="1"/>
    </xf>
    <xf numFmtId="0" fontId="17" fillId="0" borderId="49" xfId="14" applyBorder="1" applyAlignment="1">
      <alignment horizontal="center" vertical="center" wrapText="1"/>
    </xf>
    <xf numFmtId="0" fontId="17" fillId="0" borderId="1" xfId="14" applyBorder="1" applyAlignment="1">
      <alignment horizontal="center"/>
    </xf>
    <xf numFmtId="0" fontId="17" fillId="0" borderId="6" xfId="14" applyBorder="1" applyAlignment="1">
      <alignment horizontal="center"/>
    </xf>
    <xf numFmtId="0" fontId="17" fillId="0" borderId="11" xfId="14" applyBorder="1" applyAlignment="1">
      <alignment horizontal="center"/>
    </xf>
    <xf numFmtId="0" fontId="17" fillId="0" borderId="19" xfId="14" applyBorder="1" applyAlignment="1">
      <alignment horizontal="center" vertical="center"/>
    </xf>
    <xf numFmtId="0" fontId="17" fillId="0" borderId="68" xfId="14" applyBorder="1" applyAlignment="1">
      <alignment horizontal="center" vertical="center"/>
    </xf>
    <xf numFmtId="0" fontId="17" fillId="0" borderId="25" xfId="14" applyBorder="1" applyAlignment="1">
      <alignment horizontal="center" vertical="center"/>
    </xf>
    <xf numFmtId="0" fontId="17" fillId="0" borderId="7" xfId="14" applyBorder="1" applyAlignment="1">
      <alignment horizontal="center"/>
    </xf>
    <xf numFmtId="49" fontId="32" fillId="12" borderId="86" xfId="0" applyNumberFormat="1" applyFont="1" applyFill="1" applyBorder="1" applyAlignment="1">
      <alignment horizontal="left" vertical="center"/>
    </xf>
    <xf numFmtId="49" fontId="32" fillId="12" borderId="88" xfId="0" applyNumberFormat="1" applyFont="1" applyFill="1" applyBorder="1" applyAlignment="1">
      <alignment horizontal="left" vertical="center"/>
    </xf>
    <xf numFmtId="0" fontId="32" fillId="0" borderId="85" xfId="0" applyFont="1" applyBorder="1" applyAlignment="1" applyProtection="1">
      <alignment horizontal="left" wrapText="1"/>
      <protection locked="0"/>
    </xf>
    <xf numFmtId="0" fontId="32" fillId="0" borderId="85" xfId="0" applyFont="1" applyBorder="1" applyAlignment="1" applyProtection="1">
      <alignment horizontal="left"/>
      <protection locked="0"/>
    </xf>
    <xf numFmtId="0" fontId="0" fillId="0" borderId="85" xfId="0" applyBorder="1" applyProtection="1">
      <alignment vertical="center"/>
      <protection locked="0"/>
    </xf>
    <xf numFmtId="0" fontId="32" fillId="4" borderId="85" xfId="0" applyFont="1" applyFill="1" applyBorder="1" applyAlignment="1" applyProtection="1">
      <alignment horizontal="center"/>
      <protection locked="0"/>
    </xf>
    <xf numFmtId="0" fontId="0" fillId="0" borderId="85" xfId="0" applyBorder="1" applyAlignment="1" applyProtection="1">
      <alignment horizontal="left"/>
      <protection locked="0"/>
    </xf>
    <xf numFmtId="0" fontId="23" fillId="0" borderId="85" xfId="0" applyFont="1" applyBorder="1" applyAlignment="1" applyProtection="1">
      <alignment horizontal="left"/>
      <protection locked="0"/>
    </xf>
    <xf numFmtId="0" fontId="53" fillId="4" borderId="85" xfId="0" applyFont="1" applyFill="1" applyBorder="1" applyAlignment="1" applyProtection="1">
      <alignment horizontal="left"/>
      <protection locked="0"/>
    </xf>
    <xf numFmtId="0" fontId="32" fillId="3" borderId="0" xfId="0" applyFont="1" applyFill="1" applyAlignment="1" applyProtection="1">
      <alignment horizontal="left"/>
      <protection locked="0"/>
    </xf>
    <xf numFmtId="0" fontId="32" fillId="12" borderId="86" xfId="0" applyFont="1" applyFill="1" applyBorder="1" applyAlignment="1">
      <alignment horizontal="center" vertical="center"/>
    </xf>
    <xf numFmtId="0" fontId="32" fillId="12" borderId="87" xfId="0" applyFont="1" applyFill="1" applyBorder="1" applyAlignment="1">
      <alignment horizontal="center" vertical="center"/>
    </xf>
    <xf numFmtId="0" fontId="32" fillId="12" borderId="88" xfId="0" applyFont="1" applyFill="1" applyBorder="1" applyAlignment="1">
      <alignment horizontal="center" vertical="center"/>
    </xf>
    <xf numFmtId="0" fontId="32" fillId="3" borderId="0" xfId="0" applyFont="1" applyFill="1" applyAlignment="1">
      <alignment horizontal="center" vertical="center"/>
    </xf>
    <xf numFmtId="0" fontId="62" fillId="12" borderId="3" xfId="0" applyFont="1" applyFill="1" applyBorder="1" applyAlignment="1">
      <alignment horizontal="center" textRotation="90"/>
    </xf>
    <xf numFmtId="0" fontId="62" fillId="12" borderId="65" xfId="0" applyFont="1" applyFill="1" applyBorder="1" applyAlignment="1">
      <alignment horizontal="center" textRotation="90"/>
    </xf>
    <xf numFmtId="0" fontId="62" fillId="12" borderId="4" xfId="0" applyFont="1" applyFill="1" applyBorder="1" applyAlignment="1">
      <alignment horizontal="center" textRotation="90"/>
    </xf>
    <xf numFmtId="0" fontId="56" fillId="12" borderId="71" xfId="0" applyFont="1" applyFill="1" applyBorder="1" applyAlignment="1">
      <alignment horizontal="center" vertical="center"/>
    </xf>
    <xf numFmtId="0" fontId="56" fillId="12" borderId="74" xfId="0" applyFont="1" applyFill="1" applyBorder="1" applyAlignment="1">
      <alignment horizontal="center" vertical="center"/>
    </xf>
    <xf numFmtId="0" fontId="56" fillId="12" borderId="76" xfId="0" applyFont="1" applyFill="1" applyBorder="1" applyAlignment="1">
      <alignment horizontal="center" vertical="center"/>
    </xf>
    <xf numFmtId="0" fontId="56" fillId="12" borderId="72" xfId="0" applyFont="1" applyFill="1" applyBorder="1" applyAlignment="1">
      <alignment horizontal="center" vertical="center"/>
    </xf>
    <xf numFmtId="0" fontId="56" fillId="12" borderId="61" xfId="0" applyFont="1" applyFill="1" applyBorder="1" applyAlignment="1">
      <alignment horizontal="center" vertical="center"/>
    </xf>
    <xf numFmtId="0" fontId="56" fillId="12" borderId="66" xfId="0" applyFont="1" applyFill="1" applyBorder="1" applyAlignment="1">
      <alignment horizontal="center" vertical="center"/>
    </xf>
    <xf numFmtId="0" fontId="53" fillId="12" borderId="3" xfId="0" applyFont="1" applyFill="1" applyBorder="1" applyAlignment="1">
      <alignment horizontal="center" vertical="center" wrapText="1"/>
    </xf>
    <xf numFmtId="0" fontId="53" fillId="12" borderId="65" xfId="0" applyFont="1" applyFill="1" applyBorder="1" applyAlignment="1">
      <alignment horizontal="center" vertical="center" wrapText="1"/>
    </xf>
    <xf numFmtId="0" fontId="53" fillId="12" borderId="4" xfId="0" applyFont="1" applyFill="1" applyBorder="1" applyAlignment="1">
      <alignment horizontal="center" vertical="center" wrapText="1"/>
    </xf>
    <xf numFmtId="14" fontId="0" fillId="4" borderId="2" xfId="0" applyNumberFormat="1" applyFill="1" applyBorder="1" applyAlignment="1" applyProtection="1">
      <alignment horizontal="center"/>
      <protection locked="0"/>
    </xf>
    <xf numFmtId="14" fontId="0" fillId="4" borderId="23" xfId="0" applyNumberFormat="1" applyFill="1" applyBorder="1" applyAlignment="1" applyProtection="1">
      <alignment horizontal="center"/>
      <protection locked="0"/>
    </xf>
    <xf numFmtId="14" fontId="0" fillId="4" borderId="20" xfId="0" applyNumberFormat="1" applyFill="1" applyBorder="1" applyAlignment="1" applyProtection="1">
      <alignment horizontal="center"/>
      <protection locked="0"/>
    </xf>
    <xf numFmtId="14" fontId="32" fillId="4" borderId="86" xfId="0" applyNumberFormat="1" applyFont="1" applyFill="1" applyBorder="1" applyAlignment="1" applyProtection="1">
      <alignment horizontal="left"/>
      <protection locked="0"/>
    </xf>
    <xf numFmtId="14" fontId="32" fillId="4" borderId="87" xfId="0" applyNumberFormat="1" applyFont="1" applyFill="1" applyBorder="1" applyAlignment="1" applyProtection="1">
      <alignment horizontal="left"/>
      <protection locked="0"/>
    </xf>
    <xf numFmtId="14" fontId="32" fillId="4" borderId="88" xfId="0" applyNumberFormat="1" applyFont="1" applyFill="1" applyBorder="1" applyAlignment="1" applyProtection="1">
      <alignment horizontal="left"/>
      <protection locked="0"/>
    </xf>
    <xf numFmtId="0" fontId="0" fillId="3" borderId="0" xfId="0" applyFill="1" applyAlignment="1">
      <alignment horizontal="right" vertical="center" wrapText="1"/>
    </xf>
    <xf numFmtId="0" fontId="0" fillId="3" borderId="0" xfId="0" applyFill="1" applyAlignment="1">
      <alignment horizontal="center" vertical="center" wrapText="1"/>
    </xf>
    <xf numFmtId="0" fontId="0" fillId="0" borderId="2" xfId="0" applyBorder="1" applyAlignment="1">
      <alignment horizontal="center" vertical="center" wrapText="1"/>
    </xf>
    <xf numFmtId="0" fontId="0" fillId="0" borderId="23" xfId="0"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horizontal="right" vertical="center" wrapText="1"/>
    </xf>
    <xf numFmtId="0" fontId="0" fillId="0" borderId="23" xfId="0" applyBorder="1" applyAlignment="1">
      <alignment horizontal="right" vertical="center" wrapText="1"/>
    </xf>
    <xf numFmtId="0" fontId="0" fillId="0" borderId="20" xfId="0" applyBorder="1" applyAlignment="1">
      <alignment horizontal="right" vertical="center" wrapText="1"/>
    </xf>
    <xf numFmtId="0" fontId="0" fillId="0" borderId="2" xfId="0" applyBorder="1" applyAlignment="1">
      <alignment horizontal="left" vertical="center" wrapText="1"/>
    </xf>
    <xf numFmtId="0" fontId="0" fillId="0" borderId="23" xfId="0" applyBorder="1" applyAlignment="1">
      <alignment horizontal="left" vertical="center" wrapText="1"/>
    </xf>
    <xf numFmtId="0" fontId="0" fillId="0" borderId="20" xfId="0" applyBorder="1" applyAlignment="1">
      <alignment horizontal="left" vertical="center" wrapText="1"/>
    </xf>
    <xf numFmtId="49" fontId="53" fillId="12" borderId="57" xfId="0" applyNumberFormat="1" applyFont="1" applyFill="1" applyBorder="1" applyAlignment="1">
      <alignment horizontal="center" vertical="center"/>
    </xf>
    <xf numFmtId="49" fontId="53" fillId="12" borderId="79" xfId="0" applyNumberFormat="1" applyFont="1" applyFill="1" applyBorder="1" applyAlignment="1">
      <alignment horizontal="center" vertical="center"/>
    </xf>
    <xf numFmtId="49" fontId="53" fillId="12" borderId="37" xfId="0" applyNumberFormat="1" applyFont="1" applyFill="1" applyBorder="1" applyAlignment="1">
      <alignment horizontal="center" vertical="center"/>
    </xf>
    <xf numFmtId="49" fontId="53" fillId="12" borderId="59" xfId="0" applyNumberFormat="1" applyFont="1" applyFill="1" applyBorder="1" applyAlignment="1">
      <alignment horizontal="center" vertical="center"/>
    </xf>
    <xf numFmtId="49" fontId="53" fillId="12" borderId="69" xfId="0" applyNumberFormat="1" applyFont="1" applyFill="1" applyBorder="1" applyAlignment="1">
      <alignment horizontal="center" vertical="center"/>
    </xf>
    <xf numFmtId="49" fontId="53" fillId="12" borderId="81" xfId="0" applyNumberFormat="1" applyFont="1" applyFill="1" applyBorder="1" applyAlignment="1">
      <alignment horizontal="center" vertical="center"/>
    </xf>
    <xf numFmtId="0" fontId="53" fillId="12" borderId="80" xfId="0" applyFont="1" applyFill="1" applyBorder="1" applyAlignment="1">
      <alignment horizontal="center" vertical="center"/>
    </xf>
    <xf numFmtId="0" fontId="53" fillId="12" borderId="68" xfId="0" applyFont="1" applyFill="1" applyBorder="1" applyAlignment="1">
      <alignment horizontal="center" vertical="center"/>
    </xf>
    <xf numFmtId="0" fontId="53" fillId="12" borderId="58" xfId="0" applyFont="1" applyFill="1" applyBorder="1" applyAlignment="1">
      <alignment horizontal="center" vertical="center"/>
    </xf>
    <xf numFmtId="0" fontId="53" fillId="12" borderId="0" xfId="0" applyFont="1" applyFill="1" applyAlignment="1">
      <alignment horizontal="center" vertical="center"/>
    </xf>
    <xf numFmtId="0" fontId="53" fillId="12" borderId="82" xfId="0" applyFont="1" applyFill="1" applyBorder="1" applyAlignment="1">
      <alignment horizontal="center" vertical="center"/>
    </xf>
    <xf numFmtId="0" fontId="53" fillId="12" borderId="67" xfId="0" applyFont="1" applyFill="1" applyBorder="1" applyAlignment="1">
      <alignment horizontal="center" vertical="center"/>
    </xf>
    <xf numFmtId="0" fontId="22" fillId="0" borderId="3" xfId="0" applyFont="1" applyBorder="1" applyAlignment="1">
      <alignment horizontal="center" vertical="center"/>
    </xf>
    <xf numFmtId="0" fontId="22" fillId="0" borderId="65" xfId="0" applyFont="1" applyBorder="1" applyAlignment="1">
      <alignment horizontal="center" vertical="center"/>
    </xf>
    <xf numFmtId="0" fontId="22" fillId="0" borderId="4" xfId="0" applyFont="1" applyBorder="1" applyAlignment="1">
      <alignment horizontal="center" vertical="center"/>
    </xf>
    <xf numFmtId="49" fontId="32" fillId="0" borderId="74" xfId="0" applyNumberFormat="1" applyFont="1" applyBorder="1" applyAlignment="1">
      <alignment horizontal="center" vertical="center"/>
    </xf>
    <xf numFmtId="49" fontId="32" fillId="0" borderId="138" xfId="0" applyNumberFormat="1" applyFont="1" applyBorder="1" applyAlignment="1">
      <alignment horizontal="center" vertical="center"/>
    </xf>
    <xf numFmtId="49" fontId="32" fillId="0" borderId="59" xfId="0" applyNumberFormat="1" applyFont="1" applyBorder="1" applyAlignment="1">
      <alignment horizontal="center" vertical="center"/>
    </xf>
    <xf numFmtId="49" fontId="32" fillId="0" borderId="135" xfId="0" applyNumberFormat="1" applyFont="1" applyBorder="1" applyAlignment="1">
      <alignment horizontal="center" vertical="center"/>
    </xf>
    <xf numFmtId="49" fontId="32" fillId="0" borderId="195" xfId="0" applyNumberFormat="1" applyFont="1" applyBorder="1" applyAlignment="1">
      <alignment horizontal="center" vertical="center"/>
    </xf>
    <xf numFmtId="49" fontId="32" fillId="12" borderId="209" xfId="0" applyNumberFormat="1" applyFont="1" applyFill="1" applyBorder="1" applyAlignment="1">
      <alignment horizontal="center" vertical="center"/>
    </xf>
    <xf numFmtId="49" fontId="32" fillId="12" borderId="135" xfId="0" applyNumberFormat="1" applyFont="1" applyFill="1" applyBorder="1" applyAlignment="1">
      <alignment horizontal="center" vertical="center"/>
    </xf>
    <xf numFmtId="0" fontId="32" fillId="12" borderId="197" xfId="0" applyFont="1" applyFill="1" applyBorder="1" applyAlignment="1">
      <alignment horizontal="center" vertical="center" wrapText="1"/>
    </xf>
    <xf numFmtId="0" fontId="32" fillId="12" borderId="193" xfId="0" applyFont="1" applyFill="1" applyBorder="1" applyAlignment="1">
      <alignment horizontal="center" vertical="center" wrapText="1"/>
    </xf>
    <xf numFmtId="9" fontId="53" fillId="10" borderId="210" xfId="0" applyNumberFormat="1" applyFont="1" applyFill="1" applyBorder="1" applyAlignment="1">
      <alignment horizontal="center" vertical="center"/>
    </xf>
    <xf numFmtId="9" fontId="53" fillId="10" borderId="83" xfId="0" applyNumberFormat="1" applyFont="1" applyFill="1" applyBorder="1" applyAlignment="1">
      <alignment horizontal="center" vertical="center"/>
    </xf>
    <xf numFmtId="49" fontId="32" fillId="15" borderId="209" xfId="0" applyNumberFormat="1" applyFont="1" applyFill="1" applyBorder="1" applyAlignment="1">
      <alignment horizontal="center" vertical="center"/>
    </xf>
    <xf numFmtId="49" fontId="32" fillId="15" borderId="135" xfId="0" applyNumberFormat="1" applyFont="1" applyFill="1" applyBorder="1" applyAlignment="1">
      <alignment horizontal="center" vertical="center"/>
    </xf>
    <xf numFmtId="0" fontId="32" fillId="15" borderId="197" xfId="0" applyFont="1" applyFill="1" applyBorder="1" applyAlignment="1">
      <alignment horizontal="center" vertical="center" wrapText="1"/>
    </xf>
    <xf numFmtId="0" fontId="32" fillId="15" borderId="193" xfId="0" applyFont="1" applyFill="1" applyBorder="1" applyAlignment="1">
      <alignment horizontal="center" vertical="center" wrapText="1"/>
    </xf>
    <xf numFmtId="0" fontId="32" fillId="15" borderId="209" xfId="0" applyFont="1" applyFill="1" applyBorder="1" applyAlignment="1">
      <alignment horizontal="center" vertical="center" wrapText="1"/>
    </xf>
    <xf numFmtId="0" fontId="56" fillId="12" borderId="73" xfId="0" applyFont="1" applyFill="1" applyBorder="1" applyAlignment="1">
      <alignment horizontal="center" vertical="center"/>
    </xf>
    <xf numFmtId="0" fontId="56" fillId="12" borderId="75" xfId="0" applyFont="1" applyFill="1" applyBorder="1" applyAlignment="1">
      <alignment horizontal="center" vertical="center"/>
    </xf>
    <xf numFmtId="0" fontId="56" fillId="12" borderId="77" xfId="0" applyFont="1" applyFill="1" applyBorder="1" applyAlignment="1">
      <alignment horizontal="center" vertical="center"/>
    </xf>
    <xf numFmtId="49" fontId="32" fillId="0" borderId="209" xfId="0" applyNumberFormat="1" applyFont="1" applyBorder="1" applyAlignment="1">
      <alignment horizontal="center" vertical="center"/>
    </xf>
    <xf numFmtId="0" fontId="32" fillId="0" borderId="197" xfId="0" applyFont="1" applyBorder="1" applyAlignment="1">
      <alignment horizontal="center" vertical="center" wrapText="1"/>
    </xf>
    <xf numFmtId="0" fontId="32" fillId="0" borderId="193" xfId="0" applyFont="1" applyBorder="1" applyAlignment="1">
      <alignment horizontal="center" vertical="center" wrapText="1"/>
    </xf>
    <xf numFmtId="0" fontId="32" fillId="0" borderId="209" xfId="0" applyFont="1" applyBorder="1" applyAlignment="1">
      <alignment horizontal="center" vertical="center" wrapText="1"/>
    </xf>
    <xf numFmtId="49" fontId="32" fillId="0" borderId="195" xfId="0" quotePrefix="1" applyNumberFormat="1" applyFont="1" applyBorder="1" applyAlignment="1">
      <alignment horizontal="center" vertical="center" wrapText="1"/>
    </xf>
    <xf numFmtId="0" fontId="53" fillId="0" borderId="197" xfId="0" applyFont="1" applyBorder="1" applyAlignment="1">
      <alignment horizontal="center" vertical="center" wrapText="1"/>
    </xf>
    <xf numFmtId="0" fontId="53" fillId="0" borderId="193" xfId="0" applyFont="1" applyBorder="1" applyAlignment="1">
      <alignment horizontal="center" vertical="center" wrapText="1"/>
    </xf>
    <xf numFmtId="0" fontId="53" fillId="0" borderId="209" xfId="0" applyFont="1" applyBorder="1" applyAlignment="1">
      <alignment horizontal="center" vertical="center" wrapText="1"/>
    </xf>
    <xf numFmtId="0" fontId="0" fillId="0" borderId="197" xfId="0" applyBorder="1" applyAlignment="1">
      <alignment horizontal="center" vertical="center" wrapText="1"/>
    </xf>
    <xf numFmtId="0" fontId="0" fillId="0" borderId="193" xfId="0" applyBorder="1" applyAlignment="1">
      <alignment horizontal="center" vertical="center" wrapText="1"/>
    </xf>
    <xf numFmtId="0" fontId="0" fillId="0" borderId="209" xfId="0" applyBorder="1" applyAlignment="1">
      <alignment horizontal="center" vertical="center" wrapText="1"/>
    </xf>
    <xf numFmtId="49" fontId="32" fillId="3" borderId="0" xfId="0" applyNumberFormat="1" applyFont="1" applyFill="1" applyAlignment="1">
      <alignment horizontal="center" vertical="center"/>
    </xf>
    <xf numFmtId="0" fontId="32" fillId="3" borderId="0" xfId="0" applyFont="1" applyFill="1" applyAlignment="1">
      <alignment horizontal="center" vertical="center" wrapText="1"/>
    </xf>
    <xf numFmtId="49" fontId="32" fillId="0" borderId="76" xfId="0" applyNumberFormat="1" applyFont="1" applyBorder="1" applyAlignment="1">
      <alignment horizontal="center" vertical="center"/>
    </xf>
    <xf numFmtId="49" fontId="32" fillId="15" borderId="81" xfId="0" applyNumberFormat="1" applyFont="1" applyFill="1" applyBorder="1" applyAlignment="1">
      <alignment horizontal="center" vertical="center"/>
    </xf>
    <xf numFmtId="9" fontId="53" fillId="10" borderId="77" xfId="0" applyNumberFormat="1" applyFont="1" applyFill="1" applyBorder="1" applyAlignment="1">
      <alignment horizontal="center" vertical="center"/>
    </xf>
    <xf numFmtId="49" fontId="32" fillId="12" borderId="2" xfId="0" applyNumberFormat="1" applyFont="1" applyFill="1" applyBorder="1" applyAlignment="1">
      <alignment horizontal="left" vertical="center"/>
    </xf>
    <xf numFmtId="49" fontId="32" fillId="12" borderId="20" xfId="0" applyNumberFormat="1" applyFont="1" applyFill="1" applyBorder="1" applyAlignment="1">
      <alignment horizontal="left" vertical="center"/>
    </xf>
    <xf numFmtId="49" fontId="32" fillId="12" borderId="2" xfId="0" applyNumberFormat="1" applyFont="1" applyFill="1" applyBorder="1" applyAlignment="1">
      <alignment horizontal="center" vertical="center"/>
    </xf>
    <xf numFmtId="49" fontId="32" fillId="12" borderId="23" xfId="0" applyNumberFormat="1" applyFont="1" applyFill="1" applyBorder="1" applyAlignment="1">
      <alignment horizontal="center" vertical="center"/>
    </xf>
    <xf numFmtId="49" fontId="32" fillId="12" borderId="20" xfId="0" applyNumberFormat="1" applyFont="1" applyFill="1" applyBorder="1" applyAlignment="1">
      <alignment horizontal="center" vertical="center"/>
    </xf>
    <xf numFmtId="0" fontId="32" fillId="4" borderId="2" xfId="0" applyFont="1" applyFill="1" applyBorder="1" applyAlignment="1">
      <alignment horizontal="center" vertical="center"/>
    </xf>
    <xf numFmtId="0" fontId="32" fillId="4" borderId="23" xfId="0" applyFont="1" applyFill="1" applyBorder="1" applyAlignment="1">
      <alignment horizontal="center" vertical="center"/>
    </xf>
    <xf numFmtId="0" fontId="32" fillId="4" borderId="20" xfId="0" applyFont="1" applyFill="1" applyBorder="1" applyAlignment="1">
      <alignment horizontal="center" vertical="center"/>
    </xf>
    <xf numFmtId="0" fontId="0" fillId="3" borderId="2"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2"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14" fontId="0" fillId="3" borderId="2" xfId="0" applyNumberFormat="1" applyFill="1" applyBorder="1" applyAlignment="1" applyProtection="1">
      <alignment horizontal="center" vertical="center"/>
      <protection locked="0"/>
    </xf>
    <xf numFmtId="14" fontId="0" fillId="3" borderId="23" xfId="0" applyNumberFormat="1" applyFill="1" applyBorder="1" applyAlignment="1" applyProtection="1">
      <alignment horizontal="center" vertical="center"/>
      <protection locked="0"/>
    </xf>
    <xf numFmtId="14" fontId="0" fillId="3" borderId="20" xfId="0" applyNumberFormat="1" applyFill="1" applyBorder="1" applyAlignment="1" applyProtection="1">
      <alignment horizontal="center" vertical="center"/>
      <protection locked="0"/>
    </xf>
    <xf numFmtId="0" fontId="22" fillId="3" borderId="0" xfId="0" applyFont="1" applyFill="1" applyAlignment="1">
      <alignment horizontal="center" vertical="center" wrapText="1"/>
    </xf>
    <xf numFmtId="2" fontId="10" fillId="4" borderId="2" xfId="29" applyNumberFormat="1" applyFill="1" applyBorder="1" applyAlignment="1" applyProtection="1">
      <alignment horizontal="center" vertical="center"/>
      <protection locked="0"/>
    </xf>
    <xf numFmtId="2" fontId="10" fillId="4" borderId="23" xfId="29" applyNumberFormat="1" applyFill="1" applyBorder="1" applyAlignment="1" applyProtection="1">
      <alignment horizontal="center" vertical="center"/>
      <protection locked="0"/>
    </xf>
    <xf numFmtId="2" fontId="10" fillId="4" borderId="20" xfId="29" applyNumberFormat="1" applyFill="1" applyBorder="1" applyAlignment="1" applyProtection="1">
      <alignment horizontal="center" vertical="center"/>
      <protection locked="0"/>
    </xf>
    <xf numFmtId="171" fontId="10" fillId="4" borderId="2" xfId="29" applyNumberFormat="1" applyFill="1" applyBorder="1" applyAlignment="1" applyProtection="1">
      <alignment horizontal="center" vertical="center"/>
      <protection locked="0"/>
    </xf>
    <xf numFmtId="171" fontId="10" fillId="4" borderId="20" xfId="29" applyNumberFormat="1" applyFill="1" applyBorder="1" applyAlignment="1" applyProtection="1">
      <alignment horizontal="center" vertical="center"/>
      <protection locked="0"/>
    </xf>
    <xf numFmtId="0" fontId="10" fillId="4" borderId="1" xfId="29" applyFill="1" applyBorder="1" applyAlignment="1" applyProtection="1">
      <alignment horizontal="center" vertical="center"/>
      <protection locked="0"/>
    </xf>
    <xf numFmtId="0" fontId="10" fillId="4" borderId="68" xfId="29" applyFill="1" applyBorder="1" applyAlignment="1">
      <alignment horizontal="center" vertical="center"/>
    </xf>
    <xf numFmtId="0" fontId="10" fillId="4" borderId="0" xfId="29" applyFill="1" applyAlignment="1">
      <alignment horizontal="center" vertical="center"/>
    </xf>
    <xf numFmtId="171" fontId="10" fillId="0" borderId="1" xfId="29" applyNumberFormat="1" applyBorder="1" applyAlignment="1">
      <alignment horizontal="center" vertical="center"/>
    </xf>
    <xf numFmtId="167" fontId="10" fillId="4" borderId="2" xfId="29" applyNumberFormat="1" applyFill="1" applyBorder="1" applyAlignment="1" applyProtection="1">
      <alignment horizontal="center"/>
      <protection locked="0"/>
    </xf>
    <xf numFmtId="167" fontId="10" fillId="4" borderId="23" xfId="29" applyNumberFormat="1" applyFill="1" applyBorder="1" applyAlignment="1" applyProtection="1">
      <alignment horizontal="center"/>
      <protection locked="0"/>
    </xf>
    <xf numFmtId="167" fontId="10" fillId="4" borderId="20" xfId="29" applyNumberFormat="1" applyFill="1" applyBorder="1" applyAlignment="1" applyProtection="1">
      <alignment horizontal="center"/>
      <protection locked="0"/>
    </xf>
    <xf numFmtId="1" fontId="10" fillId="4" borderId="2" xfId="29" applyNumberFormat="1" applyFill="1" applyBorder="1" applyAlignment="1" applyProtection="1">
      <alignment horizontal="center"/>
      <protection locked="0"/>
    </xf>
    <xf numFmtId="1" fontId="10" fillId="4" borderId="23" xfId="29" applyNumberFormat="1" applyFill="1" applyBorder="1" applyAlignment="1" applyProtection="1">
      <alignment horizontal="center"/>
      <protection locked="0"/>
    </xf>
    <xf numFmtId="1" fontId="10" fillId="4" borderId="20" xfId="29" applyNumberFormat="1" applyFill="1" applyBorder="1" applyAlignment="1" applyProtection="1">
      <alignment horizontal="center"/>
      <protection locked="0"/>
    </xf>
    <xf numFmtId="2" fontId="10" fillId="3" borderId="2" xfId="29" applyNumberFormat="1" applyFill="1" applyBorder="1" applyAlignment="1">
      <alignment horizontal="center"/>
    </xf>
    <xf numFmtId="2" fontId="10" fillId="3" borderId="23" xfId="29" applyNumberFormat="1" applyFill="1" applyBorder="1" applyAlignment="1">
      <alignment horizontal="center"/>
    </xf>
    <xf numFmtId="2" fontId="10" fillId="3" borderId="20" xfId="29" applyNumberFormat="1" applyFill="1" applyBorder="1" applyAlignment="1">
      <alignment horizontal="center"/>
    </xf>
    <xf numFmtId="0" fontId="130" fillId="0" borderId="67" xfId="29" applyFont="1" applyBorder="1" applyAlignment="1">
      <alignment horizontal="center"/>
    </xf>
    <xf numFmtId="167" fontId="10" fillId="3" borderId="2" xfId="29" applyNumberFormat="1" applyFill="1" applyBorder="1" applyAlignment="1">
      <alignment horizontal="center"/>
    </xf>
    <xf numFmtId="0" fontId="10" fillId="3" borderId="23" xfId="29" applyFill="1" applyBorder="1" applyAlignment="1">
      <alignment horizontal="center"/>
    </xf>
    <xf numFmtId="0" fontId="10" fillId="3" borderId="20" xfId="29" applyFill="1" applyBorder="1" applyAlignment="1">
      <alignment horizontal="center"/>
    </xf>
    <xf numFmtId="0" fontId="10" fillId="0" borderId="0" xfId="29" applyAlignment="1">
      <alignment horizontal="center" vertical="center"/>
    </xf>
    <xf numFmtId="0" fontId="60" fillId="0" borderId="0" xfId="29" applyFont="1" applyAlignment="1">
      <alignment horizontal="center" vertical="center"/>
    </xf>
    <xf numFmtId="2" fontId="10" fillId="3" borderId="2" xfId="29" applyNumberFormat="1" applyFill="1" applyBorder="1" applyAlignment="1">
      <alignment horizontal="center" vertical="center"/>
    </xf>
    <xf numFmtId="2" fontId="10" fillId="3" borderId="23" xfId="29" applyNumberFormat="1" applyFill="1" applyBorder="1" applyAlignment="1">
      <alignment horizontal="center" vertical="center"/>
    </xf>
    <xf numFmtId="2" fontId="10" fillId="3" borderId="20" xfId="29" applyNumberFormat="1" applyFill="1" applyBorder="1" applyAlignment="1">
      <alignment horizontal="center" vertical="center"/>
    </xf>
    <xf numFmtId="0" fontId="10" fillId="0" borderId="68" xfId="29" applyBorder="1" applyAlignment="1">
      <alignment horizontal="center" vertical="center"/>
    </xf>
    <xf numFmtId="0" fontId="44" fillId="3" borderId="173" xfId="29" applyFont="1" applyFill="1" applyBorder="1" applyAlignment="1">
      <alignment vertical="center" wrapText="1"/>
    </xf>
    <xf numFmtId="0" fontId="44" fillId="3" borderId="183" xfId="29" applyFont="1" applyFill="1" applyBorder="1" applyAlignment="1">
      <alignment vertical="center" wrapText="1"/>
    </xf>
    <xf numFmtId="0" fontId="22" fillId="3" borderId="104" xfId="29" applyFont="1" applyFill="1" applyBorder="1" applyAlignment="1">
      <alignment horizontal="center" vertical="center" textRotation="90"/>
    </xf>
    <xf numFmtId="0" fontId="22" fillId="3" borderId="42" xfId="29" applyFont="1" applyFill="1" applyBorder="1" applyAlignment="1">
      <alignment horizontal="center" vertical="center" textRotation="90"/>
    </xf>
    <xf numFmtId="0" fontId="22" fillId="3" borderId="100" xfId="29" applyFont="1" applyFill="1" applyBorder="1" applyAlignment="1">
      <alignment horizontal="center" vertical="center" textRotation="90"/>
    </xf>
    <xf numFmtId="0" fontId="44" fillId="3" borderId="193" xfId="29" applyFont="1" applyFill="1" applyBorder="1" applyAlignment="1">
      <alignment vertical="center" wrapText="1"/>
    </xf>
    <xf numFmtId="0" fontId="44" fillId="3" borderId="212" xfId="29" applyFont="1" applyFill="1" applyBorder="1" applyAlignment="1">
      <alignment vertical="center" wrapText="1"/>
    </xf>
    <xf numFmtId="0" fontId="44" fillId="3" borderId="0" xfId="29" applyFont="1" applyFill="1" applyAlignment="1">
      <alignment vertical="center" wrapText="1"/>
    </xf>
    <xf numFmtId="0" fontId="44" fillId="3" borderId="16" xfId="29" applyFont="1" applyFill="1" applyBorder="1" applyAlignment="1">
      <alignment vertical="center" wrapText="1"/>
    </xf>
    <xf numFmtId="0" fontId="44" fillId="3" borderId="60" xfId="29" applyFont="1" applyFill="1" applyBorder="1" applyAlignment="1">
      <alignment vertical="center" wrapText="1"/>
    </xf>
    <xf numFmtId="0" fontId="44" fillId="3" borderId="115" xfId="29" applyFont="1" applyFill="1" applyBorder="1" applyAlignment="1">
      <alignment vertical="center" wrapText="1"/>
    </xf>
    <xf numFmtId="0" fontId="10" fillId="4" borderId="2" xfId="29" applyFill="1" applyBorder="1" applyAlignment="1" applyProtection="1">
      <alignment horizontal="center" vertical="center"/>
      <protection locked="0"/>
    </xf>
    <xf numFmtId="0" fontId="10" fillId="4" borderId="23" xfId="29" applyFill="1" applyBorder="1" applyAlignment="1" applyProtection="1">
      <alignment horizontal="center" vertical="center"/>
      <protection locked="0"/>
    </xf>
    <xf numFmtId="0" fontId="10" fillId="4" borderId="20" xfId="29" applyFill="1" applyBorder="1" applyAlignment="1" applyProtection="1">
      <alignment horizontal="center" vertical="center"/>
      <protection locked="0"/>
    </xf>
    <xf numFmtId="0" fontId="130" fillId="3" borderId="23" xfId="29" applyFont="1" applyFill="1" applyBorder="1" applyAlignment="1">
      <alignment horizontal="center"/>
    </xf>
    <xf numFmtId="0" fontId="130" fillId="3" borderId="67" xfId="29" applyFont="1" applyFill="1" applyBorder="1" applyAlignment="1">
      <alignment horizontal="center"/>
    </xf>
    <xf numFmtId="0" fontId="50" fillId="6" borderId="19" xfId="29" applyFont="1" applyFill="1" applyBorder="1" applyAlignment="1">
      <alignment horizontal="left" vertical="center"/>
    </xf>
    <xf numFmtId="0" fontId="50" fillId="6" borderId="39" xfId="29" applyFont="1" applyFill="1" applyBorder="1" applyAlignment="1">
      <alignment horizontal="left" vertical="center"/>
    </xf>
    <xf numFmtId="167" fontId="10" fillId="4" borderId="2" xfId="29" applyNumberFormat="1" applyFill="1" applyBorder="1" applyAlignment="1" applyProtection="1">
      <alignment horizontal="center" vertical="center"/>
      <protection locked="0"/>
    </xf>
    <xf numFmtId="167" fontId="10" fillId="4" borderId="23" xfId="29" applyNumberFormat="1" applyFill="1" applyBorder="1" applyAlignment="1" applyProtection="1">
      <alignment horizontal="center" vertical="center"/>
      <protection locked="0"/>
    </xf>
    <xf numFmtId="167" fontId="10" fillId="4" borderId="20" xfId="29" applyNumberFormat="1" applyFill="1" applyBorder="1" applyAlignment="1" applyProtection="1">
      <alignment horizontal="center" vertical="center"/>
      <protection locked="0"/>
    </xf>
    <xf numFmtId="1" fontId="23" fillId="3" borderId="50" xfId="0" applyNumberFormat="1" applyFont="1" applyFill="1" applyBorder="1" applyAlignment="1">
      <alignment horizontal="center" vertical="center"/>
    </xf>
    <xf numFmtId="1" fontId="23" fillId="3" borderId="3" xfId="0" applyNumberFormat="1" applyFont="1" applyFill="1" applyBorder="1" applyAlignment="1">
      <alignment horizontal="center" vertical="center"/>
    </xf>
    <xf numFmtId="1" fontId="23" fillId="3" borderId="51" xfId="0" applyNumberFormat="1" applyFont="1" applyFill="1" applyBorder="1" applyAlignment="1">
      <alignment horizontal="center" vertical="center"/>
    </xf>
    <xf numFmtId="1" fontId="23" fillId="3" borderId="10" xfId="0" applyNumberFormat="1" applyFont="1" applyFill="1" applyBorder="1" applyAlignment="1">
      <alignment horizontal="center" vertical="center"/>
    </xf>
    <xf numFmtId="1" fontId="23" fillId="3" borderId="11" xfId="0" applyNumberFormat="1" applyFont="1" applyFill="1" applyBorder="1" applyAlignment="1">
      <alignment horizontal="center" vertical="center"/>
    </xf>
    <xf numFmtId="1" fontId="23" fillId="3" borderId="12" xfId="0" applyNumberFormat="1" applyFont="1" applyFill="1" applyBorder="1" applyAlignment="1">
      <alignment horizontal="center" vertical="center"/>
    </xf>
    <xf numFmtId="0" fontId="10" fillId="3" borderId="10" xfId="28" applyFill="1" applyBorder="1" applyAlignment="1">
      <alignment horizontal="center" vertical="center"/>
    </xf>
    <xf numFmtId="0" fontId="10" fillId="3" borderId="11" xfId="28" applyFill="1" applyBorder="1" applyAlignment="1">
      <alignment horizontal="center" vertical="center"/>
    </xf>
    <xf numFmtId="0" fontId="10" fillId="3" borderId="178" xfId="28" applyFill="1" applyBorder="1" applyAlignment="1">
      <alignment horizontal="center" vertical="center"/>
    </xf>
    <xf numFmtId="0" fontId="10" fillId="3" borderId="182" xfId="28" applyFill="1" applyBorder="1" applyAlignment="1">
      <alignment horizontal="center" vertical="center"/>
    </xf>
    <xf numFmtId="0" fontId="52" fillId="6" borderId="5" xfId="28" applyFont="1" applyFill="1" applyBorder="1" applyAlignment="1">
      <alignment horizontal="center" vertical="center"/>
    </xf>
    <xf numFmtId="0" fontId="52" fillId="6" borderId="6" xfId="28" applyFont="1" applyFill="1" applyBorder="1" applyAlignment="1">
      <alignment horizontal="center" vertical="center"/>
    </xf>
    <xf numFmtId="0" fontId="52" fillId="6" borderId="7" xfId="28" applyFont="1" applyFill="1" applyBorder="1" applyAlignment="1">
      <alignment horizontal="center" vertical="center"/>
    </xf>
    <xf numFmtId="0" fontId="52" fillId="6" borderId="53" xfId="28" applyFont="1" applyFill="1" applyBorder="1" applyAlignment="1">
      <alignment horizontal="center" vertical="center"/>
    </xf>
    <xf numFmtId="0" fontId="52" fillId="6" borderId="21" xfId="28" applyFont="1" applyFill="1" applyBorder="1" applyAlignment="1">
      <alignment horizontal="center" vertical="center"/>
    </xf>
    <xf numFmtId="0" fontId="52" fillId="6" borderId="22" xfId="28" applyFont="1" applyFill="1" applyBorder="1" applyAlignment="1">
      <alignment horizontal="center" vertical="center"/>
    </xf>
    <xf numFmtId="0" fontId="10" fillId="3" borderId="55" xfId="28" applyFill="1" applyBorder="1" applyAlignment="1">
      <alignment horizontal="center" vertical="center"/>
    </xf>
    <xf numFmtId="0" fontId="10" fillId="3" borderId="23" xfId="28" applyFill="1" applyBorder="1" applyAlignment="1">
      <alignment horizontal="center" vertical="center"/>
    </xf>
    <xf numFmtId="0" fontId="10" fillId="3" borderId="20" xfId="28" applyFill="1" applyBorder="1" applyAlignment="1">
      <alignment horizontal="center" vertical="center"/>
    </xf>
    <xf numFmtId="0" fontId="10" fillId="3" borderId="141" xfId="28" applyFill="1" applyBorder="1" applyAlignment="1">
      <alignment horizontal="center" vertical="center"/>
    </xf>
    <xf numFmtId="0" fontId="10" fillId="3" borderId="142" xfId="28" applyFill="1" applyBorder="1" applyAlignment="1">
      <alignment horizontal="center" vertical="center"/>
    </xf>
    <xf numFmtId="0" fontId="10" fillId="3" borderId="143" xfId="28" applyFill="1" applyBorder="1" applyAlignment="1">
      <alignment horizontal="center" vertical="center"/>
    </xf>
    <xf numFmtId="0" fontId="10" fillId="3" borderId="56" xfId="28" applyFill="1" applyBorder="1" applyAlignment="1">
      <alignment horizontal="center" vertical="center"/>
    </xf>
    <xf numFmtId="0" fontId="10" fillId="3" borderId="26" xfId="28" applyFill="1" applyBorder="1" applyAlignment="1">
      <alignment horizontal="center" vertical="center"/>
    </xf>
    <xf numFmtId="0" fontId="10" fillId="3" borderId="27" xfId="28" applyFill="1" applyBorder="1" applyAlignment="1">
      <alignment horizontal="center" vertical="center"/>
    </xf>
    <xf numFmtId="0" fontId="10" fillId="3" borderId="179" xfId="28" applyFill="1" applyBorder="1" applyAlignment="1">
      <alignment horizontal="center" vertical="center"/>
    </xf>
    <xf numFmtId="0" fontId="10" fillId="3" borderId="181" xfId="28" applyFill="1" applyBorder="1" applyAlignment="1">
      <alignment horizontal="center" vertical="center"/>
    </xf>
    <xf numFmtId="0" fontId="10" fillId="3" borderId="184" xfId="28" applyFill="1" applyBorder="1" applyAlignment="1">
      <alignment horizontal="center" vertical="center"/>
    </xf>
    <xf numFmtId="0" fontId="31" fillId="9" borderId="0" xfId="20" applyFont="1" applyFill="1" applyAlignment="1">
      <alignment horizontal="center" vertical="center" wrapText="1"/>
    </xf>
    <xf numFmtId="0" fontId="115" fillId="9" borderId="0" xfId="20" applyFont="1" applyFill="1" applyAlignment="1">
      <alignment horizontal="left" vertical="center" wrapText="1"/>
    </xf>
    <xf numFmtId="0" fontId="53" fillId="12" borderId="0" xfId="0" applyFont="1" applyFill="1" applyAlignment="1">
      <alignment horizontal="center"/>
    </xf>
    <xf numFmtId="0" fontId="10" fillId="3" borderId="8" xfId="28" applyFill="1" applyBorder="1" applyAlignment="1">
      <alignment horizontal="center" vertical="center"/>
    </xf>
    <xf numFmtId="0" fontId="10" fillId="3" borderId="1" xfId="28" applyFill="1" applyBorder="1" applyAlignment="1">
      <alignment horizontal="center" vertical="center"/>
    </xf>
    <xf numFmtId="0" fontId="10" fillId="3" borderId="102" xfId="28" applyFill="1" applyBorder="1" applyAlignment="1">
      <alignment horizontal="center" vertical="center"/>
    </xf>
    <xf numFmtId="0" fontId="10" fillId="3" borderId="105" xfId="28" applyFill="1" applyBorder="1" applyAlignment="1">
      <alignment horizontal="center" vertical="center"/>
    </xf>
    <xf numFmtId="0" fontId="108" fillId="4" borderId="2" xfId="0" applyFont="1" applyFill="1" applyBorder="1" applyAlignment="1" applyProtection="1">
      <alignment horizontal="center"/>
      <protection locked="0"/>
    </xf>
    <xf numFmtId="0" fontId="108" fillId="4" borderId="23" xfId="0" applyFont="1" applyFill="1" applyBorder="1" applyAlignment="1" applyProtection="1">
      <alignment horizontal="center"/>
      <protection locked="0"/>
    </xf>
    <xf numFmtId="0" fontId="108" fillId="4" borderId="24" xfId="0" applyFont="1" applyFill="1" applyBorder="1" applyAlignment="1" applyProtection="1">
      <alignment horizontal="center"/>
      <protection locked="0"/>
    </xf>
    <xf numFmtId="0" fontId="108" fillId="4" borderId="25" xfId="0" applyFont="1" applyFill="1" applyBorder="1" applyAlignment="1" applyProtection="1">
      <alignment horizontal="center"/>
      <protection locked="0"/>
    </xf>
    <xf numFmtId="0" fontId="108" fillId="4" borderId="26" xfId="0" applyFont="1" applyFill="1" applyBorder="1" applyAlignment="1" applyProtection="1">
      <alignment horizontal="center"/>
      <protection locked="0"/>
    </xf>
    <xf numFmtId="0" fontId="108" fillId="4" borderId="33" xfId="0" applyFont="1" applyFill="1" applyBorder="1" applyAlignment="1" applyProtection="1">
      <alignment horizontal="center"/>
      <protection locked="0"/>
    </xf>
    <xf numFmtId="0" fontId="92" fillId="6" borderId="29" xfId="0" applyFont="1" applyFill="1" applyBorder="1" applyAlignment="1">
      <alignment horizontal="center" vertical="center"/>
    </xf>
    <xf numFmtId="0" fontId="92" fillId="6" borderId="21" xfId="0" applyFont="1" applyFill="1" applyBorder="1" applyAlignment="1">
      <alignment horizontal="center" vertical="center"/>
    </xf>
    <xf numFmtId="0" fontId="92" fillId="6" borderId="28" xfId="0" applyFont="1" applyFill="1" applyBorder="1" applyAlignment="1">
      <alignment horizontal="center" vertical="center"/>
    </xf>
    <xf numFmtId="0" fontId="92" fillId="6" borderId="29" xfId="0" applyFont="1" applyFill="1" applyBorder="1" applyAlignment="1">
      <alignment horizontal="center" vertical="center" wrapText="1"/>
    </xf>
    <xf numFmtId="0" fontId="92" fillId="6" borderId="28" xfId="0" applyFont="1" applyFill="1" applyBorder="1" applyAlignment="1">
      <alignment horizontal="center" vertical="center" wrapText="1"/>
    </xf>
    <xf numFmtId="0" fontId="92" fillId="6" borderId="53" xfId="0" applyFont="1" applyFill="1" applyBorder="1" applyAlignment="1">
      <alignment horizontal="center" vertical="center" wrapText="1"/>
    </xf>
    <xf numFmtId="0" fontId="108" fillId="4" borderId="55" xfId="0" applyFont="1" applyFill="1" applyBorder="1" applyAlignment="1" applyProtection="1">
      <alignment horizontal="center"/>
      <protection locked="0"/>
    </xf>
    <xf numFmtId="0" fontId="108" fillId="4" borderId="20" xfId="0" applyFont="1" applyFill="1" applyBorder="1" applyAlignment="1" applyProtection="1">
      <alignment horizontal="center"/>
      <protection locked="0"/>
    </xf>
    <xf numFmtId="0" fontId="108" fillId="4" borderId="56" xfId="0" applyFont="1" applyFill="1" applyBorder="1" applyAlignment="1" applyProtection="1">
      <alignment horizontal="center"/>
      <protection locked="0"/>
    </xf>
    <xf numFmtId="0" fontId="108" fillId="4" borderId="27" xfId="0" applyFont="1" applyFill="1" applyBorder="1" applyAlignment="1" applyProtection="1">
      <alignment horizontal="center"/>
      <protection locked="0"/>
    </xf>
    <xf numFmtId="0" fontId="56" fillId="24" borderId="107" xfId="0" applyFont="1" applyFill="1" applyBorder="1" applyAlignment="1">
      <alignment horizontal="center" vertical="center"/>
    </xf>
    <xf numFmtId="0" fontId="56" fillId="24" borderId="61" xfId="0" applyFont="1" applyFill="1" applyBorder="1" applyAlignment="1">
      <alignment horizontal="center" vertical="center"/>
    </xf>
    <xf numFmtId="0" fontId="56" fillId="24" borderId="110" xfId="0" applyFont="1" applyFill="1" applyBorder="1" applyAlignment="1">
      <alignment horizontal="center" vertical="center"/>
    </xf>
    <xf numFmtId="0" fontId="92" fillId="9" borderId="0" xfId="17" applyFont="1" applyFill="1" applyAlignment="1">
      <alignment horizontal="center" vertical="center" wrapText="1"/>
    </xf>
    <xf numFmtId="0" fontId="98" fillId="6" borderId="0" xfId="19" applyFont="1" applyFill="1" applyAlignment="1">
      <alignment horizontal="left" vertical="center" wrapText="1"/>
    </xf>
    <xf numFmtId="0" fontId="106" fillId="12" borderId="0" xfId="0" applyFont="1" applyFill="1" applyAlignment="1">
      <alignment horizontal="center" vertical="center"/>
    </xf>
    <xf numFmtId="0" fontId="102" fillId="6" borderId="53" xfId="0" applyFont="1" applyFill="1" applyBorder="1" applyAlignment="1">
      <alignment horizontal="center" vertical="center"/>
    </xf>
    <xf numFmtId="0" fontId="102" fillId="6" borderId="21" xfId="0" applyFont="1" applyFill="1" applyBorder="1" applyAlignment="1">
      <alignment horizontal="center" vertical="center"/>
    </xf>
    <xf numFmtId="0" fontId="102" fillId="6" borderId="22" xfId="0" applyFont="1" applyFill="1" applyBorder="1" applyAlignment="1">
      <alignment horizontal="center" vertical="center"/>
    </xf>
    <xf numFmtId="0" fontId="100" fillId="4" borderId="104" xfId="0" applyFont="1" applyFill="1" applyBorder="1" applyAlignment="1" applyProtection="1">
      <alignment horizontal="center"/>
      <protection locked="0"/>
    </xf>
    <xf numFmtId="0" fontId="100" fillId="4" borderId="68" xfId="0" applyFont="1" applyFill="1" applyBorder="1" applyAlignment="1" applyProtection="1">
      <alignment horizontal="center"/>
      <protection locked="0"/>
    </xf>
    <xf numFmtId="0" fontId="100" fillId="4" borderId="101" xfId="0" applyFont="1" applyFill="1" applyBorder="1" applyAlignment="1" applyProtection="1">
      <alignment horizontal="center"/>
      <protection locked="0"/>
    </xf>
    <xf numFmtId="0" fontId="100" fillId="4" borderId="44" xfId="0" applyFont="1" applyFill="1" applyBorder="1" applyAlignment="1" applyProtection="1">
      <alignment horizontal="center"/>
      <protection locked="0"/>
    </xf>
    <xf numFmtId="0" fontId="100" fillId="4" borderId="39" xfId="0" applyFont="1" applyFill="1" applyBorder="1" applyAlignment="1" applyProtection="1">
      <alignment horizontal="center"/>
      <protection locked="0"/>
    </xf>
    <xf numFmtId="0" fontId="100" fillId="4" borderId="40" xfId="0" applyFont="1" applyFill="1" applyBorder="1" applyAlignment="1" applyProtection="1">
      <alignment horizontal="center"/>
      <protection locked="0"/>
    </xf>
    <xf numFmtId="0" fontId="100" fillId="3" borderId="55" xfId="0" applyFont="1" applyFill="1" applyBorder="1" applyAlignment="1">
      <alignment horizontal="center"/>
    </xf>
    <xf numFmtId="0" fontId="100" fillId="3" borderId="23" xfId="0" applyFont="1" applyFill="1" applyBorder="1" applyAlignment="1">
      <alignment horizontal="center"/>
    </xf>
    <xf numFmtId="0" fontId="100" fillId="3" borderId="24" xfId="0" applyFont="1" applyFill="1" applyBorder="1" applyAlignment="1">
      <alignment horizontal="center"/>
    </xf>
    <xf numFmtId="0" fontId="100" fillId="3" borderId="18" xfId="0" applyFont="1" applyFill="1" applyBorder="1" applyAlignment="1">
      <alignment horizontal="center"/>
    </xf>
    <xf numFmtId="0" fontId="100" fillId="3" borderId="30" xfId="0" applyFont="1" applyFill="1" applyBorder="1" applyAlignment="1">
      <alignment horizontal="center"/>
    </xf>
    <xf numFmtId="0" fontId="100" fillId="3" borderId="31" xfId="0" applyFont="1" applyFill="1" applyBorder="1" applyAlignment="1">
      <alignment horizontal="center"/>
    </xf>
    <xf numFmtId="0" fontId="102" fillId="6" borderId="17" xfId="0" applyFont="1" applyFill="1" applyBorder="1" applyAlignment="1">
      <alignment horizontal="left" vertical="center"/>
    </xf>
    <xf numFmtId="0" fontId="102" fillId="6" borderId="30" xfId="0" applyFont="1" applyFill="1" applyBorder="1" applyAlignment="1">
      <alignment horizontal="left" vertical="center"/>
    </xf>
    <xf numFmtId="0" fontId="102" fillId="6" borderId="45" xfId="0" applyFont="1" applyFill="1" applyBorder="1" applyAlignment="1">
      <alignment horizontal="left" vertical="center"/>
    </xf>
    <xf numFmtId="0" fontId="100" fillId="3" borderId="29" xfId="0" applyFont="1" applyFill="1" applyBorder="1" applyAlignment="1">
      <alignment horizontal="center" vertical="center" wrapText="1"/>
    </xf>
    <xf numFmtId="0" fontId="100" fillId="3" borderId="21" xfId="0" applyFont="1" applyFill="1" applyBorder="1" applyAlignment="1">
      <alignment horizontal="center" vertical="center" wrapText="1"/>
    </xf>
    <xf numFmtId="0" fontId="100" fillId="3" borderId="22" xfId="0" applyFont="1" applyFill="1" applyBorder="1" applyAlignment="1">
      <alignment horizontal="center" vertical="center" wrapText="1"/>
    </xf>
    <xf numFmtId="0" fontId="102" fillId="6" borderId="53" xfId="0" applyFont="1" applyFill="1" applyBorder="1" applyAlignment="1">
      <alignment horizontal="left" vertical="center"/>
    </xf>
    <xf numFmtId="0" fontId="102" fillId="6" borderId="21" xfId="0" applyFont="1" applyFill="1" applyBorder="1" applyAlignment="1">
      <alignment horizontal="left" vertical="center"/>
    </xf>
    <xf numFmtId="0" fontId="102" fillId="6" borderId="28" xfId="0" applyFont="1" applyFill="1" applyBorder="1" applyAlignment="1">
      <alignment horizontal="left" vertical="center"/>
    </xf>
    <xf numFmtId="0" fontId="102" fillId="6" borderId="55" xfId="0" applyFont="1" applyFill="1" applyBorder="1" applyAlignment="1">
      <alignment horizontal="left" vertical="center"/>
    </xf>
    <xf numFmtId="0" fontId="102" fillId="6" borderId="23" xfId="0" applyFont="1" applyFill="1" applyBorder="1" applyAlignment="1">
      <alignment horizontal="left" vertical="center"/>
    </xf>
    <xf numFmtId="0" fontId="102" fillId="6" borderId="20" xfId="0" applyFont="1" applyFill="1" applyBorder="1" applyAlignment="1">
      <alignment horizontal="left" vertical="center"/>
    </xf>
    <xf numFmtId="14" fontId="100" fillId="4" borderId="2" xfId="0" applyNumberFormat="1" applyFont="1" applyFill="1" applyBorder="1" applyAlignment="1" applyProtection="1">
      <alignment horizontal="center" vertical="center"/>
      <protection locked="0"/>
    </xf>
    <xf numFmtId="14" fontId="100" fillId="4" borderId="23" xfId="0" applyNumberFormat="1" applyFont="1" applyFill="1" applyBorder="1" applyAlignment="1" applyProtection="1">
      <alignment horizontal="center" vertical="center"/>
      <protection locked="0"/>
    </xf>
    <xf numFmtId="14" fontId="100" fillId="4" borderId="24" xfId="0" applyNumberFormat="1" applyFont="1" applyFill="1" applyBorder="1" applyAlignment="1" applyProtection="1">
      <alignment horizontal="center" vertical="center"/>
      <protection locked="0"/>
    </xf>
    <xf numFmtId="0" fontId="102" fillId="6" borderId="13" xfId="0" applyFont="1" applyFill="1" applyBorder="1" applyAlignment="1">
      <alignment horizontal="center" vertical="center"/>
    </xf>
    <xf numFmtId="0" fontId="102" fillId="6" borderId="14" xfId="0" applyFont="1" applyFill="1" applyBorder="1" applyAlignment="1">
      <alignment horizontal="center" vertical="center"/>
    </xf>
    <xf numFmtId="0" fontId="108" fillId="3" borderId="14" xfId="0" applyFont="1" applyFill="1" applyBorder="1" applyAlignment="1">
      <alignment horizontal="center" vertical="center"/>
    </xf>
    <xf numFmtId="0" fontId="108" fillId="3" borderId="15" xfId="0" applyFont="1" applyFill="1" applyBorder="1" applyAlignment="1">
      <alignment horizontal="center" vertical="center"/>
    </xf>
    <xf numFmtId="0" fontId="102" fillId="6" borderId="56" xfId="0" applyFont="1" applyFill="1" applyBorder="1" applyAlignment="1">
      <alignment horizontal="left" vertical="center"/>
    </xf>
    <xf numFmtId="0" fontId="102" fillId="6" borderId="26" xfId="0" applyFont="1" applyFill="1" applyBorder="1" applyAlignment="1">
      <alignment horizontal="left" vertical="center"/>
    </xf>
    <xf numFmtId="0" fontId="102" fillId="6" borderId="27" xfId="0" applyFont="1" applyFill="1" applyBorder="1" applyAlignment="1">
      <alignment horizontal="left" vertical="center"/>
    </xf>
    <xf numFmtId="14" fontId="108" fillId="4" borderId="18" xfId="0" applyNumberFormat="1" applyFont="1" applyFill="1" applyBorder="1" applyAlignment="1" applyProtection="1">
      <alignment horizontal="center"/>
      <protection locked="0"/>
    </xf>
    <xf numFmtId="14" fontId="108" fillId="4" borderId="30" xfId="0" applyNumberFormat="1" applyFont="1" applyFill="1" applyBorder="1" applyAlignment="1" applyProtection="1">
      <alignment horizontal="center"/>
      <protection locked="0"/>
    </xf>
    <xf numFmtId="14" fontId="108" fillId="4" borderId="31" xfId="0" applyNumberFormat="1" applyFont="1" applyFill="1" applyBorder="1" applyAlignment="1" applyProtection="1">
      <alignment horizontal="center"/>
      <protection locked="0"/>
    </xf>
    <xf numFmtId="14" fontId="92" fillId="6" borderId="29" xfId="0" applyNumberFormat="1" applyFont="1" applyFill="1" applyBorder="1" applyAlignment="1">
      <alignment horizontal="center" vertical="center"/>
    </xf>
    <xf numFmtId="14" fontId="92" fillId="6" borderId="21" xfId="0" applyNumberFormat="1" applyFont="1" applyFill="1" applyBorder="1" applyAlignment="1">
      <alignment horizontal="center" vertical="center"/>
    </xf>
    <xf numFmtId="14" fontId="92" fillId="6" borderId="22" xfId="0" applyNumberFormat="1" applyFont="1" applyFill="1" applyBorder="1" applyAlignment="1">
      <alignment horizontal="center" vertical="center"/>
    </xf>
    <xf numFmtId="0" fontId="53" fillId="24" borderId="90" xfId="0" applyFont="1" applyFill="1" applyBorder="1" applyAlignment="1">
      <alignment horizontal="center" vertical="center" wrapText="1"/>
    </xf>
    <xf numFmtId="0" fontId="22" fillId="24" borderId="65" xfId="0" applyFont="1" applyFill="1" applyBorder="1" applyAlignment="1">
      <alignment horizontal="center" vertical="center"/>
    </xf>
    <xf numFmtId="0" fontId="22" fillId="24" borderId="49" xfId="0" applyFont="1" applyFill="1" applyBorder="1" applyAlignment="1">
      <alignment horizontal="center" vertical="center"/>
    </xf>
    <xf numFmtId="9" fontId="53" fillId="10" borderId="210" xfId="0" applyNumberFormat="1" applyFont="1" applyFill="1" applyBorder="1" applyAlignment="1" applyProtection="1">
      <alignment horizontal="center" vertical="center"/>
      <protection locked="0"/>
    </xf>
    <xf numFmtId="9" fontId="53" fillId="10" borderId="83" xfId="0" applyNumberFormat="1" applyFont="1" applyFill="1" applyBorder="1" applyAlignment="1" applyProtection="1">
      <alignment horizontal="center" vertical="center"/>
      <protection locked="0"/>
    </xf>
    <xf numFmtId="49" fontId="32" fillId="24" borderId="213" xfId="0" applyNumberFormat="1" applyFont="1" applyFill="1" applyBorder="1" applyAlignment="1">
      <alignment horizontal="center" vertical="center"/>
    </xf>
    <xf numFmtId="49" fontId="32" fillId="24" borderId="116" xfId="0" applyNumberFormat="1" applyFont="1" applyFill="1" applyBorder="1" applyAlignment="1">
      <alignment horizontal="center" vertical="center"/>
    </xf>
    <xf numFmtId="49" fontId="32" fillId="24" borderId="209" xfId="0" applyNumberFormat="1" applyFont="1" applyFill="1" applyBorder="1" applyAlignment="1">
      <alignment horizontal="center" vertical="center"/>
    </xf>
    <xf numFmtId="49" fontId="32" fillId="24" borderId="135" xfId="0" applyNumberFormat="1" applyFont="1" applyFill="1" applyBorder="1" applyAlignment="1">
      <alignment horizontal="center" vertical="center"/>
    </xf>
    <xf numFmtId="0" fontId="32" fillId="24" borderId="197" xfId="0" applyFont="1" applyFill="1" applyBorder="1" applyAlignment="1">
      <alignment horizontal="center" vertical="center" wrapText="1"/>
    </xf>
    <xf numFmtId="0" fontId="32" fillId="24" borderId="193" xfId="0" applyFont="1" applyFill="1" applyBorder="1" applyAlignment="1">
      <alignment horizontal="center" vertical="center" wrapText="1"/>
    </xf>
    <xf numFmtId="0" fontId="32" fillId="24" borderId="209" xfId="0" applyFont="1" applyFill="1" applyBorder="1" applyAlignment="1">
      <alignment horizontal="center" vertical="center" wrapText="1"/>
    </xf>
    <xf numFmtId="0" fontId="32" fillId="24" borderId="137" xfId="0" applyFont="1" applyFill="1" applyBorder="1" applyAlignment="1">
      <alignment horizontal="center" vertical="center" wrapText="1"/>
    </xf>
    <xf numFmtId="0" fontId="32" fillId="24" borderId="60" xfId="0" applyFont="1" applyFill="1" applyBorder="1" applyAlignment="1">
      <alignment horizontal="center" vertical="center" wrapText="1"/>
    </xf>
    <xf numFmtId="0" fontId="32" fillId="24" borderId="135" xfId="0" applyFont="1" applyFill="1" applyBorder="1" applyAlignment="1">
      <alignment horizontal="center" vertical="center" wrapText="1"/>
    </xf>
    <xf numFmtId="0" fontId="22" fillId="24" borderId="91" xfId="0" applyFont="1" applyFill="1" applyBorder="1" applyAlignment="1">
      <alignment horizontal="center" vertical="center"/>
    </xf>
    <xf numFmtId="0" fontId="22" fillId="24" borderId="130" xfId="0" applyFont="1" applyFill="1" applyBorder="1" applyAlignment="1">
      <alignment horizontal="center" vertical="center"/>
    </xf>
    <xf numFmtId="0" fontId="22" fillId="24" borderId="52" xfId="0" applyFont="1" applyFill="1" applyBorder="1" applyAlignment="1">
      <alignment horizontal="center" vertical="center"/>
    </xf>
    <xf numFmtId="49" fontId="32" fillId="24" borderId="106" xfId="0" applyNumberFormat="1" applyFont="1" applyFill="1" applyBorder="1" applyAlignment="1">
      <alignment horizontal="center" vertical="center"/>
    </xf>
    <xf numFmtId="49" fontId="32" fillId="24" borderId="108" xfId="0" applyNumberFormat="1" applyFont="1" applyFill="1" applyBorder="1" applyAlignment="1">
      <alignment horizontal="center" vertical="center"/>
    </xf>
    <xf numFmtId="0" fontId="32" fillId="24" borderId="120" xfId="0" applyFont="1" applyFill="1" applyBorder="1" applyAlignment="1">
      <alignment horizontal="center" vertical="center" wrapText="1"/>
    </xf>
    <xf numFmtId="0" fontId="32" fillId="24" borderId="19" xfId="0" applyFont="1" applyFill="1" applyBorder="1" applyAlignment="1">
      <alignment horizontal="center" vertical="center" wrapText="1"/>
    </xf>
    <xf numFmtId="0" fontId="32" fillId="24" borderId="108" xfId="0" applyFont="1" applyFill="1" applyBorder="1" applyAlignment="1">
      <alignment horizontal="center" vertical="center" wrapText="1"/>
    </xf>
    <xf numFmtId="49" fontId="32" fillId="24" borderId="213" xfId="0" quotePrefix="1" applyNumberFormat="1" applyFont="1" applyFill="1" applyBorder="1" applyAlignment="1">
      <alignment horizontal="center" vertical="top" wrapText="1"/>
    </xf>
    <xf numFmtId="49" fontId="32" fillId="24" borderId="126" xfId="0" applyNumberFormat="1" applyFont="1" applyFill="1" applyBorder="1" applyAlignment="1">
      <alignment horizontal="center" vertical="top"/>
    </xf>
    <xf numFmtId="49" fontId="32" fillId="24" borderId="213" xfId="0" quotePrefix="1" applyNumberFormat="1" applyFont="1" applyFill="1" applyBorder="1" applyAlignment="1">
      <alignment horizontal="center" vertical="center" wrapText="1"/>
    </xf>
    <xf numFmtId="0" fontId="0" fillId="24" borderId="197" xfId="0" applyFill="1" applyBorder="1" applyAlignment="1">
      <alignment horizontal="center" vertical="center" wrapText="1"/>
    </xf>
    <xf numFmtId="0" fontId="0" fillId="24" borderId="193" xfId="0" applyFill="1" applyBorder="1" applyAlignment="1">
      <alignment horizontal="center" vertical="center" wrapText="1"/>
    </xf>
    <xf numFmtId="0" fontId="0" fillId="24" borderId="209" xfId="0" applyFill="1" applyBorder="1" applyAlignment="1">
      <alignment horizontal="center" vertical="center" wrapText="1"/>
    </xf>
    <xf numFmtId="0" fontId="0" fillId="24" borderId="137" xfId="0" applyFill="1" applyBorder="1" applyAlignment="1">
      <alignment horizontal="center" vertical="center" wrapText="1"/>
    </xf>
    <xf numFmtId="0" fontId="0" fillId="24" borderId="60" xfId="0" applyFill="1" applyBorder="1" applyAlignment="1">
      <alignment horizontal="center" vertical="center" wrapText="1"/>
    </xf>
    <xf numFmtId="0" fontId="0" fillId="24" borderId="135" xfId="0" applyFill="1" applyBorder="1" applyAlignment="1">
      <alignment horizontal="center" vertical="center" wrapText="1"/>
    </xf>
    <xf numFmtId="9" fontId="53" fillId="10" borderId="128" xfId="0" applyNumberFormat="1" applyFont="1" applyFill="1" applyBorder="1" applyAlignment="1" applyProtection="1">
      <alignment horizontal="center" vertical="center"/>
      <protection locked="0"/>
    </xf>
    <xf numFmtId="49" fontId="32" fillId="24" borderId="109" xfId="0" applyNumberFormat="1" applyFont="1" applyFill="1" applyBorder="1" applyAlignment="1">
      <alignment horizontal="center" vertical="center"/>
    </xf>
    <xf numFmtId="49" fontId="32" fillId="15" borderId="111" xfId="0" applyNumberFormat="1" applyFont="1" applyFill="1" applyBorder="1" applyAlignment="1">
      <alignment horizontal="center" vertical="center"/>
    </xf>
    <xf numFmtId="0" fontId="32" fillId="15" borderId="127" xfId="0" applyFont="1" applyFill="1" applyBorder="1" applyAlignment="1">
      <alignment horizontal="center" vertical="center" wrapText="1"/>
    </xf>
    <xf numFmtId="0" fontId="32" fillId="15" borderId="39" xfId="0" applyFont="1" applyFill="1" applyBorder="1" applyAlignment="1">
      <alignment horizontal="center" vertical="center" wrapText="1"/>
    </xf>
    <xf numFmtId="0" fontId="32" fillId="15" borderId="111" xfId="0" applyFont="1" applyFill="1" applyBorder="1" applyAlignment="1">
      <alignment horizontal="center" vertical="center" wrapText="1"/>
    </xf>
    <xf numFmtId="49" fontId="53" fillId="24" borderId="43" xfId="0" applyNumberFormat="1" applyFont="1" applyFill="1" applyBorder="1" applyAlignment="1">
      <alignment horizontal="center" vertical="center"/>
    </xf>
    <xf numFmtId="49" fontId="53" fillId="24" borderId="108" xfId="0" applyNumberFormat="1" applyFont="1" applyFill="1" applyBorder="1" applyAlignment="1">
      <alignment horizontal="center" vertical="center"/>
    </xf>
    <xf numFmtId="49" fontId="53" fillId="24" borderId="42" xfId="0" applyNumberFormat="1" applyFont="1" applyFill="1" applyBorder="1" applyAlignment="1">
      <alignment horizontal="center" vertical="center"/>
    </xf>
    <xf numFmtId="49" fontId="53" fillId="24" borderId="59" xfId="0" applyNumberFormat="1" applyFont="1" applyFill="1" applyBorder="1" applyAlignment="1">
      <alignment horizontal="center" vertical="center"/>
    </xf>
    <xf numFmtId="49" fontId="53" fillId="24" borderId="44" xfId="0" applyNumberFormat="1" applyFont="1" applyFill="1" applyBorder="1" applyAlignment="1">
      <alignment horizontal="center" vertical="center"/>
    </xf>
    <xf numFmtId="49" fontId="53" fillId="24" borderId="111" xfId="0" applyNumberFormat="1" applyFont="1" applyFill="1" applyBorder="1" applyAlignment="1">
      <alignment horizontal="center" vertical="center"/>
    </xf>
    <xf numFmtId="0" fontId="53" fillId="24" borderId="120" xfId="0" applyFont="1" applyFill="1" applyBorder="1" applyAlignment="1">
      <alignment horizontal="center" vertical="center"/>
    </xf>
    <xf numFmtId="0" fontId="53" fillId="24" borderId="19" xfId="0" applyFont="1" applyFill="1" applyBorder="1" applyAlignment="1">
      <alignment horizontal="center" vertical="center"/>
    </xf>
    <xf numFmtId="0" fontId="53" fillId="24" borderId="58" xfId="0" applyFont="1" applyFill="1" applyBorder="1" applyAlignment="1">
      <alignment horizontal="center" vertical="center"/>
    </xf>
    <xf numFmtId="0" fontId="53" fillId="24" borderId="0" xfId="0" applyFont="1" applyFill="1" applyAlignment="1">
      <alignment horizontal="center" vertical="center"/>
    </xf>
    <xf numFmtId="0" fontId="53" fillId="24" borderId="127" xfId="0" applyFont="1" applyFill="1" applyBorder="1" applyAlignment="1">
      <alignment horizontal="center" vertical="center"/>
    </xf>
    <xf numFmtId="0" fontId="53" fillId="24" borderId="39" xfId="0" applyFont="1" applyFill="1" applyBorder="1" applyAlignment="1">
      <alignment horizontal="center" vertical="center"/>
    </xf>
    <xf numFmtId="0" fontId="89" fillId="24" borderId="92" xfId="0" applyFont="1" applyFill="1" applyBorder="1" applyAlignment="1">
      <alignment horizontal="center" vertical="center" textRotation="90"/>
    </xf>
    <xf numFmtId="0" fontId="89" fillId="24" borderId="112" xfId="0" applyFont="1" applyFill="1" applyBorder="1" applyAlignment="1">
      <alignment horizontal="center" vertical="center" textRotation="90"/>
    </xf>
    <xf numFmtId="0" fontId="89" fillId="24" borderId="48" xfId="0" applyFont="1" applyFill="1" applyBorder="1" applyAlignment="1">
      <alignment horizontal="center" vertical="center" textRotation="90"/>
    </xf>
    <xf numFmtId="0" fontId="56" fillId="24" borderId="129" xfId="0" applyFont="1" applyFill="1" applyBorder="1" applyAlignment="1">
      <alignment horizontal="center" vertical="center"/>
    </xf>
    <xf numFmtId="0" fontId="56" fillId="24" borderId="74" xfId="0" applyFont="1" applyFill="1" applyBorder="1" applyAlignment="1">
      <alignment horizontal="center" vertical="center"/>
    </xf>
    <xf numFmtId="0" fontId="56" fillId="24" borderId="131" xfId="0" applyFont="1" applyFill="1" applyBorder="1" applyAlignment="1">
      <alignment horizontal="center" vertical="center"/>
    </xf>
    <xf numFmtId="0" fontId="22" fillId="24" borderId="5" xfId="0" applyFont="1" applyFill="1" applyBorder="1" applyAlignment="1">
      <alignment horizontal="center" vertical="center"/>
    </xf>
    <xf numFmtId="0" fontId="22" fillId="24" borderId="6" xfId="0" applyFont="1" applyFill="1" applyBorder="1" applyAlignment="1">
      <alignment horizontal="center" vertical="center"/>
    </xf>
    <xf numFmtId="0" fontId="23" fillId="4" borderId="23" xfId="3" applyNumberFormat="1" applyFont="1" applyFill="1" applyBorder="1" applyAlignment="1" applyProtection="1">
      <alignment horizontal="center" vertical="center" wrapText="1"/>
      <protection locked="0"/>
    </xf>
    <xf numFmtId="0" fontId="39" fillId="0" borderId="23" xfId="9" applyFont="1" applyBorder="1" applyAlignment="1">
      <alignment horizontal="left" vertical="center"/>
    </xf>
    <xf numFmtId="0" fontId="39" fillId="0" borderId="21" xfId="9" applyFont="1" applyBorder="1" applyAlignment="1">
      <alignment horizontal="left" vertical="center" wrapText="1"/>
    </xf>
    <xf numFmtId="0" fontId="23" fillId="4" borderId="42" xfId="19" applyFill="1" applyBorder="1" applyAlignment="1" applyProtection="1">
      <alignment horizontal="center" vertical="top" wrapText="1" shrinkToFit="1"/>
      <protection locked="0"/>
    </xf>
    <xf numFmtId="0" fontId="23" fillId="4" borderId="0" xfId="19" applyFill="1" applyAlignment="1" applyProtection="1">
      <alignment horizontal="center" vertical="top" wrapText="1" shrinkToFit="1"/>
      <protection locked="0"/>
    </xf>
    <xf numFmtId="0" fontId="23" fillId="4" borderId="16" xfId="19" applyFill="1" applyBorder="1" applyAlignment="1" applyProtection="1">
      <alignment horizontal="center" vertical="top" wrapText="1" shrinkToFit="1"/>
      <protection locked="0"/>
    </xf>
    <xf numFmtId="0" fontId="23" fillId="4" borderId="44" xfId="19" applyFill="1" applyBorder="1" applyAlignment="1" applyProtection="1">
      <alignment horizontal="center" vertical="top" wrapText="1" shrinkToFit="1"/>
      <protection locked="0"/>
    </xf>
    <xf numFmtId="0" fontId="23" fillId="4" borderId="39" xfId="19" applyFill="1" applyBorder="1" applyAlignment="1" applyProtection="1">
      <alignment horizontal="center" vertical="top" wrapText="1" shrinkToFit="1"/>
      <protection locked="0"/>
    </xf>
    <xf numFmtId="0" fontId="23" fillId="4" borderId="40" xfId="19" applyFill="1" applyBorder="1" applyAlignment="1" applyProtection="1">
      <alignment horizontal="center" vertical="top" wrapText="1" shrinkToFit="1"/>
      <protection locked="0"/>
    </xf>
    <xf numFmtId="0" fontId="20" fillId="6" borderId="5" xfId="9" applyFont="1" applyFill="1" applyBorder="1" applyAlignment="1">
      <alignment horizontal="center" vertical="center"/>
    </xf>
    <xf numFmtId="0" fontId="20" fillId="6" borderId="6" xfId="9" applyFont="1" applyFill="1" applyBorder="1" applyAlignment="1">
      <alignment horizontal="center" vertical="center"/>
    </xf>
    <xf numFmtId="0" fontId="20" fillId="6" borderId="8" xfId="9" applyFont="1" applyFill="1" applyBorder="1" applyAlignment="1">
      <alignment horizontal="center" vertical="center"/>
    </xf>
    <xf numFmtId="0" fontId="20" fillId="6" borderId="1" xfId="9" applyFont="1" applyFill="1" applyBorder="1" applyAlignment="1">
      <alignment horizontal="center" vertical="center"/>
    </xf>
    <xf numFmtId="0" fontId="22" fillId="3" borderId="8" xfId="9" applyFont="1" applyFill="1" applyBorder="1" applyAlignment="1">
      <alignment horizontal="center" vertical="center" wrapText="1"/>
    </xf>
    <xf numFmtId="0" fontId="22" fillId="3" borderId="1" xfId="9" applyFont="1" applyFill="1" applyBorder="1" applyAlignment="1">
      <alignment horizontal="center" vertical="center" wrapText="1"/>
    </xf>
    <xf numFmtId="0" fontId="36" fillId="3" borderId="1" xfId="9" applyFont="1" applyFill="1" applyBorder="1" applyAlignment="1">
      <alignment horizontal="center" vertical="center" wrapText="1"/>
    </xf>
    <xf numFmtId="0" fontId="36" fillId="3" borderId="8" xfId="9" applyFont="1" applyFill="1" applyBorder="1" applyAlignment="1">
      <alignment horizontal="center" vertical="center" wrapText="1"/>
    </xf>
    <xf numFmtId="0" fontId="23" fillId="24" borderId="8" xfId="9" applyFill="1" applyBorder="1" applyAlignment="1">
      <alignment horizontal="center" vertical="center"/>
    </xf>
    <xf numFmtId="0" fontId="23" fillId="24" borderId="1" xfId="9" applyFill="1" applyBorder="1" applyAlignment="1">
      <alignment horizontal="center" vertical="center"/>
    </xf>
    <xf numFmtId="0" fontId="23" fillId="4" borderId="1" xfId="9" applyFill="1" applyBorder="1" applyAlignment="1">
      <alignment horizontal="center" vertical="center"/>
    </xf>
    <xf numFmtId="14" fontId="23" fillId="3" borderId="37" xfId="19" applyNumberFormat="1" applyFill="1" applyBorder="1" applyAlignment="1">
      <alignment horizontal="center" vertical="center" wrapText="1" shrinkToFit="1"/>
    </xf>
    <xf numFmtId="14" fontId="23" fillId="3" borderId="38" xfId="19" applyNumberFormat="1" applyFill="1" applyBorder="1" applyAlignment="1">
      <alignment horizontal="center" vertical="center" wrapText="1" shrinkToFit="1"/>
    </xf>
    <xf numFmtId="0" fontId="22" fillId="24" borderId="1" xfId="9" applyFont="1" applyFill="1" applyBorder="1" applyAlignment="1">
      <alignment horizontal="center" vertical="center"/>
    </xf>
    <xf numFmtId="0" fontId="23" fillId="4" borderId="11" xfId="9" applyFill="1" applyBorder="1" applyAlignment="1" applyProtection="1">
      <alignment horizontal="left" vertical="center"/>
      <protection locked="0"/>
    </xf>
    <xf numFmtId="0" fontId="23" fillId="4" borderId="12" xfId="9" applyFill="1" applyBorder="1" applyAlignment="1" applyProtection="1">
      <alignment horizontal="left" vertical="center"/>
      <protection locked="0"/>
    </xf>
    <xf numFmtId="0" fontId="20" fillId="6" borderId="6" xfId="9" applyFont="1" applyFill="1" applyBorder="1" applyAlignment="1">
      <alignment horizontal="center" vertical="center" wrapText="1"/>
    </xf>
    <xf numFmtId="0" fontId="20" fillId="6" borderId="1" xfId="9" applyFont="1" applyFill="1" applyBorder="1" applyAlignment="1">
      <alignment horizontal="center" vertical="center" wrapText="1"/>
    </xf>
    <xf numFmtId="0" fontId="20" fillId="6" borderId="7" xfId="9" applyFont="1" applyFill="1" applyBorder="1" applyAlignment="1">
      <alignment horizontal="center" vertical="center" wrapText="1"/>
    </xf>
    <xf numFmtId="0" fontId="20" fillId="6" borderId="9" xfId="9" applyFont="1" applyFill="1" applyBorder="1" applyAlignment="1">
      <alignment horizontal="center" vertical="center" wrapText="1"/>
    </xf>
    <xf numFmtId="0" fontId="23" fillId="3" borderId="1" xfId="9" applyFill="1" applyBorder="1" applyAlignment="1">
      <alignment horizontal="center" vertical="center"/>
    </xf>
    <xf numFmtId="0" fontId="20" fillId="3" borderId="8" xfId="9" applyFont="1" applyFill="1" applyBorder="1" applyAlignment="1">
      <alignment horizontal="center" vertical="center" wrapText="1"/>
    </xf>
    <xf numFmtId="0" fontId="20" fillId="3" borderId="1" xfId="9" applyFont="1" applyFill="1" applyBorder="1" applyAlignment="1">
      <alignment horizontal="center" vertical="center" wrapText="1"/>
    </xf>
    <xf numFmtId="0" fontId="23" fillId="4" borderId="1" xfId="9" applyFill="1" applyBorder="1" applyAlignment="1" applyProtection="1">
      <alignment horizontal="left" vertical="center" wrapText="1"/>
      <protection locked="0"/>
    </xf>
    <xf numFmtId="0" fontId="23" fillId="0" borderId="0" xfId="9" applyAlignment="1">
      <alignment horizontal="center" vertical="center"/>
    </xf>
    <xf numFmtId="0" fontId="23" fillId="0" borderId="0" xfId="9" applyAlignment="1">
      <alignment horizontal="center" vertical="center" wrapText="1"/>
    </xf>
    <xf numFmtId="0" fontId="23" fillId="0" borderId="0" xfId="9" applyAlignment="1">
      <alignment horizontal="left" vertical="center" wrapText="1" indent="1"/>
    </xf>
    <xf numFmtId="0" fontId="22" fillId="0" borderId="0" xfId="9" applyFont="1" applyAlignment="1">
      <alignment horizontal="center" vertical="center" wrapText="1"/>
    </xf>
    <xf numFmtId="0" fontId="23" fillId="3" borderId="0" xfId="9" applyFill="1">
      <alignment vertical="center"/>
    </xf>
    <xf numFmtId="0" fontId="23" fillId="3" borderId="0" xfId="9" applyFill="1" applyAlignment="1">
      <alignment vertical="center" wrapText="1"/>
    </xf>
    <xf numFmtId="0" fontId="23" fillId="4" borderId="9" xfId="9" applyFill="1" applyBorder="1" applyAlignment="1">
      <alignment horizontal="center" vertical="center"/>
    </xf>
    <xf numFmtId="0" fontId="22" fillId="0" borderId="0" xfId="9" applyFont="1" applyAlignment="1">
      <alignment horizontal="center" vertical="center"/>
    </xf>
    <xf numFmtId="0" fontId="23" fillId="0" borderId="0" xfId="9" applyAlignment="1">
      <alignment horizontal="left" vertical="center"/>
    </xf>
    <xf numFmtId="0" fontId="23" fillId="0" borderId="0" xfId="9">
      <alignment vertical="center"/>
    </xf>
    <xf numFmtId="0" fontId="23" fillId="0" borderId="0" xfId="9" applyAlignment="1">
      <alignment vertical="center" wrapText="1"/>
    </xf>
    <xf numFmtId="0" fontId="23" fillId="0" borderId="0" xfId="9" applyAlignment="1">
      <alignment horizontal="right" vertical="center" wrapText="1" indent="1"/>
    </xf>
    <xf numFmtId="0" fontId="23" fillId="0" borderId="0" xfId="9" applyAlignment="1">
      <alignment horizontal="right" vertical="center" indent="1"/>
    </xf>
    <xf numFmtId="0" fontId="22" fillId="0" borderId="0" xfId="9" applyFont="1" applyAlignment="1">
      <alignment horizontal="left" vertical="center" indent="1"/>
    </xf>
    <xf numFmtId="0" fontId="23" fillId="3" borderId="3" xfId="0" applyFont="1" applyFill="1" applyBorder="1" applyAlignment="1">
      <alignment horizontal="center" vertical="center" wrapText="1"/>
    </xf>
    <xf numFmtId="0" fontId="23" fillId="3" borderId="51" xfId="0" applyFont="1" applyFill="1" applyBorder="1" applyAlignment="1">
      <alignment horizontal="center" vertical="center" wrapText="1"/>
    </xf>
    <xf numFmtId="0" fontId="23" fillId="4" borderId="17" xfId="9" applyFill="1" applyBorder="1" applyAlignment="1">
      <alignment horizontal="left" vertical="center"/>
    </xf>
    <xf numFmtId="0" fontId="23" fillId="4" borderId="45" xfId="9" applyFill="1" applyBorder="1" applyAlignment="1">
      <alignment horizontal="left" vertical="center"/>
    </xf>
    <xf numFmtId="0" fontId="23" fillId="4" borderId="18" xfId="9" applyFill="1" applyBorder="1" applyAlignment="1">
      <alignment horizontal="left" vertical="center"/>
    </xf>
    <xf numFmtId="0" fontId="23" fillId="4" borderId="31" xfId="9" applyFill="1" applyBorder="1" applyAlignment="1">
      <alignment horizontal="left" vertical="center"/>
    </xf>
    <xf numFmtId="0" fontId="82" fillId="6" borderId="0" xfId="19" applyFont="1" applyFill="1" applyAlignment="1">
      <alignment horizontal="left" vertical="center" wrapText="1"/>
    </xf>
    <xf numFmtId="0" fontId="23" fillId="3" borderId="50" xfId="0" applyFont="1" applyFill="1" applyBorder="1" applyAlignment="1">
      <alignment horizontal="center" vertical="center" wrapText="1"/>
    </xf>
    <xf numFmtId="0" fontId="18" fillId="3" borderId="0" xfId="8" applyFill="1" applyAlignment="1">
      <alignment horizontal="center"/>
    </xf>
    <xf numFmtId="0" fontId="23" fillId="3" borderId="207" xfId="0" applyFont="1" applyFill="1" applyBorder="1" applyAlignment="1">
      <alignment horizontal="center" vertical="center" wrapText="1"/>
    </xf>
    <xf numFmtId="0" fontId="23" fillId="3" borderId="178" xfId="0" applyFont="1" applyFill="1" applyBorder="1" applyAlignment="1">
      <alignment horizontal="center" vertical="center" wrapText="1"/>
    </xf>
    <xf numFmtId="0" fontId="23" fillId="3" borderId="182" xfId="0" applyFont="1" applyFill="1" applyBorder="1" applyAlignment="1">
      <alignment horizontal="center" vertical="center" wrapText="1"/>
    </xf>
    <xf numFmtId="0" fontId="36" fillId="3" borderId="10" xfId="9" applyFont="1" applyFill="1" applyBorder="1" applyAlignment="1">
      <alignment horizontal="center" vertical="center" wrapText="1"/>
    </xf>
    <xf numFmtId="0" fontId="36" fillId="3" borderId="11" xfId="9" applyFont="1" applyFill="1" applyBorder="1" applyAlignment="1">
      <alignment horizontal="center" vertical="center" wrapText="1"/>
    </xf>
    <xf numFmtId="0" fontId="22" fillId="24" borderId="1" xfId="9" applyFont="1" applyFill="1" applyBorder="1" applyAlignment="1">
      <alignment horizontal="center" vertical="center" wrapText="1"/>
    </xf>
    <xf numFmtId="0" fontId="23" fillId="3" borderId="0" xfId="9" applyFill="1" applyAlignment="1">
      <alignment horizontal="center" vertical="center"/>
    </xf>
    <xf numFmtId="0" fontId="23" fillId="4" borderId="9" xfId="9" applyFill="1" applyBorder="1" applyAlignment="1" applyProtection="1">
      <alignment horizontal="left" vertical="center" wrapText="1"/>
      <protection locked="0"/>
    </xf>
    <xf numFmtId="0" fontId="23" fillId="4" borderId="1" xfId="9" applyFill="1" applyBorder="1" applyAlignment="1" applyProtection="1">
      <alignment horizontal="left" vertical="center"/>
      <protection locked="0"/>
    </xf>
    <xf numFmtId="0" fontId="23" fillId="4" borderId="9" xfId="9" applyFill="1" applyBorder="1" applyAlignment="1" applyProtection="1">
      <alignment horizontal="left" vertical="center"/>
      <protection locked="0"/>
    </xf>
    <xf numFmtId="0" fontId="23" fillId="3" borderId="9" xfId="9" applyFill="1" applyBorder="1" applyAlignment="1">
      <alignment horizontal="center" vertical="center"/>
    </xf>
    <xf numFmtId="0" fontId="22" fillId="24" borderId="9" xfId="9" applyFont="1" applyFill="1" applyBorder="1" applyAlignment="1">
      <alignment horizontal="center" vertical="center"/>
    </xf>
    <xf numFmtId="0" fontId="5" fillId="3" borderId="2" xfId="8" applyFont="1" applyFill="1" applyBorder="1" applyAlignment="1">
      <alignment vertical="center" wrapText="1"/>
    </xf>
    <xf numFmtId="0" fontId="5" fillId="3" borderId="23" xfId="8" applyFont="1" applyFill="1" applyBorder="1" applyAlignment="1">
      <alignment vertical="center" wrapText="1"/>
    </xf>
    <xf numFmtId="0" fontId="5" fillId="3" borderId="20" xfId="8" applyFont="1" applyFill="1" applyBorder="1" applyAlignment="1">
      <alignment vertical="center" wrapText="1"/>
    </xf>
    <xf numFmtId="0" fontId="5" fillId="3" borderId="2" xfId="8" applyFont="1" applyFill="1" applyBorder="1" applyAlignment="1">
      <alignment horizontal="left" vertical="center" wrapText="1"/>
    </xf>
    <xf numFmtId="0" fontId="5" fillId="3" borderId="23" xfId="8" applyFont="1" applyFill="1" applyBorder="1" applyAlignment="1">
      <alignment horizontal="left" vertical="center" wrapText="1"/>
    </xf>
    <xf numFmtId="0" fontId="5" fillId="3" borderId="20" xfId="8" applyFont="1" applyFill="1" applyBorder="1" applyAlignment="1">
      <alignment horizontal="left" vertical="center" wrapText="1"/>
    </xf>
    <xf numFmtId="0" fontId="5" fillId="3" borderId="1" xfId="8" applyFont="1" applyFill="1" applyBorder="1" applyAlignment="1">
      <alignment vertical="center" wrapText="1"/>
    </xf>
    <xf numFmtId="0" fontId="109" fillId="6" borderId="2" xfId="8" applyFont="1" applyFill="1" applyBorder="1" applyAlignment="1">
      <alignment horizontal="center" vertical="center" wrapText="1"/>
    </xf>
    <xf numFmtId="0" fontId="109" fillId="6" borderId="23" xfId="8" applyFont="1" applyFill="1" applyBorder="1" applyAlignment="1">
      <alignment horizontal="center" vertical="center" wrapText="1"/>
    </xf>
    <xf numFmtId="0" fontId="109" fillId="6" borderId="20" xfId="8" applyFont="1" applyFill="1" applyBorder="1" applyAlignment="1">
      <alignment horizontal="center" vertical="center" wrapText="1"/>
    </xf>
    <xf numFmtId="0" fontId="109" fillId="24" borderId="2" xfId="8" applyFont="1" applyFill="1" applyBorder="1" applyAlignment="1">
      <alignment horizontal="center" vertical="center" wrapText="1"/>
    </xf>
    <xf numFmtId="0" fontId="109" fillId="24" borderId="23" xfId="8" applyFont="1" applyFill="1" applyBorder="1" applyAlignment="1">
      <alignment horizontal="center" vertical="center" wrapText="1"/>
    </xf>
    <xf numFmtId="0" fontId="109" fillId="24" borderId="20" xfId="8" applyFont="1" applyFill="1" applyBorder="1" applyAlignment="1">
      <alignment horizontal="center" vertical="center" wrapText="1"/>
    </xf>
    <xf numFmtId="0" fontId="26" fillId="6" borderId="29" xfId="9" applyFont="1" applyFill="1" applyBorder="1" applyAlignment="1">
      <alignment horizontal="center" vertical="center" wrapText="1"/>
    </xf>
    <xf numFmtId="0" fontId="26" fillId="6" borderId="21" xfId="9" applyFont="1" applyFill="1" applyBorder="1" applyAlignment="1">
      <alignment horizontal="center" vertical="center" wrapText="1"/>
    </xf>
    <xf numFmtId="0" fontId="26" fillId="6" borderId="28" xfId="9" applyFont="1" applyFill="1" applyBorder="1" applyAlignment="1">
      <alignment horizontal="center" vertical="center" wrapText="1"/>
    </xf>
    <xf numFmtId="0" fontId="23" fillId="4" borderId="2" xfId="9" applyFill="1" applyBorder="1" applyAlignment="1">
      <alignment horizontal="center" vertical="center"/>
    </xf>
    <xf numFmtId="0" fontId="23" fillId="4" borderId="23" xfId="9" applyFill="1" applyBorder="1" applyAlignment="1">
      <alignment horizontal="center" vertical="center"/>
    </xf>
    <xf numFmtId="0" fontId="23" fillId="4" borderId="20" xfId="9" applyFill="1" applyBorder="1" applyAlignment="1">
      <alignment horizontal="center" vertical="center"/>
    </xf>
    <xf numFmtId="0" fontId="22" fillId="24" borderId="2" xfId="9" applyFont="1" applyFill="1" applyBorder="1" applyAlignment="1">
      <alignment horizontal="center" vertical="center" wrapText="1"/>
    </xf>
    <xf numFmtId="0" fontId="22" fillId="24" borderId="23" xfId="9" applyFont="1" applyFill="1" applyBorder="1" applyAlignment="1">
      <alignment horizontal="center" vertical="center" wrapText="1"/>
    </xf>
    <xf numFmtId="0" fontId="22" fillId="24" borderId="20" xfId="9" applyFont="1" applyFill="1" applyBorder="1" applyAlignment="1">
      <alignment horizontal="center" vertical="center" wrapText="1"/>
    </xf>
    <xf numFmtId="0" fontId="23" fillId="0" borderId="67" xfId="9" applyBorder="1" applyAlignment="1">
      <alignment horizontal="left" vertical="center" wrapText="1"/>
    </xf>
    <xf numFmtId="0" fontId="110" fillId="6" borderId="5" xfId="8" applyFont="1" applyFill="1" applyBorder="1" applyAlignment="1">
      <alignment horizontal="center" vertical="center"/>
    </xf>
    <xf numFmtId="0" fontId="110" fillId="6" borderId="6" xfId="8" applyFont="1" applyFill="1" applyBorder="1" applyAlignment="1">
      <alignment horizontal="center" vertical="center"/>
    </xf>
    <xf numFmtId="0" fontId="110" fillId="6" borderId="7" xfId="8" applyFont="1" applyFill="1" applyBorder="1" applyAlignment="1">
      <alignment horizontal="center" vertical="center"/>
    </xf>
    <xf numFmtId="0" fontId="23" fillId="4" borderId="57" xfId="27" applyFill="1" applyBorder="1" applyAlignment="1" applyProtection="1">
      <alignment horizontal="center" vertical="top"/>
      <protection locked="0"/>
    </xf>
    <xf numFmtId="0" fontId="23" fillId="4" borderId="68" xfId="27" applyFill="1" applyBorder="1" applyAlignment="1" applyProtection="1">
      <alignment horizontal="center" vertical="top"/>
      <protection locked="0"/>
    </xf>
    <xf numFmtId="0" fontId="23" fillId="4" borderId="54" xfId="27" applyFill="1" applyBorder="1" applyAlignment="1" applyProtection="1">
      <alignment horizontal="center" vertical="top"/>
      <protection locked="0"/>
    </xf>
    <xf numFmtId="0" fontId="23" fillId="4" borderId="37" xfId="27" applyFill="1" applyBorder="1" applyAlignment="1" applyProtection="1">
      <alignment horizontal="center" vertical="top"/>
      <protection locked="0"/>
    </xf>
    <xf numFmtId="0" fontId="23" fillId="4" borderId="0" xfId="27" applyFill="1" applyAlignment="1" applyProtection="1">
      <alignment horizontal="center" vertical="top"/>
      <protection locked="0"/>
    </xf>
    <xf numFmtId="0" fontId="23" fillId="4" borderId="41" xfId="27" applyFill="1" applyBorder="1" applyAlignment="1" applyProtection="1">
      <alignment horizontal="center" vertical="top"/>
      <protection locked="0"/>
    </xf>
    <xf numFmtId="0" fontId="23" fillId="4" borderId="69" xfId="27" applyFill="1" applyBorder="1" applyAlignment="1" applyProtection="1">
      <alignment horizontal="center" vertical="top"/>
      <protection locked="0"/>
    </xf>
    <xf numFmtId="0" fontId="23" fillId="4" borderId="67" xfId="27" applyFill="1" applyBorder="1" applyAlignment="1" applyProtection="1">
      <alignment horizontal="center" vertical="top"/>
      <protection locked="0"/>
    </xf>
    <xf numFmtId="0" fontId="23" fillId="4" borderId="70" xfId="27" applyFill="1" applyBorder="1" applyAlignment="1" applyProtection="1">
      <alignment horizontal="center" vertical="top"/>
      <protection locked="0"/>
    </xf>
    <xf numFmtId="0" fontId="22" fillId="3" borderId="0" xfId="20" applyFont="1" applyFill="1" applyAlignment="1">
      <alignment horizontal="center" vertical="center" wrapText="1"/>
    </xf>
    <xf numFmtId="0" fontId="82" fillId="9" borderId="0" xfId="20" applyFont="1" applyFill="1" applyAlignment="1">
      <alignment horizontal="left" vertical="center" wrapText="1"/>
    </xf>
    <xf numFmtId="0" fontId="22" fillId="9" borderId="0" xfId="20" applyFont="1" applyFill="1" applyAlignment="1">
      <alignment horizontal="center" vertical="center" wrapText="1"/>
    </xf>
    <xf numFmtId="0" fontId="23" fillId="4" borderId="173" xfId="27" applyFill="1" applyBorder="1" applyAlignment="1" applyProtection="1">
      <alignment horizontal="left" vertical="center"/>
      <protection locked="0"/>
    </xf>
    <xf numFmtId="0" fontId="0" fillId="4" borderId="60" xfId="27" applyFont="1" applyFill="1" applyBorder="1" applyAlignment="1" applyProtection="1">
      <alignment horizontal="left" vertical="center"/>
      <protection locked="0"/>
    </xf>
    <xf numFmtId="0" fontId="0" fillId="4" borderId="173" xfId="27" applyFont="1" applyFill="1" applyBorder="1" applyAlignment="1" applyProtection="1">
      <alignment horizontal="left" vertical="center"/>
      <protection locked="0"/>
    </xf>
    <xf numFmtId="0" fontId="23" fillId="4" borderId="60" xfId="27" applyFill="1" applyBorder="1" applyAlignment="1" applyProtection="1">
      <alignment horizontal="left" vertical="center"/>
      <protection locked="0"/>
    </xf>
    <xf numFmtId="0" fontId="0" fillId="4" borderId="0" xfId="27" applyFont="1" applyFill="1" applyAlignment="1" applyProtection="1">
      <alignment horizontal="left" vertical="center"/>
      <protection locked="0"/>
    </xf>
    <xf numFmtId="0" fontId="23" fillId="4" borderId="0" xfId="27" applyFill="1" applyAlignment="1" applyProtection="1">
      <alignment horizontal="left" vertical="center"/>
      <protection locked="0"/>
    </xf>
    <xf numFmtId="2" fontId="23" fillId="3" borderId="0" xfId="27" applyNumberFormat="1" applyFill="1" applyAlignment="1">
      <alignment horizontal="left" vertical="center" wrapText="1"/>
    </xf>
    <xf numFmtId="0" fontId="11" fillId="4" borderId="60" xfId="26" applyFill="1" applyBorder="1" applyAlignment="1" applyProtection="1">
      <alignment horizontal="center" vertical="center"/>
      <protection locked="0"/>
    </xf>
    <xf numFmtId="0" fontId="23" fillId="4" borderId="171" xfId="27" applyFill="1" applyBorder="1" applyAlignment="1" applyProtection="1">
      <alignment horizontal="left" vertical="center"/>
      <protection locked="0"/>
    </xf>
    <xf numFmtId="0" fontId="23" fillId="4" borderId="94" xfId="27" applyFill="1" applyBorder="1" applyAlignment="1" applyProtection="1">
      <alignment horizontal="left" vertical="center"/>
      <protection locked="0"/>
    </xf>
    <xf numFmtId="14" fontId="23" fillId="4" borderId="60" xfId="27" applyNumberFormat="1" applyFill="1" applyBorder="1" applyAlignment="1" applyProtection="1">
      <alignment horizontal="left" vertical="center"/>
      <protection locked="0"/>
    </xf>
    <xf numFmtId="0" fontId="60" fillId="4" borderId="0" xfId="26" applyFont="1" applyFill="1" applyAlignment="1">
      <alignment horizontal="center" wrapText="1"/>
    </xf>
    <xf numFmtId="0" fontId="60" fillId="4" borderId="173" xfId="26" applyFont="1" applyFill="1" applyBorder="1" applyAlignment="1">
      <alignment horizontal="center" wrapText="1"/>
    </xf>
    <xf numFmtId="0" fontId="23" fillId="3" borderId="67" xfId="27" applyFill="1" applyBorder="1" applyAlignment="1">
      <alignment horizontal="left" vertical="center"/>
    </xf>
    <xf numFmtId="0" fontId="11" fillId="0" borderId="0" xfId="26" applyAlignment="1">
      <alignment horizontal="left" vertical="center" wrapText="1"/>
    </xf>
    <xf numFmtId="0" fontId="11" fillId="4" borderId="0" xfId="26" applyFill="1" applyAlignment="1" applyProtection="1">
      <alignment horizontal="center" vertical="center"/>
      <protection locked="0"/>
    </xf>
    <xf numFmtId="0" fontId="11" fillId="4" borderId="173" xfId="26" applyFill="1" applyBorder="1" applyAlignment="1" applyProtection="1">
      <alignment horizontal="center" vertical="center"/>
      <protection locked="0"/>
    </xf>
    <xf numFmtId="0" fontId="23" fillId="3" borderId="0" xfId="27" applyFill="1" applyAlignment="1">
      <alignment horizontal="center" vertical="center"/>
    </xf>
    <xf numFmtId="0" fontId="81" fillId="9" borderId="0" xfId="20" applyFont="1" applyFill="1" applyAlignment="1">
      <alignment horizontal="left" vertical="center" wrapText="1"/>
    </xf>
    <xf numFmtId="0" fontId="22" fillId="9" borderId="0" xfId="20" applyFont="1" applyFill="1" applyAlignment="1">
      <alignment horizontal="left" vertical="center" wrapText="1"/>
    </xf>
    <xf numFmtId="0" fontId="31" fillId="24" borderId="62" xfId="26" applyFont="1" applyFill="1" applyBorder="1" applyAlignment="1">
      <alignment horizontal="center" vertical="center" wrapText="1"/>
    </xf>
    <xf numFmtId="0" fontId="31" fillId="24" borderId="145" xfId="26" applyFont="1" applyFill="1" applyBorder="1" applyAlignment="1">
      <alignment horizontal="center" vertical="center" wrapText="1"/>
    </xf>
    <xf numFmtId="0" fontId="52" fillId="24" borderId="26" xfId="26" applyFont="1" applyFill="1" applyBorder="1" applyAlignment="1">
      <alignment horizontal="center" vertical="center" wrapText="1"/>
    </xf>
    <xf numFmtId="0" fontId="52" fillId="24" borderId="33" xfId="26" applyFont="1" applyFill="1" applyBorder="1" applyAlignment="1">
      <alignment horizontal="center" vertical="center" wrapText="1"/>
    </xf>
    <xf numFmtId="0" fontId="52" fillId="24" borderId="56" xfId="26" applyFont="1" applyFill="1" applyBorder="1" applyAlignment="1">
      <alignment horizontal="center" vertical="center" wrapText="1"/>
    </xf>
    <xf numFmtId="2" fontId="23" fillId="3" borderId="0" xfId="27" quotePrefix="1" applyNumberFormat="1" applyFill="1" applyAlignment="1">
      <alignment horizontal="left" vertical="center" wrapText="1"/>
    </xf>
    <xf numFmtId="0" fontId="31" fillId="24" borderId="92" xfId="26" applyFont="1" applyFill="1" applyBorder="1" applyAlignment="1">
      <alignment horizontal="center" vertical="center" wrapText="1"/>
    </xf>
    <xf numFmtId="0" fontId="31" fillId="24" borderId="10" xfId="26" applyFont="1" applyFill="1" applyBorder="1" applyAlignment="1">
      <alignment horizontal="center" vertical="center" wrapText="1"/>
    </xf>
    <xf numFmtId="0" fontId="31" fillId="24" borderId="90" xfId="26" applyFont="1" applyFill="1" applyBorder="1" applyAlignment="1">
      <alignment horizontal="center" vertical="center" wrapText="1"/>
    </xf>
    <xf numFmtId="0" fontId="31" fillId="24" borderId="11" xfId="26" applyFont="1" applyFill="1" applyBorder="1" applyAlignment="1">
      <alignment horizontal="center" vertical="center" wrapText="1"/>
    </xf>
    <xf numFmtId="0" fontId="31" fillId="24" borderId="35" xfId="26" applyFont="1" applyFill="1" applyBorder="1" applyAlignment="1">
      <alignment horizontal="center" vertical="center" wrapText="1"/>
    </xf>
    <xf numFmtId="0" fontId="31" fillId="24" borderId="25" xfId="26" applyFont="1" applyFill="1" applyBorder="1" applyAlignment="1">
      <alignment horizontal="center" vertical="center" wrapText="1"/>
    </xf>
    <xf numFmtId="0" fontId="52" fillId="24" borderId="92" xfId="26" applyFont="1" applyFill="1" applyBorder="1" applyAlignment="1">
      <alignment horizontal="center" vertical="center" wrapText="1"/>
    </xf>
    <xf numFmtId="0" fontId="52" fillId="24" borderId="6" xfId="26" applyFont="1" applyFill="1" applyBorder="1" applyAlignment="1">
      <alignment horizontal="center" vertical="center" wrapText="1"/>
    </xf>
    <xf numFmtId="0" fontId="52" fillId="24" borderId="29" xfId="26" applyFont="1" applyFill="1" applyBorder="1" applyAlignment="1">
      <alignment horizontal="center" vertical="center" wrapText="1"/>
    </xf>
    <xf numFmtId="0" fontId="52" fillId="24" borderId="35" xfId="26" applyFont="1" applyFill="1" applyBorder="1" applyAlignment="1">
      <alignment horizontal="center" vertical="center" wrapText="1"/>
    </xf>
    <xf numFmtId="0" fontId="52" fillId="24" borderId="91" xfId="26" applyFont="1" applyFill="1" applyBorder="1" applyAlignment="1">
      <alignment horizontal="center" vertical="center" wrapText="1"/>
    </xf>
    <xf numFmtId="0" fontId="22" fillId="24" borderId="46" xfId="26" applyFont="1" applyFill="1" applyBorder="1" applyAlignment="1">
      <alignment horizontal="center" vertical="center" wrapText="1"/>
    </xf>
    <xf numFmtId="0" fontId="22" fillId="24" borderId="90" xfId="26" applyFont="1" applyFill="1" applyBorder="1" applyAlignment="1">
      <alignment horizontal="center" vertical="center" wrapText="1"/>
    </xf>
    <xf numFmtId="0" fontId="22" fillId="24" borderId="35" xfId="26" applyFont="1" applyFill="1" applyBorder="1" applyAlignment="1">
      <alignment horizontal="center" vertical="center" wrapText="1"/>
    </xf>
    <xf numFmtId="0" fontId="52" fillId="24" borderId="43" xfId="26" applyFont="1" applyFill="1" applyBorder="1" applyAlignment="1">
      <alignment horizontal="center" vertical="center" wrapText="1"/>
    </xf>
    <xf numFmtId="0" fontId="52" fillId="24" borderId="19" xfId="26" applyFont="1" applyFill="1" applyBorder="1" applyAlignment="1">
      <alignment horizontal="center" vertical="center" wrapText="1"/>
    </xf>
    <xf numFmtId="0" fontId="52" fillId="24" borderId="36" xfId="26" applyFont="1" applyFill="1" applyBorder="1" applyAlignment="1">
      <alignment horizontal="center" vertical="center" wrapText="1"/>
    </xf>
    <xf numFmtId="0" fontId="0" fillId="3" borderId="0" xfId="27" applyFont="1" applyFill="1" applyAlignment="1">
      <alignment horizontal="left" vertical="center"/>
    </xf>
    <xf numFmtId="0" fontId="23" fillId="0" borderId="0" xfId="27" applyAlignment="1" applyProtection="1">
      <alignment horizontal="left" vertical="center"/>
      <protection locked="0"/>
    </xf>
    <xf numFmtId="0" fontId="19" fillId="4" borderId="2" xfId="34" applyFont="1" applyFill="1" applyBorder="1" applyAlignment="1" applyProtection="1">
      <alignment horizontal="center" vertical="center"/>
      <protection locked="0"/>
    </xf>
    <xf numFmtId="0" fontId="19" fillId="4" borderId="20" xfId="34" applyFont="1" applyFill="1" applyBorder="1" applyAlignment="1" applyProtection="1">
      <alignment horizontal="center" vertical="center"/>
      <protection locked="0"/>
    </xf>
    <xf numFmtId="0" fontId="19" fillId="4" borderId="2" xfId="34" applyFont="1" applyFill="1" applyBorder="1" applyAlignment="1" applyProtection="1">
      <alignment horizontal="center" vertical="center" wrapText="1"/>
      <protection locked="0"/>
    </xf>
    <xf numFmtId="0" fontId="19" fillId="4" borderId="23" xfId="34" applyFont="1" applyFill="1" applyBorder="1" applyAlignment="1" applyProtection="1">
      <alignment horizontal="center" vertical="center" wrapText="1"/>
      <protection locked="0"/>
    </xf>
    <xf numFmtId="0" fontId="19" fillId="4" borderId="20" xfId="34" applyFont="1" applyFill="1" applyBorder="1" applyAlignment="1" applyProtection="1">
      <alignment horizontal="center" vertical="center" wrapText="1"/>
      <protection locked="0"/>
    </xf>
    <xf numFmtId="0" fontId="23" fillId="3" borderId="0" xfId="27" applyFill="1" applyAlignment="1">
      <alignment horizontal="left" vertical="center"/>
    </xf>
    <xf numFmtId="0" fontId="23" fillId="0" borderId="0" xfId="20" applyFont="1" applyAlignment="1">
      <alignment horizontal="center" vertical="center" wrapText="1"/>
    </xf>
    <xf numFmtId="0" fontId="19" fillId="0" borderId="1" xfId="34" applyFont="1" applyBorder="1" applyAlignment="1" applyProtection="1">
      <alignment horizontal="center" vertical="center"/>
      <protection locked="0"/>
    </xf>
    <xf numFmtId="0" fontId="31" fillId="0" borderId="2" xfId="34" applyFont="1" applyBorder="1" applyAlignment="1">
      <alignment horizontal="center" vertical="center" wrapText="1"/>
    </xf>
    <xf numFmtId="0" fontId="31" fillId="0" borderId="20" xfId="34" applyFont="1" applyBorder="1" applyAlignment="1">
      <alignment horizontal="center" vertical="center" wrapText="1"/>
    </xf>
    <xf numFmtId="0" fontId="31" fillId="0" borderId="1" xfId="34" applyFont="1" applyBorder="1" applyAlignment="1">
      <alignment horizontal="center" vertical="center" wrapText="1"/>
    </xf>
    <xf numFmtId="0" fontId="36" fillId="0" borderId="1" xfId="27" applyFont="1" applyBorder="1" applyAlignment="1" applyProtection="1">
      <alignment horizontal="center" vertical="center"/>
      <protection locked="0"/>
    </xf>
    <xf numFmtId="0" fontId="31" fillId="0" borderId="2" xfId="34" applyFont="1" applyBorder="1" applyAlignment="1">
      <alignment horizontal="center" vertical="center"/>
    </xf>
    <xf numFmtId="0" fontId="31" fillId="0" borderId="23" xfId="34" applyFont="1" applyBorder="1" applyAlignment="1">
      <alignment horizontal="center" vertical="center"/>
    </xf>
    <xf numFmtId="0" fontId="31" fillId="0" borderId="20" xfId="34" applyFont="1" applyBorder="1" applyAlignment="1">
      <alignment horizontal="center" vertical="center"/>
    </xf>
    <xf numFmtId="0" fontId="31" fillId="12" borderId="2" xfId="34" applyFont="1" applyFill="1" applyBorder="1" applyAlignment="1">
      <alignment horizontal="center" vertical="center" wrapText="1"/>
    </xf>
    <xf numFmtId="0" fontId="31" fillId="12" borderId="20" xfId="34" applyFont="1" applyFill="1" applyBorder="1" applyAlignment="1">
      <alignment horizontal="center" vertical="center" wrapText="1"/>
    </xf>
    <xf numFmtId="0" fontId="145" fillId="41" borderId="0" xfId="36" applyFont="1" applyFill="1" applyAlignment="1">
      <alignment horizontal="center" vertical="center"/>
    </xf>
    <xf numFmtId="0" fontId="144" fillId="0" borderId="0" xfId="36"/>
    <xf numFmtId="0" fontId="146" fillId="42" borderId="0" xfId="36" applyFont="1" applyFill="1" applyAlignment="1">
      <alignment horizontal="right" vertical="center" wrapText="1"/>
    </xf>
    <xf numFmtId="0" fontId="144" fillId="0" borderId="0" xfId="36"/>
    <xf numFmtId="0" fontId="147" fillId="40" borderId="214" xfId="36" applyFont="1" applyFill="1" applyBorder="1" applyAlignment="1">
      <alignment vertical="top" wrapText="1"/>
    </xf>
    <xf numFmtId="0" fontId="144" fillId="0" borderId="215" xfId="36" applyBorder="1"/>
    <xf numFmtId="0" fontId="144" fillId="0" borderId="214" xfId="36" applyBorder="1" applyAlignment="1" applyProtection="1">
      <alignment horizontal="center" vertical="top" wrapText="1"/>
      <protection locked="0"/>
    </xf>
    <xf numFmtId="0" fontId="144" fillId="0" borderId="0" xfId="36" applyAlignment="1">
      <alignment vertical="top" wrapText="1"/>
    </xf>
    <xf numFmtId="0" fontId="147" fillId="0" borderId="0" xfId="36" applyFont="1" applyAlignment="1">
      <alignment vertical="top" wrapText="1"/>
    </xf>
    <xf numFmtId="14" fontId="144" fillId="0" borderId="0" xfId="36" applyNumberFormat="1" applyAlignment="1">
      <alignment vertical="top" wrapText="1"/>
    </xf>
    <xf numFmtId="0" fontId="144" fillId="0" borderId="0" xfId="36" applyAlignment="1">
      <alignment horizontal="center" vertical="top" wrapText="1"/>
    </xf>
    <xf numFmtId="0" fontId="144" fillId="0" borderId="214" xfId="36" applyBorder="1" applyAlignment="1" applyProtection="1">
      <alignment horizontal="left" vertical="top" wrapText="1" indent="2"/>
      <protection locked="0"/>
    </xf>
    <xf numFmtId="0" fontId="144" fillId="0" borderId="215" xfId="36" applyBorder="1" applyAlignment="1" applyProtection="1">
      <alignment horizontal="left" indent="2"/>
      <protection locked="0"/>
    </xf>
    <xf numFmtId="0" fontId="144" fillId="0" borderId="216" xfId="36" applyBorder="1" applyAlignment="1" applyProtection="1">
      <alignment horizontal="left" vertical="top" wrapText="1" indent="2"/>
      <protection locked="0"/>
    </xf>
    <xf numFmtId="0" fontId="144" fillId="0" borderId="217" xfId="36" applyBorder="1" applyAlignment="1" applyProtection="1">
      <alignment horizontal="left" vertical="top" wrapText="1" indent="2"/>
      <protection locked="0"/>
    </xf>
    <xf numFmtId="0" fontId="144" fillId="0" borderId="215" xfId="36" applyBorder="1" applyAlignment="1" applyProtection="1">
      <alignment horizontal="left" vertical="top" wrapText="1" indent="2"/>
      <protection locked="0"/>
    </xf>
    <xf numFmtId="0" fontId="147" fillId="43" borderId="214" xfId="36" applyFont="1" applyFill="1" applyBorder="1" applyAlignment="1">
      <alignment vertical="top" wrapText="1"/>
    </xf>
    <xf numFmtId="0" fontId="144" fillId="0" borderId="218" xfId="36" applyBorder="1"/>
    <xf numFmtId="0" fontId="144" fillId="0" borderId="219" xfId="36" applyBorder="1"/>
    <xf numFmtId="0" fontId="144" fillId="0" borderId="220" xfId="36" applyBorder="1"/>
    <xf numFmtId="0" fontId="144" fillId="0" borderId="221" xfId="36" applyBorder="1"/>
    <xf numFmtId="0" fontId="144" fillId="0" borderId="222" xfId="36" applyBorder="1"/>
    <xf numFmtId="0" fontId="148" fillId="41" borderId="214" xfId="36" applyFont="1" applyFill="1" applyBorder="1" applyAlignment="1">
      <alignment horizontal="center" vertical="center" wrapText="1"/>
    </xf>
    <xf numFmtId="0" fontId="144" fillId="44" borderId="214" xfId="36" applyFill="1" applyBorder="1" applyAlignment="1">
      <alignment vertical="top" wrapText="1"/>
    </xf>
    <xf numFmtId="0" fontId="144" fillId="45" borderId="214" xfId="36" applyFill="1" applyBorder="1" applyAlignment="1" applyProtection="1">
      <alignment horizontal="left" vertical="top" wrapText="1"/>
      <protection locked="0"/>
    </xf>
    <xf numFmtId="0" fontId="144" fillId="45" borderId="214" xfId="36" applyFill="1" applyBorder="1" applyAlignment="1" applyProtection="1">
      <alignment horizontal="center" vertical="center" wrapText="1"/>
      <protection locked="0"/>
    </xf>
    <xf numFmtId="0" fontId="144" fillId="0" borderId="214" xfId="36" applyBorder="1" applyAlignment="1" applyProtection="1">
      <alignment horizontal="center" vertical="center" wrapText="1"/>
      <protection locked="0"/>
    </xf>
    <xf numFmtId="0" fontId="144" fillId="0" borderId="223" xfId="36" applyBorder="1"/>
    <xf numFmtId="0" fontId="144" fillId="0" borderId="214" xfId="36" applyBorder="1" applyAlignment="1" applyProtection="1">
      <alignment horizontal="left" vertical="top" wrapText="1"/>
      <protection locked="0"/>
    </xf>
    <xf numFmtId="0" fontId="144" fillId="0" borderId="224" xfId="36" applyBorder="1"/>
    <xf numFmtId="0" fontId="144" fillId="0" borderId="216" xfId="36" applyBorder="1" applyAlignment="1" applyProtection="1">
      <alignment horizontal="left" vertical="top" wrapText="1"/>
      <protection locked="0"/>
    </xf>
    <xf numFmtId="0" fontId="144" fillId="0" borderId="215" xfId="36" applyBorder="1" applyAlignment="1" applyProtection="1">
      <alignment horizontal="left" vertical="top" wrapText="1"/>
      <protection locked="0"/>
    </xf>
    <xf numFmtId="0" fontId="1" fillId="0" borderId="1" xfId="35" applyFont="1" applyBorder="1" applyAlignment="1">
      <alignment horizontal="center"/>
    </xf>
    <xf numFmtId="0" fontId="1" fillId="0" borderId="1" xfId="35" applyFont="1" applyBorder="1" applyAlignment="1">
      <alignment horizontal="left"/>
    </xf>
  </cellXfs>
  <cellStyles count="37">
    <cellStyle name="Gut" xfId="5" builtinId="26"/>
    <cellStyle name="Link" xfId="15" builtinId="8"/>
    <cellStyle name="Neutral" xfId="7" builtinId="28"/>
    <cellStyle name="Normal 2" xfId="8" xr:uid="{00000000-0005-0000-0000-000006000000}"/>
    <cellStyle name="Normal 2 2" xfId="9" xr:uid="{00000000-0005-0000-0000-000007000000}"/>
    <cellStyle name="Normal 2 3" xfId="21" xr:uid="{00000000-0005-0000-0000-000008000000}"/>
    <cellStyle name="Normal 2 4" xfId="25" xr:uid="{00000000-0005-0000-0000-000009000000}"/>
    <cellStyle name="Normal 2 5" xfId="28" xr:uid="{00000000-0005-0000-0000-00000A000000}"/>
    <cellStyle name="Normal 2 5 2" xfId="32" xr:uid="{00000000-0005-0000-0000-00000B000000}"/>
    <cellStyle name="Normal 2 6" xfId="31" xr:uid="{00000000-0005-0000-0000-00000C000000}"/>
    <cellStyle name="Normal 3" xfId="10" xr:uid="{00000000-0005-0000-0000-00000D000000}"/>
    <cellStyle name="Prozent" xfId="3" builtinId="5"/>
    <cellStyle name="Schlecht" xfId="6" builtinId="27"/>
    <cellStyle name="Standard" xfId="0" builtinId="0"/>
    <cellStyle name="Standard 10" xfId="35" xr:uid="{CA743FE7-A8CB-4933-9B57-A46F75A46E01}"/>
    <cellStyle name="Standard 11" xfId="36" xr:uid="{D7BA7E68-F191-43A7-B544-657BA91DDC78}"/>
    <cellStyle name="Standard 2" xfId="4" xr:uid="{00000000-0005-0000-0000-00000F000000}"/>
    <cellStyle name="Standard 2 2" xfId="12" xr:uid="{00000000-0005-0000-0000-000010000000}"/>
    <cellStyle name="Standard 2 3" xfId="14" xr:uid="{00000000-0005-0000-0000-000011000000}"/>
    <cellStyle name="Standard 2 3 2" xfId="29" xr:uid="{00000000-0005-0000-0000-000012000000}"/>
    <cellStyle name="Standard 2 4" xfId="19" xr:uid="{00000000-0005-0000-0000-000013000000}"/>
    <cellStyle name="Standard 3" xfId="13" xr:uid="{00000000-0005-0000-0000-000014000000}"/>
    <cellStyle name="Standard 4" xfId="16" xr:uid="{00000000-0005-0000-0000-000015000000}"/>
    <cellStyle name="Standard 5" xfId="23" xr:uid="{00000000-0005-0000-0000-000016000000}"/>
    <cellStyle name="Standard 6" xfId="24" xr:uid="{00000000-0005-0000-0000-000017000000}"/>
    <cellStyle name="Standard 7" xfId="26" xr:uid="{00000000-0005-0000-0000-000018000000}"/>
    <cellStyle name="Standard 8" xfId="33" xr:uid="{00000000-0005-0000-0000-000019000000}"/>
    <cellStyle name="Standard 9" xfId="34" xr:uid="{00000000-0005-0000-0000-00001A000000}"/>
    <cellStyle name="Standard_1-2 Kapazität Brose" xfId="18" xr:uid="{00000000-0005-0000-0000-00001B000000}"/>
    <cellStyle name="Standard_1-2 Kapazität Brose 1.0" xfId="17" xr:uid="{00000000-0005-0000-0000-00001C000000}"/>
    <cellStyle name="Standard_1-2 Kapazität Brose 1.0 2" xfId="20" xr:uid="{00000000-0005-0000-0000-00001D000000}"/>
    <cellStyle name="Standard_Arb.Stanzteilepreis" xfId="27" xr:uid="{00000000-0005-0000-0000-00001E000000}"/>
    <cellStyle name="Standard_FullRunTest1" xfId="1" xr:uid="{00000000-0005-0000-0000-00001F000000}"/>
    <cellStyle name="Standard_FullRunTest1 2" xfId="30" xr:uid="{00000000-0005-0000-0000-000020000000}"/>
    <cellStyle name="Standard_Tabelle1" xfId="11" xr:uid="{00000000-0005-0000-0000-000021000000}"/>
    <cellStyle name="Währung" xfId="2" builtinId="4"/>
    <cellStyle name="Währung 2" xfId="22" xr:uid="{00000000-0005-0000-0000-000022000000}"/>
  </cellStyles>
  <dxfs count="627">
    <dxf>
      <fill>
        <patternFill patternType="solid">
          <bgColor rgb="FF00B050"/>
        </patternFill>
      </fill>
    </dxf>
    <dxf>
      <fill>
        <patternFill patternType="solid">
          <bgColor rgb="FFFF0000"/>
        </patternFill>
      </fill>
    </dxf>
    <dxf>
      <fill>
        <patternFill patternType="solid">
          <bgColor rgb="FFFFC000"/>
        </patternFill>
      </fill>
    </dxf>
    <dxf>
      <fill>
        <patternFill patternType="solid">
          <bgColor theme="0" tint="-0.14990691854609822"/>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ont>
        <strike val="0"/>
        <color theme="0"/>
      </font>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fill>
        <patternFill>
          <bgColor rgb="FFFFFF00"/>
        </patternFill>
      </fill>
    </dxf>
    <dxf>
      <fill>
        <patternFill>
          <bgColor theme="6"/>
        </patternFill>
      </fill>
    </dxf>
    <dxf>
      <fill>
        <patternFill>
          <bgColor rgb="FFFFFF00"/>
        </patternFill>
      </fill>
    </dxf>
    <dxf>
      <fill>
        <patternFill>
          <bgColor theme="6"/>
        </patternFill>
      </fill>
    </dxf>
    <dxf>
      <fill>
        <patternFill>
          <bgColor theme="4"/>
        </patternFill>
      </fill>
    </dxf>
    <dxf>
      <fill>
        <patternFill>
          <bgColor rgb="FFFFFF00"/>
        </patternFill>
      </fill>
    </dxf>
    <dxf>
      <fill>
        <patternFill>
          <bgColor theme="6"/>
        </patternFill>
      </fill>
    </dxf>
    <dxf>
      <fill>
        <patternFill>
          <bgColor theme="4"/>
        </patternFill>
      </fill>
    </dxf>
    <dxf>
      <fill>
        <patternFill>
          <bgColor theme="6"/>
        </patternFill>
      </fill>
    </dxf>
    <dxf>
      <fill>
        <patternFill>
          <bgColor rgb="FFFFFF00"/>
        </patternFill>
      </fill>
    </dxf>
    <dxf>
      <fill>
        <patternFill>
          <bgColor theme="6"/>
        </patternFill>
      </fill>
    </dxf>
    <dxf>
      <fill>
        <patternFill>
          <bgColor theme="4"/>
        </patternFill>
      </fill>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fill>
        <patternFill>
          <bgColor rgb="FFFFFF00"/>
        </patternFill>
      </fill>
    </dxf>
    <dxf>
      <fill>
        <patternFill>
          <bgColor theme="6"/>
        </patternFill>
      </fill>
    </dxf>
    <dxf>
      <fill>
        <patternFill>
          <bgColor theme="4"/>
        </patternFill>
      </fill>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fill>
        <patternFill>
          <bgColor theme="4"/>
        </patternFill>
      </fill>
    </dxf>
    <dxf>
      <border>
        <left style="thin">
          <color rgb="FFFF0000"/>
        </left>
        <vertical/>
        <horizontal/>
      </border>
    </dxf>
    <dxf>
      <border>
        <left style="thin">
          <color rgb="FFFF0000"/>
        </left>
        <vertical/>
        <horizontal/>
      </border>
    </dxf>
    <dxf>
      <fill>
        <patternFill>
          <bgColor theme="6"/>
        </patternFill>
      </fill>
    </dxf>
    <dxf>
      <fill>
        <patternFill>
          <bgColor rgb="FFFFFF00"/>
        </patternFill>
      </fill>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fill>
        <patternFill>
          <bgColor theme="6"/>
        </patternFill>
      </fill>
    </dxf>
    <dxf>
      <fill>
        <patternFill>
          <bgColor rgb="FFFFFF00"/>
        </patternFill>
      </fill>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border>
        <left style="thin">
          <color rgb="FFFF0000"/>
        </left>
        <vertical/>
        <horizontal/>
      </border>
    </dxf>
    <dxf>
      <fill>
        <patternFill>
          <bgColor theme="6"/>
        </patternFill>
      </fill>
    </dxf>
    <dxf>
      <fill>
        <patternFill>
          <bgColor theme="4"/>
        </patternFill>
      </fill>
    </dxf>
    <dxf>
      <fill>
        <patternFill>
          <bgColor rgb="FFFF0000"/>
        </patternFill>
      </fill>
    </dxf>
    <dxf>
      <fill>
        <patternFill>
          <bgColor theme="6"/>
        </patternFill>
      </fill>
    </dxf>
    <dxf>
      <fill>
        <patternFill>
          <bgColor theme="6"/>
        </patternFill>
      </fill>
    </dxf>
    <dxf>
      <fill>
        <patternFill>
          <bgColor rgb="FFFFFF00"/>
        </patternFill>
      </fill>
    </dxf>
    <dxf>
      <fill>
        <patternFill>
          <bgColor rgb="FFFFFF00"/>
        </patternFill>
      </fill>
    </dxf>
    <dxf>
      <border>
        <left style="thin">
          <color rgb="FFFF0000"/>
        </left>
        <vertical/>
        <horizontal/>
      </border>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auto="1"/>
      </font>
      <fill>
        <patternFill>
          <bgColor theme="0"/>
        </patternFill>
      </fill>
    </dxf>
    <dxf>
      <fill>
        <patternFill>
          <bgColor rgb="FF00FF00"/>
        </patternFill>
      </fill>
    </dxf>
    <dxf>
      <fill>
        <patternFill patternType="solid">
          <bgColor rgb="FF00FF00"/>
        </patternFill>
      </fill>
    </dxf>
    <dxf>
      <fill>
        <patternFill>
          <bgColor theme="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rgb="FF00FF00"/>
        </patternFill>
      </fill>
    </dxf>
    <dxf>
      <fill>
        <patternFill>
          <bgColor theme="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rgb="FF00FF00"/>
        </patternFill>
      </fill>
    </dxf>
    <dxf>
      <fill>
        <patternFill>
          <bgColor theme="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rgb="FF00FF00"/>
        </patternFill>
      </fill>
    </dxf>
    <dxf>
      <font>
        <color theme="0"/>
      </font>
      <fill>
        <patternFill>
          <bgColor rgb="FFFF0000"/>
        </patternFill>
      </fill>
    </dxf>
    <dxf>
      <fill>
        <patternFill>
          <bgColor rgb="FFFFFF00"/>
        </patternFill>
      </fill>
    </dxf>
    <dxf>
      <fill>
        <patternFill>
          <bgColor rgb="FFFFFF00"/>
        </patternFill>
      </fill>
    </dxf>
    <dxf>
      <font>
        <b/>
        <i val="0"/>
        <color theme="0"/>
      </font>
      <fill>
        <patternFill>
          <bgColor rgb="FFFF0000"/>
        </patternFill>
      </fill>
    </dxf>
    <dxf>
      <font>
        <b val="0"/>
        <i val="0"/>
        <color theme="1"/>
      </font>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ont>
        <color auto="1"/>
      </font>
      <fill>
        <patternFill>
          <bgColor rgb="FF00FF00"/>
        </patternFill>
      </fill>
    </dxf>
    <dxf>
      <font>
        <color auto="1"/>
      </font>
      <fill>
        <patternFill>
          <bgColor rgb="FFFFFF00"/>
        </patternFill>
      </fill>
    </dxf>
    <dxf>
      <font>
        <color auto="1"/>
      </font>
      <fill>
        <patternFill>
          <bgColor rgb="FFFF0000"/>
        </patternFill>
      </fill>
    </dxf>
    <dxf>
      <font>
        <color auto="1"/>
      </font>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theme="0"/>
        </patternFill>
      </fill>
    </dxf>
    <dxf>
      <fill>
        <patternFill>
          <bgColor rgb="FFFFFF00"/>
        </patternFill>
      </fill>
    </dxf>
    <dxf>
      <fill>
        <patternFill>
          <bgColor rgb="FFFF0000"/>
        </patternFill>
      </fill>
    </dxf>
    <dxf>
      <fill>
        <patternFill>
          <bgColor theme="0"/>
        </patternFill>
      </fill>
    </dxf>
    <dxf>
      <fill>
        <patternFill>
          <bgColor rgb="FF00FF00"/>
        </patternFill>
      </fill>
    </dxf>
    <dxf>
      <fill>
        <patternFill>
          <bgColor rgb="FFFF0000"/>
        </patternFill>
      </fill>
    </dxf>
    <dxf>
      <fill>
        <patternFill>
          <bgColor theme="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theme="0"/>
        </patternFill>
      </fill>
    </dxf>
    <dxf>
      <fill>
        <patternFill>
          <bgColor rgb="FFFF0000"/>
        </patternFill>
      </fill>
    </dxf>
    <dxf>
      <fill>
        <patternFill>
          <bgColor theme="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0"/>
        </patternFill>
      </fill>
    </dxf>
    <dxf>
      <fill>
        <patternFill>
          <bgColor rgb="FF00FF00"/>
        </patternFill>
      </fill>
    </dxf>
    <dxf>
      <fill>
        <patternFill>
          <bgColor rgb="FFFF0000"/>
        </patternFill>
      </fill>
    </dxf>
    <dxf>
      <fill>
        <patternFill>
          <bgColor theme="0"/>
        </patternFill>
      </fill>
    </dxf>
    <dxf>
      <fill>
        <patternFill>
          <bgColor rgb="FFFFFF00"/>
        </patternFill>
      </fill>
    </dxf>
    <dxf>
      <fill>
        <patternFill>
          <bgColor rgb="FF00FF00"/>
        </patternFill>
      </fill>
    </dxf>
    <dxf>
      <fill>
        <patternFill>
          <bgColor theme="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indexed="26"/>
        </patternFill>
      </fill>
    </dxf>
    <dxf>
      <fill>
        <patternFill>
          <bgColor indexed="26"/>
        </patternFill>
      </fill>
    </dxf>
    <dxf>
      <fill>
        <patternFill>
          <bgColor indexed="26"/>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rgb="FF00FF00"/>
        </patternFill>
      </fill>
    </dxf>
    <dxf>
      <fill>
        <patternFill>
          <bgColor theme="0"/>
        </patternFill>
      </fill>
    </dxf>
    <dxf>
      <fill>
        <patternFill>
          <bgColor rgb="FF00FF00"/>
        </patternFill>
      </fill>
    </dxf>
    <dxf>
      <fill>
        <patternFill>
          <bgColor theme="0"/>
        </patternFill>
      </fill>
    </dxf>
    <dxf>
      <font>
        <b/>
        <i val="0"/>
        <color theme="0"/>
      </font>
      <fill>
        <patternFill>
          <bgColor rgb="FFFF0000"/>
        </patternFill>
      </fill>
    </dxf>
    <dxf>
      <fill>
        <patternFill>
          <bgColor rgb="FF00FF00"/>
        </patternFill>
      </fill>
    </dxf>
    <dxf>
      <fill>
        <patternFill>
          <bgColor rgb="FFFFFF00"/>
        </patternFill>
      </fill>
    </dxf>
    <dxf>
      <font>
        <b val="0"/>
        <i val="0"/>
        <color theme="1"/>
      </font>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ont>
        <b/>
        <i val="0"/>
        <color theme="0"/>
      </font>
      <fill>
        <patternFill>
          <bgColor rgb="FFFF0000"/>
        </patternFill>
      </fill>
    </dxf>
    <dxf>
      <fill>
        <patternFill>
          <bgColor rgb="FF00FF00"/>
        </patternFill>
      </fill>
    </dxf>
    <dxf>
      <fill>
        <patternFill>
          <bgColor rgb="FFFFFF00"/>
        </patternFill>
      </fill>
    </dxf>
    <dxf>
      <font>
        <b val="0"/>
        <i val="0"/>
        <color theme="1"/>
      </font>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ont>
        <b/>
        <i val="0"/>
        <color theme="0"/>
      </font>
      <fill>
        <patternFill>
          <bgColor rgb="FFFF0000"/>
        </patternFill>
      </fill>
    </dxf>
    <dxf>
      <fill>
        <patternFill>
          <bgColor rgb="FF00FF00"/>
        </patternFill>
      </fill>
    </dxf>
    <dxf>
      <fill>
        <patternFill>
          <bgColor rgb="FFFFFF00"/>
        </patternFill>
      </fill>
    </dxf>
    <dxf>
      <font>
        <b val="0"/>
        <i val="0"/>
        <color theme="1"/>
      </font>
      <fill>
        <patternFill>
          <bgColor rgb="FFFF0000"/>
        </patternFill>
      </fill>
    </dxf>
    <dxf>
      <fill>
        <patternFill>
          <bgColor rgb="FF00FF00"/>
        </patternFill>
      </fill>
    </dxf>
    <dxf>
      <font>
        <color auto="1"/>
      </font>
      <fill>
        <patternFill>
          <bgColor rgb="FFFFFF00"/>
        </patternFill>
      </fill>
    </dxf>
    <dxf>
      <fill>
        <patternFill>
          <bgColor rgb="FFFF0000"/>
        </patternFill>
      </fill>
    </dxf>
    <dxf>
      <fill>
        <patternFill>
          <bgColor rgb="FF00FF00"/>
        </patternFill>
      </fill>
    </dxf>
    <dxf>
      <font>
        <color auto="1"/>
      </font>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FF0000"/>
        </patternFill>
      </fill>
    </dxf>
    <dxf>
      <fill>
        <patternFill>
          <bgColor rgb="FFFFFF00"/>
        </patternFill>
      </fill>
    </dxf>
    <dxf>
      <fill>
        <patternFill>
          <bgColor rgb="FF00FF00"/>
        </patternFill>
      </fill>
    </dxf>
    <dxf>
      <fill>
        <patternFill>
          <bgColor theme="0"/>
        </patternFill>
      </fill>
    </dxf>
    <dxf>
      <font>
        <color rgb="FFFF0000"/>
      </font>
      <fill>
        <patternFill>
          <bgColor rgb="FFFF0000"/>
        </patternFill>
      </fill>
    </dxf>
    <dxf>
      <font>
        <color rgb="FFFFFF00"/>
      </font>
      <fill>
        <patternFill>
          <bgColor rgb="FFFFFF00"/>
        </patternFill>
      </fill>
    </dxf>
    <dxf>
      <font>
        <strike val="0"/>
        <color rgb="FF00FF00"/>
      </font>
      <fill>
        <patternFill>
          <bgColor rgb="FF00FF00"/>
        </patternFill>
      </fill>
    </dxf>
    <dxf>
      <fill>
        <patternFill>
          <bgColor theme="0" tint="-0.14996795556505021"/>
        </patternFill>
      </fill>
    </dxf>
    <dxf>
      <fill>
        <patternFill>
          <bgColor rgb="FF00FF00"/>
        </patternFill>
      </fill>
    </dxf>
    <dxf>
      <fill>
        <patternFill>
          <bgColor rgb="FFFFFF00"/>
        </patternFill>
      </fill>
    </dxf>
    <dxf>
      <fill>
        <patternFill>
          <bgColor rgb="FFFF0000"/>
        </patternFill>
      </fill>
    </dxf>
    <dxf>
      <fill>
        <patternFill>
          <bgColor theme="0" tint="-0.14996795556505021"/>
        </patternFill>
      </fill>
    </dxf>
    <dxf>
      <fill>
        <patternFill>
          <bgColor rgb="FFFF0000"/>
        </patternFill>
      </fill>
    </dxf>
    <dxf>
      <fill>
        <patternFill>
          <bgColor rgb="FF00FF00"/>
        </patternFill>
      </fill>
    </dxf>
    <dxf>
      <fill>
        <patternFill>
          <bgColor rgb="FFFFFF00"/>
        </patternFill>
      </fill>
    </dxf>
    <dxf>
      <font>
        <color rgb="FFFFFF00"/>
      </font>
      <fill>
        <patternFill>
          <bgColor rgb="FFFFFF00"/>
        </patternFill>
      </fill>
    </dxf>
    <dxf>
      <font>
        <color rgb="FFFF0000"/>
      </font>
      <fill>
        <patternFill>
          <bgColor rgb="FFFF0000"/>
        </patternFill>
      </fill>
    </dxf>
    <dxf>
      <font>
        <strike val="0"/>
        <color rgb="FF00FF00"/>
      </font>
      <fill>
        <patternFill>
          <bgColor rgb="FF00FF00"/>
        </patternFill>
      </fill>
    </dxf>
    <dxf>
      <fill>
        <patternFill>
          <bgColor rgb="FFFF0000"/>
        </patternFill>
      </fill>
    </dxf>
    <dxf>
      <fill>
        <patternFill>
          <bgColor rgb="FFFFFF00"/>
        </patternFill>
      </fill>
    </dxf>
    <dxf>
      <fill>
        <patternFill>
          <bgColor rgb="FF00FF00"/>
        </patternFill>
      </fill>
    </dxf>
    <dxf>
      <fill>
        <patternFill>
          <bgColor theme="0" tint="-0.14996795556505021"/>
        </patternFill>
      </fill>
    </dxf>
    <dxf>
      <fill>
        <patternFill>
          <bgColor rgb="FFFF0000"/>
        </patternFill>
      </fill>
    </dxf>
    <dxf>
      <fill>
        <patternFill>
          <bgColor rgb="FFFFFF00"/>
        </patternFill>
      </fill>
    </dxf>
    <dxf>
      <fill>
        <patternFill>
          <bgColor rgb="FF00FF00"/>
        </patternFill>
      </fill>
    </dxf>
    <dxf>
      <fill>
        <patternFill>
          <bgColor theme="0" tint="-0.14996795556505021"/>
        </patternFill>
      </fill>
    </dxf>
    <dxf>
      <font>
        <color rgb="FFFFFF00"/>
      </font>
      <fill>
        <patternFill>
          <bgColor rgb="FFFFFF00"/>
        </patternFill>
      </fill>
    </dxf>
    <dxf>
      <font>
        <color rgb="FFFF0000"/>
      </font>
      <fill>
        <patternFill>
          <bgColor rgb="FFFF0000"/>
        </patternFill>
      </fill>
    </dxf>
    <dxf>
      <font>
        <strike val="0"/>
        <color rgb="FF00FF00"/>
      </font>
      <fill>
        <patternFill>
          <bgColor rgb="FF00FF00"/>
        </patternFill>
      </fill>
    </dxf>
    <dxf>
      <fill>
        <patternFill>
          <bgColor theme="0" tint="-0.14996795556505021"/>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theme="0" tint="-0.14996795556505021"/>
        </patternFill>
      </fill>
    </dxf>
    <dxf>
      <fill>
        <patternFill>
          <bgColor theme="0" tint="-0.14996795556505021"/>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theme="0" tint="-0.14996795556505021"/>
        </patternFill>
      </fill>
    </dxf>
    <dxf>
      <fill>
        <patternFill>
          <bgColor theme="0"/>
        </patternFill>
      </fill>
    </dxf>
    <dxf>
      <fill>
        <patternFill>
          <bgColor rgb="FF00FF0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theme="0"/>
        </patternFill>
      </fill>
    </dxf>
    <dxf>
      <fill>
        <patternFill>
          <bgColor rgb="FF00FF00"/>
        </patternFill>
      </fill>
    </dxf>
    <dxf>
      <fill>
        <patternFill>
          <bgColor theme="0"/>
        </patternFill>
      </fill>
    </dxf>
    <dxf>
      <fill>
        <patternFill>
          <bgColor rgb="FF00FF00"/>
        </patternFill>
      </fill>
    </dxf>
    <dxf>
      <font>
        <b/>
        <i val="0"/>
        <color theme="0"/>
      </font>
      <fill>
        <patternFill>
          <bgColor rgb="FFFF0000"/>
        </patternFill>
      </fill>
    </dxf>
    <dxf>
      <fill>
        <patternFill>
          <bgColor rgb="FFFFFF00"/>
        </patternFill>
      </fill>
    </dxf>
    <dxf>
      <fill>
        <patternFill>
          <bgColor rgb="FF00FF00"/>
        </patternFill>
      </fill>
    </dxf>
    <dxf>
      <font>
        <b val="0"/>
        <i val="0"/>
        <color theme="1"/>
      </font>
      <fill>
        <patternFill>
          <bgColor rgb="FFFF0000"/>
        </patternFill>
      </fill>
    </dxf>
    <dxf>
      <fill>
        <patternFill>
          <bgColor rgb="FFFF0000"/>
        </patternFill>
      </fill>
    </dxf>
    <dxf>
      <font>
        <color auto="1"/>
      </font>
      <fill>
        <patternFill>
          <bgColor rgb="FFFFFF00"/>
        </patternFill>
      </fill>
    </dxf>
    <dxf>
      <fill>
        <patternFill>
          <bgColor rgb="FF00FF00"/>
        </patternFill>
      </fill>
    </dxf>
    <dxf>
      <font>
        <color auto="1"/>
      </font>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00FF00"/>
        </patternFill>
      </fill>
    </dxf>
    <dxf>
      <font>
        <color auto="1"/>
      </font>
      <fill>
        <patternFill>
          <bgColor rgb="FFFFFF00"/>
        </patternFill>
      </fill>
    </dxf>
    <dxf>
      <fill>
        <patternFill>
          <bgColor rgb="FF00FF00"/>
        </patternFill>
      </fill>
    </dxf>
    <dxf>
      <font>
        <color auto="1"/>
      </font>
      <fill>
        <patternFill>
          <bgColor rgb="FFFFFF00"/>
        </patternFill>
      </fill>
    </dxf>
    <dxf>
      <fill>
        <patternFill>
          <bgColor rgb="FFFF0000"/>
        </patternFill>
      </fill>
    </dxf>
    <dxf>
      <fill>
        <patternFill>
          <bgColor rgb="FFFF0000"/>
        </patternFill>
      </fill>
    </dxf>
    <dxf>
      <font>
        <color auto="1"/>
      </font>
      <fill>
        <patternFill>
          <bgColor rgb="FFFFFF00"/>
        </patternFill>
      </fill>
    </dxf>
    <dxf>
      <fill>
        <patternFill>
          <bgColor rgb="FF00FF00"/>
        </patternFill>
      </fill>
    </dxf>
    <dxf>
      <fill>
        <patternFill>
          <bgColor rgb="FF00FF00"/>
        </patternFill>
      </fill>
    </dxf>
    <dxf>
      <fill>
        <patternFill>
          <bgColor theme="0"/>
        </patternFill>
      </fill>
    </dxf>
    <dxf>
      <fill>
        <patternFill>
          <bgColor rgb="FFFF00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theme="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ill>
        <patternFill>
          <bgColor rgb="FF00FF00"/>
        </patternFill>
      </fill>
    </dxf>
    <dxf>
      <fill>
        <patternFill>
          <bgColor theme="0"/>
        </patternFill>
      </fill>
    </dxf>
    <dxf>
      <font>
        <b/>
        <i val="0"/>
        <color theme="0"/>
      </font>
      <fill>
        <patternFill>
          <bgColor rgb="FFFF0000"/>
        </patternFill>
      </fill>
    </dxf>
    <dxf>
      <fill>
        <patternFill>
          <bgColor rgb="FF00FF00"/>
        </patternFill>
      </fill>
    </dxf>
    <dxf>
      <fill>
        <patternFill>
          <bgColor rgb="FFFFFF00"/>
        </patternFill>
      </fill>
    </dxf>
    <dxf>
      <font>
        <b val="0"/>
        <i val="0"/>
        <color theme="1"/>
      </font>
      <fill>
        <patternFill>
          <bgColor rgb="FFFF0000"/>
        </patternFill>
      </fill>
    </dxf>
    <dxf>
      <fill>
        <patternFill>
          <bgColor rgb="FF00FF00"/>
        </patternFill>
      </fill>
    </dxf>
    <dxf>
      <font>
        <color auto="1"/>
      </font>
      <fill>
        <patternFill>
          <bgColor rgb="FFFFFF00"/>
        </patternFill>
      </fill>
    </dxf>
    <dxf>
      <fill>
        <patternFill>
          <bgColor rgb="FFFF0000"/>
        </patternFill>
      </fill>
    </dxf>
    <dxf>
      <fill>
        <patternFill>
          <bgColor rgb="FF00FF00"/>
        </patternFill>
      </fill>
    </dxf>
    <dxf>
      <font>
        <color auto="1"/>
      </font>
      <fill>
        <patternFill>
          <bgColor rgb="FFFFFF00"/>
        </patternFill>
      </fill>
    </dxf>
    <dxf>
      <fill>
        <patternFill>
          <bgColor rgb="FFFF0000"/>
        </patternFill>
      </fill>
    </dxf>
    <dxf>
      <fill>
        <patternFill>
          <bgColor rgb="FF00FF00"/>
        </patternFill>
      </fill>
    </dxf>
    <dxf>
      <font>
        <color auto="1"/>
      </font>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theme="0"/>
        </patternFill>
      </fill>
    </dxf>
    <dxf>
      <fill>
        <patternFill>
          <bgColor rgb="FF00FF00"/>
        </patternFill>
      </fill>
    </dxf>
    <dxf>
      <fill>
        <patternFill>
          <bgColor rgb="FF00FF00"/>
        </patternFill>
      </fill>
    </dxf>
    <dxf>
      <fill>
        <patternFill>
          <bgColor theme="0"/>
        </patternFill>
      </fill>
    </dxf>
    <dxf>
      <fill>
        <patternFill>
          <bgColor theme="0"/>
        </patternFill>
      </fill>
    </dxf>
    <dxf>
      <fill>
        <patternFill>
          <bgColor rgb="FF00FF00"/>
        </patternFill>
      </fill>
    </dxf>
    <dxf>
      <fill>
        <patternFill>
          <bgColor theme="0"/>
        </patternFill>
      </fill>
    </dxf>
    <dxf>
      <fill>
        <patternFill>
          <bgColor rgb="FF00FF00"/>
        </patternFill>
      </fill>
    </dxf>
    <dxf>
      <font>
        <b/>
        <i val="0"/>
        <color theme="0"/>
      </font>
      <fill>
        <patternFill>
          <bgColor rgb="FFFF0000"/>
        </patternFill>
      </fill>
    </dxf>
    <dxf>
      <fill>
        <patternFill>
          <bgColor rgb="FFFFFF00"/>
        </patternFill>
      </fill>
    </dxf>
    <dxf>
      <font>
        <b val="0"/>
        <i val="0"/>
        <color theme="1"/>
      </font>
      <fill>
        <patternFill>
          <bgColor rgb="FFFF0000"/>
        </patternFill>
      </fill>
    </dxf>
    <dxf>
      <fill>
        <patternFill>
          <bgColor rgb="FF00FF00"/>
        </patternFill>
      </fill>
    </dxf>
    <dxf>
      <fill>
        <patternFill>
          <bgColor rgb="FF00FF00"/>
        </patternFill>
      </fill>
    </dxf>
    <dxf>
      <font>
        <color auto="1"/>
      </font>
      <fill>
        <patternFill>
          <bgColor rgb="FFFFFF00"/>
        </patternFill>
      </fill>
    </dxf>
    <dxf>
      <fill>
        <patternFill>
          <bgColor rgb="FFFF0000"/>
        </patternFill>
      </fill>
    </dxf>
    <dxf>
      <fill>
        <patternFill>
          <bgColor rgb="FF00FF00"/>
        </patternFill>
      </fill>
    </dxf>
    <dxf>
      <font>
        <color auto="1"/>
      </font>
      <fill>
        <patternFill>
          <bgColor rgb="FFFFFF00"/>
        </patternFill>
      </fill>
    </dxf>
    <dxf>
      <fill>
        <patternFill>
          <bgColor rgb="FFFF0000"/>
        </patternFill>
      </fill>
    </dxf>
    <dxf>
      <fill>
        <patternFill>
          <bgColor rgb="FF00FF00"/>
        </patternFill>
      </fill>
    </dxf>
    <dxf>
      <fill>
        <patternFill>
          <bgColor rgb="FFFF0000"/>
        </patternFill>
      </fill>
    </dxf>
    <dxf>
      <font>
        <color auto="1"/>
      </font>
      <fill>
        <patternFill>
          <bgColor rgb="FFFFFF00"/>
        </patternFill>
      </fill>
    </dxf>
    <dxf>
      <fill>
        <patternFill>
          <bgColor rgb="FFFFFF00"/>
        </patternFill>
      </fill>
    </dxf>
    <dxf>
      <fill>
        <patternFill>
          <bgColor rgb="FF00FF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rgb="FFFF0000"/>
        </patternFill>
      </fill>
    </dxf>
    <dxf>
      <fill>
        <patternFill>
          <bgColor rgb="FFFFFF00"/>
        </patternFill>
      </fill>
    </dxf>
    <dxf>
      <fill>
        <patternFill>
          <bgColor rgb="FF00FF00"/>
        </patternFill>
      </fill>
    </dxf>
    <dxf>
      <fill>
        <patternFill>
          <bgColor theme="0"/>
        </patternFill>
      </fill>
    </dxf>
    <dxf>
      <fill>
        <patternFill>
          <bgColor theme="0"/>
        </patternFill>
      </fill>
    </dxf>
    <dxf>
      <fill>
        <patternFill>
          <bgColor rgb="FF00FF00"/>
        </patternFill>
      </fill>
    </dxf>
    <dxf>
      <fill>
        <patternFill>
          <bgColor rgb="FFFFFF00"/>
        </patternFill>
      </fill>
    </dxf>
    <dxf>
      <fill>
        <patternFill>
          <bgColor rgb="FFFF0000"/>
        </patternFill>
      </fill>
    </dxf>
    <dxf>
      <font>
        <color rgb="FF00FF00"/>
      </font>
      <fill>
        <patternFill>
          <bgColor rgb="FF00FF00"/>
        </patternFill>
      </fill>
    </dxf>
    <dxf>
      <font>
        <color rgb="FFFF0000"/>
      </font>
      <fill>
        <patternFill>
          <bgColor rgb="FFFF0000"/>
        </patternFill>
      </fill>
    </dxf>
    <dxf>
      <font>
        <color rgb="FFFFFF00"/>
      </font>
      <fill>
        <patternFill>
          <bgColor rgb="FFFFFF00"/>
        </patternFill>
      </fill>
    </dxf>
    <dxf>
      <fill>
        <patternFill>
          <bgColor rgb="FF00FF00"/>
        </patternFill>
      </fill>
    </dxf>
    <dxf>
      <fill>
        <patternFill>
          <bgColor theme="0" tint="-0.14996795556505021"/>
        </patternFill>
      </fill>
    </dxf>
    <dxf>
      <fill>
        <patternFill>
          <bgColor rgb="FFFFFF00"/>
        </patternFill>
      </fill>
    </dxf>
    <dxf>
      <fill>
        <patternFill>
          <bgColor rgb="FFFF0000"/>
        </patternFill>
      </fill>
    </dxf>
    <dxf>
      <fill>
        <patternFill>
          <bgColor theme="0" tint="-0.14996795556505021"/>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ont>
        <color rgb="FFFF0000"/>
      </font>
      <fill>
        <patternFill>
          <bgColor rgb="FFFF0000"/>
        </patternFill>
      </fill>
    </dxf>
    <dxf>
      <font>
        <color rgb="FFFFFF00"/>
      </font>
      <fill>
        <patternFill>
          <bgColor rgb="FFFFFF00"/>
        </patternFill>
      </fill>
    </dxf>
    <dxf>
      <font>
        <color rgb="FF00FF00"/>
      </font>
      <fill>
        <patternFill>
          <bgColor rgb="FF00FF00"/>
        </patternFill>
      </fill>
    </dxf>
    <dxf>
      <fill>
        <patternFill>
          <bgColor theme="0" tint="-0.14996795556505021"/>
        </patternFill>
      </fill>
    </dxf>
    <dxf>
      <fill>
        <patternFill>
          <bgColor rgb="FF00FF00"/>
        </patternFill>
      </fill>
    </dxf>
    <dxf>
      <fill>
        <patternFill>
          <bgColor rgb="FFFFFF00"/>
        </patternFill>
      </fill>
    </dxf>
    <dxf>
      <fill>
        <patternFill>
          <bgColor rgb="FFFF0000"/>
        </patternFill>
      </fill>
    </dxf>
    <dxf>
      <fill>
        <patternFill>
          <bgColor theme="0" tint="-0.14996795556505021"/>
        </patternFill>
      </fill>
    </dxf>
    <dxf>
      <fill>
        <patternFill>
          <bgColor rgb="FF00FF00"/>
        </patternFill>
      </fill>
    </dxf>
    <dxf>
      <fill>
        <patternFill>
          <bgColor rgb="FFFFFF00"/>
        </patternFill>
      </fill>
    </dxf>
    <dxf>
      <font>
        <color auto="1"/>
      </font>
      <fill>
        <patternFill>
          <bgColor rgb="FFFF0000"/>
        </patternFill>
      </fill>
    </dxf>
    <dxf>
      <font>
        <color rgb="FFFF0000"/>
      </font>
      <fill>
        <patternFill>
          <bgColor rgb="FFFF0000"/>
        </patternFill>
      </fill>
    </dxf>
    <dxf>
      <font>
        <color rgb="FFFFFF00"/>
      </font>
      <fill>
        <patternFill>
          <bgColor rgb="FFFFFF00"/>
        </patternFill>
      </fill>
    </dxf>
    <dxf>
      <font>
        <color rgb="FF00FF00"/>
      </font>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theme="0" tint="-0.14996795556505021"/>
        </patternFill>
      </fill>
    </dxf>
    <dxf>
      <fill>
        <patternFill>
          <bgColor rgb="FF00FF00"/>
        </patternFill>
      </fill>
    </dxf>
    <dxf>
      <fill>
        <patternFill>
          <bgColor rgb="FFFF0000"/>
        </patternFill>
      </fill>
    </dxf>
    <dxf>
      <fill>
        <patternFill>
          <bgColor rgb="FFFFFF00"/>
        </patternFill>
      </fill>
    </dxf>
    <dxf>
      <fill>
        <patternFill>
          <bgColor theme="0" tint="-0.14996795556505021"/>
        </patternFill>
      </fill>
    </dxf>
    <dxf>
      <font>
        <color theme="0"/>
      </font>
      <fill>
        <patternFill>
          <bgColor rgb="FFFF0000"/>
        </patternFill>
      </fill>
    </dxf>
    <dxf>
      <fill>
        <patternFill>
          <bgColor rgb="FFFFFF00"/>
        </patternFill>
      </fill>
    </dxf>
    <dxf>
      <fill>
        <patternFill>
          <bgColor rgb="FF00FF00"/>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F92A8"/>
      <rgbColor rgb="009BB2C4"/>
      <rgbColor rgb="00BECCD9"/>
      <rgbColor rgb="00D5E3EC"/>
      <rgbColor rgb="00080808"/>
      <rgbColor rgb="00808080"/>
      <rgbColor rgb="00C0C0C0"/>
      <rgbColor rgb="00F8F8F8"/>
      <rgbColor rgb="006F92A8"/>
      <rgbColor rgb="009BB2C4"/>
      <rgbColor rgb="00BECCD9"/>
      <rgbColor rgb="00D5E3EC"/>
      <rgbColor rgb="00080808"/>
      <rgbColor rgb="00808080"/>
      <rgbColor rgb="00C0C0C0"/>
      <rgbColor rgb="00F8F8F8"/>
      <rgbColor rgb="0000CCFF"/>
      <rgbColor rgb="00CCFFFF"/>
      <rgbColor rgb="00CCFFCC"/>
      <rgbColor rgb="00FFFFC0"/>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FF"/>
      <color rgb="FFFF9900"/>
      <color rgb="FFFFCC00"/>
      <color rgb="FF66FF33"/>
      <color rgb="FF00FF00"/>
      <color rgb="FF66FF66"/>
      <color rgb="FFD1CC00"/>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Drop" dropStyle="combo" dx="16" fmlaLink="LANGUAGE!$B$2" fmlaRange="LANGUAGE!$D$4:$D$5" sel="2" val="0"/>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Style="combo" dx="16" fmlaLink="LANGUAGE!$B$2" fmlaRange="LANGUAGE!$D$4:$D$5" sel="2" val="0"/>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Drop" dropStyle="combo" dx="16" fmlaLink="LANGUAGE!$B$2" fmlaRange="LANGUAGE!$D$4:$D$5" sel="2" val="0"/>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Drop" dropStyle="combo" dx="16" fmlaLink="LANGUAGE!$B$2" fmlaRange="LANGUAGE!$D$4:$D$5" sel="2" val="0"/>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Drop" dropStyle="combo" dx="16" fmlaLink="LANGUAGE!$B$2" fmlaRange="LANGUAGE!$D$4:$D$5" sel="2" val="0"/>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Drop" dropStyle="combo" dx="16" fmlaLink="LANGUAGE!$B$2" fmlaRange="LANGUAGE!$D$4:$D$5" sel="2" val="0"/>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Drop" dropStyle="combo" dx="16" fmlaLink="LANGUAGE!$B$2" fmlaRange="LANGUAGE!$D$4:$D$5" sel="2" val="0"/>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Drop" dropStyle="combo" dx="16" fmlaLink="LANGUAGE!$B$2" fmlaRange="LANGUAGE!$D$4:$D$5" sel="2" val="0"/>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Drop" dropStyle="combo" dx="16" fmlaLink="LANGUAGE!$B$2" fmlaRange="LANGUAGE!$D$4:$D$5" sel="2" val="0"/>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Drop" dropStyle="combo" dx="16" fmlaLink="LANGUAGE!$B$2" fmlaRange="LANGUAGE!$D$4:$D$5" sel="2" val="0"/>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Link="LANGUAGE!$B$2" fmlaRange="LANGUAGE!$D$4:$D$5" sel="2"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Style="combo" dx="16" fmlaLink="LANGUAGE!$B$2" fmlaRange="LANGUAGE!$D$4:$D$5" sel="2"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Drop" dropStyle="combo" dx="16" fmlaLink="LANGUAGE!$B$2" fmlaRange="LANGUAGE!$D$4:$D$5" sel="2" val="0"/>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Style="combo" dx="16" fmlaLink="LANGUAGE!$B$2" fmlaRange="LANGUAGE!$D$4:$D$5" sel="2"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Drop" dropStyle="combo" dx="16" fmlaLink="LANGUAGE!$B$2" fmlaRange="LANGUAGE!$D$4:$D$5" sel="2" val="0"/>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Drop" dropStyle="combo" dx="16" fmlaLink="LANGUAGE!$B$2" fmlaRange="LANGUAGE!$D$4:$D$5" sel="2" val="0"/>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Style="combo" dx="16" fmlaLink="LANGUAGE!$B$2" fmlaRange="LANGUAGE!$D$4:$D$5" sel="2" val="0"/>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Drop" dropStyle="combo" dx="16" fmlaLink="LANGUAGE!$B$2" fmlaRange="LANGUAGE!$D$4:$D$5" sel="2" val="0"/>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struction!A28"/></Relationships>
</file>

<file path=xl/drawings/_rels/drawing19.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struction!A28"/><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2329732</xdr:colOff>
          <xdr:row>5</xdr:row>
          <xdr:rowOff>63610</xdr:rowOff>
        </xdr:from>
        <xdr:to>
          <xdr:col>4</xdr:col>
          <xdr:colOff>2989690</xdr:colOff>
          <xdr:row>6</xdr:row>
          <xdr:rowOff>95416</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0000-0000016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e-DE" sz="1200" b="1" i="0" u="none" strike="noStrike" baseline="0">
                  <a:solidFill>
                    <a:srgbClr val="000000"/>
                  </a:solidFill>
                  <a:latin typeface="Arial"/>
                  <a:cs typeface="Arial"/>
                </a:rPr>
                <a:t>back</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47111" name="Drop Down 7" hidden="1">
              <a:extLst>
                <a:ext uri="{63B3BB69-23CF-44E3-9099-C40C66FF867C}">
                  <a14:compatExt spid="_x0000_s47111"/>
                </a:ext>
                <a:ext uri="{FF2B5EF4-FFF2-40B4-BE49-F238E27FC236}">
                  <a16:creationId xmlns:a16="http://schemas.microsoft.com/office/drawing/2014/main" id="{00000000-0008-0000-0A00-000007B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 name="AutoShape 288">
          <a:extLst>
            <a:ext uri="{FF2B5EF4-FFF2-40B4-BE49-F238E27FC236}">
              <a16:creationId xmlns:a16="http://schemas.microsoft.com/office/drawing/2014/main" id="{00000000-0008-0000-0A00-000003000000}"/>
            </a:ext>
          </a:extLst>
        </xdr:cNvPr>
        <xdr:cNvSpPr>
          <a:spLocks noChangeArrowheads="1"/>
        </xdr:cNvSpPr>
      </xdr:nvSpPr>
      <xdr:spPr bwMode="auto">
        <a:xfrm>
          <a:off x="7943850" y="154050"/>
          <a:ext cx="4095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48133" name="Drop Down 5" hidden="1">
              <a:extLst>
                <a:ext uri="{63B3BB69-23CF-44E3-9099-C40C66FF867C}">
                  <a14:compatExt spid="_x0000_s48133"/>
                </a:ext>
                <a:ext uri="{FF2B5EF4-FFF2-40B4-BE49-F238E27FC236}">
                  <a16:creationId xmlns:a16="http://schemas.microsoft.com/office/drawing/2014/main" id="{00000000-0008-0000-0B00-000005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 name="AutoShape 288">
          <a:extLst>
            <a:ext uri="{FF2B5EF4-FFF2-40B4-BE49-F238E27FC236}">
              <a16:creationId xmlns:a16="http://schemas.microsoft.com/office/drawing/2014/main" id="{00000000-0008-0000-0B00-000003000000}"/>
            </a:ext>
          </a:extLst>
        </xdr:cNvPr>
        <xdr:cNvSpPr>
          <a:spLocks noChangeArrowheads="1"/>
        </xdr:cNvSpPr>
      </xdr:nvSpPr>
      <xdr:spPr bwMode="auto">
        <a:xfrm>
          <a:off x="7943850" y="154050"/>
          <a:ext cx="4095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254442</xdr:colOff>
          <xdr:row>1</xdr:row>
          <xdr:rowOff>151075</xdr:rowOff>
        </xdr:to>
        <xdr:sp macro="" textlink="">
          <xdr:nvSpPr>
            <xdr:cNvPr id="123905" name="Drop Down 1" hidden="1">
              <a:extLst>
                <a:ext uri="{63B3BB69-23CF-44E3-9099-C40C66FF867C}">
                  <a14:compatExt spid="_x0000_s123905"/>
                </a:ext>
                <a:ext uri="{FF2B5EF4-FFF2-40B4-BE49-F238E27FC236}">
                  <a16:creationId xmlns:a16="http://schemas.microsoft.com/office/drawing/2014/main" id="{00000000-0008-0000-1000-000001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2" name="AutoShape 288">
          <a:extLst>
            <a:ext uri="{FF2B5EF4-FFF2-40B4-BE49-F238E27FC236}">
              <a16:creationId xmlns:a16="http://schemas.microsoft.com/office/drawing/2014/main" id="{00000000-0008-0000-1000-000002000000}"/>
            </a:ext>
          </a:extLst>
        </xdr:cNvPr>
        <xdr:cNvSpPr>
          <a:spLocks noChangeArrowheads="1"/>
        </xdr:cNvSpPr>
      </xdr:nvSpPr>
      <xdr:spPr bwMode="auto">
        <a:xfrm>
          <a:off x="7791450" y="154050"/>
          <a:ext cx="39052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33</xdr:col>
      <xdr:colOff>56030</xdr:colOff>
      <xdr:row>34</xdr:row>
      <xdr:rowOff>190500</xdr:rowOff>
    </xdr:from>
    <xdr:to>
      <xdr:col>36</xdr:col>
      <xdr:colOff>414618</xdr:colOff>
      <xdr:row>36</xdr:row>
      <xdr:rowOff>190499</xdr:rowOff>
    </xdr:to>
    <xdr:sp macro="" textlink="">
      <xdr:nvSpPr>
        <xdr:cNvPr id="3" name="Flussdiagramm: Alternativer Prozess 1">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bwMode="auto">
        <a:xfrm>
          <a:off x="16972430" y="6638925"/>
          <a:ext cx="1577788" cy="419099"/>
        </a:xfrm>
        <a:prstGeom prst="flowChartAlternateProcess">
          <a:avLst/>
        </a:prstGeom>
        <a:ln w="19050">
          <a:headEnd type="none" w="med" len="med"/>
          <a:tailEnd type="triangle" w="med" len="med"/>
        </a:ln>
      </xdr:spPr>
      <xdr:style>
        <a:lnRef idx="1">
          <a:schemeClr val="dk1"/>
        </a:lnRef>
        <a:fillRef idx="2">
          <a:schemeClr val="dk1"/>
        </a:fillRef>
        <a:effectRef idx="1">
          <a:schemeClr val="dk1"/>
        </a:effectRef>
        <a:fontRef idx="minor">
          <a:schemeClr val="dk1"/>
        </a:fontRef>
      </xdr:style>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Kalkulation/ </a:t>
          </a:r>
          <a:endParaRPr kumimoji="0" lang="de-DE" sz="1100" b="1" i="0" u="none" strike="noStrike" cap="none" normalizeH="0" baseline="0">
            <a:ln>
              <a:noFill/>
            </a:ln>
            <a:solidFill>
              <a:schemeClr val="tx1"/>
            </a:solidFill>
            <a:effectLst/>
            <a:latin typeface="Univers" pitchFamily="34" charset="0"/>
          </a:endParaRPr>
        </a:p>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Calculation</a:t>
          </a:r>
        </a:p>
      </xdr:txBody>
    </xdr:sp>
    <xdr:clientData/>
  </xdr:twoCellAnchor>
  <xdr:twoCellAnchor editAs="oneCell">
    <xdr:from>
      <xdr:col>33</xdr:col>
      <xdr:colOff>112057</xdr:colOff>
      <xdr:row>35</xdr:row>
      <xdr:rowOff>67236</xdr:rowOff>
    </xdr:from>
    <xdr:to>
      <xdr:col>34</xdr:col>
      <xdr:colOff>1680</xdr:colOff>
      <xdr:row>36</xdr:row>
      <xdr:rowOff>120726</xdr:rowOff>
    </xdr:to>
    <xdr:pic>
      <xdr:nvPicPr>
        <xdr:cNvPr id="4" name="Grafik 2" descr="Kostenlose Vektorgrafik: Zeichen, &lt;strong&gt;Info&lt;/strong&gt;, Informationen ...">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28457" y="6715686"/>
          <a:ext cx="299198" cy="27510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62</xdr:col>
      <xdr:colOff>1325</xdr:colOff>
      <xdr:row>3</xdr:row>
      <xdr:rowOff>47625</xdr:rowOff>
    </xdr:from>
    <xdr:to>
      <xdr:col>63</xdr:col>
      <xdr:colOff>77525</xdr:colOff>
      <xdr:row>3</xdr:row>
      <xdr:rowOff>133350</xdr:rowOff>
    </xdr:to>
    <xdr:sp macro="" textlink="">
      <xdr:nvSpPr>
        <xdr:cNvPr id="2" name="Rectangle 1">
          <a:extLst>
            <a:ext uri="{FF2B5EF4-FFF2-40B4-BE49-F238E27FC236}">
              <a16:creationId xmlns:a16="http://schemas.microsoft.com/office/drawing/2014/main" id="{00000000-0008-0000-1200-000002000000}"/>
            </a:ext>
          </a:extLst>
        </xdr:cNvPr>
        <xdr:cNvSpPr>
          <a:spLocks noChangeArrowheads="1"/>
        </xdr:cNvSpPr>
      </xdr:nvSpPr>
      <xdr:spPr bwMode="auto">
        <a:xfrm>
          <a:off x="14117375" y="800100"/>
          <a:ext cx="266700" cy="85725"/>
        </a:xfrm>
        <a:prstGeom prst="rect">
          <a:avLst/>
        </a:prstGeom>
        <a:solidFill>
          <a:srgbClr val="00B0F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62</xdr:col>
      <xdr:colOff>1325</xdr:colOff>
      <xdr:row>5</xdr:row>
      <xdr:rowOff>47625</xdr:rowOff>
    </xdr:from>
    <xdr:to>
      <xdr:col>63</xdr:col>
      <xdr:colOff>77525</xdr:colOff>
      <xdr:row>5</xdr:row>
      <xdr:rowOff>133350</xdr:rowOff>
    </xdr:to>
    <xdr:sp macro="" textlink="">
      <xdr:nvSpPr>
        <xdr:cNvPr id="3" name="Rectangle 2">
          <a:extLst>
            <a:ext uri="{FF2B5EF4-FFF2-40B4-BE49-F238E27FC236}">
              <a16:creationId xmlns:a16="http://schemas.microsoft.com/office/drawing/2014/main" id="{00000000-0008-0000-1200-000003000000}"/>
            </a:ext>
          </a:extLst>
        </xdr:cNvPr>
        <xdr:cNvSpPr>
          <a:spLocks noChangeArrowheads="1"/>
        </xdr:cNvSpPr>
      </xdr:nvSpPr>
      <xdr:spPr bwMode="auto">
        <a:xfrm>
          <a:off x="14117375" y="1076325"/>
          <a:ext cx="266700" cy="85725"/>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61</xdr:col>
      <xdr:colOff>188463</xdr:colOff>
      <xdr:row>7</xdr:row>
      <xdr:rowOff>90210</xdr:rowOff>
    </xdr:from>
    <xdr:to>
      <xdr:col>63</xdr:col>
      <xdr:colOff>74163</xdr:colOff>
      <xdr:row>7</xdr:row>
      <xdr:rowOff>175935</xdr:rowOff>
    </xdr:to>
    <xdr:sp macro="" textlink="">
      <xdr:nvSpPr>
        <xdr:cNvPr id="4" name="Rectangle 2">
          <a:extLst>
            <a:ext uri="{FF2B5EF4-FFF2-40B4-BE49-F238E27FC236}">
              <a16:creationId xmlns:a16="http://schemas.microsoft.com/office/drawing/2014/main" id="{00000000-0008-0000-1200-000004000000}"/>
            </a:ext>
          </a:extLst>
        </xdr:cNvPr>
        <xdr:cNvSpPr>
          <a:spLocks noChangeArrowheads="1"/>
        </xdr:cNvSpPr>
      </xdr:nvSpPr>
      <xdr:spPr bwMode="auto">
        <a:xfrm>
          <a:off x="14114013" y="1357035"/>
          <a:ext cx="266700" cy="85725"/>
        </a:xfrm>
        <a:prstGeom prst="rect">
          <a:avLst/>
        </a:prstGeom>
        <a:solidFill>
          <a:srgbClr val="92D05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62</xdr:col>
      <xdr:colOff>1325</xdr:colOff>
      <xdr:row>3</xdr:row>
      <xdr:rowOff>47625</xdr:rowOff>
    </xdr:from>
    <xdr:to>
      <xdr:col>63</xdr:col>
      <xdr:colOff>77525</xdr:colOff>
      <xdr:row>3</xdr:row>
      <xdr:rowOff>133350</xdr:rowOff>
    </xdr:to>
    <xdr:sp macro="" textlink="">
      <xdr:nvSpPr>
        <xdr:cNvPr id="5" name="Rectangle 1">
          <a:extLst>
            <a:ext uri="{FF2B5EF4-FFF2-40B4-BE49-F238E27FC236}">
              <a16:creationId xmlns:a16="http://schemas.microsoft.com/office/drawing/2014/main" id="{00000000-0008-0000-1200-000005000000}"/>
            </a:ext>
          </a:extLst>
        </xdr:cNvPr>
        <xdr:cNvSpPr>
          <a:spLocks noChangeArrowheads="1"/>
        </xdr:cNvSpPr>
      </xdr:nvSpPr>
      <xdr:spPr bwMode="auto">
        <a:xfrm>
          <a:off x="14117375" y="800100"/>
          <a:ext cx="266700" cy="85725"/>
        </a:xfrm>
        <a:prstGeom prst="rect">
          <a:avLst/>
        </a:prstGeom>
        <a:solidFill>
          <a:srgbClr val="00B0F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62</xdr:col>
      <xdr:colOff>1325</xdr:colOff>
      <xdr:row>5</xdr:row>
      <xdr:rowOff>47625</xdr:rowOff>
    </xdr:from>
    <xdr:to>
      <xdr:col>63</xdr:col>
      <xdr:colOff>77525</xdr:colOff>
      <xdr:row>5</xdr:row>
      <xdr:rowOff>133350</xdr:rowOff>
    </xdr:to>
    <xdr:sp macro="" textlink="">
      <xdr:nvSpPr>
        <xdr:cNvPr id="6" name="Rectangle 2">
          <a:extLst>
            <a:ext uri="{FF2B5EF4-FFF2-40B4-BE49-F238E27FC236}">
              <a16:creationId xmlns:a16="http://schemas.microsoft.com/office/drawing/2014/main" id="{00000000-0008-0000-1200-000006000000}"/>
            </a:ext>
          </a:extLst>
        </xdr:cNvPr>
        <xdr:cNvSpPr>
          <a:spLocks noChangeArrowheads="1"/>
        </xdr:cNvSpPr>
      </xdr:nvSpPr>
      <xdr:spPr bwMode="auto">
        <a:xfrm>
          <a:off x="14117375" y="1076325"/>
          <a:ext cx="266700" cy="85725"/>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61</xdr:col>
      <xdr:colOff>188463</xdr:colOff>
      <xdr:row>7</xdr:row>
      <xdr:rowOff>90210</xdr:rowOff>
    </xdr:from>
    <xdr:to>
      <xdr:col>63</xdr:col>
      <xdr:colOff>74163</xdr:colOff>
      <xdr:row>7</xdr:row>
      <xdr:rowOff>175935</xdr:rowOff>
    </xdr:to>
    <xdr:sp macro="" textlink="">
      <xdr:nvSpPr>
        <xdr:cNvPr id="7" name="Rectangle 2">
          <a:extLst>
            <a:ext uri="{FF2B5EF4-FFF2-40B4-BE49-F238E27FC236}">
              <a16:creationId xmlns:a16="http://schemas.microsoft.com/office/drawing/2014/main" id="{00000000-0008-0000-1200-000007000000}"/>
            </a:ext>
          </a:extLst>
        </xdr:cNvPr>
        <xdr:cNvSpPr>
          <a:spLocks noChangeArrowheads="1"/>
        </xdr:cNvSpPr>
      </xdr:nvSpPr>
      <xdr:spPr bwMode="auto">
        <a:xfrm>
          <a:off x="14114013" y="1357035"/>
          <a:ext cx="266700" cy="85725"/>
        </a:xfrm>
        <a:prstGeom prst="rect">
          <a:avLst/>
        </a:prstGeom>
        <a:solidFill>
          <a:srgbClr val="92D05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70</xdr:col>
      <xdr:colOff>431347</xdr:colOff>
      <xdr:row>3</xdr:row>
      <xdr:rowOff>19050</xdr:rowOff>
    </xdr:from>
    <xdr:to>
      <xdr:col>80</xdr:col>
      <xdr:colOff>126547</xdr:colOff>
      <xdr:row>7</xdr:row>
      <xdr:rowOff>114300</xdr:rowOff>
    </xdr:to>
    <xdr:sp macro="" textlink="">
      <xdr:nvSpPr>
        <xdr:cNvPr id="8" name="Rechteckige Legende 7">
          <a:extLst>
            <a:ext uri="{FF2B5EF4-FFF2-40B4-BE49-F238E27FC236}">
              <a16:creationId xmlns:a16="http://schemas.microsoft.com/office/drawing/2014/main" id="{00000000-0008-0000-1200-000008000000}"/>
            </a:ext>
          </a:extLst>
        </xdr:cNvPr>
        <xdr:cNvSpPr/>
      </xdr:nvSpPr>
      <xdr:spPr>
        <a:xfrm>
          <a:off x="18300247" y="771525"/>
          <a:ext cx="6867525" cy="609600"/>
        </a:xfrm>
        <a:prstGeom prst="wedgeRectCallout">
          <a:avLst>
            <a:gd name="adj1" fmla="val -20451"/>
            <a:gd name="adj2" fmla="val -487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 </a:t>
          </a:r>
          <a:r>
            <a:rPr lang="de-DE" sz="1100" baseline="0"/>
            <a:t>Bei jeder Bewertung ist das </a:t>
          </a:r>
          <a:r>
            <a:rPr lang="de-DE" sz="1100" baseline="0">
              <a:solidFill>
                <a:schemeClr val="lt1"/>
              </a:solidFill>
              <a:effectLst/>
              <a:latin typeface="+mn-lt"/>
              <a:ea typeface="+mn-ea"/>
              <a:cs typeface="+mn-cs"/>
            </a:rPr>
            <a:t>aktuellen</a:t>
          </a:r>
          <a:r>
            <a:rPr lang="de-DE" sz="1100" baseline="0"/>
            <a:t> Datum zum "Stand/Bewertung vom" einzutragen</a:t>
          </a:r>
        </a:p>
        <a:p>
          <a:pPr algn="l"/>
          <a:r>
            <a:rPr lang="de-DE" sz="1100" baseline="0"/>
            <a:t>- Falls eine gedruckte Version notwendig ist, ist diese zu unterschreiben.</a:t>
          </a:r>
        </a:p>
        <a:p>
          <a:pPr algn="l"/>
          <a:endParaRPr lang="de-DE" sz="1100"/>
        </a:p>
      </xdr:txBody>
    </xdr:sp>
    <xdr:clientData/>
  </xdr:twoCellAnchor>
  <xdr:twoCellAnchor>
    <xdr:from>
      <xdr:col>70</xdr:col>
      <xdr:colOff>432707</xdr:colOff>
      <xdr:row>7</xdr:row>
      <xdr:rowOff>149679</xdr:rowOff>
    </xdr:from>
    <xdr:to>
      <xdr:col>80</xdr:col>
      <xdr:colOff>104775</xdr:colOff>
      <xdr:row>18</xdr:row>
      <xdr:rowOff>201706</xdr:rowOff>
    </xdr:to>
    <xdr:sp macro="" textlink="">
      <xdr:nvSpPr>
        <xdr:cNvPr id="9" name="Rechteckige Legende 8">
          <a:extLst>
            <a:ext uri="{FF2B5EF4-FFF2-40B4-BE49-F238E27FC236}">
              <a16:creationId xmlns:a16="http://schemas.microsoft.com/office/drawing/2014/main" id="{00000000-0008-0000-1200-000009000000}"/>
            </a:ext>
          </a:extLst>
        </xdr:cNvPr>
        <xdr:cNvSpPr/>
      </xdr:nvSpPr>
      <xdr:spPr>
        <a:xfrm>
          <a:off x="18025942" y="1404738"/>
          <a:ext cx="6843833" cy="1632056"/>
        </a:xfrm>
        <a:prstGeom prst="wedgeRectCallout">
          <a:avLst>
            <a:gd name="adj1" fmla="val 49285"/>
            <a:gd name="adj2" fmla="val -1454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a:t>Planung</a:t>
          </a:r>
          <a:r>
            <a:rPr lang="de-DE" sz="1100" baseline="0"/>
            <a:t> SOLL-Datum:</a:t>
          </a:r>
        </a:p>
        <a:p>
          <a:pPr algn="l"/>
          <a:r>
            <a:rPr lang="de-DE" sz="1100" baseline="0"/>
            <a:t>- Bei der Planung des SOLL-Status, ist einmalig zum Projektstart das geplante  Start- und Enddatum einzutragen. </a:t>
          </a:r>
        </a:p>
        <a:p>
          <a:pPr algn="l"/>
          <a:r>
            <a:rPr lang="de-DE" sz="1100" baseline="0"/>
            <a:t>Status IST-Datum:</a:t>
          </a:r>
        </a:p>
        <a:p>
          <a:pPr algn="l"/>
          <a:r>
            <a:rPr lang="de-DE" sz="1100" baseline="0"/>
            <a:t>- Wenn eine Aktivität gestartet wurde, ist das Datum des Beginns als Start-Datum einzutragen.</a:t>
          </a:r>
        </a:p>
        <a:p>
          <a:pPr algn="l"/>
          <a:r>
            <a:rPr lang="de-DE" sz="1100" baseline="0"/>
            <a:t>- Bei der Aktualisierung des IST-Standes, ist das aktuelle Datum in die Spalte "Status-Datum" einzutragen. Solange eine Aktivität nicht abgeschlossen sit, so darf kein End-Datum eingetragen werden. </a:t>
          </a:r>
        </a:p>
        <a:p>
          <a:pPr algn="l"/>
          <a:r>
            <a:rPr lang="de-DE" sz="1100" baseline="0"/>
            <a:t>- Ist eine Aktivität beendet, so muss das End-Datum eingetragen sein. </a:t>
          </a:r>
        </a:p>
        <a:p>
          <a:pPr algn="l"/>
          <a:endParaRPr lang="de-DE" sz="1100" baseline="0"/>
        </a:p>
      </xdr:txBody>
    </xdr:sp>
    <xdr:clientData/>
  </xdr:twoCellAnchor>
  <xdr:twoCellAnchor>
    <xdr:from>
      <xdr:col>28</xdr:col>
      <xdr:colOff>27214</xdr:colOff>
      <xdr:row>9</xdr:row>
      <xdr:rowOff>27214</xdr:rowOff>
    </xdr:from>
    <xdr:to>
      <xdr:col>28</xdr:col>
      <xdr:colOff>149679</xdr:colOff>
      <xdr:row>9</xdr:row>
      <xdr:rowOff>176892</xdr:rowOff>
    </xdr:to>
    <xdr:sp macro="" textlink="">
      <xdr:nvSpPr>
        <xdr:cNvPr id="10" name="Pfeil nach unten 9">
          <a:extLst>
            <a:ext uri="{FF2B5EF4-FFF2-40B4-BE49-F238E27FC236}">
              <a16:creationId xmlns:a16="http://schemas.microsoft.com/office/drawing/2014/main" id="{00000000-0008-0000-1200-00000A000000}"/>
            </a:ext>
          </a:extLst>
        </xdr:cNvPr>
        <xdr:cNvSpPr/>
      </xdr:nvSpPr>
      <xdr:spPr bwMode="auto">
        <a:xfrm>
          <a:off x="7647214" y="1564821"/>
          <a:ext cx="122465" cy="149678"/>
        </a:xfrm>
        <a:prstGeom prst="downArrow">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108917</xdr:colOff>
      <xdr:row>0</xdr:row>
      <xdr:rowOff>126717</xdr:rowOff>
    </xdr:from>
    <xdr:to>
      <xdr:col>11</xdr:col>
      <xdr:colOff>175172</xdr:colOff>
      <xdr:row>1</xdr:row>
      <xdr:rowOff>47210</xdr:rowOff>
    </xdr:to>
    <xdr:sp macro="" textlink="">
      <xdr:nvSpPr>
        <xdr:cNvPr id="2" name="AutoShape 288">
          <a:extLst>
            <a:ext uri="{FF2B5EF4-FFF2-40B4-BE49-F238E27FC236}">
              <a16:creationId xmlns:a16="http://schemas.microsoft.com/office/drawing/2014/main" id="{00000000-0008-0000-1300-000002000000}"/>
            </a:ext>
          </a:extLst>
        </xdr:cNvPr>
        <xdr:cNvSpPr>
          <a:spLocks noChangeArrowheads="1"/>
        </xdr:cNvSpPr>
      </xdr:nvSpPr>
      <xdr:spPr bwMode="auto">
        <a:xfrm>
          <a:off x="4395167" y="126717"/>
          <a:ext cx="494880" cy="139568"/>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11</xdr:col>
          <xdr:colOff>230588</xdr:colOff>
          <xdr:row>0</xdr:row>
          <xdr:rowOff>55659</xdr:rowOff>
        </xdr:from>
        <xdr:to>
          <xdr:col>15</xdr:col>
          <xdr:colOff>0</xdr:colOff>
          <xdr:row>1</xdr:row>
          <xdr:rowOff>143123</xdr:rowOff>
        </xdr:to>
        <xdr:sp macro="" textlink="">
          <xdr:nvSpPr>
            <xdr:cNvPr id="88065" name="Drop Down 1" hidden="1">
              <a:extLst>
                <a:ext uri="{63B3BB69-23CF-44E3-9099-C40C66FF867C}">
                  <a14:compatExt spid="_x0000_s88065"/>
                </a:ext>
                <a:ext uri="{FF2B5EF4-FFF2-40B4-BE49-F238E27FC236}">
                  <a16:creationId xmlns:a16="http://schemas.microsoft.com/office/drawing/2014/main" id="{00000000-0008-0000-1300-0000015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42</xdr:col>
      <xdr:colOff>62229</xdr:colOff>
      <xdr:row>10</xdr:row>
      <xdr:rowOff>47625</xdr:rowOff>
    </xdr:from>
    <xdr:to>
      <xdr:col>43</xdr:col>
      <xdr:colOff>138429</xdr:colOff>
      <xdr:row>10</xdr:row>
      <xdr:rowOff>133350</xdr:rowOff>
    </xdr:to>
    <xdr:sp macro="" textlink="">
      <xdr:nvSpPr>
        <xdr:cNvPr id="8" name="Rectangle 1">
          <a:extLst>
            <a:ext uri="{FF2B5EF4-FFF2-40B4-BE49-F238E27FC236}">
              <a16:creationId xmlns:a16="http://schemas.microsoft.com/office/drawing/2014/main" id="{00000000-0008-0000-1400-000008000000}"/>
            </a:ext>
          </a:extLst>
        </xdr:cNvPr>
        <xdr:cNvSpPr>
          <a:spLocks noChangeArrowheads="1"/>
        </xdr:cNvSpPr>
      </xdr:nvSpPr>
      <xdr:spPr bwMode="auto">
        <a:xfrm>
          <a:off x="14054454" y="542925"/>
          <a:ext cx="266700" cy="85725"/>
        </a:xfrm>
        <a:prstGeom prst="rect">
          <a:avLst/>
        </a:prstGeom>
        <a:solidFill>
          <a:srgbClr val="00B0F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42</xdr:col>
      <xdr:colOff>62229</xdr:colOff>
      <xdr:row>11</xdr:row>
      <xdr:rowOff>47625</xdr:rowOff>
    </xdr:from>
    <xdr:to>
      <xdr:col>43</xdr:col>
      <xdr:colOff>138429</xdr:colOff>
      <xdr:row>11</xdr:row>
      <xdr:rowOff>133350</xdr:rowOff>
    </xdr:to>
    <xdr:sp macro="" textlink="">
      <xdr:nvSpPr>
        <xdr:cNvPr id="9" name="Rectangle 2">
          <a:extLst>
            <a:ext uri="{FF2B5EF4-FFF2-40B4-BE49-F238E27FC236}">
              <a16:creationId xmlns:a16="http://schemas.microsoft.com/office/drawing/2014/main" id="{00000000-0008-0000-1400-000009000000}"/>
            </a:ext>
          </a:extLst>
        </xdr:cNvPr>
        <xdr:cNvSpPr>
          <a:spLocks noChangeArrowheads="1"/>
        </xdr:cNvSpPr>
      </xdr:nvSpPr>
      <xdr:spPr bwMode="auto">
        <a:xfrm>
          <a:off x="14054454" y="819150"/>
          <a:ext cx="266700" cy="85725"/>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42</xdr:col>
      <xdr:colOff>58867</xdr:colOff>
      <xdr:row>12</xdr:row>
      <xdr:rowOff>90210</xdr:rowOff>
    </xdr:from>
    <xdr:to>
      <xdr:col>43</xdr:col>
      <xdr:colOff>135067</xdr:colOff>
      <xdr:row>12</xdr:row>
      <xdr:rowOff>175935</xdr:rowOff>
    </xdr:to>
    <xdr:sp macro="" textlink="">
      <xdr:nvSpPr>
        <xdr:cNvPr id="10" name="Rectangle 2">
          <a:extLst>
            <a:ext uri="{FF2B5EF4-FFF2-40B4-BE49-F238E27FC236}">
              <a16:creationId xmlns:a16="http://schemas.microsoft.com/office/drawing/2014/main" id="{00000000-0008-0000-1400-00000A000000}"/>
            </a:ext>
          </a:extLst>
        </xdr:cNvPr>
        <xdr:cNvSpPr>
          <a:spLocks noChangeArrowheads="1"/>
        </xdr:cNvSpPr>
      </xdr:nvSpPr>
      <xdr:spPr bwMode="auto">
        <a:xfrm>
          <a:off x="14051092" y="1099860"/>
          <a:ext cx="266700" cy="85725"/>
        </a:xfrm>
        <a:prstGeom prst="rect">
          <a:avLst/>
        </a:prstGeom>
        <a:solidFill>
          <a:srgbClr val="92D05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42</xdr:col>
      <xdr:colOff>62229</xdr:colOff>
      <xdr:row>10</xdr:row>
      <xdr:rowOff>47625</xdr:rowOff>
    </xdr:from>
    <xdr:to>
      <xdr:col>43</xdr:col>
      <xdr:colOff>138429</xdr:colOff>
      <xdr:row>10</xdr:row>
      <xdr:rowOff>133350</xdr:rowOff>
    </xdr:to>
    <xdr:sp macro="" textlink="">
      <xdr:nvSpPr>
        <xdr:cNvPr id="11" name="Rectangle 1">
          <a:extLst>
            <a:ext uri="{FF2B5EF4-FFF2-40B4-BE49-F238E27FC236}">
              <a16:creationId xmlns:a16="http://schemas.microsoft.com/office/drawing/2014/main" id="{00000000-0008-0000-1400-00000B000000}"/>
            </a:ext>
          </a:extLst>
        </xdr:cNvPr>
        <xdr:cNvSpPr>
          <a:spLocks noChangeArrowheads="1"/>
        </xdr:cNvSpPr>
      </xdr:nvSpPr>
      <xdr:spPr bwMode="auto">
        <a:xfrm>
          <a:off x="14181641" y="1246654"/>
          <a:ext cx="266700" cy="85725"/>
        </a:xfrm>
        <a:prstGeom prst="rect">
          <a:avLst/>
        </a:prstGeom>
        <a:solidFill>
          <a:srgbClr val="00B0F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42</xdr:col>
      <xdr:colOff>62229</xdr:colOff>
      <xdr:row>11</xdr:row>
      <xdr:rowOff>47625</xdr:rowOff>
    </xdr:from>
    <xdr:to>
      <xdr:col>43</xdr:col>
      <xdr:colOff>138429</xdr:colOff>
      <xdr:row>11</xdr:row>
      <xdr:rowOff>133350</xdr:rowOff>
    </xdr:to>
    <xdr:sp macro="" textlink="">
      <xdr:nvSpPr>
        <xdr:cNvPr id="12" name="Rectangle 2">
          <a:extLst>
            <a:ext uri="{FF2B5EF4-FFF2-40B4-BE49-F238E27FC236}">
              <a16:creationId xmlns:a16="http://schemas.microsoft.com/office/drawing/2014/main" id="{00000000-0008-0000-1400-00000C000000}"/>
            </a:ext>
          </a:extLst>
        </xdr:cNvPr>
        <xdr:cNvSpPr>
          <a:spLocks noChangeArrowheads="1"/>
        </xdr:cNvSpPr>
      </xdr:nvSpPr>
      <xdr:spPr bwMode="auto">
        <a:xfrm>
          <a:off x="14054454" y="819150"/>
          <a:ext cx="266700" cy="85725"/>
        </a:xfrm>
        <a:prstGeom prst="rect">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42</xdr:col>
      <xdr:colOff>58867</xdr:colOff>
      <xdr:row>12</xdr:row>
      <xdr:rowOff>90210</xdr:rowOff>
    </xdr:from>
    <xdr:to>
      <xdr:col>43</xdr:col>
      <xdr:colOff>135067</xdr:colOff>
      <xdr:row>12</xdr:row>
      <xdr:rowOff>175935</xdr:rowOff>
    </xdr:to>
    <xdr:sp macro="" textlink="">
      <xdr:nvSpPr>
        <xdr:cNvPr id="13" name="Rectangle 2">
          <a:extLst>
            <a:ext uri="{FF2B5EF4-FFF2-40B4-BE49-F238E27FC236}">
              <a16:creationId xmlns:a16="http://schemas.microsoft.com/office/drawing/2014/main" id="{00000000-0008-0000-1400-00000D000000}"/>
            </a:ext>
          </a:extLst>
        </xdr:cNvPr>
        <xdr:cNvSpPr>
          <a:spLocks noChangeArrowheads="1"/>
        </xdr:cNvSpPr>
      </xdr:nvSpPr>
      <xdr:spPr bwMode="auto">
        <a:xfrm>
          <a:off x="10364917" y="2719110"/>
          <a:ext cx="266700" cy="85725"/>
        </a:xfrm>
        <a:prstGeom prst="rect">
          <a:avLst/>
        </a:prstGeom>
        <a:solidFill>
          <a:srgbClr val="92D05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20</xdr:col>
          <xdr:colOff>79513</xdr:colOff>
          <xdr:row>0</xdr:row>
          <xdr:rowOff>63610</xdr:rowOff>
        </xdr:from>
        <xdr:to>
          <xdr:col>28</xdr:col>
          <xdr:colOff>15903</xdr:colOff>
          <xdr:row>1</xdr:row>
          <xdr:rowOff>143123</xdr:rowOff>
        </xdr:to>
        <xdr:sp macro="" textlink="">
          <xdr:nvSpPr>
            <xdr:cNvPr id="56321" name="Drop Down 1" hidden="1">
              <a:extLst>
                <a:ext uri="{63B3BB69-23CF-44E3-9099-C40C66FF867C}">
                  <a14:compatExt spid="_x0000_s56321"/>
                </a:ext>
                <a:ext uri="{FF2B5EF4-FFF2-40B4-BE49-F238E27FC236}">
                  <a16:creationId xmlns:a16="http://schemas.microsoft.com/office/drawing/2014/main" id="{00000000-0008-0000-1400-000001D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99392</xdr:colOff>
      <xdr:row>0</xdr:row>
      <xdr:rowOff>145767</xdr:rowOff>
    </xdr:from>
    <xdr:to>
      <xdr:col>19</xdr:col>
      <xdr:colOff>165647</xdr:colOff>
      <xdr:row>1</xdr:row>
      <xdr:rowOff>66260</xdr:rowOff>
    </xdr:to>
    <xdr:sp macro="" textlink="">
      <xdr:nvSpPr>
        <xdr:cNvPr id="15" name="AutoShape 288">
          <a:extLst>
            <a:ext uri="{FF2B5EF4-FFF2-40B4-BE49-F238E27FC236}">
              <a16:creationId xmlns:a16="http://schemas.microsoft.com/office/drawing/2014/main" id="{00000000-0008-0000-1400-00000F000000}"/>
            </a:ext>
          </a:extLst>
        </xdr:cNvPr>
        <xdr:cNvSpPr>
          <a:spLocks noChangeArrowheads="1"/>
        </xdr:cNvSpPr>
      </xdr:nvSpPr>
      <xdr:spPr bwMode="auto">
        <a:xfrm>
          <a:off x="5830957" y="849789"/>
          <a:ext cx="256755" cy="135841"/>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341906</xdr:colOff>
          <xdr:row>25</xdr:row>
          <xdr:rowOff>135172</xdr:rowOff>
        </xdr:from>
        <xdr:to>
          <xdr:col>17</xdr:col>
          <xdr:colOff>79513</xdr:colOff>
          <xdr:row>25</xdr:row>
          <xdr:rowOff>333955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15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143123</xdr:colOff>
          <xdr:row>8</xdr:row>
          <xdr:rowOff>31805</xdr:rowOff>
        </xdr:from>
        <xdr:to>
          <xdr:col>10</xdr:col>
          <xdr:colOff>0</xdr:colOff>
          <xdr:row>8</xdr:row>
          <xdr:rowOff>246490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15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143123</xdr:colOff>
          <xdr:row>8</xdr:row>
          <xdr:rowOff>31805</xdr:rowOff>
        </xdr:from>
        <xdr:to>
          <xdr:col>12</xdr:col>
          <xdr:colOff>15903</xdr:colOff>
          <xdr:row>8</xdr:row>
          <xdr:rowOff>246490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15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103367</xdr:colOff>
          <xdr:row>8</xdr:row>
          <xdr:rowOff>31805</xdr:rowOff>
        </xdr:from>
        <xdr:to>
          <xdr:col>14</xdr:col>
          <xdr:colOff>7951</xdr:colOff>
          <xdr:row>8</xdr:row>
          <xdr:rowOff>246490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15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333955</xdr:colOff>
          <xdr:row>25</xdr:row>
          <xdr:rowOff>135172</xdr:rowOff>
        </xdr:from>
        <xdr:to>
          <xdr:col>19</xdr:col>
          <xdr:colOff>79513</xdr:colOff>
          <xdr:row>25</xdr:row>
          <xdr:rowOff>333955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15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365760</xdr:colOff>
          <xdr:row>25</xdr:row>
          <xdr:rowOff>135172</xdr:rowOff>
        </xdr:from>
        <xdr:to>
          <xdr:col>15</xdr:col>
          <xdr:colOff>103367</xdr:colOff>
          <xdr:row>25</xdr:row>
          <xdr:rowOff>333955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15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341906</xdr:colOff>
          <xdr:row>25</xdr:row>
          <xdr:rowOff>135172</xdr:rowOff>
        </xdr:from>
        <xdr:to>
          <xdr:col>23</xdr:col>
          <xdr:colOff>79513</xdr:colOff>
          <xdr:row>25</xdr:row>
          <xdr:rowOff>333955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15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333955</xdr:colOff>
          <xdr:row>25</xdr:row>
          <xdr:rowOff>135172</xdr:rowOff>
        </xdr:from>
        <xdr:to>
          <xdr:col>25</xdr:col>
          <xdr:colOff>79513</xdr:colOff>
          <xdr:row>25</xdr:row>
          <xdr:rowOff>333955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15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365760</xdr:colOff>
          <xdr:row>25</xdr:row>
          <xdr:rowOff>135172</xdr:rowOff>
        </xdr:from>
        <xdr:to>
          <xdr:col>21</xdr:col>
          <xdr:colOff>103367</xdr:colOff>
          <xdr:row>25</xdr:row>
          <xdr:rowOff>333955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15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341906</xdr:colOff>
          <xdr:row>25</xdr:row>
          <xdr:rowOff>135172</xdr:rowOff>
        </xdr:from>
        <xdr:to>
          <xdr:col>29</xdr:col>
          <xdr:colOff>79513</xdr:colOff>
          <xdr:row>25</xdr:row>
          <xdr:rowOff>333955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15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333955</xdr:colOff>
          <xdr:row>25</xdr:row>
          <xdr:rowOff>135172</xdr:rowOff>
        </xdr:from>
        <xdr:to>
          <xdr:col>31</xdr:col>
          <xdr:colOff>79513</xdr:colOff>
          <xdr:row>25</xdr:row>
          <xdr:rowOff>333955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15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365760</xdr:colOff>
          <xdr:row>25</xdr:row>
          <xdr:rowOff>135172</xdr:rowOff>
        </xdr:from>
        <xdr:to>
          <xdr:col>27</xdr:col>
          <xdr:colOff>103367</xdr:colOff>
          <xdr:row>25</xdr:row>
          <xdr:rowOff>333955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15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341906</xdr:colOff>
          <xdr:row>25</xdr:row>
          <xdr:rowOff>135172</xdr:rowOff>
        </xdr:from>
        <xdr:to>
          <xdr:col>35</xdr:col>
          <xdr:colOff>79513</xdr:colOff>
          <xdr:row>25</xdr:row>
          <xdr:rowOff>333955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15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333955</xdr:colOff>
          <xdr:row>25</xdr:row>
          <xdr:rowOff>135172</xdr:rowOff>
        </xdr:from>
        <xdr:to>
          <xdr:col>37</xdr:col>
          <xdr:colOff>79513</xdr:colOff>
          <xdr:row>25</xdr:row>
          <xdr:rowOff>333955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15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365760</xdr:colOff>
          <xdr:row>25</xdr:row>
          <xdr:rowOff>135172</xdr:rowOff>
        </xdr:from>
        <xdr:to>
          <xdr:col>33</xdr:col>
          <xdr:colOff>103367</xdr:colOff>
          <xdr:row>25</xdr:row>
          <xdr:rowOff>333955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15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341906</xdr:colOff>
          <xdr:row>25</xdr:row>
          <xdr:rowOff>135172</xdr:rowOff>
        </xdr:from>
        <xdr:to>
          <xdr:col>41</xdr:col>
          <xdr:colOff>79513</xdr:colOff>
          <xdr:row>25</xdr:row>
          <xdr:rowOff>333955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15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333955</xdr:colOff>
          <xdr:row>25</xdr:row>
          <xdr:rowOff>135172</xdr:rowOff>
        </xdr:from>
        <xdr:to>
          <xdr:col>43</xdr:col>
          <xdr:colOff>79513</xdr:colOff>
          <xdr:row>25</xdr:row>
          <xdr:rowOff>333955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15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365760</xdr:colOff>
          <xdr:row>25</xdr:row>
          <xdr:rowOff>135172</xdr:rowOff>
        </xdr:from>
        <xdr:to>
          <xdr:col>39</xdr:col>
          <xdr:colOff>103367</xdr:colOff>
          <xdr:row>25</xdr:row>
          <xdr:rowOff>333955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15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341906</xdr:colOff>
          <xdr:row>26</xdr:row>
          <xdr:rowOff>135172</xdr:rowOff>
        </xdr:from>
        <xdr:to>
          <xdr:col>17</xdr:col>
          <xdr:colOff>79513</xdr:colOff>
          <xdr:row>26</xdr:row>
          <xdr:rowOff>333955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15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333955</xdr:colOff>
          <xdr:row>26</xdr:row>
          <xdr:rowOff>135172</xdr:rowOff>
        </xdr:from>
        <xdr:to>
          <xdr:col>19</xdr:col>
          <xdr:colOff>79513</xdr:colOff>
          <xdr:row>26</xdr:row>
          <xdr:rowOff>333955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15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365760</xdr:colOff>
          <xdr:row>26</xdr:row>
          <xdr:rowOff>135172</xdr:rowOff>
        </xdr:from>
        <xdr:to>
          <xdr:col>15</xdr:col>
          <xdr:colOff>103367</xdr:colOff>
          <xdr:row>26</xdr:row>
          <xdr:rowOff>333955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15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341906</xdr:colOff>
          <xdr:row>26</xdr:row>
          <xdr:rowOff>135172</xdr:rowOff>
        </xdr:from>
        <xdr:to>
          <xdr:col>23</xdr:col>
          <xdr:colOff>79513</xdr:colOff>
          <xdr:row>26</xdr:row>
          <xdr:rowOff>333955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15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333955</xdr:colOff>
          <xdr:row>26</xdr:row>
          <xdr:rowOff>135172</xdr:rowOff>
        </xdr:from>
        <xdr:to>
          <xdr:col>25</xdr:col>
          <xdr:colOff>79513</xdr:colOff>
          <xdr:row>26</xdr:row>
          <xdr:rowOff>333955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15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365760</xdr:colOff>
          <xdr:row>26</xdr:row>
          <xdr:rowOff>135172</xdr:rowOff>
        </xdr:from>
        <xdr:to>
          <xdr:col>21</xdr:col>
          <xdr:colOff>103367</xdr:colOff>
          <xdr:row>26</xdr:row>
          <xdr:rowOff>333955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15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341906</xdr:colOff>
          <xdr:row>26</xdr:row>
          <xdr:rowOff>135172</xdr:rowOff>
        </xdr:from>
        <xdr:to>
          <xdr:col>29</xdr:col>
          <xdr:colOff>79513</xdr:colOff>
          <xdr:row>26</xdr:row>
          <xdr:rowOff>333955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15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333955</xdr:colOff>
          <xdr:row>26</xdr:row>
          <xdr:rowOff>135172</xdr:rowOff>
        </xdr:from>
        <xdr:to>
          <xdr:col>31</xdr:col>
          <xdr:colOff>79513</xdr:colOff>
          <xdr:row>26</xdr:row>
          <xdr:rowOff>333955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15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365760</xdr:colOff>
          <xdr:row>26</xdr:row>
          <xdr:rowOff>135172</xdr:rowOff>
        </xdr:from>
        <xdr:to>
          <xdr:col>27</xdr:col>
          <xdr:colOff>103367</xdr:colOff>
          <xdr:row>26</xdr:row>
          <xdr:rowOff>333955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15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34</xdr:col>
          <xdr:colOff>341906</xdr:colOff>
          <xdr:row>26</xdr:row>
          <xdr:rowOff>135172</xdr:rowOff>
        </xdr:from>
        <xdr:to>
          <xdr:col>35</xdr:col>
          <xdr:colOff>79513</xdr:colOff>
          <xdr:row>26</xdr:row>
          <xdr:rowOff>333955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15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333955</xdr:colOff>
          <xdr:row>26</xdr:row>
          <xdr:rowOff>135172</xdr:rowOff>
        </xdr:from>
        <xdr:to>
          <xdr:col>37</xdr:col>
          <xdr:colOff>79513</xdr:colOff>
          <xdr:row>26</xdr:row>
          <xdr:rowOff>333955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15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365760</xdr:colOff>
          <xdr:row>26</xdr:row>
          <xdr:rowOff>135172</xdr:rowOff>
        </xdr:from>
        <xdr:to>
          <xdr:col>33</xdr:col>
          <xdr:colOff>103367</xdr:colOff>
          <xdr:row>26</xdr:row>
          <xdr:rowOff>333955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15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341906</xdr:colOff>
          <xdr:row>26</xdr:row>
          <xdr:rowOff>135172</xdr:rowOff>
        </xdr:from>
        <xdr:to>
          <xdr:col>41</xdr:col>
          <xdr:colOff>79513</xdr:colOff>
          <xdr:row>26</xdr:row>
          <xdr:rowOff>333955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15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42</xdr:col>
          <xdr:colOff>333955</xdr:colOff>
          <xdr:row>26</xdr:row>
          <xdr:rowOff>135172</xdr:rowOff>
        </xdr:from>
        <xdr:to>
          <xdr:col>43</xdr:col>
          <xdr:colOff>79513</xdr:colOff>
          <xdr:row>26</xdr:row>
          <xdr:rowOff>333955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15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38</xdr:col>
          <xdr:colOff>365760</xdr:colOff>
          <xdr:row>26</xdr:row>
          <xdr:rowOff>135172</xdr:rowOff>
        </xdr:from>
        <xdr:to>
          <xdr:col>39</xdr:col>
          <xdr:colOff>103367</xdr:colOff>
          <xdr:row>26</xdr:row>
          <xdr:rowOff>333955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15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1141" name="Drop Down 117" hidden="1">
              <a:extLst>
                <a:ext uri="{63B3BB69-23CF-44E3-9099-C40C66FF867C}">
                  <a14:compatExt spid="_x0000_s1141"/>
                </a:ext>
                <a:ext uri="{FF2B5EF4-FFF2-40B4-BE49-F238E27FC236}">
                  <a16:creationId xmlns:a16="http://schemas.microsoft.com/office/drawing/2014/main" id="{00000000-0008-0000-1500-00007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9" name="AutoShape 288">
          <a:extLst>
            <a:ext uri="{FF2B5EF4-FFF2-40B4-BE49-F238E27FC236}">
              <a16:creationId xmlns:a16="http://schemas.microsoft.com/office/drawing/2014/main" id="{00000000-0008-0000-1500-000027000000}"/>
            </a:ext>
          </a:extLst>
        </xdr:cNvPr>
        <xdr:cNvSpPr>
          <a:spLocks noChangeArrowheads="1"/>
        </xdr:cNvSpPr>
      </xdr:nvSpPr>
      <xdr:spPr bwMode="auto">
        <a:xfrm>
          <a:off x="7943850" y="154050"/>
          <a:ext cx="4095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341906</xdr:colOff>
          <xdr:row>20</xdr:row>
          <xdr:rowOff>55659</xdr:rowOff>
        </xdr:from>
        <xdr:to>
          <xdr:col>14</xdr:col>
          <xdr:colOff>79513</xdr:colOff>
          <xdr:row>20</xdr:row>
          <xdr:rowOff>254442</xdr:rowOff>
        </xdr:to>
        <xdr:sp macro="" textlink="">
          <xdr:nvSpPr>
            <xdr:cNvPr id="65558" name="Check Box 22" hidden="1">
              <a:extLst>
                <a:ext uri="{63B3BB69-23CF-44E3-9099-C40C66FF867C}">
                  <a14:compatExt spid="_x0000_s65558"/>
                </a:ext>
                <a:ext uri="{FF2B5EF4-FFF2-40B4-BE49-F238E27FC236}">
                  <a16:creationId xmlns:a16="http://schemas.microsoft.com/office/drawing/2014/main" id="{00000000-0008-0000-1600-00001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20</xdr:row>
          <xdr:rowOff>55659</xdr:rowOff>
        </xdr:from>
        <xdr:to>
          <xdr:col>16</xdr:col>
          <xdr:colOff>79513</xdr:colOff>
          <xdr:row>20</xdr:row>
          <xdr:rowOff>254442</xdr:rowOff>
        </xdr:to>
        <xdr:sp macro="" textlink="">
          <xdr:nvSpPr>
            <xdr:cNvPr id="65559" name="Check Box 23" hidden="1">
              <a:extLst>
                <a:ext uri="{63B3BB69-23CF-44E3-9099-C40C66FF867C}">
                  <a14:compatExt spid="_x0000_s65559"/>
                </a:ext>
                <a:ext uri="{FF2B5EF4-FFF2-40B4-BE49-F238E27FC236}">
                  <a16:creationId xmlns:a16="http://schemas.microsoft.com/office/drawing/2014/main" id="{00000000-0008-0000-1600-00001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20</xdr:row>
          <xdr:rowOff>55659</xdr:rowOff>
        </xdr:from>
        <xdr:to>
          <xdr:col>12</xdr:col>
          <xdr:colOff>103367</xdr:colOff>
          <xdr:row>20</xdr:row>
          <xdr:rowOff>254442</xdr:rowOff>
        </xdr:to>
        <xdr:sp macro="" textlink="">
          <xdr:nvSpPr>
            <xdr:cNvPr id="65560" name="Check Box 24" hidden="1">
              <a:extLst>
                <a:ext uri="{63B3BB69-23CF-44E3-9099-C40C66FF867C}">
                  <a14:compatExt spid="_x0000_s65560"/>
                </a:ext>
                <a:ext uri="{FF2B5EF4-FFF2-40B4-BE49-F238E27FC236}">
                  <a16:creationId xmlns:a16="http://schemas.microsoft.com/office/drawing/2014/main" id="{00000000-0008-0000-1600-00001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20</xdr:row>
          <xdr:rowOff>55659</xdr:rowOff>
        </xdr:from>
        <xdr:to>
          <xdr:col>20</xdr:col>
          <xdr:colOff>95416</xdr:colOff>
          <xdr:row>20</xdr:row>
          <xdr:rowOff>254442</xdr:rowOff>
        </xdr:to>
        <xdr:sp macro="" textlink="">
          <xdr:nvSpPr>
            <xdr:cNvPr id="65561" name="Check Box 25" hidden="1">
              <a:extLst>
                <a:ext uri="{63B3BB69-23CF-44E3-9099-C40C66FF867C}">
                  <a14:compatExt spid="_x0000_s65561"/>
                </a:ext>
                <a:ext uri="{FF2B5EF4-FFF2-40B4-BE49-F238E27FC236}">
                  <a16:creationId xmlns:a16="http://schemas.microsoft.com/office/drawing/2014/main" id="{00000000-0008-0000-1600-00001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20</xdr:row>
          <xdr:rowOff>55659</xdr:rowOff>
        </xdr:from>
        <xdr:to>
          <xdr:col>22</xdr:col>
          <xdr:colOff>79513</xdr:colOff>
          <xdr:row>20</xdr:row>
          <xdr:rowOff>254442</xdr:rowOff>
        </xdr:to>
        <xdr:sp macro="" textlink="">
          <xdr:nvSpPr>
            <xdr:cNvPr id="65562" name="Check Box 26" hidden="1">
              <a:extLst>
                <a:ext uri="{63B3BB69-23CF-44E3-9099-C40C66FF867C}">
                  <a14:compatExt spid="_x0000_s65562"/>
                </a:ext>
                <a:ext uri="{FF2B5EF4-FFF2-40B4-BE49-F238E27FC236}">
                  <a16:creationId xmlns:a16="http://schemas.microsoft.com/office/drawing/2014/main" id="{00000000-0008-0000-1600-00001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20</xdr:row>
          <xdr:rowOff>55659</xdr:rowOff>
        </xdr:from>
        <xdr:to>
          <xdr:col>18</xdr:col>
          <xdr:colOff>103367</xdr:colOff>
          <xdr:row>20</xdr:row>
          <xdr:rowOff>254442</xdr:rowOff>
        </xdr:to>
        <xdr:sp macro="" textlink="">
          <xdr:nvSpPr>
            <xdr:cNvPr id="65563" name="Check Box 27" hidden="1">
              <a:extLst>
                <a:ext uri="{63B3BB69-23CF-44E3-9099-C40C66FF867C}">
                  <a14:compatExt spid="_x0000_s65563"/>
                </a:ext>
                <a:ext uri="{FF2B5EF4-FFF2-40B4-BE49-F238E27FC236}">
                  <a16:creationId xmlns:a16="http://schemas.microsoft.com/office/drawing/2014/main" id="{00000000-0008-0000-1600-00001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20</xdr:row>
          <xdr:rowOff>55659</xdr:rowOff>
        </xdr:from>
        <xdr:to>
          <xdr:col>26</xdr:col>
          <xdr:colOff>95416</xdr:colOff>
          <xdr:row>20</xdr:row>
          <xdr:rowOff>254442</xdr:rowOff>
        </xdr:to>
        <xdr:sp macro="" textlink="">
          <xdr:nvSpPr>
            <xdr:cNvPr id="65564" name="Check Box 28" hidden="1">
              <a:extLst>
                <a:ext uri="{63B3BB69-23CF-44E3-9099-C40C66FF867C}">
                  <a14:compatExt spid="_x0000_s65564"/>
                </a:ext>
                <a:ext uri="{FF2B5EF4-FFF2-40B4-BE49-F238E27FC236}">
                  <a16:creationId xmlns:a16="http://schemas.microsoft.com/office/drawing/2014/main" id="{00000000-0008-0000-1600-00001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20</xdr:row>
          <xdr:rowOff>55659</xdr:rowOff>
        </xdr:from>
        <xdr:to>
          <xdr:col>28</xdr:col>
          <xdr:colOff>79513</xdr:colOff>
          <xdr:row>20</xdr:row>
          <xdr:rowOff>254442</xdr:rowOff>
        </xdr:to>
        <xdr:sp macro="" textlink="">
          <xdr:nvSpPr>
            <xdr:cNvPr id="65565" name="Check Box 29" hidden="1">
              <a:extLst>
                <a:ext uri="{63B3BB69-23CF-44E3-9099-C40C66FF867C}">
                  <a14:compatExt spid="_x0000_s65565"/>
                </a:ext>
                <a:ext uri="{FF2B5EF4-FFF2-40B4-BE49-F238E27FC236}">
                  <a16:creationId xmlns:a16="http://schemas.microsoft.com/office/drawing/2014/main" id="{00000000-0008-0000-1600-00001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20</xdr:row>
          <xdr:rowOff>55659</xdr:rowOff>
        </xdr:from>
        <xdr:to>
          <xdr:col>24</xdr:col>
          <xdr:colOff>103367</xdr:colOff>
          <xdr:row>20</xdr:row>
          <xdr:rowOff>254442</xdr:rowOff>
        </xdr:to>
        <xdr:sp macro="" textlink="">
          <xdr:nvSpPr>
            <xdr:cNvPr id="65566" name="Check Box 30" hidden="1">
              <a:extLst>
                <a:ext uri="{63B3BB69-23CF-44E3-9099-C40C66FF867C}">
                  <a14:compatExt spid="_x0000_s65566"/>
                </a:ext>
                <a:ext uri="{FF2B5EF4-FFF2-40B4-BE49-F238E27FC236}">
                  <a16:creationId xmlns:a16="http://schemas.microsoft.com/office/drawing/2014/main" id="{00000000-0008-0000-1600-00001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21</xdr:row>
          <xdr:rowOff>55659</xdr:rowOff>
        </xdr:from>
        <xdr:to>
          <xdr:col>14</xdr:col>
          <xdr:colOff>95416</xdr:colOff>
          <xdr:row>21</xdr:row>
          <xdr:rowOff>254442</xdr:rowOff>
        </xdr:to>
        <xdr:sp macro="" textlink="">
          <xdr:nvSpPr>
            <xdr:cNvPr id="65567" name="Check Box 31" hidden="1">
              <a:extLst>
                <a:ext uri="{63B3BB69-23CF-44E3-9099-C40C66FF867C}">
                  <a14:compatExt spid="_x0000_s65567"/>
                </a:ext>
                <a:ext uri="{FF2B5EF4-FFF2-40B4-BE49-F238E27FC236}">
                  <a16:creationId xmlns:a16="http://schemas.microsoft.com/office/drawing/2014/main" id="{00000000-0008-0000-1600-00001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21</xdr:row>
          <xdr:rowOff>55659</xdr:rowOff>
        </xdr:from>
        <xdr:to>
          <xdr:col>16</xdr:col>
          <xdr:colOff>79513</xdr:colOff>
          <xdr:row>21</xdr:row>
          <xdr:rowOff>254442</xdr:rowOff>
        </xdr:to>
        <xdr:sp macro="" textlink="">
          <xdr:nvSpPr>
            <xdr:cNvPr id="65568" name="Check Box 32" hidden="1">
              <a:extLst>
                <a:ext uri="{63B3BB69-23CF-44E3-9099-C40C66FF867C}">
                  <a14:compatExt spid="_x0000_s65568"/>
                </a:ext>
                <a:ext uri="{FF2B5EF4-FFF2-40B4-BE49-F238E27FC236}">
                  <a16:creationId xmlns:a16="http://schemas.microsoft.com/office/drawing/2014/main" id="{00000000-0008-0000-1600-00002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21</xdr:row>
          <xdr:rowOff>55659</xdr:rowOff>
        </xdr:from>
        <xdr:to>
          <xdr:col>12</xdr:col>
          <xdr:colOff>103367</xdr:colOff>
          <xdr:row>21</xdr:row>
          <xdr:rowOff>254442</xdr:rowOff>
        </xdr:to>
        <xdr:sp macro="" textlink="">
          <xdr:nvSpPr>
            <xdr:cNvPr id="65569" name="Check Box 33" hidden="1">
              <a:extLst>
                <a:ext uri="{63B3BB69-23CF-44E3-9099-C40C66FF867C}">
                  <a14:compatExt spid="_x0000_s65569"/>
                </a:ext>
                <a:ext uri="{FF2B5EF4-FFF2-40B4-BE49-F238E27FC236}">
                  <a16:creationId xmlns:a16="http://schemas.microsoft.com/office/drawing/2014/main" id="{00000000-0008-0000-1600-00002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21</xdr:row>
          <xdr:rowOff>55659</xdr:rowOff>
        </xdr:from>
        <xdr:to>
          <xdr:col>20</xdr:col>
          <xdr:colOff>95416</xdr:colOff>
          <xdr:row>21</xdr:row>
          <xdr:rowOff>254442</xdr:rowOff>
        </xdr:to>
        <xdr:sp macro="" textlink="">
          <xdr:nvSpPr>
            <xdr:cNvPr id="65570" name="Check Box 34" hidden="1">
              <a:extLst>
                <a:ext uri="{63B3BB69-23CF-44E3-9099-C40C66FF867C}">
                  <a14:compatExt spid="_x0000_s65570"/>
                </a:ext>
                <a:ext uri="{FF2B5EF4-FFF2-40B4-BE49-F238E27FC236}">
                  <a16:creationId xmlns:a16="http://schemas.microsoft.com/office/drawing/2014/main" id="{00000000-0008-0000-1600-00002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21</xdr:row>
          <xdr:rowOff>55659</xdr:rowOff>
        </xdr:from>
        <xdr:to>
          <xdr:col>22</xdr:col>
          <xdr:colOff>79513</xdr:colOff>
          <xdr:row>21</xdr:row>
          <xdr:rowOff>254442</xdr:rowOff>
        </xdr:to>
        <xdr:sp macro="" textlink="">
          <xdr:nvSpPr>
            <xdr:cNvPr id="65571" name="Check Box 35" hidden="1">
              <a:extLst>
                <a:ext uri="{63B3BB69-23CF-44E3-9099-C40C66FF867C}">
                  <a14:compatExt spid="_x0000_s65571"/>
                </a:ext>
                <a:ext uri="{FF2B5EF4-FFF2-40B4-BE49-F238E27FC236}">
                  <a16:creationId xmlns:a16="http://schemas.microsoft.com/office/drawing/2014/main" id="{00000000-0008-0000-1600-00002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21</xdr:row>
          <xdr:rowOff>55659</xdr:rowOff>
        </xdr:from>
        <xdr:to>
          <xdr:col>18</xdr:col>
          <xdr:colOff>103367</xdr:colOff>
          <xdr:row>21</xdr:row>
          <xdr:rowOff>254442</xdr:rowOff>
        </xdr:to>
        <xdr:sp macro="" textlink="">
          <xdr:nvSpPr>
            <xdr:cNvPr id="65572" name="Check Box 36" hidden="1">
              <a:extLst>
                <a:ext uri="{63B3BB69-23CF-44E3-9099-C40C66FF867C}">
                  <a14:compatExt spid="_x0000_s65572"/>
                </a:ext>
                <a:ext uri="{FF2B5EF4-FFF2-40B4-BE49-F238E27FC236}">
                  <a16:creationId xmlns:a16="http://schemas.microsoft.com/office/drawing/2014/main" id="{00000000-0008-0000-1600-00002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21</xdr:row>
          <xdr:rowOff>55659</xdr:rowOff>
        </xdr:from>
        <xdr:to>
          <xdr:col>26</xdr:col>
          <xdr:colOff>95416</xdr:colOff>
          <xdr:row>21</xdr:row>
          <xdr:rowOff>254442</xdr:rowOff>
        </xdr:to>
        <xdr:sp macro="" textlink="">
          <xdr:nvSpPr>
            <xdr:cNvPr id="65573" name="Check Box 37" hidden="1">
              <a:extLst>
                <a:ext uri="{63B3BB69-23CF-44E3-9099-C40C66FF867C}">
                  <a14:compatExt spid="_x0000_s65573"/>
                </a:ext>
                <a:ext uri="{FF2B5EF4-FFF2-40B4-BE49-F238E27FC236}">
                  <a16:creationId xmlns:a16="http://schemas.microsoft.com/office/drawing/2014/main" id="{00000000-0008-0000-1600-00002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21</xdr:row>
          <xdr:rowOff>55659</xdr:rowOff>
        </xdr:from>
        <xdr:to>
          <xdr:col>28</xdr:col>
          <xdr:colOff>79513</xdr:colOff>
          <xdr:row>21</xdr:row>
          <xdr:rowOff>254442</xdr:rowOff>
        </xdr:to>
        <xdr:sp macro="" textlink="">
          <xdr:nvSpPr>
            <xdr:cNvPr id="65574" name="Check Box 38" hidden="1">
              <a:extLst>
                <a:ext uri="{63B3BB69-23CF-44E3-9099-C40C66FF867C}">
                  <a14:compatExt spid="_x0000_s65574"/>
                </a:ext>
                <a:ext uri="{FF2B5EF4-FFF2-40B4-BE49-F238E27FC236}">
                  <a16:creationId xmlns:a16="http://schemas.microsoft.com/office/drawing/2014/main" id="{00000000-0008-0000-1600-00002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21</xdr:row>
          <xdr:rowOff>55659</xdr:rowOff>
        </xdr:from>
        <xdr:to>
          <xdr:col>24</xdr:col>
          <xdr:colOff>103367</xdr:colOff>
          <xdr:row>21</xdr:row>
          <xdr:rowOff>254442</xdr:rowOff>
        </xdr:to>
        <xdr:sp macro="" textlink="">
          <xdr:nvSpPr>
            <xdr:cNvPr id="65575" name="Check Box 39" hidden="1">
              <a:extLst>
                <a:ext uri="{63B3BB69-23CF-44E3-9099-C40C66FF867C}">
                  <a14:compatExt spid="_x0000_s65575"/>
                </a:ext>
                <a:ext uri="{FF2B5EF4-FFF2-40B4-BE49-F238E27FC236}">
                  <a16:creationId xmlns:a16="http://schemas.microsoft.com/office/drawing/2014/main" id="{00000000-0008-0000-1600-00002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22</xdr:row>
          <xdr:rowOff>55659</xdr:rowOff>
        </xdr:from>
        <xdr:to>
          <xdr:col>14</xdr:col>
          <xdr:colOff>95416</xdr:colOff>
          <xdr:row>22</xdr:row>
          <xdr:rowOff>254442</xdr:rowOff>
        </xdr:to>
        <xdr:sp macro="" textlink="">
          <xdr:nvSpPr>
            <xdr:cNvPr id="65576" name="Check Box 40" hidden="1">
              <a:extLst>
                <a:ext uri="{63B3BB69-23CF-44E3-9099-C40C66FF867C}">
                  <a14:compatExt spid="_x0000_s65576"/>
                </a:ext>
                <a:ext uri="{FF2B5EF4-FFF2-40B4-BE49-F238E27FC236}">
                  <a16:creationId xmlns:a16="http://schemas.microsoft.com/office/drawing/2014/main" id="{00000000-0008-0000-1600-00002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22</xdr:row>
          <xdr:rowOff>55659</xdr:rowOff>
        </xdr:from>
        <xdr:to>
          <xdr:col>16</xdr:col>
          <xdr:colOff>79513</xdr:colOff>
          <xdr:row>22</xdr:row>
          <xdr:rowOff>254442</xdr:rowOff>
        </xdr:to>
        <xdr:sp macro="" textlink="">
          <xdr:nvSpPr>
            <xdr:cNvPr id="65577" name="Check Box 41" hidden="1">
              <a:extLst>
                <a:ext uri="{63B3BB69-23CF-44E3-9099-C40C66FF867C}">
                  <a14:compatExt spid="_x0000_s65577"/>
                </a:ext>
                <a:ext uri="{FF2B5EF4-FFF2-40B4-BE49-F238E27FC236}">
                  <a16:creationId xmlns:a16="http://schemas.microsoft.com/office/drawing/2014/main" id="{00000000-0008-0000-1600-00002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22</xdr:row>
          <xdr:rowOff>55659</xdr:rowOff>
        </xdr:from>
        <xdr:to>
          <xdr:col>12</xdr:col>
          <xdr:colOff>103367</xdr:colOff>
          <xdr:row>22</xdr:row>
          <xdr:rowOff>254442</xdr:rowOff>
        </xdr:to>
        <xdr:sp macro="" textlink="">
          <xdr:nvSpPr>
            <xdr:cNvPr id="65578" name="Check Box 42" hidden="1">
              <a:extLst>
                <a:ext uri="{63B3BB69-23CF-44E3-9099-C40C66FF867C}">
                  <a14:compatExt spid="_x0000_s65578"/>
                </a:ext>
                <a:ext uri="{FF2B5EF4-FFF2-40B4-BE49-F238E27FC236}">
                  <a16:creationId xmlns:a16="http://schemas.microsoft.com/office/drawing/2014/main" id="{00000000-0008-0000-1600-00002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22</xdr:row>
          <xdr:rowOff>55659</xdr:rowOff>
        </xdr:from>
        <xdr:to>
          <xdr:col>20</xdr:col>
          <xdr:colOff>95416</xdr:colOff>
          <xdr:row>22</xdr:row>
          <xdr:rowOff>254442</xdr:rowOff>
        </xdr:to>
        <xdr:sp macro="" textlink="">
          <xdr:nvSpPr>
            <xdr:cNvPr id="65579" name="Check Box 43" hidden="1">
              <a:extLst>
                <a:ext uri="{63B3BB69-23CF-44E3-9099-C40C66FF867C}">
                  <a14:compatExt spid="_x0000_s65579"/>
                </a:ext>
                <a:ext uri="{FF2B5EF4-FFF2-40B4-BE49-F238E27FC236}">
                  <a16:creationId xmlns:a16="http://schemas.microsoft.com/office/drawing/2014/main" id="{00000000-0008-0000-1600-00002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22</xdr:row>
          <xdr:rowOff>55659</xdr:rowOff>
        </xdr:from>
        <xdr:to>
          <xdr:col>22</xdr:col>
          <xdr:colOff>79513</xdr:colOff>
          <xdr:row>22</xdr:row>
          <xdr:rowOff>254442</xdr:rowOff>
        </xdr:to>
        <xdr:sp macro="" textlink="">
          <xdr:nvSpPr>
            <xdr:cNvPr id="65580" name="Check Box 44" hidden="1">
              <a:extLst>
                <a:ext uri="{63B3BB69-23CF-44E3-9099-C40C66FF867C}">
                  <a14:compatExt spid="_x0000_s65580"/>
                </a:ext>
                <a:ext uri="{FF2B5EF4-FFF2-40B4-BE49-F238E27FC236}">
                  <a16:creationId xmlns:a16="http://schemas.microsoft.com/office/drawing/2014/main" id="{00000000-0008-0000-1600-00002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22</xdr:row>
          <xdr:rowOff>55659</xdr:rowOff>
        </xdr:from>
        <xdr:to>
          <xdr:col>18</xdr:col>
          <xdr:colOff>103367</xdr:colOff>
          <xdr:row>22</xdr:row>
          <xdr:rowOff>254442</xdr:rowOff>
        </xdr:to>
        <xdr:sp macro="" textlink="">
          <xdr:nvSpPr>
            <xdr:cNvPr id="65581" name="Check Box 45" hidden="1">
              <a:extLst>
                <a:ext uri="{63B3BB69-23CF-44E3-9099-C40C66FF867C}">
                  <a14:compatExt spid="_x0000_s65581"/>
                </a:ext>
                <a:ext uri="{FF2B5EF4-FFF2-40B4-BE49-F238E27FC236}">
                  <a16:creationId xmlns:a16="http://schemas.microsoft.com/office/drawing/2014/main" id="{00000000-0008-0000-1600-00002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22</xdr:row>
          <xdr:rowOff>55659</xdr:rowOff>
        </xdr:from>
        <xdr:to>
          <xdr:col>26</xdr:col>
          <xdr:colOff>95416</xdr:colOff>
          <xdr:row>22</xdr:row>
          <xdr:rowOff>254442</xdr:rowOff>
        </xdr:to>
        <xdr:sp macro="" textlink="">
          <xdr:nvSpPr>
            <xdr:cNvPr id="65582" name="Check Box 46" hidden="1">
              <a:extLst>
                <a:ext uri="{63B3BB69-23CF-44E3-9099-C40C66FF867C}">
                  <a14:compatExt spid="_x0000_s65582"/>
                </a:ext>
                <a:ext uri="{FF2B5EF4-FFF2-40B4-BE49-F238E27FC236}">
                  <a16:creationId xmlns:a16="http://schemas.microsoft.com/office/drawing/2014/main" id="{00000000-0008-0000-1600-00002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22</xdr:row>
          <xdr:rowOff>55659</xdr:rowOff>
        </xdr:from>
        <xdr:to>
          <xdr:col>28</xdr:col>
          <xdr:colOff>79513</xdr:colOff>
          <xdr:row>22</xdr:row>
          <xdr:rowOff>254442</xdr:rowOff>
        </xdr:to>
        <xdr:sp macro="" textlink="">
          <xdr:nvSpPr>
            <xdr:cNvPr id="65583" name="Check Box 47" hidden="1">
              <a:extLst>
                <a:ext uri="{63B3BB69-23CF-44E3-9099-C40C66FF867C}">
                  <a14:compatExt spid="_x0000_s65583"/>
                </a:ext>
                <a:ext uri="{FF2B5EF4-FFF2-40B4-BE49-F238E27FC236}">
                  <a16:creationId xmlns:a16="http://schemas.microsoft.com/office/drawing/2014/main" id="{00000000-0008-0000-1600-00002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22</xdr:row>
          <xdr:rowOff>55659</xdr:rowOff>
        </xdr:from>
        <xdr:to>
          <xdr:col>24</xdr:col>
          <xdr:colOff>103367</xdr:colOff>
          <xdr:row>22</xdr:row>
          <xdr:rowOff>254442</xdr:rowOff>
        </xdr:to>
        <xdr:sp macro="" textlink="">
          <xdr:nvSpPr>
            <xdr:cNvPr id="65584" name="Check Box 48" hidden="1">
              <a:extLst>
                <a:ext uri="{63B3BB69-23CF-44E3-9099-C40C66FF867C}">
                  <a14:compatExt spid="_x0000_s65584"/>
                </a:ext>
                <a:ext uri="{FF2B5EF4-FFF2-40B4-BE49-F238E27FC236}">
                  <a16:creationId xmlns:a16="http://schemas.microsoft.com/office/drawing/2014/main" id="{00000000-0008-0000-1600-00003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23</xdr:row>
          <xdr:rowOff>111318</xdr:rowOff>
        </xdr:from>
        <xdr:to>
          <xdr:col>14</xdr:col>
          <xdr:colOff>95416</xdr:colOff>
          <xdr:row>23</xdr:row>
          <xdr:rowOff>333955</xdr:rowOff>
        </xdr:to>
        <xdr:sp macro="" textlink="">
          <xdr:nvSpPr>
            <xdr:cNvPr id="65585" name="Check Box 49" hidden="1">
              <a:extLst>
                <a:ext uri="{63B3BB69-23CF-44E3-9099-C40C66FF867C}">
                  <a14:compatExt spid="_x0000_s65585"/>
                </a:ext>
                <a:ext uri="{FF2B5EF4-FFF2-40B4-BE49-F238E27FC236}">
                  <a16:creationId xmlns:a16="http://schemas.microsoft.com/office/drawing/2014/main" id="{00000000-0008-0000-1600-00003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23</xdr:row>
          <xdr:rowOff>111318</xdr:rowOff>
        </xdr:from>
        <xdr:to>
          <xdr:col>16</xdr:col>
          <xdr:colOff>79513</xdr:colOff>
          <xdr:row>23</xdr:row>
          <xdr:rowOff>333955</xdr:rowOff>
        </xdr:to>
        <xdr:sp macro="" textlink="">
          <xdr:nvSpPr>
            <xdr:cNvPr id="65586" name="Check Box 50" hidden="1">
              <a:extLst>
                <a:ext uri="{63B3BB69-23CF-44E3-9099-C40C66FF867C}">
                  <a14:compatExt spid="_x0000_s65586"/>
                </a:ext>
                <a:ext uri="{FF2B5EF4-FFF2-40B4-BE49-F238E27FC236}">
                  <a16:creationId xmlns:a16="http://schemas.microsoft.com/office/drawing/2014/main" id="{00000000-0008-0000-1600-00003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23</xdr:row>
          <xdr:rowOff>111318</xdr:rowOff>
        </xdr:from>
        <xdr:to>
          <xdr:col>12</xdr:col>
          <xdr:colOff>103367</xdr:colOff>
          <xdr:row>23</xdr:row>
          <xdr:rowOff>333955</xdr:rowOff>
        </xdr:to>
        <xdr:sp macro="" textlink="">
          <xdr:nvSpPr>
            <xdr:cNvPr id="65587" name="Check Box 51" hidden="1">
              <a:extLst>
                <a:ext uri="{63B3BB69-23CF-44E3-9099-C40C66FF867C}">
                  <a14:compatExt spid="_x0000_s65587"/>
                </a:ext>
                <a:ext uri="{FF2B5EF4-FFF2-40B4-BE49-F238E27FC236}">
                  <a16:creationId xmlns:a16="http://schemas.microsoft.com/office/drawing/2014/main" id="{00000000-0008-0000-1600-00003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23</xdr:row>
          <xdr:rowOff>111318</xdr:rowOff>
        </xdr:from>
        <xdr:to>
          <xdr:col>20</xdr:col>
          <xdr:colOff>95416</xdr:colOff>
          <xdr:row>23</xdr:row>
          <xdr:rowOff>333955</xdr:rowOff>
        </xdr:to>
        <xdr:sp macro="" textlink="">
          <xdr:nvSpPr>
            <xdr:cNvPr id="65588" name="Check Box 52" hidden="1">
              <a:extLst>
                <a:ext uri="{63B3BB69-23CF-44E3-9099-C40C66FF867C}">
                  <a14:compatExt spid="_x0000_s65588"/>
                </a:ext>
                <a:ext uri="{FF2B5EF4-FFF2-40B4-BE49-F238E27FC236}">
                  <a16:creationId xmlns:a16="http://schemas.microsoft.com/office/drawing/2014/main" id="{00000000-0008-0000-1600-00003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23</xdr:row>
          <xdr:rowOff>111318</xdr:rowOff>
        </xdr:from>
        <xdr:to>
          <xdr:col>22</xdr:col>
          <xdr:colOff>79513</xdr:colOff>
          <xdr:row>23</xdr:row>
          <xdr:rowOff>333955</xdr:rowOff>
        </xdr:to>
        <xdr:sp macro="" textlink="">
          <xdr:nvSpPr>
            <xdr:cNvPr id="65589" name="Check Box 53" hidden="1">
              <a:extLst>
                <a:ext uri="{63B3BB69-23CF-44E3-9099-C40C66FF867C}">
                  <a14:compatExt spid="_x0000_s65589"/>
                </a:ext>
                <a:ext uri="{FF2B5EF4-FFF2-40B4-BE49-F238E27FC236}">
                  <a16:creationId xmlns:a16="http://schemas.microsoft.com/office/drawing/2014/main" id="{00000000-0008-0000-1600-00003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23</xdr:row>
          <xdr:rowOff>111318</xdr:rowOff>
        </xdr:from>
        <xdr:to>
          <xdr:col>18</xdr:col>
          <xdr:colOff>103367</xdr:colOff>
          <xdr:row>23</xdr:row>
          <xdr:rowOff>333955</xdr:rowOff>
        </xdr:to>
        <xdr:sp macro="" textlink="">
          <xdr:nvSpPr>
            <xdr:cNvPr id="65590" name="Check Box 54" hidden="1">
              <a:extLst>
                <a:ext uri="{63B3BB69-23CF-44E3-9099-C40C66FF867C}">
                  <a14:compatExt spid="_x0000_s65590"/>
                </a:ext>
                <a:ext uri="{FF2B5EF4-FFF2-40B4-BE49-F238E27FC236}">
                  <a16:creationId xmlns:a16="http://schemas.microsoft.com/office/drawing/2014/main" id="{00000000-0008-0000-1600-00003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23</xdr:row>
          <xdr:rowOff>111318</xdr:rowOff>
        </xdr:from>
        <xdr:to>
          <xdr:col>26</xdr:col>
          <xdr:colOff>95416</xdr:colOff>
          <xdr:row>23</xdr:row>
          <xdr:rowOff>333955</xdr:rowOff>
        </xdr:to>
        <xdr:sp macro="" textlink="">
          <xdr:nvSpPr>
            <xdr:cNvPr id="65591" name="Check Box 55" hidden="1">
              <a:extLst>
                <a:ext uri="{63B3BB69-23CF-44E3-9099-C40C66FF867C}">
                  <a14:compatExt spid="_x0000_s65591"/>
                </a:ext>
                <a:ext uri="{FF2B5EF4-FFF2-40B4-BE49-F238E27FC236}">
                  <a16:creationId xmlns:a16="http://schemas.microsoft.com/office/drawing/2014/main" id="{00000000-0008-0000-1600-00003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23</xdr:row>
          <xdr:rowOff>111318</xdr:rowOff>
        </xdr:from>
        <xdr:to>
          <xdr:col>28</xdr:col>
          <xdr:colOff>79513</xdr:colOff>
          <xdr:row>23</xdr:row>
          <xdr:rowOff>333955</xdr:rowOff>
        </xdr:to>
        <xdr:sp macro="" textlink="">
          <xdr:nvSpPr>
            <xdr:cNvPr id="65592" name="Check Box 56" hidden="1">
              <a:extLst>
                <a:ext uri="{63B3BB69-23CF-44E3-9099-C40C66FF867C}">
                  <a14:compatExt spid="_x0000_s65592"/>
                </a:ext>
                <a:ext uri="{FF2B5EF4-FFF2-40B4-BE49-F238E27FC236}">
                  <a16:creationId xmlns:a16="http://schemas.microsoft.com/office/drawing/2014/main" id="{00000000-0008-0000-1600-00003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23</xdr:row>
          <xdr:rowOff>111318</xdr:rowOff>
        </xdr:from>
        <xdr:to>
          <xdr:col>24</xdr:col>
          <xdr:colOff>103367</xdr:colOff>
          <xdr:row>23</xdr:row>
          <xdr:rowOff>333955</xdr:rowOff>
        </xdr:to>
        <xdr:sp macro="" textlink="">
          <xdr:nvSpPr>
            <xdr:cNvPr id="65593" name="Check Box 57" hidden="1">
              <a:extLst>
                <a:ext uri="{63B3BB69-23CF-44E3-9099-C40C66FF867C}">
                  <a14:compatExt spid="_x0000_s65593"/>
                </a:ext>
                <a:ext uri="{FF2B5EF4-FFF2-40B4-BE49-F238E27FC236}">
                  <a16:creationId xmlns:a16="http://schemas.microsoft.com/office/drawing/2014/main" id="{00000000-0008-0000-1600-00003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24</xdr:row>
          <xdr:rowOff>55659</xdr:rowOff>
        </xdr:from>
        <xdr:to>
          <xdr:col>14</xdr:col>
          <xdr:colOff>95416</xdr:colOff>
          <xdr:row>24</xdr:row>
          <xdr:rowOff>254442</xdr:rowOff>
        </xdr:to>
        <xdr:sp macro="" textlink="">
          <xdr:nvSpPr>
            <xdr:cNvPr id="65594" name="Check Box 58" hidden="1">
              <a:extLst>
                <a:ext uri="{63B3BB69-23CF-44E3-9099-C40C66FF867C}">
                  <a14:compatExt spid="_x0000_s65594"/>
                </a:ext>
                <a:ext uri="{FF2B5EF4-FFF2-40B4-BE49-F238E27FC236}">
                  <a16:creationId xmlns:a16="http://schemas.microsoft.com/office/drawing/2014/main" id="{00000000-0008-0000-1600-00003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24</xdr:row>
          <xdr:rowOff>55659</xdr:rowOff>
        </xdr:from>
        <xdr:to>
          <xdr:col>16</xdr:col>
          <xdr:colOff>79513</xdr:colOff>
          <xdr:row>24</xdr:row>
          <xdr:rowOff>254442</xdr:rowOff>
        </xdr:to>
        <xdr:sp macro="" textlink="">
          <xdr:nvSpPr>
            <xdr:cNvPr id="65595" name="Check Box 59" hidden="1">
              <a:extLst>
                <a:ext uri="{63B3BB69-23CF-44E3-9099-C40C66FF867C}">
                  <a14:compatExt spid="_x0000_s65595"/>
                </a:ext>
                <a:ext uri="{FF2B5EF4-FFF2-40B4-BE49-F238E27FC236}">
                  <a16:creationId xmlns:a16="http://schemas.microsoft.com/office/drawing/2014/main" id="{00000000-0008-0000-1600-00003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24</xdr:row>
          <xdr:rowOff>55659</xdr:rowOff>
        </xdr:from>
        <xdr:to>
          <xdr:col>12</xdr:col>
          <xdr:colOff>103367</xdr:colOff>
          <xdr:row>24</xdr:row>
          <xdr:rowOff>254442</xdr:rowOff>
        </xdr:to>
        <xdr:sp macro="" textlink="">
          <xdr:nvSpPr>
            <xdr:cNvPr id="65596" name="Check Box 60" hidden="1">
              <a:extLst>
                <a:ext uri="{63B3BB69-23CF-44E3-9099-C40C66FF867C}">
                  <a14:compatExt spid="_x0000_s65596"/>
                </a:ext>
                <a:ext uri="{FF2B5EF4-FFF2-40B4-BE49-F238E27FC236}">
                  <a16:creationId xmlns:a16="http://schemas.microsoft.com/office/drawing/2014/main" id="{00000000-0008-0000-1600-00003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24</xdr:row>
          <xdr:rowOff>55659</xdr:rowOff>
        </xdr:from>
        <xdr:to>
          <xdr:col>20</xdr:col>
          <xdr:colOff>95416</xdr:colOff>
          <xdr:row>24</xdr:row>
          <xdr:rowOff>254442</xdr:rowOff>
        </xdr:to>
        <xdr:sp macro="" textlink="">
          <xdr:nvSpPr>
            <xdr:cNvPr id="65597" name="Check Box 61" hidden="1">
              <a:extLst>
                <a:ext uri="{63B3BB69-23CF-44E3-9099-C40C66FF867C}">
                  <a14:compatExt spid="_x0000_s65597"/>
                </a:ext>
                <a:ext uri="{FF2B5EF4-FFF2-40B4-BE49-F238E27FC236}">
                  <a16:creationId xmlns:a16="http://schemas.microsoft.com/office/drawing/2014/main" id="{00000000-0008-0000-1600-00003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24</xdr:row>
          <xdr:rowOff>55659</xdr:rowOff>
        </xdr:from>
        <xdr:to>
          <xdr:col>22</xdr:col>
          <xdr:colOff>79513</xdr:colOff>
          <xdr:row>24</xdr:row>
          <xdr:rowOff>254442</xdr:rowOff>
        </xdr:to>
        <xdr:sp macro="" textlink="">
          <xdr:nvSpPr>
            <xdr:cNvPr id="65598" name="Check Box 62" hidden="1">
              <a:extLst>
                <a:ext uri="{63B3BB69-23CF-44E3-9099-C40C66FF867C}">
                  <a14:compatExt spid="_x0000_s65598"/>
                </a:ext>
                <a:ext uri="{FF2B5EF4-FFF2-40B4-BE49-F238E27FC236}">
                  <a16:creationId xmlns:a16="http://schemas.microsoft.com/office/drawing/2014/main" id="{00000000-0008-0000-1600-00003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24</xdr:row>
          <xdr:rowOff>55659</xdr:rowOff>
        </xdr:from>
        <xdr:to>
          <xdr:col>18</xdr:col>
          <xdr:colOff>103367</xdr:colOff>
          <xdr:row>24</xdr:row>
          <xdr:rowOff>254442</xdr:rowOff>
        </xdr:to>
        <xdr:sp macro="" textlink="">
          <xdr:nvSpPr>
            <xdr:cNvPr id="65599" name="Check Box 63" hidden="1">
              <a:extLst>
                <a:ext uri="{63B3BB69-23CF-44E3-9099-C40C66FF867C}">
                  <a14:compatExt spid="_x0000_s65599"/>
                </a:ext>
                <a:ext uri="{FF2B5EF4-FFF2-40B4-BE49-F238E27FC236}">
                  <a16:creationId xmlns:a16="http://schemas.microsoft.com/office/drawing/2014/main" id="{00000000-0008-0000-1600-00003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24</xdr:row>
          <xdr:rowOff>55659</xdr:rowOff>
        </xdr:from>
        <xdr:to>
          <xdr:col>26</xdr:col>
          <xdr:colOff>95416</xdr:colOff>
          <xdr:row>24</xdr:row>
          <xdr:rowOff>254442</xdr:rowOff>
        </xdr:to>
        <xdr:sp macro="" textlink="">
          <xdr:nvSpPr>
            <xdr:cNvPr id="65600" name="Check Box 64" hidden="1">
              <a:extLst>
                <a:ext uri="{63B3BB69-23CF-44E3-9099-C40C66FF867C}">
                  <a14:compatExt spid="_x0000_s65600"/>
                </a:ext>
                <a:ext uri="{FF2B5EF4-FFF2-40B4-BE49-F238E27FC236}">
                  <a16:creationId xmlns:a16="http://schemas.microsoft.com/office/drawing/2014/main" id="{00000000-0008-0000-1600-00004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24</xdr:row>
          <xdr:rowOff>55659</xdr:rowOff>
        </xdr:from>
        <xdr:to>
          <xdr:col>28</xdr:col>
          <xdr:colOff>79513</xdr:colOff>
          <xdr:row>24</xdr:row>
          <xdr:rowOff>254442</xdr:rowOff>
        </xdr:to>
        <xdr:sp macro="" textlink="">
          <xdr:nvSpPr>
            <xdr:cNvPr id="65601" name="Check Box 65" hidden="1">
              <a:extLst>
                <a:ext uri="{63B3BB69-23CF-44E3-9099-C40C66FF867C}">
                  <a14:compatExt spid="_x0000_s65601"/>
                </a:ext>
                <a:ext uri="{FF2B5EF4-FFF2-40B4-BE49-F238E27FC236}">
                  <a16:creationId xmlns:a16="http://schemas.microsoft.com/office/drawing/2014/main" id="{00000000-0008-0000-1600-00004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24</xdr:row>
          <xdr:rowOff>55659</xdr:rowOff>
        </xdr:from>
        <xdr:to>
          <xdr:col>24</xdr:col>
          <xdr:colOff>103367</xdr:colOff>
          <xdr:row>24</xdr:row>
          <xdr:rowOff>254442</xdr:rowOff>
        </xdr:to>
        <xdr:sp macro="" textlink="">
          <xdr:nvSpPr>
            <xdr:cNvPr id="65602" name="Check Box 66" hidden="1">
              <a:extLst>
                <a:ext uri="{63B3BB69-23CF-44E3-9099-C40C66FF867C}">
                  <a14:compatExt spid="_x0000_s65602"/>
                </a:ext>
                <a:ext uri="{FF2B5EF4-FFF2-40B4-BE49-F238E27FC236}">
                  <a16:creationId xmlns:a16="http://schemas.microsoft.com/office/drawing/2014/main" id="{00000000-0008-0000-1600-00004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25</xdr:row>
          <xdr:rowOff>95416</xdr:rowOff>
        </xdr:from>
        <xdr:to>
          <xdr:col>14</xdr:col>
          <xdr:colOff>95416</xdr:colOff>
          <xdr:row>25</xdr:row>
          <xdr:rowOff>294198</xdr:rowOff>
        </xdr:to>
        <xdr:sp macro="" textlink="">
          <xdr:nvSpPr>
            <xdr:cNvPr id="65603" name="Check Box 67" hidden="1">
              <a:extLst>
                <a:ext uri="{63B3BB69-23CF-44E3-9099-C40C66FF867C}">
                  <a14:compatExt spid="_x0000_s65603"/>
                </a:ext>
                <a:ext uri="{FF2B5EF4-FFF2-40B4-BE49-F238E27FC236}">
                  <a16:creationId xmlns:a16="http://schemas.microsoft.com/office/drawing/2014/main" id="{00000000-0008-0000-1600-00004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25</xdr:row>
          <xdr:rowOff>95416</xdr:rowOff>
        </xdr:from>
        <xdr:to>
          <xdr:col>16</xdr:col>
          <xdr:colOff>79513</xdr:colOff>
          <xdr:row>25</xdr:row>
          <xdr:rowOff>294198</xdr:rowOff>
        </xdr:to>
        <xdr:sp macro="" textlink="">
          <xdr:nvSpPr>
            <xdr:cNvPr id="65604" name="Check Box 68" hidden="1">
              <a:extLst>
                <a:ext uri="{63B3BB69-23CF-44E3-9099-C40C66FF867C}">
                  <a14:compatExt spid="_x0000_s65604"/>
                </a:ext>
                <a:ext uri="{FF2B5EF4-FFF2-40B4-BE49-F238E27FC236}">
                  <a16:creationId xmlns:a16="http://schemas.microsoft.com/office/drawing/2014/main" id="{00000000-0008-0000-1600-00004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25</xdr:row>
          <xdr:rowOff>95416</xdr:rowOff>
        </xdr:from>
        <xdr:to>
          <xdr:col>12</xdr:col>
          <xdr:colOff>103367</xdr:colOff>
          <xdr:row>25</xdr:row>
          <xdr:rowOff>294198</xdr:rowOff>
        </xdr:to>
        <xdr:sp macro="" textlink="">
          <xdr:nvSpPr>
            <xdr:cNvPr id="65605" name="Check Box 69" hidden="1">
              <a:extLst>
                <a:ext uri="{63B3BB69-23CF-44E3-9099-C40C66FF867C}">
                  <a14:compatExt spid="_x0000_s65605"/>
                </a:ext>
                <a:ext uri="{FF2B5EF4-FFF2-40B4-BE49-F238E27FC236}">
                  <a16:creationId xmlns:a16="http://schemas.microsoft.com/office/drawing/2014/main" id="{00000000-0008-0000-1600-00004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25</xdr:row>
          <xdr:rowOff>95416</xdr:rowOff>
        </xdr:from>
        <xdr:to>
          <xdr:col>20</xdr:col>
          <xdr:colOff>95416</xdr:colOff>
          <xdr:row>25</xdr:row>
          <xdr:rowOff>294198</xdr:rowOff>
        </xdr:to>
        <xdr:sp macro="" textlink="">
          <xdr:nvSpPr>
            <xdr:cNvPr id="65606" name="Check Box 70" hidden="1">
              <a:extLst>
                <a:ext uri="{63B3BB69-23CF-44E3-9099-C40C66FF867C}">
                  <a14:compatExt spid="_x0000_s65606"/>
                </a:ext>
                <a:ext uri="{FF2B5EF4-FFF2-40B4-BE49-F238E27FC236}">
                  <a16:creationId xmlns:a16="http://schemas.microsoft.com/office/drawing/2014/main" id="{00000000-0008-0000-1600-00004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25</xdr:row>
          <xdr:rowOff>95416</xdr:rowOff>
        </xdr:from>
        <xdr:to>
          <xdr:col>22</xdr:col>
          <xdr:colOff>79513</xdr:colOff>
          <xdr:row>25</xdr:row>
          <xdr:rowOff>294198</xdr:rowOff>
        </xdr:to>
        <xdr:sp macro="" textlink="">
          <xdr:nvSpPr>
            <xdr:cNvPr id="65607" name="Check Box 71" hidden="1">
              <a:extLst>
                <a:ext uri="{63B3BB69-23CF-44E3-9099-C40C66FF867C}">
                  <a14:compatExt spid="_x0000_s65607"/>
                </a:ext>
                <a:ext uri="{FF2B5EF4-FFF2-40B4-BE49-F238E27FC236}">
                  <a16:creationId xmlns:a16="http://schemas.microsoft.com/office/drawing/2014/main" id="{00000000-0008-0000-1600-00004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25</xdr:row>
          <xdr:rowOff>95416</xdr:rowOff>
        </xdr:from>
        <xdr:to>
          <xdr:col>18</xdr:col>
          <xdr:colOff>103367</xdr:colOff>
          <xdr:row>25</xdr:row>
          <xdr:rowOff>294198</xdr:rowOff>
        </xdr:to>
        <xdr:sp macro="" textlink="">
          <xdr:nvSpPr>
            <xdr:cNvPr id="65608" name="Check Box 72" hidden="1">
              <a:extLst>
                <a:ext uri="{63B3BB69-23CF-44E3-9099-C40C66FF867C}">
                  <a14:compatExt spid="_x0000_s65608"/>
                </a:ext>
                <a:ext uri="{FF2B5EF4-FFF2-40B4-BE49-F238E27FC236}">
                  <a16:creationId xmlns:a16="http://schemas.microsoft.com/office/drawing/2014/main" id="{00000000-0008-0000-1600-00004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25</xdr:row>
          <xdr:rowOff>95416</xdr:rowOff>
        </xdr:from>
        <xdr:to>
          <xdr:col>26</xdr:col>
          <xdr:colOff>95416</xdr:colOff>
          <xdr:row>25</xdr:row>
          <xdr:rowOff>294198</xdr:rowOff>
        </xdr:to>
        <xdr:sp macro="" textlink="">
          <xdr:nvSpPr>
            <xdr:cNvPr id="65609" name="Check Box 73" hidden="1">
              <a:extLst>
                <a:ext uri="{63B3BB69-23CF-44E3-9099-C40C66FF867C}">
                  <a14:compatExt spid="_x0000_s65609"/>
                </a:ext>
                <a:ext uri="{FF2B5EF4-FFF2-40B4-BE49-F238E27FC236}">
                  <a16:creationId xmlns:a16="http://schemas.microsoft.com/office/drawing/2014/main" id="{00000000-0008-0000-1600-00004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25</xdr:row>
          <xdr:rowOff>95416</xdr:rowOff>
        </xdr:from>
        <xdr:to>
          <xdr:col>28</xdr:col>
          <xdr:colOff>79513</xdr:colOff>
          <xdr:row>25</xdr:row>
          <xdr:rowOff>294198</xdr:rowOff>
        </xdr:to>
        <xdr:sp macro="" textlink="">
          <xdr:nvSpPr>
            <xdr:cNvPr id="65610" name="Check Box 74" hidden="1">
              <a:extLst>
                <a:ext uri="{63B3BB69-23CF-44E3-9099-C40C66FF867C}">
                  <a14:compatExt spid="_x0000_s65610"/>
                </a:ext>
                <a:ext uri="{FF2B5EF4-FFF2-40B4-BE49-F238E27FC236}">
                  <a16:creationId xmlns:a16="http://schemas.microsoft.com/office/drawing/2014/main" id="{00000000-0008-0000-1600-00004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25</xdr:row>
          <xdr:rowOff>95416</xdr:rowOff>
        </xdr:from>
        <xdr:to>
          <xdr:col>24</xdr:col>
          <xdr:colOff>103367</xdr:colOff>
          <xdr:row>25</xdr:row>
          <xdr:rowOff>294198</xdr:rowOff>
        </xdr:to>
        <xdr:sp macro="" textlink="">
          <xdr:nvSpPr>
            <xdr:cNvPr id="65611" name="Check Box 75" hidden="1">
              <a:extLst>
                <a:ext uri="{63B3BB69-23CF-44E3-9099-C40C66FF867C}">
                  <a14:compatExt spid="_x0000_s65611"/>
                </a:ext>
                <a:ext uri="{FF2B5EF4-FFF2-40B4-BE49-F238E27FC236}">
                  <a16:creationId xmlns:a16="http://schemas.microsoft.com/office/drawing/2014/main" id="{00000000-0008-0000-1600-00004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26</xdr:row>
          <xdr:rowOff>55659</xdr:rowOff>
        </xdr:from>
        <xdr:to>
          <xdr:col>14</xdr:col>
          <xdr:colOff>95416</xdr:colOff>
          <xdr:row>26</xdr:row>
          <xdr:rowOff>254442</xdr:rowOff>
        </xdr:to>
        <xdr:sp macro="" textlink="">
          <xdr:nvSpPr>
            <xdr:cNvPr id="65612" name="Check Box 76" hidden="1">
              <a:extLst>
                <a:ext uri="{63B3BB69-23CF-44E3-9099-C40C66FF867C}">
                  <a14:compatExt spid="_x0000_s65612"/>
                </a:ext>
                <a:ext uri="{FF2B5EF4-FFF2-40B4-BE49-F238E27FC236}">
                  <a16:creationId xmlns:a16="http://schemas.microsoft.com/office/drawing/2014/main" id="{00000000-0008-0000-1600-00004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26</xdr:row>
          <xdr:rowOff>55659</xdr:rowOff>
        </xdr:from>
        <xdr:to>
          <xdr:col>16</xdr:col>
          <xdr:colOff>79513</xdr:colOff>
          <xdr:row>26</xdr:row>
          <xdr:rowOff>254442</xdr:rowOff>
        </xdr:to>
        <xdr:sp macro="" textlink="">
          <xdr:nvSpPr>
            <xdr:cNvPr id="65613" name="Check Box 77" hidden="1">
              <a:extLst>
                <a:ext uri="{63B3BB69-23CF-44E3-9099-C40C66FF867C}">
                  <a14:compatExt spid="_x0000_s65613"/>
                </a:ext>
                <a:ext uri="{FF2B5EF4-FFF2-40B4-BE49-F238E27FC236}">
                  <a16:creationId xmlns:a16="http://schemas.microsoft.com/office/drawing/2014/main" id="{00000000-0008-0000-1600-00004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26</xdr:row>
          <xdr:rowOff>55659</xdr:rowOff>
        </xdr:from>
        <xdr:to>
          <xdr:col>12</xdr:col>
          <xdr:colOff>103367</xdr:colOff>
          <xdr:row>26</xdr:row>
          <xdr:rowOff>254442</xdr:rowOff>
        </xdr:to>
        <xdr:sp macro="" textlink="">
          <xdr:nvSpPr>
            <xdr:cNvPr id="65614" name="Check Box 78" hidden="1">
              <a:extLst>
                <a:ext uri="{63B3BB69-23CF-44E3-9099-C40C66FF867C}">
                  <a14:compatExt spid="_x0000_s65614"/>
                </a:ext>
                <a:ext uri="{FF2B5EF4-FFF2-40B4-BE49-F238E27FC236}">
                  <a16:creationId xmlns:a16="http://schemas.microsoft.com/office/drawing/2014/main" id="{00000000-0008-0000-1600-00004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26</xdr:row>
          <xdr:rowOff>55659</xdr:rowOff>
        </xdr:from>
        <xdr:to>
          <xdr:col>20</xdr:col>
          <xdr:colOff>95416</xdr:colOff>
          <xdr:row>26</xdr:row>
          <xdr:rowOff>254442</xdr:rowOff>
        </xdr:to>
        <xdr:sp macro="" textlink="">
          <xdr:nvSpPr>
            <xdr:cNvPr id="65615" name="Check Box 79" hidden="1">
              <a:extLst>
                <a:ext uri="{63B3BB69-23CF-44E3-9099-C40C66FF867C}">
                  <a14:compatExt spid="_x0000_s65615"/>
                </a:ext>
                <a:ext uri="{FF2B5EF4-FFF2-40B4-BE49-F238E27FC236}">
                  <a16:creationId xmlns:a16="http://schemas.microsoft.com/office/drawing/2014/main" id="{00000000-0008-0000-1600-00004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26</xdr:row>
          <xdr:rowOff>55659</xdr:rowOff>
        </xdr:from>
        <xdr:to>
          <xdr:col>22</xdr:col>
          <xdr:colOff>79513</xdr:colOff>
          <xdr:row>26</xdr:row>
          <xdr:rowOff>254442</xdr:rowOff>
        </xdr:to>
        <xdr:sp macro="" textlink="">
          <xdr:nvSpPr>
            <xdr:cNvPr id="65616" name="Check Box 80" hidden="1">
              <a:extLst>
                <a:ext uri="{63B3BB69-23CF-44E3-9099-C40C66FF867C}">
                  <a14:compatExt spid="_x0000_s65616"/>
                </a:ext>
                <a:ext uri="{FF2B5EF4-FFF2-40B4-BE49-F238E27FC236}">
                  <a16:creationId xmlns:a16="http://schemas.microsoft.com/office/drawing/2014/main" id="{00000000-0008-0000-1600-00005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26</xdr:row>
          <xdr:rowOff>55659</xdr:rowOff>
        </xdr:from>
        <xdr:to>
          <xdr:col>18</xdr:col>
          <xdr:colOff>103367</xdr:colOff>
          <xdr:row>26</xdr:row>
          <xdr:rowOff>254442</xdr:rowOff>
        </xdr:to>
        <xdr:sp macro="" textlink="">
          <xdr:nvSpPr>
            <xdr:cNvPr id="65617" name="Check Box 81" hidden="1">
              <a:extLst>
                <a:ext uri="{63B3BB69-23CF-44E3-9099-C40C66FF867C}">
                  <a14:compatExt spid="_x0000_s65617"/>
                </a:ext>
                <a:ext uri="{FF2B5EF4-FFF2-40B4-BE49-F238E27FC236}">
                  <a16:creationId xmlns:a16="http://schemas.microsoft.com/office/drawing/2014/main" id="{00000000-0008-0000-1600-00005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26</xdr:row>
          <xdr:rowOff>55659</xdr:rowOff>
        </xdr:from>
        <xdr:to>
          <xdr:col>26</xdr:col>
          <xdr:colOff>95416</xdr:colOff>
          <xdr:row>26</xdr:row>
          <xdr:rowOff>254442</xdr:rowOff>
        </xdr:to>
        <xdr:sp macro="" textlink="">
          <xdr:nvSpPr>
            <xdr:cNvPr id="65618" name="Check Box 82" hidden="1">
              <a:extLst>
                <a:ext uri="{63B3BB69-23CF-44E3-9099-C40C66FF867C}">
                  <a14:compatExt spid="_x0000_s65618"/>
                </a:ext>
                <a:ext uri="{FF2B5EF4-FFF2-40B4-BE49-F238E27FC236}">
                  <a16:creationId xmlns:a16="http://schemas.microsoft.com/office/drawing/2014/main" id="{00000000-0008-0000-1600-00005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26</xdr:row>
          <xdr:rowOff>55659</xdr:rowOff>
        </xdr:from>
        <xdr:to>
          <xdr:col>28</xdr:col>
          <xdr:colOff>79513</xdr:colOff>
          <xdr:row>26</xdr:row>
          <xdr:rowOff>254442</xdr:rowOff>
        </xdr:to>
        <xdr:sp macro="" textlink="">
          <xdr:nvSpPr>
            <xdr:cNvPr id="65619" name="Check Box 83" hidden="1">
              <a:extLst>
                <a:ext uri="{63B3BB69-23CF-44E3-9099-C40C66FF867C}">
                  <a14:compatExt spid="_x0000_s65619"/>
                </a:ext>
                <a:ext uri="{FF2B5EF4-FFF2-40B4-BE49-F238E27FC236}">
                  <a16:creationId xmlns:a16="http://schemas.microsoft.com/office/drawing/2014/main" id="{00000000-0008-0000-1600-00005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26</xdr:row>
          <xdr:rowOff>55659</xdr:rowOff>
        </xdr:from>
        <xdr:to>
          <xdr:col>24</xdr:col>
          <xdr:colOff>103367</xdr:colOff>
          <xdr:row>26</xdr:row>
          <xdr:rowOff>254442</xdr:rowOff>
        </xdr:to>
        <xdr:sp macro="" textlink="">
          <xdr:nvSpPr>
            <xdr:cNvPr id="65620" name="Check Box 84" hidden="1">
              <a:extLst>
                <a:ext uri="{63B3BB69-23CF-44E3-9099-C40C66FF867C}">
                  <a14:compatExt spid="_x0000_s65620"/>
                </a:ext>
                <a:ext uri="{FF2B5EF4-FFF2-40B4-BE49-F238E27FC236}">
                  <a16:creationId xmlns:a16="http://schemas.microsoft.com/office/drawing/2014/main" id="{00000000-0008-0000-1600-00005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27</xdr:row>
          <xdr:rowOff>111318</xdr:rowOff>
        </xdr:from>
        <xdr:to>
          <xdr:col>14</xdr:col>
          <xdr:colOff>95416</xdr:colOff>
          <xdr:row>27</xdr:row>
          <xdr:rowOff>333955</xdr:rowOff>
        </xdr:to>
        <xdr:sp macro="" textlink="">
          <xdr:nvSpPr>
            <xdr:cNvPr id="65621" name="Check Box 85" hidden="1">
              <a:extLst>
                <a:ext uri="{63B3BB69-23CF-44E3-9099-C40C66FF867C}">
                  <a14:compatExt spid="_x0000_s65621"/>
                </a:ext>
                <a:ext uri="{FF2B5EF4-FFF2-40B4-BE49-F238E27FC236}">
                  <a16:creationId xmlns:a16="http://schemas.microsoft.com/office/drawing/2014/main" id="{00000000-0008-0000-1600-00005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27</xdr:row>
          <xdr:rowOff>111318</xdr:rowOff>
        </xdr:from>
        <xdr:to>
          <xdr:col>16</xdr:col>
          <xdr:colOff>79513</xdr:colOff>
          <xdr:row>27</xdr:row>
          <xdr:rowOff>333955</xdr:rowOff>
        </xdr:to>
        <xdr:sp macro="" textlink="">
          <xdr:nvSpPr>
            <xdr:cNvPr id="65622" name="Check Box 86" hidden="1">
              <a:extLst>
                <a:ext uri="{63B3BB69-23CF-44E3-9099-C40C66FF867C}">
                  <a14:compatExt spid="_x0000_s65622"/>
                </a:ext>
                <a:ext uri="{FF2B5EF4-FFF2-40B4-BE49-F238E27FC236}">
                  <a16:creationId xmlns:a16="http://schemas.microsoft.com/office/drawing/2014/main" id="{00000000-0008-0000-1600-00005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27</xdr:row>
          <xdr:rowOff>111318</xdr:rowOff>
        </xdr:from>
        <xdr:to>
          <xdr:col>12</xdr:col>
          <xdr:colOff>103367</xdr:colOff>
          <xdr:row>27</xdr:row>
          <xdr:rowOff>333955</xdr:rowOff>
        </xdr:to>
        <xdr:sp macro="" textlink="">
          <xdr:nvSpPr>
            <xdr:cNvPr id="65623" name="Check Box 87" hidden="1">
              <a:extLst>
                <a:ext uri="{63B3BB69-23CF-44E3-9099-C40C66FF867C}">
                  <a14:compatExt spid="_x0000_s65623"/>
                </a:ext>
                <a:ext uri="{FF2B5EF4-FFF2-40B4-BE49-F238E27FC236}">
                  <a16:creationId xmlns:a16="http://schemas.microsoft.com/office/drawing/2014/main" id="{00000000-0008-0000-1600-00005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27</xdr:row>
          <xdr:rowOff>111318</xdr:rowOff>
        </xdr:from>
        <xdr:to>
          <xdr:col>20</xdr:col>
          <xdr:colOff>95416</xdr:colOff>
          <xdr:row>27</xdr:row>
          <xdr:rowOff>333955</xdr:rowOff>
        </xdr:to>
        <xdr:sp macro="" textlink="">
          <xdr:nvSpPr>
            <xdr:cNvPr id="65624" name="Check Box 88" hidden="1">
              <a:extLst>
                <a:ext uri="{63B3BB69-23CF-44E3-9099-C40C66FF867C}">
                  <a14:compatExt spid="_x0000_s65624"/>
                </a:ext>
                <a:ext uri="{FF2B5EF4-FFF2-40B4-BE49-F238E27FC236}">
                  <a16:creationId xmlns:a16="http://schemas.microsoft.com/office/drawing/2014/main" id="{00000000-0008-0000-1600-00005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27</xdr:row>
          <xdr:rowOff>111318</xdr:rowOff>
        </xdr:from>
        <xdr:to>
          <xdr:col>22</xdr:col>
          <xdr:colOff>79513</xdr:colOff>
          <xdr:row>27</xdr:row>
          <xdr:rowOff>333955</xdr:rowOff>
        </xdr:to>
        <xdr:sp macro="" textlink="">
          <xdr:nvSpPr>
            <xdr:cNvPr id="65625" name="Check Box 89" hidden="1">
              <a:extLst>
                <a:ext uri="{63B3BB69-23CF-44E3-9099-C40C66FF867C}">
                  <a14:compatExt spid="_x0000_s65625"/>
                </a:ext>
                <a:ext uri="{FF2B5EF4-FFF2-40B4-BE49-F238E27FC236}">
                  <a16:creationId xmlns:a16="http://schemas.microsoft.com/office/drawing/2014/main" id="{00000000-0008-0000-1600-00005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27</xdr:row>
          <xdr:rowOff>111318</xdr:rowOff>
        </xdr:from>
        <xdr:to>
          <xdr:col>18</xdr:col>
          <xdr:colOff>103367</xdr:colOff>
          <xdr:row>27</xdr:row>
          <xdr:rowOff>333955</xdr:rowOff>
        </xdr:to>
        <xdr:sp macro="" textlink="">
          <xdr:nvSpPr>
            <xdr:cNvPr id="65626" name="Check Box 90" hidden="1">
              <a:extLst>
                <a:ext uri="{63B3BB69-23CF-44E3-9099-C40C66FF867C}">
                  <a14:compatExt spid="_x0000_s65626"/>
                </a:ext>
                <a:ext uri="{FF2B5EF4-FFF2-40B4-BE49-F238E27FC236}">
                  <a16:creationId xmlns:a16="http://schemas.microsoft.com/office/drawing/2014/main" id="{00000000-0008-0000-1600-00005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27</xdr:row>
          <xdr:rowOff>111318</xdr:rowOff>
        </xdr:from>
        <xdr:to>
          <xdr:col>26</xdr:col>
          <xdr:colOff>95416</xdr:colOff>
          <xdr:row>27</xdr:row>
          <xdr:rowOff>333955</xdr:rowOff>
        </xdr:to>
        <xdr:sp macro="" textlink="">
          <xdr:nvSpPr>
            <xdr:cNvPr id="65627" name="Check Box 91" hidden="1">
              <a:extLst>
                <a:ext uri="{63B3BB69-23CF-44E3-9099-C40C66FF867C}">
                  <a14:compatExt spid="_x0000_s65627"/>
                </a:ext>
                <a:ext uri="{FF2B5EF4-FFF2-40B4-BE49-F238E27FC236}">
                  <a16:creationId xmlns:a16="http://schemas.microsoft.com/office/drawing/2014/main" id="{00000000-0008-0000-1600-00005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27</xdr:row>
          <xdr:rowOff>111318</xdr:rowOff>
        </xdr:from>
        <xdr:to>
          <xdr:col>28</xdr:col>
          <xdr:colOff>79513</xdr:colOff>
          <xdr:row>27</xdr:row>
          <xdr:rowOff>333955</xdr:rowOff>
        </xdr:to>
        <xdr:sp macro="" textlink="">
          <xdr:nvSpPr>
            <xdr:cNvPr id="65628" name="Check Box 92" hidden="1">
              <a:extLst>
                <a:ext uri="{63B3BB69-23CF-44E3-9099-C40C66FF867C}">
                  <a14:compatExt spid="_x0000_s65628"/>
                </a:ext>
                <a:ext uri="{FF2B5EF4-FFF2-40B4-BE49-F238E27FC236}">
                  <a16:creationId xmlns:a16="http://schemas.microsoft.com/office/drawing/2014/main" id="{00000000-0008-0000-1600-00005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27</xdr:row>
          <xdr:rowOff>111318</xdr:rowOff>
        </xdr:from>
        <xdr:to>
          <xdr:col>24</xdr:col>
          <xdr:colOff>103367</xdr:colOff>
          <xdr:row>27</xdr:row>
          <xdr:rowOff>333955</xdr:rowOff>
        </xdr:to>
        <xdr:sp macro="" textlink="">
          <xdr:nvSpPr>
            <xdr:cNvPr id="65629" name="Check Box 93" hidden="1">
              <a:extLst>
                <a:ext uri="{63B3BB69-23CF-44E3-9099-C40C66FF867C}">
                  <a14:compatExt spid="_x0000_s65629"/>
                </a:ext>
                <a:ext uri="{FF2B5EF4-FFF2-40B4-BE49-F238E27FC236}">
                  <a16:creationId xmlns:a16="http://schemas.microsoft.com/office/drawing/2014/main" id="{00000000-0008-0000-1600-00005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28</xdr:row>
          <xdr:rowOff>103367</xdr:rowOff>
        </xdr:from>
        <xdr:to>
          <xdr:col>14</xdr:col>
          <xdr:colOff>95416</xdr:colOff>
          <xdr:row>28</xdr:row>
          <xdr:rowOff>326003</xdr:rowOff>
        </xdr:to>
        <xdr:sp macro="" textlink="">
          <xdr:nvSpPr>
            <xdr:cNvPr id="65630" name="Check Box 94" hidden="1">
              <a:extLst>
                <a:ext uri="{63B3BB69-23CF-44E3-9099-C40C66FF867C}">
                  <a14:compatExt spid="_x0000_s65630"/>
                </a:ext>
                <a:ext uri="{FF2B5EF4-FFF2-40B4-BE49-F238E27FC236}">
                  <a16:creationId xmlns:a16="http://schemas.microsoft.com/office/drawing/2014/main" id="{00000000-0008-0000-1600-00005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28</xdr:row>
          <xdr:rowOff>103367</xdr:rowOff>
        </xdr:from>
        <xdr:to>
          <xdr:col>16</xdr:col>
          <xdr:colOff>79513</xdr:colOff>
          <xdr:row>28</xdr:row>
          <xdr:rowOff>326003</xdr:rowOff>
        </xdr:to>
        <xdr:sp macro="" textlink="">
          <xdr:nvSpPr>
            <xdr:cNvPr id="65631" name="Check Box 95" hidden="1">
              <a:extLst>
                <a:ext uri="{63B3BB69-23CF-44E3-9099-C40C66FF867C}">
                  <a14:compatExt spid="_x0000_s65631"/>
                </a:ext>
                <a:ext uri="{FF2B5EF4-FFF2-40B4-BE49-F238E27FC236}">
                  <a16:creationId xmlns:a16="http://schemas.microsoft.com/office/drawing/2014/main" id="{00000000-0008-0000-1600-00005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28</xdr:row>
          <xdr:rowOff>103367</xdr:rowOff>
        </xdr:from>
        <xdr:to>
          <xdr:col>12</xdr:col>
          <xdr:colOff>103367</xdr:colOff>
          <xdr:row>28</xdr:row>
          <xdr:rowOff>326003</xdr:rowOff>
        </xdr:to>
        <xdr:sp macro="" textlink="">
          <xdr:nvSpPr>
            <xdr:cNvPr id="65632" name="Check Box 96" hidden="1">
              <a:extLst>
                <a:ext uri="{63B3BB69-23CF-44E3-9099-C40C66FF867C}">
                  <a14:compatExt spid="_x0000_s65632"/>
                </a:ext>
                <a:ext uri="{FF2B5EF4-FFF2-40B4-BE49-F238E27FC236}">
                  <a16:creationId xmlns:a16="http://schemas.microsoft.com/office/drawing/2014/main" id="{00000000-0008-0000-1600-00006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28</xdr:row>
          <xdr:rowOff>103367</xdr:rowOff>
        </xdr:from>
        <xdr:to>
          <xdr:col>20</xdr:col>
          <xdr:colOff>95416</xdr:colOff>
          <xdr:row>28</xdr:row>
          <xdr:rowOff>326003</xdr:rowOff>
        </xdr:to>
        <xdr:sp macro="" textlink="">
          <xdr:nvSpPr>
            <xdr:cNvPr id="65633" name="Check Box 97" hidden="1">
              <a:extLst>
                <a:ext uri="{63B3BB69-23CF-44E3-9099-C40C66FF867C}">
                  <a14:compatExt spid="_x0000_s65633"/>
                </a:ext>
                <a:ext uri="{FF2B5EF4-FFF2-40B4-BE49-F238E27FC236}">
                  <a16:creationId xmlns:a16="http://schemas.microsoft.com/office/drawing/2014/main" id="{00000000-0008-0000-1600-00006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28</xdr:row>
          <xdr:rowOff>103367</xdr:rowOff>
        </xdr:from>
        <xdr:to>
          <xdr:col>22</xdr:col>
          <xdr:colOff>79513</xdr:colOff>
          <xdr:row>28</xdr:row>
          <xdr:rowOff>326003</xdr:rowOff>
        </xdr:to>
        <xdr:sp macro="" textlink="">
          <xdr:nvSpPr>
            <xdr:cNvPr id="65634" name="Check Box 98" hidden="1">
              <a:extLst>
                <a:ext uri="{63B3BB69-23CF-44E3-9099-C40C66FF867C}">
                  <a14:compatExt spid="_x0000_s65634"/>
                </a:ext>
                <a:ext uri="{FF2B5EF4-FFF2-40B4-BE49-F238E27FC236}">
                  <a16:creationId xmlns:a16="http://schemas.microsoft.com/office/drawing/2014/main" id="{00000000-0008-0000-1600-00006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28</xdr:row>
          <xdr:rowOff>103367</xdr:rowOff>
        </xdr:from>
        <xdr:to>
          <xdr:col>18</xdr:col>
          <xdr:colOff>103367</xdr:colOff>
          <xdr:row>28</xdr:row>
          <xdr:rowOff>326003</xdr:rowOff>
        </xdr:to>
        <xdr:sp macro="" textlink="">
          <xdr:nvSpPr>
            <xdr:cNvPr id="65635" name="Check Box 99" hidden="1">
              <a:extLst>
                <a:ext uri="{63B3BB69-23CF-44E3-9099-C40C66FF867C}">
                  <a14:compatExt spid="_x0000_s65635"/>
                </a:ext>
                <a:ext uri="{FF2B5EF4-FFF2-40B4-BE49-F238E27FC236}">
                  <a16:creationId xmlns:a16="http://schemas.microsoft.com/office/drawing/2014/main" id="{00000000-0008-0000-1600-00006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28</xdr:row>
          <xdr:rowOff>103367</xdr:rowOff>
        </xdr:from>
        <xdr:to>
          <xdr:col>26</xdr:col>
          <xdr:colOff>95416</xdr:colOff>
          <xdr:row>28</xdr:row>
          <xdr:rowOff>326003</xdr:rowOff>
        </xdr:to>
        <xdr:sp macro="" textlink="">
          <xdr:nvSpPr>
            <xdr:cNvPr id="65636" name="Check Box 100" hidden="1">
              <a:extLst>
                <a:ext uri="{63B3BB69-23CF-44E3-9099-C40C66FF867C}">
                  <a14:compatExt spid="_x0000_s65636"/>
                </a:ext>
                <a:ext uri="{FF2B5EF4-FFF2-40B4-BE49-F238E27FC236}">
                  <a16:creationId xmlns:a16="http://schemas.microsoft.com/office/drawing/2014/main" id="{00000000-0008-0000-1600-00006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28</xdr:row>
          <xdr:rowOff>103367</xdr:rowOff>
        </xdr:from>
        <xdr:to>
          <xdr:col>28</xdr:col>
          <xdr:colOff>79513</xdr:colOff>
          <xdr:row>28</xdr:row>
          <xdr:rowOff>326003</xdr:rowOff>
        </xdr:to>
        <xdr:sp macro="" textlink="">
          <xdr:nvSpPr>
            <xdr:cNvPr id="65637" name="Check Box 101" hidden="1">
              <a:extLst>
                <a:ext uri="{63B3BB69-23CF-44E3-9099-C40C66FF867C}">
                  <a14:compatExt spid="_x0000_s65637"/>
                </a:ext>
                <a:ext uri="{FF2B5EF4-FFF2-40B4-BE49-F238E27FC236}">
                  <a16:creationId xmlns:a16="http://schemas.microsoft.com/office/drawing/2014/main" id="{00000000-0008-0000-1600-00006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28</xdr:row>
          <xdr:rowOff>103367</xdr:rowOff>
        </xdr:from>
        <xdr:to>
          <xdr:col>24</xdr:col>
          <xdr:colOff>103367</xdr:colOff>
          <xdr:row>28</xdr:row>
          <xdr:rowOff>326003</xdr:rowOff>
        </xdr:to>
        <xdr:sp macro="" textlink="">
          <xdr:nvSpPr>
            <xdr:cNvPr id="65638" name="Check Box 102" hidden="1">
              <a:extLst>
                <a:ext uri="{63B3BB69-23CF-44E3-9099-C40C66FF867C}">
                  <a14:compatExt spid="_x0000_s65638"/>
                </a:ext>
                <a:ext uri="{FF2B5EF4-FFF2-40B4-BE49-F238E27FC236}">
                  <a16:creationId xmlns:a16="http://schemas.microsoft.com/office/drawing/2014/main" id="{00000000-0008-0000-1600-00006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29</xdr:row>
          <xdr:rowOff>31805</xdr:rowOff>
        </xdr:from>
        <xdr:to>
          <xdr:col>14</xdr:col>
          <xdr:colOff>95416</xdr:colOff>
          <xdr:row>30</xdr:row>
          <xdr:rowOff>15903</xdr:rowOff>
        </xdr:to>
        <xdr:sp macro="" textlink="">
          <xdr:nvSpPr>
            <xdr:cNvPr id="65639" name="Check Box 103" hidden="1">
              <a:extLst>
                <a:ext uri="{63B3BB69-23CF-44E3-9099-C40C66FF867C}">
                  <a14:compatExt spid="_x0000_s65639"/>
                </a:ext>
                <a:ext uri="{FF2B5EF4-FFF2-40B4-BE49-F238E27FC236}">
                  <a16:creationId xmlns:a16="http://schemas.microsoft.com/office/drawing/2014/main" id="{00000000-0008-0000-1600-00006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29</xdr:row>
          <xdr:rowOff>31805</xdr:rowOff>
        </xdr:from>
        <xdr:to>
          <xdr:col>16</xdr:col>
          <xdr:colOff>79513</xdr:colOff>
          <xdr:row>30</xdr:row>
          <xdr:rowOff>15903</xdr:rowOff>
        </xdr:to>
        <xdr:sp macro="" textlink="">
          <xdr:nvSpPr>
            <xdr:cNvPr id="65640" name="Check Box 104" hidden="1">
              <a:extLst>
                <a:ext uri="{63B3BB69-23CF-44E3-9099-C40C66FF867C}">
                  <a14:compatExt spid="_x0000_s65640"/>
                </a:ext>
                <a:ext uri="{FF2B5EF4-FFF2-40B4-BE49-F238E27FC236}">
                  <a16:creationId xmlns:a16="http://schemas.microsoft.com/office/drawing/2014/main" id="{00000000-0008-0000-1600-00006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29</xdr:row>
          <xdr:rowOff>31805</xdr:rowOff>
        </xdr:from>
        <xdr:to>
          <xdr:col>12</xdr:col>
          <xdr:colOff>103367</xdr:colOff>
          <xdr:row>30</xdr:row>
          <xdr:rowOff>15903</xdr:rowOff>
        </xdr:to>
        <xdr:sp macro="" textlink="">
          <xdr:nvSpPr>
            <xdr:cNvPr id="65641" name="Check Box 105" hidden="1">
              <a:extLst>
                <a:ext uri="{63B3BB69-23CF-44E3-9099-C40C66FF867C}">
                  <a14:compatExt spid="_x0000_s65641"/>
                </a:ext>
                <a:ext uri="{FF2B5EF4-FFF2-40B4-BE49-F238E27FC236}">
                  <a16:creationId xmlns:a16="http://schemas.microsoft.com/office/drawing/2014/main" id="{00000000-0008-0000-1600-00006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29</xdr:row>
          <xdr:rowOff>31805</xdr:rowOff>
        </xdr:from>
        <xdr:to>
          <xdr:col>20</xdr:col>
          <xdr:colOff>95416</xdr:colOff>
          <xdr:row>30</xdr:row>
          <xdr:rowOff>15903</xdr:rowOff>
        </xdr:to>
        <xdr:sp macro="" textlink="">
          <xdr:nvSpPr>
            <xdr:cNvPr id="65642" name="Check Box 106" hidden="1">
              <a:extLst>
                <a:ext uri="{63B3BB69-23CF-44E3-9099-C40C66FF867C}">
                  <a14:compatExt spid="_x0000_s65642"/>
                </a:ext>
                <a:ext uri="{FF2B5EF4-FFF2-40B4-BE49-F238E27FC236}">
                  <a16:creationId xmlns:a16="http://schemas.microsoft.com/office/drawing/2014/main" id="{00000000-0008-0000-1600-00006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29</xdr:row>
          <xdr:rowOff>31805</xdr:rowOff>
        </xdr:from>
        <xdr:to>
          <xdr:col>22</xdr:col>
          <xdr:colOff>79513</xdr:colOff>
          <xdr:row>30</xdr:row>
          <xdr:rowOff>15903</xdr:rowOff>
        </xdr:to>
        <xdr:sp macro="" textlink="">
          <xdr:nvSpPr>
            <xdr:cNvPr id="65643" name="Check Box 107" hidden="1">
              <a:extLst>
                <a:ext uri="{63B3BB69-23CF-44E3-9099-C40C66FF867C}">
                  <a14:compatExt spid="_x0000_s65643"/>
                </a:ext>
                <a:ext uri="{FF2B5EF4-FFF2-40B4-BE49-F238E27FC236}">
                  <a16:creationId xmlns:a16="http://schemas.microsoft.com/office/drawing/2014/main" id="{00000000-0008-0000-1600-00006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29</xdr:row>
          <xdr:rowOff>31805</xdr:rowOff>
        </xdr:from>
        <xdr:to>
          <xdr:col>18</xdr:col>
          <xdr:colOff>103367</xdr:colOff>
          <xdr:row>30</xdr:row>
          <xdr:rowOff>15903</xdr:rowOff>
        </xdr:to>
        <xdr:sp macro="" textlink="">
          <xdr:nvSpPr>
            <xdr:cNvPr id="65644" name="Check Box 108" hidden="1">
              <a:extLst>
                <a:ext uri="{63B3BB69-23CF-44E3-9099-C40C66FF867C}">
                  <a14:compatExt spid="_x0000_s65644"/>
                </a:ext>
                <a:ext uri="{FF2B5EF4-FFF2-40B4-BE49-F238E27FC236}">
                  <a16:creationId xmlns:a16="http://schemas.microsoft.com/office/drawing/2014/main" id="{00000000-0008-0000-1600-00006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29</xdr:row>
          <xdr:rowOff>31805</xdr:rowOff>
        </xdr:from>
        <xdr:to>
          <xdr:col>26</xdr:col>
          <xdr:colOff>95416</xdr:colOff>
          <xdr:row>30</xdr:row>
          <xdr:rowOff>15903</xdr:rowOff>
        </xdr:to>
        <xdr:sp macro="" textlink="">
          <xdr:nvSpPr>
            <xdr:cNvPr id="65645" name="Check Box 109" hidden="1">
              <a:extLst>
                <a:ext uri="{63B3BB69-23CF-44E3-9099-C40C66FF867C}">
                  <a14:compatExt spid="_x0000_s65645"/>
                </a:ext>
                <a:ext uri="{FF2B5EF4-FFF2-40B4-BE49-F238E27FC236}">
                  <a16:creationId xmlns:a16="http://schemas.microsoft.com/office/drawing/2014/main" id="{00000000-0008-0000-1600-00006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29</xdr:row>
          <xdr:rowOff>31805</xdr:rowOff>
        </xdr:from>
        <xdr:to>
          <xdr:col>28</xdr:col>
          <xdr:colOff>79513</xdr:colOff>
          <xdr:row>30</xdr:row>
          <xdr:rowOff>15903</xdr:rowOff>
        </xdr:to>
        <xdr:sp macro="" textlink="">
          <xdr:nvSpPr>
            <xdr:cNvPr id="65646" name="Check Box 110" hidden="1">
              <a:extLst>
                <a:ext uri="{63B3BB69-23CF-44E3-9099-C40C66FF867C}">
                  <a14:compatExt spid="_x0000_s65646"/>
                </a:ext>
                <a:ext uri="{FF2B5EF4-FFF2-40B4-BE49-F238E27FC236}">
                  <a16:creationId xmlns:a16="http://schemas.microsoft.com/office/drawing/2014/main" id="{00000000-0008-0000-1600-00006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29</xdr:row>
          <xdr:rowOff>31805</xdr:rowOff>
        </xdr:from>
        <xdr:to>
          <xdr:col>24</xdr:col>
          <xdr:colOff>103367</xdr:colOff>
          <xdr:row>30</xdr:row>
          <xdr:rowOff>15903</xdr:rowOff>
        </xdr:to>
        <xdr:sp macro="" textlink="">
          <xdr:nvSpPr>
            <xdr:cNvPr id="65647" name="Check Box 111" hidden="1">
              <a:extLst>
                <a:ext uri="{63B3BB69-23CF-44E3-9099-C40C66FF867C}">
                  <a14:compatExt spid="_x0000_s65647"/>
                </a:ext>
                <a:ext uri="{FF2B5EF4-FFF2-40B4-BE49-F238E27FC236}">
                  <a16:creationId xmlns:a16="http://schemas.microsoft.com/office/drawing/2014/main" id="{00000000-0008-0000-1600-00006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30</xdr:row>
          <xdr:rowOff>55659</xdr:rowOff>
        </xdr:from>
        <xdr:to>
          <xdr:col>14</xdr:col>
          <xdr:colOff>95416</xdr:colOff>
          <xdr:row>30</xdr:row>
          <xdr:rowOff>254442</xdr:rowOff>
        </xdr:to>
        <xdr:sp macro="" textlink="">
          <xdr:nvSpPr>
            <xdr:cNvPr id="65648" name="Check Box 112" hidden="1">
              <a:extLst>
                <a:ext uri="{63B3BB69-23CF-44E3-9099-C40C66FF867C}">
                  <a14:compatExt spid="_x0000_s65648"/>
                </a:ext>
                <a:ext uri="{FF2B5EF4-FFF2-40B4-BE49-F238E27FC236}">
                  <a16:creationId xmlns:a16="http://schemas.microsoft.com/office/drawing/2014/main" id="{00000000-0008-0000-1600-00007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30</xdr:row>
          <xdr:rowOff>55659</xdr:rowOff>
        </xdr:from>
        <xdr:to>
          <xdr:col>16</xdr:col>
          <xdr:colOff>79513</xdr:colOff>
          <xdr:row>30</xdr:row>
          <xdr:rowOff>254442</xdr:rowOff>
        </xdr:to>
        <xdr:sp macro="" textlink="">
          <xdr:nvSpPr>
            <xdr:cNvPr id="65649" name="Check Box 113" hidden="1">
              <a:extLst>
                <a:ext uri="{63B3BB69-23CF-44E3-9099-C40C66FF867C}">
                  <a14:compatExt spid="_x0000_s65649"/>
                </a:ext>
                <a:ext uri="{FF2B5EF4-FFF2-40B4-BE49-F238E27FC236}">
                  <a16:creationId xmlns:a16="http://schemas.microsoft.com/office/drawing/2014/main" id="{00000000-0008-0000-1600-00007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30</xdr:row>
          <xdr:rowOff>55659</xdr:rowOff>
        </xdr:from>
        <xdr:to>
          <xdr:col>12</xdr:col>
          <xdr:colOff>103367</xdr:colOff>
          <xdr:row>30</xdr:row>
          <xdr:rowOff>254442</xdr:rowOff>
        </xdr:to>
        <xdr:sp macro="" textlink="">
          <xdr:nvSpPr>
            <xdr:cNvPr id="65650" name="Check Box 114" hidden="1">
              <a:extLst>
                <a:ext uri="{63B3BB69-23CF-44E3-9099-C40C66FF867C}">
                  <a14:compatExt spid="_x0000_s65650"/>
                </a:ext>
                <a:ext uri="{FF2B5EF4-FFF2-40B4-BE49-F238E27FC236}">
                  <a16:creationId xmlns:a16="http://schemas.microsoft.com/office/drawing/2014/main" id="{00000000-0008-0000-1600-00007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30</xdr:row>
          <xdr:rowOff>55659</xdr:rowOff>
        </xdr:from>
        <xdr:to>
          <xdr:col>20</xdr:col>
          <xdr:colOff>95416</xdr:colOff>
          <xdr:row>30</xdr:row>
          <xdr:rowOff>254442</xdr:rowOff>
        </xdr:to>
        <xdr:sp macro="" textlink="">
          <xdr:nvSpPr>
            <xdr:cNvPr id="65651" name="Check Box 115" hidden="1">
              <a:extLst>
                <a:ext uri="{63B3BB69-23CF-44E3-9099-C40C66FF867C}">
                  <a14:compatExt spid="_x0000_s65651"/>
                </a:ext>
                <a:ext uri="{FF2B5EF4-FFF2-40B4-BE49-F238E27FC236}">
                  <a16:creationId xmlns:a16="http://schemas.microsoft.com/office/drawing/2014/main" id="{00000000-0008-0000-1600-00007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30</xdr:row>
          <xdr:rowOff>55659</xdr:rowOff>
        </xdr:from>
        <xdr:to>
          <xdr:col>22</xdr:col>
          <xdr:colOff>79513</xdr:colOff>
          <xdr:row>30</xdr:row>
          <xdr:rowOff>254442</xdr:rowOff>
        </xdr:to>
        <xdr:sp macro="" textlink="">
          <xdr:nvSpPr>
            <xdr:cNvPr id="65652" name="Check Box 116" hidden="1">
              <a:extLst>
                <a:ext uri="{63B3BB69-23CF-44E3-9099-C40C66FF867C}">
                  <a14:compatExt spid="_x0000_s65652"/>
                </a:ext>
                <a:ext uri="{FF2B5EF4-FFF2-40B4-BE49-F238E27FC236}">
                  <a16:creationId xmlns:a16="http://schemas.microsoft.com/office/drawing/2014/main" id="{00000000-0008-0000-1600-00007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30</xdr:row>
          <xdr:rowOff>55659</xdr:rowOff>
        </xdr:from>
        <xdr:to>
          <xdr:col>18</xdr:col>
          <xdr:colOff>103367</xdr:colOff>
          <xdr:row>30</xdr:row>
          <xdr:rowOff>254442</xdr:rowOff>
        </xdr:to>
        <xdr:sp macro="" textlink="">
          <xdr:nvSpPr>
            <xdr:cNvPr id="65653" name="Check Box 117" hidden="1">
              <a:extLst>
                <a:ext uri="{63B3BB69-23CF-44E3-9099-C40C66FF867C}">
                  <a14:compatExt spid="_x0000_s65653"/>
                </a:ext>
                <a:ext uri="{FF2B5EF4-FFF2-40B4-BE49-F238E27FC236}">
                  <a16:creationId xmlns:a16="http://schemas.microsoft.com/office/drawing/2014/main" id="{00000000-0008-0000-1600-00007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30</xdr:row>
          <xdr:rowOff>55659</xdr:rowOff>
        </xdr:from>
        <xdr:to>
          <xdr:col>26</xdr:col>
          <xdr:colOff>95416</xdr:colOff>
          <xdr:row>30</xdr:row>
          <xdr:rowOff>254442</xdr:rowOff>
        </xdr:to>
        <xdr:sp macro="" textlink="">
          <xdr:nvSpPr>
            <xdr:cNvPr id="65654" name="Check Box 118" hidden="1">
              <a:extLst>
                <a:ext uri="{63B3BB69-23CF-44E3-9099-C40C66FF867C}">
                  <a14:compatExt spid="_x0000_s65654"/>
                </a:ext>
                <a:ext uri="{FF2B5EF4-FFF2-40B4-BE49-F238E27FC236}">
                  <a16:creationId xmlns:a16="http://schemas.microsoft.com/office/drawing/2014/main" id="{00000000-0008-0000-1600-00007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30</xdr:row>
          <xdr:rowOff>55659</xdr:rowOff>
        </xdr:from>
        <xdr:to>
          <xdr:col>28</xdr:col>
          <xdr:colOff>79513</xdr:colOff>
          <xdr:row>30</xdr:row>
          <xdr:rowOff>254442</xdr:rowOff>
        </xdr:to>
        <xdr:sp macro="" textlink="">
          <xdr:nvSpPr>
            <xdr:cNvPr id="65655" name="Check Box 119" hidden="1">
              <a:extLst>
                <a:ext uri="{63B3BB69-23CF-44E3-9099-C40C66FF867C}">
                  <a14:compatExt spid="_x0000_s65655"/>
                </a:ext>
                <a:ext uri="{FF2B5EF4-FFF2-40B4-BE49-F238E27FC236}">
                  <a16:creationId xmlns:a16="http://schemas.microsoft.com/office/drawing/2014/main" id="{00000000-0008-0000-1600-00007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30</xdr:row>
          <xdr:rowOff>55659</xdr:rowOff>
        </xdr:from>
        <xdr:to>
          <xdr:col>24</xdr:col>
          <xdr:colOff>103367</xdr:colOff>
          <xdr:row>30</xdr:row>
          <xdr:rowOff>254442</xdr:rowOff>
        </xdr:to>
        <xdr:sp macro="" textlink="">
          <xdr:nvSpPr>
            <xdr:cNvPr id="65656" name="Check Box 120" hidden="1">
              <a:extLst>
                <a:ext uri="{63B3BB69-23CF-44E3-9099-C40C66FF867C}">
                  <a14:compatExt spid="_x0000_s65656"/>
                </a:ext>
                <a:ext uri="{FF2B5EF4-FFF2-40B4-BE49-F238E27FC236}">
                  <a16:creationId xmlns:a16="http://schemas.microsoft.com/office/drawing/2014/main" id="{00000000-0008-0000-1600-00007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31</xdr:row>
          <xdr:rowOff>55659</xdr:rowOff>
        </xdr:from>
        <xdr:to>
          <xdr:col>14</xdr:col>
          <xdr:colOff>95416</xdr:colOff>
          <xdr:row>31</xdr:row>
          <xdr:rowOff>254442</xdr:rowOff>
        </xdr:to>
        <xdr:sp macro="" textlink="">
          <xdr:nvSpPr>
            <xdr:cNvPr id="65657" name="Check Box 121" hidden="1">
              <a:extLst>
                <a:ext uri="{63B3BB69-23CF-44E3-9099-C40C66FF867C}">
                  <a14:compatExt spid="_x0000_s65657"/>
                </a:ext>
                <a:ext uri="{FF2B5EF4-FFF2-40B4-BE49-F238E27FC236}">
                  <a16:creationId xmlns:a16="http://schemas.microsoft.com/office/drawing/2014/main" id="{00000000-0008-0000-1600-00007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31</xdr:row>
          <xdr:rowOff>55659</xdr:rowOff>
        </xdr:from>
        <xdr:to>
          <xdr:col>16</xdr:col>
          <xdr:colOff>79513</xdr:colOff>
          <xdr:row>31</xdr:row>
          <xdr:rowOff>254442</xdr:rowOff>
        </xdr:to>
        <xdr:sp macro="" textlink="">
          <xdr:nvSpPr>
            <xdr:cNvPr id="65658" name="Check Box 122" hidden="1">
              <a:extLst>
                <a:ext uri="{63B3BB69-23CF-44E3-9099-C40C66FF867C}">
                  <a14:compatExt spid="_x0000_s65658"/>
                </a:ext>
                <a:ext uri="{FF2B5EF4-FFF2-40B4-BE49-F238E27FC236}">
                  <a16:creationId xmlns:a16="http://schemas.microsoft.com/office/drawing/2014/main" id="{00000000-0008-0000-1600-00007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31</xdr:row>
          <xdr:rowOff>55659</xdr:rowOff>
        </xdr:from>
        <xdr:to>
          <xdr:col>12</xdr:col>
          <xdr:colOff>103367</xdr:colOff>
          <xdr:row>31</xdr:row>
          <xdr:rowOff>254442</xdr:rowOff>
        </xdr:to>
        <xdr:sp macro="" textlink="">
          <xdr:nvSpPr>
            <xdr:cNvPr id="65659" name="Check Box 123" hidden="1">
              <a:extLst>
                <a:ext uri="{63B3BB69-23CF-44E3-9099-C40C66FF867C}">
                  <a14:compatExt spid="_x0000_s65659"/>
                </a:ext>
                <a:ext uri="{FF2B5EF4-FFF2-40B4-BE49-F238E27FC236}">
                  <a16:creationId xmlns:a16="http://schemas.microsoft.com/office/drawing/2014/main" id="{00000000-0008-0000-1600-00007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31</xdr:row>
          <xdr:rowOff>55659</xdr:rowOff>
        </xdr:from>
        <xdr:to>
          <xdr:col>20</xdr:col>
          <xdr:colOff>95416</xdr:colOff>
          <xdr:row>31</xdr:row>
          <xdr:rowOff>254442</xdr:rowOff>
        </xdr:to>
        <xdr:sp macro="" textlink="">
          <xdr:nvSpPr>
            <xdr:cNvPr id="65660" name="Check Box 124" hidden="1">
              <a:extLst>
                <a:ext uri="{63B3BB69-23CF-44E3-9099-C40C66FF867C}">
                  <a14:compatExt spid="_x0000_s65660"/>
                </a:ext>
                <a:ext uri="{FF2B5EF4-FFF2-40B4-BE49-F238E27FC236}">
                  <a16:creationId xmlns:a16="http://schemas.microsoft.com/office/drawing/2014/main" id="{00000000-0008-0000-1600-00007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31</xdr:row>
          <xdr:rowOff>55659</xdr:rowOff>
        </xdr:from>
        <xdr:to>
          <xdr:col>22</xdr:col>
          <xdr:colOff>79513</xdr:colOff>
          <xdr:row>31</xdr:row>
          <xdr:rowOff>254442</xdr:rowOff>
        </xdr:to>
        <xdr:sp macro="" textlink="">
          <xdr:nvSpPr>
            <xdr:cNvPr id="65661" name="Check Box 125" hidden="1">
              <a:extLst>
                <a:ext uri="{63B3BB69-23CF-44E3-9099-C40C66FF867C}">
                  <a14:compatExt spid="_x0000_s65661"/>
                </a:ext>
                <a:ext uri="{FF2B5EF4-FFF2-40B4-BE49-F238E27FC236}">
                  <a16:creationId xmlns:a16="http://schemas.microsoft.com/office/drawing/2014/main" id="{00000000-0008-0000-1600-00007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31</xdr:row>
          <xdr:rowOff>55659</xdr:rowOff>
        </xdr:from>
        <xdr:to>
          <xdr:col>18</xdr:col>
          <xdr:colOff>103367</xdr:colOff>
          <xdr:row>31</xdr:row>
          <xdr:rowOff>254442</xdr:rowOff>
        </xdr:to>
        <xdr:sp macro="" textlink="">
          <xdr:nvSpPr>
            <xdr:cNvPr id="65662" name="Check Box 126" hidden="1">
              <a:extLst>
                <a:ext uri="{63B3BB69-23CF-44E3-9099-C40C66FF867C}">
                  <a14:compatExt spid="_x0000_s65662"/>
                </a:ext>
                <a:ext uri="{FF2B5EF4-FFF2-40B4-BE49-F238E27FC236}">
                  <a16:creationId xmlns:a16="http://schemas.microsoft.com/office/drawing/2014/main" id="{00000000-0008-0000-1600-00007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31</xdr:row>
          <xdr:rowOff>55659</xdr:rowOff>
        </xdr:from>
        <xdr:to>
          <xdr:col>26</xdr:col>
          <xdr:colOff>95416</xdr:colOff>
          <xdr:row>31</xdr:row>
          <xdr:rowOff>254442</xdr:rowOff>
        </xdr:to>
        <xdr:sp macro="" textlink="">
          <xdr:nvSpPr>
            <xdr:cNvPr id="65663" name="Check Box 127" hidden="1">
              <a:extLst>
                <a:ext uri="{63B3BB69-23CF-44E3-9099-C40C66FF867C}">
                  <a14:compatExt spid="_x0000_s65663"/>
                </a:ext>
                <a:ext uri="{FF2B5EF4-FFF2-40B4-BE49-F238E27FC236}">
                  <a16:creationId xmlns:a16="http://schemas.microsoft.com/office/drawing/2014/main" id="{00000000-0008-0000-1600-00007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31</xdr:row>
          <xdr:rowOff>55659</xdr:rowOff>
        </xdr:from>
        <xdr:to>
          <xdr:col>28</xdr:col>
          <xdr:colOff>79513</xdr:colOff>
          <xdr:row>31</xdr:row>
          <xdr:rowOff>254442</xdr:rowOff>
        </xdr:to>
        <xdr:sp macro="" textlink="">
          <xdr:nvSpPr>
            <xdr:cNvPr id="65664" name="Check Box 128" hidden="1">
              <a:extLst>
                <a:ext uri="{63B3BB69-23CF-44E3-9099-C40C66FF867C}">
                  <a14:compatExt spid="_x0000_s65664"/>
                </a:ext>
                <a:ext uri="{FF2B5EF4-FFF2-40B4-BE49-F238E27FC236}">
                  <a16:creationId xmlns:a16="http://schemas.microsoft.com/office/drawing/2014/main" id="{00000000-0008-0000-1600-00008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31</xdr:row>
          <xdr:rowOff>55659</xdr:rowOff>
        </xdr:from>
        <xdr:to>
          <xdr:col>24</xdr:col>
          <xdr:colOff>103367</xdr:colOff>
          <xdr:row>31</xdr:row>
          <xdr:rowOff>254442</xdr:rowOff>
        </xdr:to>
        <xdr:sp macro="" textlink="">
          <xdr:nvSpPr>
            <xdr:cNvPr id="65665" name="Check Box 129" hidden="1">
              <a:extLst>
                <a:ext uri="{63B3BB69-23CF-44E3-9099-C40C66FF867C}">
                  <a14:compatExt spid="_x0000_s65665"/>
                </a:ext>
                <a:ext uri="{FF2B5EF4-FFF2-40B4-BE49-F238E27FC236}">
                  <a16:creationId xmlns:a16="http://schemas.microsoft.com/office/drawing/2014/main" id="{00000000-0008-0000-1600-00008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32</xdr:row>
          <xdr:rowOff>55659</xdr:rowOff>
        </xdr:from>
        <xdr:to>
          <xdr:col>14</xdr:col>
          <xdr:colOff>95416</xdr:colOff>
          <xdr:row>32</xdr:row>
          <xdr:rowOff>254442</xdr:rowOff>
        </xdr:to>
        <xdr:sp macro="" textlink="">
          <xdr:nvSpPr>
            <xdr:cNvPr id="65666" name="Check Box 130" hidden="1">
              <a:extLst>
                <a:ext uri="{63B3BB69-23CF-44E3-9099-C40C66FF867C}">
                  <a14:compatExt spid="_x0000_s65666"/>
                </a:ext>
                <a:ext uri="{FF2B5EF4-FFF2-40B4-BE49-F238E27FC236}">
                  <a16:creationId xmlns:a16="http://schemas.microsoft.com/office/drawing/2014/main" id="{00000000-0008-0000-1600-00008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32</xdr:row>
          <xdr:rowOff>55659</xdr:rowOff>
        </xdr:from>
        <xdr:to>
          <xdr:col>16</xdr:col>
          <xdr:colOff>79513</xdr:colOff>
          <xdr:row>32</xdr:row>
          <xdr:rowOff>254442</xdr:rowOff>
        </xdr:to>
        <xdr:sp macro="" textlink="">
          <xdr:nvSpPr>
            <xdr:cNvPr id="65667" name="Check Box 131" hidden="1">
              <a:extLst>
                <a:ext uri="{63B3BB69-23CF-44E3-9099-C40C66FF867C}">
                  <a14:compatExt spid="_x0000_s65667"/>
                </a:ext>
                <a:ext uri="{FF2B5EF4-FFF2-40B4-BE49-F238E27FC236}">
                  <a16:creationId xmlns:a16="http://schemas.microsoft.com/office/drawing/2014/main" id="{00000000-0008-0000-1600-00008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32</xdr:row>
          <xdr:rowOff>55659</xdr:rowOff>
        </xdr:from>
        <xdr:to>
          <xdr:col>12</xdr:col>
          <xdr:colOff>103367</xdr:colOff>
          <xdr:row>32</xdr:row>
          <xdr:rowOff>254442</xdr:rowOff>
        </xdr:to>
        <xdr:sp macro="" textlink="">
          <xdr:nvSpPr>
            <xdr:cNvPr id="65668" name="Check Box 132" hidden="1">
              <a:extLst>
                <a:ext uri="{63B3BB69-23CF-44E3-9099-C40C66FF867C}">
                  <a14:compatExt spid="_x0000_s65668"/>
                </a:ext>
                <a:ext uri="{FF2B5EF4-FFF2-40B4-BE49-F238E27FC236}">
                  <a16:creationId xmlns:a16="http://schemas.microsoft.com/office/drawing/2014/main" id="{00000000-0008-0000-1600-00008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32</xdr:row>
          <xdr:rowOff>55659</xdr:rowOff>
        </xdr:from>
        <xdr:to>
          <xdr:col>20</xdr:col>
          <xdr:colOff>95416</xdr:colOff>
          <xdr:row>32</xdr:row>
          <xdr:rowOff>254442</xdr:rowOff>
        </xdr:to>
        <xdr:sp macro="" textlink="">
          <xdr:nvSpPr>
            <xdr:cNvPr id="65669" name="Check Box 133" hidden="1">
              <a:extLst>
                <a:ext uri="{63B3BB69-23CF-44E3-9099-C40C66FF867C}">
                  <a14:compatExt spid="_x0000_s65669"/>
                </a:ext>
                <a:ext uri="{FF2B5EF4-FFF2-40B4-BE49-F238E27FC236}">
                  <a16:creationId xmlns:a16="http://schemas.microsoft.com/office/drawing/2014/main" id="{00000000-0008-0000-1600-00008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32</xdr:row>
          <xdr:rowOff>55659</xdr:rowOff>
        </xdr:from>
        <xdr:to>
          <xdr:col>22</xdr:col>
          <xdr:colOff>79513</xdr:colOff>
          <xdr:row>32</xdr:row>
          <xdr:rowOff>254442</xdr:rowOff>
        </xdr:to>
        <xdr:sp macro="" textlink="">
          <xdr:nvSpPr>
            <xdr:cNvPr id="65670" name="Check Box 134" hidden="1">
              <a:extLst>
                <a:ext uri="{63B3BB69-23CF-44E3-9099-C40C66FF867C}">
                  <a14:compatExt spid="_x0000_s65670"/>
                </a:ext>
                <a:ext uri="{FF2B5EF4-FFF2-40B4-BE49-F238E27FC236}">
                  <a16:creationId xmlns:a16="http://schemas.microsoft.com/office/drawing/2014/main" id="{00000000-0008-0000-1600-00008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32</xdr:row>
          <xdr:rowOff>55659</xdr:rowOff>
        </xdr:from>
        <xdr:to>
          <xdr:col>18</xdr:col>
          <xdr:colOff>103367</xdr:colOff>
          <xdr:row>32</xdr:row>
          <xdr:rowOff>254442</xdr:rowOff>
        </xdr:to>
        <xdr:sp macro="" textlink="">
          <xdr:nvSpPr>
            <xdr:cNvPr id="65671" name="Check Box 135" hidden="1">
              <a:extLst>
                <a:ext uri="{63B3BB69-23CF-44E3-9099-C40C66FF867C}">
                  <a14:compatExt spid="_x0000_s65671"/>
                </a:ext>
                <a:ext uri="{FF2B5EF4-FFF2-40B4-BE49-F238E27FC236}">
                  <a16:creationId xmlns:a16="http://schemas.microsoft.com/office/drawing/2014/main" id="{00000000-0008-0000-1600-00008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32</xdr:row>
          <xdr:rowOff>55659</xdr:rowOff>
        </xdr:from>
        <xdr:to>
          <xdr:col>26</xdr:col>
          <xdr:colOff>95416</xdr:colOff>
          <xdr:row>32</xdr:row>
          <xdr:rowOff>254442</xdr:rowOff>
        </xdr:to>
        <xdr:sp macro="" textlink="">
          <xdr:nvSpPr>
            <xdr:cNvPr id="65672" name="Check Box 136" hidden="1">
              <a:extLst>
                <a:ext uri="{63B3BB69-23CF-44E3-9099-C40C66FF867C}">
                  <a14:compatExt spid="_x0000_s65672"/>
                </a:ext>
                <a:ext uri="{FF2B5EF4-FFF2-40B4-BE49-F238E27FC236}">
                  <a16:creationId xmlns:a16="http://schemas.microsoft.com/office/drawing/2014/main" id="{00000000-0008-0000-1600-00008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32</xdr:row>
          <xdr:rowOff>55659</xdr:rowOff>
        </xdr:from>
        <xdr:to>
          <xdr:col>28</xdr:col>
          <xdr:colOff>79513</xdr:colOff>
          <xdr:row>32</xdr:row>
          <xdr:rowOff>254442</xdr:rowOff>
        </xdr:to>
        <xdr:sp macro="" textlink="">
          <xdr:nvSpPr>
            <xdr:cNvPr id="65673" name="Check Box 137" hidden="1">
              <a:extLst>
                <a:ext uri="{63B3BB69-23CF-44E3-9099-C40C66FF867C}">
                  <a14:compatExt spid="_x0000_s65673"/>
                </a:ext>
                <a:ext uri="{FF2B5EF4-FFF2-40B4-BE49-F238E27FC236}">
                  <a16:creationId xmlns:a16="http://schemas.microsoft.com/office/drawing/2014/main" id="{00000000-0008-0000-1600-00008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32</xdr:row>
          <xdr:rowOff>55659</xdr:rowOff>
        </xdr:from>
        <xdr:to>
          <xdr:col>24</xdr:col>
          <xdr:colOff>103367</xdr:colOff>
          <xdr:row>32</xdr:row>
          <xdr:rowOff>254442</xdr:rowOff>
        </xdr:to>
        <xdr:sp macro="" textlink="">
          <xdr:nvSpPr>
            <xdr:cNvPr id="65674" name="Check Box 138" hidden="1">
              <a:extLst>
                <a:ext uri="{63B3BB69-23CF-44E3-9099-C40C66FF867C}">
                  <a14:compatExt spid="_x0000_s65674"/>
                </a:ext>
                <a:ext uri="{FF2B5EF4-FFF2-40B4-BE49-F238E27FC236}">
                  <a16:creationId xmlns:a16="http://schemas.microsoft.com/office/drawing/2014/main" id="{00000000-0008-0000-1600-00008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33</xdr:row>
          <xdr:rowOff>55659</xdr:rowOff>
        </xdr:from>
        <xdr:to>
          <xdr:col>14</xdr:col>
          <xdr:colOff>95416</xdr:colOff>
          <xdr:row>33</xdr:row>
          <xdr:rowOff>254442</xdr:rowOff>
        </xdr:to>
        <xdr:sp macro="" textlink="">
          <xdr:nvSpPr>
            <xdr:cNvPr id="65675" name="Check Box 139" hidden="1">
              <a:extLst>
                <a:ext uri="{63B3BB69-23CF-44E3-9099-C40C66FF867C}">
                  <a14:compatExt spid="_x0000_s65675"/>
                </a:ext>
                <a:ext uri="{FF2B5EF4-FFF2-40B4-BE49-F238E27FC236}">
                  <a16:creationId xmlns:a16="http://schemas.microsoft.com/office/drawing/2014/main" id="{00000000-0008-0000-1600-00008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33</xdr:row>
          <xdr:rowOff>55659</xdr:rowOff>
        </xdr:from>
        <xdr:to>
          <xdr:col>16</xdr:col>
          <xdr:colOff>79513</xdr:colOff>
          <xdr:row>33</xdr:row>
          <xdr:rowOff>254442</xdr:rowOff>
        </xdr:to>
        <xdr:sp macro="" textlink="">
          <xdr:nvSpPr>
            <xdr:cNvPr id="65676" name="Check Box 140" hidden="1">
              <a:extLst>
                <a:ext uri="{63B3BB69-23CF-44E3-9099-C40C66FF867C}">
                  <a14:compatExt spid="_x0000_s65676"/>
                </a:ext>
                <a:ext uri="{FF2B5EF4-FFF2-40B4-BE49-F238E27FC236}">
                  <a16:creationId xmlns:a16="http://schemas.microsoft.com/office/drawing/2014/main" id="{00000000-0008-0000-1600-00008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33</xdr:row>
          <xdr:rowOff>55659</xdr:rowOff>
        </xdr:from>
        <xdr:to>
          <xdr:col>12</xdr:col>
          <xdr:colOff>103367</xdr:colOff>
          <xdr:row>33</xdr:row>
          <xdr:rowOff>254442</xdr:rowOff>
        </xdr:to>
        <xdr:sp macro="" textlink="">
          <xdr:nvSpPr>
            <xdr:cNvPr id="65677" name="Check Box 141" hidden="1">
              <a:extLst>
                <a:ext uri="{63B3BB69-23CF-44E3-9099-C40C66FF867C}">
                  <a14:compatExt spid="_x0000_s65677"/>
                </a:ext>
                <a:ext uri="{FF2B5EF4-FFF2-40B4-BE49-F238E27FC236}">
                  <a16:creationId xmlns:a16="http://schemas.microsoft.com/office/drawing/2014/main" id="{00000000-0008-0000-1600-00008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33</xdr:row>
          <xdr:rowOff>55659</xdr:rowOff>
        </xdr:from>
        <xdr:to>
          <xdr:col>20</xdr:col>
          <xdr:colOff>95416</xdr:colOff>
          <xdr:row>33</xdr:row>
          <xdr:rowOff>254442</xdr:rowOff>
        </xdr:to>
        <xdr:sp macro="" textlink="">
          <xdr:nvSpPr>
            <xdr:cNvPr id="65678" name="Check Box 142" hidden="1">
              <a:extLst>
                <a:ext uri="{63B3BB69-23CF-44E3-9099-C40C66FF867C}">
                  <a14:compatExt spid="_x0000_s65678"/>
                </a:ext>
                <a:ext uri="{FF2B5EF4-FFF2-40B4-BE49-F238E27FC236}">
                  <a16:creationId xmlns:a16="http://schemas.microsoft.com/office/drawing/2014/main" id="{00000000-0008-0000-1600-00008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33</xdr:row>
          <xdr:rowOff>55659</xdr:rowOff>
        </xdr:from>
        <xdr:to>
          <xdr:col>22</xdr:col>
          <xdr:colOff>79513</xdr:colOff>
          <xdr:row>33</xdr:row>
          <xdr:rowOff>254442</xdr:rowOff>
        </xdr:to>
        <xdr:sp macro="" textlink="">
          <xdr:nvSpPr>
            <xdr:cNvPr id="65679" name="Check Box 143" hidden="1">
              <a:extLst>
                <a:ext uri="{63B3BB69-23CF-44E3-9099-C40C66FF867C}">
                  <a14:compatExt spid="_x0000_s65679"/>
                </a:ext>
                <a:ext uri="{FF2B5EF4-FFF2-40B4-BE49-F238E27FC236}">
                  <a16:creationId xmlns:a16="http://schemas.microsoft.com/office/drawing/2014/main" id="{00000000-0008-0000-1600-00008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33</xdr:row>
          <xdr:rowOff>55659</xdr:rowOff>
        </xdr:from>
        <xdr:to>
          <xdr:col>18</xdr:col>
          <xdr:colOff>103367</xdr:colOff>
          <xdr:row>33</xdr:row>
          <xdr:rowOff>254442</xdr:rowOff>
        </xdr:to>
        <xdr:sp macro="" textlink="">
          <xdr:nvSpPr>
            <xdr:cNvPr id="65680" name="Check Box 144" hidden="1">
              <a:extLst>
                <a:ext uri="{63B3BB69-23CF-44E3-9099-C40C66FF867C}">
                  <a14:compatExt spid="_x0000_s65680"/>
                </a:ext>
                <a:ext uri="{FF2B5EF4-FFF2-40B4-BE49-F238E27FC236}">
                  <a16:creationId xmlns:a16="http://schemas.microsoft.com/office/drawing/2014/main" id="{00000000-0008-0000-1600-00009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33</xdr:row>
          <xdr:rowOff>55659</xdr:rowOff>
        </xdr:from>
        <xdr:to>
          <xdr:col>26</xdr:col>
          <xdr:colOff>95416</xdr:colOff>
          <xdr:row>33</xdr:row>
          <xdr:rowOff>254442</xdr:rowOff>
        </xdr:to>
        <xdr:sp macro="" textlink="">
          <xdr:nvSpPr>
            <xdr:cNvPr id="65681" name="Check Box 145" hidden="1">
              <a:extLst>
                <a:ext uri="{63B3BB69-23CF-44E3-9099-C40C66FF867C}">
                  <a14:compatExt spid="_x0000_s65681"/>
                </a:ext>
                <a:ext uri="{FF2B5EF4-FFF2-40B4-BE49-F238E27FC236}">
                  <a16:creationId xmlns:a16="http://schemas.microsoft.com/office/drawing/2014/main" id="{00000000-0008-0000-1600-00009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33</xdr:row>
          <xdr:rowOff>55659</xdr:rowOff>
        </xdr:from>
        <xdr:to>
          <xdr:col>28</xdr:col>
          <xdr:colOff>79513</xdr:colOff>
          <xdr:row>33</xdr:row>
          <xdr:rowOff>254442</xdr:rowOff>
        </xdr:to>
        <xdr:sp macro="" textlink="">
          <xdr:nvSpPr>
            <xdr:cNvPr id="65682" name="Check Box 146" hidden="1">
              <a:extLst>
                <a:ext uri="{63B3BB69-23CF-44E3-9099-C40C66FF867C}">
                  <a14:compatExt spid="_x0000_s65682"/>
                </a:ext>
                <a:ext uri="{FF2B5EF4-FFF2-40B4-BE49-F238E27FC236}">
                  <a16:creationId xmlns:a16="http://schemas.microsoft.com/office/drawing/2014/main" id="{00000000-0008-0000-1600-00009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33</xdr:row>
          <xdr:rowOff>55659</xdr:rowOff>
        </xdr:from>
        <xdr:to>
          <xdr:col>24</xdr:col>
          <xdr:colOff>103367</xdr:colOff>
          <xdr:row>33</xdr:row>
          <xdr:rowOff>254442</xdr:rowOff>
        </xdr:to>
        <xdr:sp macro="" textlink="">
          <xdr:nvSpPr>
            <xdr:cNvPr id="65683" name="Check Box 147" hidden="1">
              <a:extLst>
                <a:ext uri="{63B3BB69-23CF-44E3-9099-C40C66FF867C}">
                  <a14:compatExt spid="_x0000_s65683"/>
                </a:ext>
                <a:ext uri="{FF2B5EF4-FFF2-40B4-BE49-F238E27FC236}">
                  <a16:creationId xmlns:a16="http://schemas.microsoft.com/office/drawing/2014/main" id="{00000000-0008-0000-1600-00009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34</xdr:row>
          <xdr:rowOff>55659</xdr:rowOff>
        </xdr:from>
        <xdr:to>
          <xdr:col>14</xdr:col>
          <xdr:colOff>95416</xdr:colOff>
          <xdr:row>34</xdr:row>
          <xdr:rowOff>254442</xdr:rowOff>
        </xdr:to>
        <xdr:sp macro="" textlink="">
          <xdr:nvSpPr>
            <xdr:cNvPr id="65684" name="Check Box 148" hidden="1">
              <a:extLst>
                <a:ext uri="{63B3BB69-23CF-44E3-9099-C40C66FF867C}">
                  <a14:compatExt spid="_x0000_s65684"/>
                </a:ext>
                <a:ext uri="{FF2B5EF4-FFF2-40B4-BE49-F238E27FC236}">
                  <a16:creationId xmlns:a16="http://schemas.microsoft.com/office/drawing/2014/main" id="{00000000-0008-0000-1600-00009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34</xdr:row>
          <xdr:rowOff>55659</xdr:rowOff>
        </xdr:from>
        <xdr:to>
          <xdr:col>16</xdr:col>
          <xdr:colOff>79513</xdr:colOff>
          <xdr:row>34</xdr:row>
          <xdr:rowOff>254442</xdr:rowOff>
        </xdr:to>
        <xdr:sp macro="" textlink="">
          <xdr:nvSpPr>
            <xdr:cNvPr id="65685" name="Check Box 149" hidden="1">
              <a:extLst>
                <a:ext uri="{63B3BB69-23CF-44E3-9099-C40C66FF867C}">
                  <a14:compatExt spid="_x0000_s65685"/>
                </a:ext>
                <a:ext uri="{FF2B5EF4-FFF2-40B4-BE49-F238E27FC236}">
                  <a16:creationId xmlns:a16="http://schemas.microsoft.com/office/drawing/2014/main" id="{00000000-0008-0000-1600-00009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34</xdr:row>
          <xdr:rowOff>55659</xdr:rowOff>
        </xdr:from>
        <xdr:to>
          <xdr:col>12</xdr:col>
          <xdr:colOff>103367</xdr:colOff>
          <xdr:row>34</xdr:row>
          <xdr:rowOff>254442</xdr:rowOff>
        </xdr:to>
        <xdr:sp macro="" textlink="">
          <xdr:nvSpPr>
            <xdr:cNvPr id="65686" name="Check Box 150" hidden="1">
              <a:extLst>
                <a:ext uri="{63B3BB69-23CF-44E3-9099-C40C66FF867C}">
                  <a14:compatExt spid="_x0000_s65686"/>
                </a:ext>
                <a:ext uri="{FF2B5EF4-FFF2-40B4-BE49-F238E27FC236}">
                  <a16:creationId xmlns:a16="http://schemas.microsoft.com/office/drawing/2014/main" id="{00000000-0008-0000-1600-00009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34</xdr:row>
          <xdr:rowOff>55659</xdr:rowOff>
        </xdr:from>
        <xdr:to>
          <xdr:col>20</xdr:col>
          <xdr:colOff>95416</xdr:colOff>
          <xdr:row>34</xdr:row>
          <xdr:rowOff>254442</xdr:rowOff>
        </xdr:to>
        <xdr:sp macro="" textlink="">
          <xdr:nvSpPr>
            <xdr:cNvPr id="65687" name="Check Box 151" hidden="1">
              <a:extLst>
                <a:ext uri="{63B3BB69-23CF-44E3-9099-C40C66FF867C}">
                  <a14:compatExt spid="_x0000_s65687"/>
                </a:ext>
                <a:ext uri="{FF2B5EF4-FFF2-40B4-BE49-F238E27FC236}">
                  <a16:creationId xmlns:a16="http://schemas.microsoft.com/office/drawing/2014/main" id="{00000000-0008-0000-1600-00009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34</xdr:row>
          <xdr:rowOff>55659</xdr:rowOff>
        </xdr:from>
        <xdr:to>
          <xdr:col>22</xdr:col>
          <xdr:colOff>79513</xdr:colOff>
          <xdr:row>34</xdr:row>
          <xdr:rowOff>254442</xdr:rowOff>
        </xdr:to>
        <xdr:sp macro="" textlink="">
          <xdr:nvSpPr>
            <xdr:cNvPr id="65688" name="Check Box 152" hidden="1">
              <a:extLst>
                <a:ext uri="{63B3BB69-23CF-44E3-9099-C40C66FF867C}">
                  <a14:compatExt spid="_x0000_s65688"/>
                </a:ext>
                <a:ext uri="{FF2B5EF4-FFF2-40B4-BE49-F238E27FC236}">
                  <a16:creationId xmlns:a16="http://schemas.microsoft.com/office/drawing/2014/main" id="{00000000-0008-0000-1600-00009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34</xdr:row>
          <xdr:rowOff>55659</xdr:rowOff>
        </xdr:from>
        <xdr:to>
          <xdr:col>18</xdr:col>
          <xdr:colOff>103367</xdr:colOff>
          <xdr:row>34</xdr:row>
          <xdr:rowOff>254442</xdr:rowOff>
        </xdr:to>
        <xdr:sp macro="" textlink="">
          <xdr:nvSpPr>
            <xdr:cNvPr id="65689" name="Check Box 153" hidden="1">
              <a:extLst>
                <a:ext uri="{63B3BB69-23CF-44E3-9099-C40C66FF867C}">
                  <a14:compatExt spid="_x0000_s65689"/>
                </a:ext>
                <a:ext uri="{FF2B5EF4-FFF2-40B4-BE49-F238E27FC236}">
                  <a16:creationId xmlns:a16="http://schemas.microsoft.com/office/drawing/2014/main" id="{00000000-0008-0000-1600-00009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34</xdr:row>
          <xdr:rowOff>55659</xdr:rowOff>
        </xdr:from>
        <xdr:to>
          <xdr:col>26</xdr:col>
          <xdr:colOff>95416</xdr:colOff>
          <xdr:row>34</xdr:row>
          <xdr:rowOff>254442</xdr:rowOff>
        </xdr:to>
        <xdr:sp macro="" textlink="">
          <xdr:nvSpPr>
            <xdr:cNvPr id="65690" name="Check Box 154" hidden="1">
              <a:extLst>
                <a:ext uri="{63B3BB69-23CF-44E3-9099-C40C66FF867C}">
                  <a14:compatExt spid="_x0000_s65690"/>
                </a:ext>
                <a:ext uri="{FF2B5EF4-FFF2-40B4-BE49-F238E27FC236}">
                  <a16:creationId xmlns:a16="http://schemas.microsoft.com/office/drawing/2014/main" id="{00000000-0008-0000-1600-00009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34</xdr:row>
          <xdr:rowOff>55659</xdr:rowOff>
        </xdr:from>
        <xdr:to>
          <xdr:col>28</xdr:col>
          <xdr:colOff>79513</xdr:colOff>
          <xdr:row>34</xdr:row>
          <xdr:rowOff>254442</xdr:rowOff>
        </xdr:to>
        <xdr:sp macro="" textlink="">
          <xdr:nvSpPr>
            <xdr:cNvPr id="65691" name="Check Box 155" hidden="1">
              <a:extLst>
                <a:ext uri="{63B3BB69-23CF-44E3-9099-C40C66FF867C}">
                  <a14:compatExt spid="_x0000_s65691"/>
                </a:ext>
                <a:ext uri="{FF2B5EF4-FFF2-40B4-BE49-F238E27FC236}">
                  <a16:creationId xmlns:a16="http://schemas.microsoft.com/office/drawing/2014/main" id="{00000000-0008-0000-1600-00009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34</xdr:row>
          <xdr:rowOff>55659</xdr:rowOff>
        </xdr:from>
        <xdr:to>
          <xdr:col>24</xdr:col>
          <xdr:colOff>103367</xdr:colOff>
          <xdr:row>34</xdr:row>
          <xdr:rowOff>254442</xdr:rowOff>
        </xdr:to>
        <xdr:sp macro="" textlink="">
          <xdr:nvSpPr>
            <xdr:cNvPr id="65692" name="Check Box 156" hidden="1">
              <a:extLst>
                <a:ext uri="{63B3BB69-23CF-44E3-9099-C40C66FF867C}">
                  <a14:compatExt spid="_x0000_s65692"/>
                </a:ext>
                <a:ext uri="{FF2B5EF4-FFF2-40B4-BE49-F238E27FC236}">
                  <a16:creationId xmlns:a16="http://schemas.microsoft.com/office/drawing/2014/main" id="{00000000-0008-0000-1600-00009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35</xdr:row>
          <xdr:rowOff>103367</xdr:rowOff>
        </xdr:from>
        <xdr:to>
          <xdr:col>14</xdr:col>
          <xdr:colOff>95416</xdr:colOff>
          <xdr:row>35</xdr:row>
          <xdr:rowOff>326003</xdr:rowOff>
        </xdr:to>
        <xdr:sp macro="" textlink="">
          <xdr:nvSpPr>
            <xdr:cNvPr id="65693" name="Check Box 157" hidden="1">
              <a:extLst>
                <a:ext uri="{63B3BB69-23CF-44E3-9099-C40C66FF867C}">
                  <a14:compatExt spid="_x0000_s65693"/>
                </a:ext>
                <a:ext uri="{FF2B5EF4-FFF2-40B4-BE49-F238E27FC236}">
                  <a16:creationId xmlns:a16="http://schemas.microsoft.com/office/drawing/2014/main" id="{00000000-0008-0000-1600-00009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35</xdr:row>
          <xdr:rowOff>103367</xdr:rowOff>
        </xdr:from>
        <xdr:to>
          <xdr:col>16</xdr:col>
          <xdr:colOff>79513</xdr:colOff>
          <xdr:row>35</xdr:row>
          <xdr:rowOff>326003</xdr:rowOff>
        </xdr:to>
        <xdr:sp macro="" textlink="">
          <xdr:nvSpPr>
            <xdr:cNvPr id="65694" name="Check Box 158" hidden="1">
              <a:extLst>
                <a:ext uri="{63B3BB69-23CF-44E3-9099-C40C66FF867C}">
                  <a14:compatExt spid="_x0000_s65694"/>
                </a:ext>
                <a:ext uri="{FF2B5EF4-FFF2-40B4-BE49-F238E27FC236}">
                  <a16:creationId xmlns:a16="http://schemas.microsoft.com/office/drawing/2014/main" id="{00000000-0008-0000-1600-00009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35</xdr:row>
          <xdr:rowOff>103367</xdr:rowOff>
        </xdr:from>
        <xdr:to>
          <xdr:col>12</xdr:col>
          <xdr:colOff>103367</xdr:colOff>
          <xdr:row>35</xdr:row>
          <xdr:rowOff>326003</xdr:rowOff>
        </xdr:to>
        <xdr:sp macro="" textlink="">
          <xdr:nvSpPr>
            <xdr:cNvPr id="65695" name="Check Box 159" hidden="1">
              <a:extLst>
                <a:ext uri="{63B3BB69-23CF-44E3-9099-C40C66FF867C}">
                  <a14:compatExt spid="_x0000_s65695"/>
                </a:ext>
                <a:ext uri="{FF2B5EF4-FFF2-40B4-BE49-F238E27FC236}">
                  <a16:creationId xmlns:a16="http://schemas.microsoft.com/office/drawing/2014/main" id="{00000000-0008-0000-1600-00009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35</xdr:row>
          <xdr:rowOff>103367</xdr:rowOff>
        </xdr:from>
        <xdr:to>
          <xdr:col>20</xdr:col>
          <xdr:colOff>95416</xdr:colOff>
          <xdr:row>35</xdr:row>
          <xdr:rowOff>326003</xdr:rowOff>
        </xdr:to>
        <xdr:sp macro="" textlink="">
          <xdr:nvSpPr>
            <xdr:cNvPr id="65696" name="Check Box 160" hidden="1">
              <a:extLst>
                <a:ext uri="{63B3BB69-23CF-44E3-9099-C40C66FF867C}">
                  <a14:compatExt spid="_x0000_s65696"/>
                </a:ext>
                <a:ext uri="{FF2B5EF4-FFF2-40B4-BE49-F238E27FC236}">
                  <a16:creationId xmlns:a16="http://schemas.microsoft.com/office/drawing/2014/main" id="{00000000-0008-0000-1600-0000A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35</xdr:row>
          <xdr:rowOff>103367</xdr:rowOff>
        </xdr:from>
        <xdr:to>
          <xdr:col>22</xdr:col>
          <xdr:colOff>79513</xdr:colOff>
          <xdr:row>35</xdr:row>
          <xdr:rowOff>326003</xdr:rowOff>
        </xdr:to>
        <xdr:sp macro="" textlink="">
          <xdr:nvSpPr>
            <xdr:cNvPr id="65697" name="Check Box 161" hidden="1">
              <a:extLst>
                <a:ext uri="{63B3BB69-23CF-44E3-9099-C40C66FF867C}">
                  <a14:compatExt spid="_x0000_s65697"/>
                </a:ext>
                <a:ext uri="{FF2B5EF4-FFF2-40B4-BE49-F238E27FC236}">
                  <a16:creationId xmlns:a16="http://schemas.microsoft.com/office/drawing/2014/main" id="{00000000-0008-0000-1600-0000A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35</xdr:row>
          <xdr:rowOff>103367</xdr:rowOff>
        </xdr:from>
        <xdr:to>
          <xdr:col>18</xdr:col>
          <xdr:colOff>103367</xdr:colOff>
          <xdr:row>35</xdr:row>
          <xdr:rowOff>326003</xdr:rowOff>
        </xdr:to>
        <xdr:sp macro="" textlink="">
          <xdr:nvSpPr>
            <xdr:cNvPr id="65698" name="Check Box 162" hidden="1">
              <a:extLst>
                <a:ext uri="{63B3BB69-23CF-44E3-9099-C40C66FF867C}">
                  <a14:compatExt spid="_x0000_s65698"/>
                </a:ext>
                <a:ext uri="{FF2B5EF4-FFF2-40B4-BE49-F238E27FC236}">
                  <a16:creationId xmlns:a16="http://schemas.microsoft.com/office/drawing/2014/main" id="{00000000-0008-0000-1600-0000A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35</xdr:row>
          <xdr:rowOff>103367</xdr:rowOff>
        </xdr:from>
        <xdr:to>
          <xdr:col>26</xdr:col>
          <xdr:colOff>95416</xdr:colOff>
          <xdr:row>35</xdr:row>
          <xdr:rowOff>326003</xdr:rowOff>
        </xdr:to>
        <xdr:sp macro="" textlink="">
          <xdr:nvSpPr>
            <xdr:cNvPr id="65699" name="Check Box 163" hidden="1">
              <a:extLst>
                <a:ext uri="{63B3BB69-23CF-44E3-9099-C40C66FF867C}">
                  <a14:compatExt spid="_x0000_s65699"/>
                </a:ext>
                <a:ext uri="{FF2B5EF4-FFF2-40B4-BE49-F238E27FC236}">
                  <a16:creationId xmlns:a16="http://schemas.microsoft.com/office/drawing/2014/main" id="{00000000-0008-0000-1600-0000A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35</xdr:row>
          <xdr:rowOff>103367</xdr:rowOff>
        </xdr:from>
        <xdr:to>
          <xdr:col>28</xdr:col>
          <xdr:colOff>79513</xdr:colOff>
          <xdr:row>35</xdr:row>
          <xdr:rowOff>326003</xdr:rowOff>
        </xdr:to>
        <xdr:sp macro="" textlink="">
          <xdr:nvSpPr>
            <xdr:cNvPr id="65700" name="Check Box 164" hidden="1">
              <a:extLst>
                <a:ext uri="{63B3BB69-23CF-44E3-9099-C40C66FF867C}">
                  <a14:compatExt spid="_x0000_s65700"/>
                </a:ext>
                <a:ext uri="{FF2B5EF4-FFF2-40B4-BE49-F238E27FC236}">
                  <a16:creationId xmlns:a16="http://schemas.microsoft.com/office/drawing/2014/main" id="{00000000-0008-0000-1600-0000A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35</xdr:row>
          <xdr:rowOff>103367</xdr:rowOff>
        </xdr:from>
        <xdr:to>
          <xdr:col>24</xdr:col>
          <xdr:colOff>103367</xdr:colOff>
          <xdr:row>35</xdr:row>
          <xdr:rowOff>326003</xdr:rowOff>
        </xdr:to>
        <xdr:sp macro="" textlink="">
          <xdr:nvSpPr>
            <xdr:cNvPr id="65701" name="Check Box 165" hidden="1">
              <a:extLst>
                <a:ext uri="{63B3BB69-23CF-44E3-9099-C40C66FF867C}">
                  <a14:compatExt spid="_x0000_s65701"/>
                </a:ext>
                <a:ext uri="{FF2B5EF4-FFF2-40B4-BE49-F238E27FC236}">
                  <a16:creationId xmlns:a16="http://schemas.microsoft.com/office/drawing/2014/main" id="{00000000-0008-0000-1600-0000A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36</xdr:row>
          <xdr:rowOff>55659</xdr:rowOff>
        </xdr:from>
        <xdr:to>
          <xdr:col>14</xdr:col>
          <xdr:colOff>95416</xdr:colOff>
          <xdr:row>36</xdr:row>
          <xdr:rowOff>254442</xdr:rowOff>
        </xdr:to>
        <xdr:sp macro="" textlink="">
          <xdr:nvSpPr>
            <xdr:cNvPr id="65702" name="Check Box 166" hidden="1">
              <a:extLst>
                <a:ext uri="{63B3BB69-23CF-44E3-9099-C40C66FF867C}">
                  <a14:compatExt spid="_x0000_s65702"/>
                </a:ext>
                <a:ext uri="{FF2B5EF4-FFF2-40B4-BE49-F238E27FC236}">
                  <a16:creationId xmlns:a16="http://schemas.microsoft.com/office/drawing/2014/main" id="{00000000-0008-0000-1600-0000A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36</xdr:row>
          <xdr:rowOff>55659</xdr:rowOff>
        </xdr:from>
        <xdr:to>
          <xdr:col>16</xdr:col>
          <xdr:colOff>79513</xdr:colOff>
          <xdr:row>36</xdr:row>
          <xdr:rowOff>254442</xdr:rowOff>
        </xdr:to>
        <xdr:sp macro="" textlink="">
          <xdr:nvSpPr>
            <xdr:cNvPr id="65703" name="Check Box 167" hidden="1">
              <a:extLst>
                <a:ext uri="{63B3BB69-23CF-44E3-9099-C40C66FF867C}">
                  <a14:compatExt spid="_x0000_s65703"/>
                </a:ext>
                <a:ext uri="{FF2B5EF4-FFF2-40B4-BE49-F238E27FC236}">
                  <a16:creationId xmlns:a16="http://schemas.microsoft.com/office/drawing/2014/main" id="{00000000-0008-0000-1600-0000A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36</xdr:row>
          <xdr:rowOff>55659</xdr:rowOff>
        </xdr:from>
        <xdr:to>
          <xdr:col>12</xdr:col>
          <xdr:colOff>103367</xdr:colOff>
          <xdr:row>36</xdr:row>
          <xdr:rowOff>254442</xdr:rowOff>
        </xdr:to>
        <xdr:sp macro="" textlink="">
          <xdr:nvSpPr>
            <xdr:cNvPr id="65704" name="Check Box 168" hidden="1">
              <a:extLst>
                <a:ext uri="{63B3BB69-23CF-44E3-9099-C40C66FF867C}">
                  <a14:compatExt spid="_x0000_s65704"/>
                </a:ext>
                <a:ext uri="{FF2B5EF4-FFF2-40B4-BE49-F238E27FC236}">
                  <a16:creationId xmlns:a16="http://schemas.microsoft.com/office/drawing/2014/main" id="{00000000-0008-0000-1600-0000A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36</xdr:row>
          <xdr:rowOff>55659</xdr:rowOff>
        </xdr:from>
        <xdr:to>
          <xdr:col>20</xdr:col>
          <xdr:colOff>95416</xdr:colOff>
          <xdr:row>36</xdr:row>
          <xdr:rowOff>254442</xdr:rowOff>
        </xdr:to>
        <xdr:sp macro="" textlink="">
          <xdr:nvSpPr>
            <xdr:cNvPr id="65705" name="Check Box 169" hidden="1">
              <a:extLst>
                <a:ext uri="{63B3BB69-23CF-44E3-9099-C40C66FF867C}">
                  <a14:compatExt spid="_x0000_s65705"/>
                </a:ext>
                <a:ext uri="{FF2B5EF4-FFF2-40B4-BE49-F238E27FC236}">
                  <a16:creationId xmlns:a16="http://schemas.microsoft.com/office/drawing/2014/main" id="{00000000-0008-0000-1600-0000A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36</xdr:row>
          <xdr:rowOff>55659</xdr:rowOff>
        </xdr:from>
        <xdr:to>
          <xdr:col>22</xdr:col>
          <xdr:colOff>79513</xdr:colOff>
          <xdr:row>36</xdr:row>
          <xdr:rowOff>254442</xdr:rowOff>
        </xdr:to>
        <xdr:sp macro="" textlink="">
          <xdr:nvSpPr>
            <xdr:cNvPr id="65706" name="Check Box 170" hidden="1">
              <a:extLst>
                <a:ext uri="{63B3BB69-23CF-44E3-9099-C40C66FF867C}">
                  <a14:compatExt spid="_x0000_s65706"/>
                </a:ext>
                <a:ext uri="{FF2B5EF4-FFF2-40B4-BE49-F238E27FC236}">
                  <a16:creationId xmlns:a16="http://schemas.microsoft.com/office/drawing/2014/main" id="{00000000-0008-0000-1600-0000A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36</xdr:row>
          <xdr:rowOff>55659</xdr:rowOff>
        </xdr:from>
        <xdr:to>
          <xdr:col>18</xdr:col>
          <xdr:colOff>103367</xdr:colOff>
          <xdr:row>36</xdr:row>
          <xdr:rowOff>254442</xdr:rowOff>
        </xdr:to>
        <xdr:sp macro="" textlink="">
          <xdr:nvSpPr>
            <xdr:cNvPr id="65707" name="Check Box 171" hidden="1">
              <a:extLst>
                <a:ext uri="{63B3BB69-23CF-44E3-9099-C40C66FF867C}">
                  <a14:compatExt spid="_x0000_s65707"/>
                </a:ext>
                <a:ext uri="{FF2B5EF4-FFF2-40B4-BE49-F238E27FC236}">
                  <a16:creationId xmlns:a16="http://schemas.microsoft.com/office/drawing/2014/main" id="{00000000-0008-0000-1600-0000A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36</xdr:row>
          <xdr:rowOff>55659</xdr:rowOff>
        </xdr:from>
        <xdr:to>
          <xdr:col>26</xdr:col>
          <xdr:colOff>95416</xdr:colOff>
          <xdr:row>36</xdr:row>
          <xdr:rowOff>254442</xdr:rowOff>
        </xdr:to>
        <xdr:sp macro="" textlink="">
          <xdr:nvSpPr>
            <xdr:cNvPr id="65708" name="Check Box 172" hidden="1">
              <a:extLst>
                <a:ext uri="{63B3BB69-23CF-44E3-9099-C40C66FF867C}">
                  <a14:compatExt spid="_x0000_s65708"/>
                </a:ext>
                <a:ext uri="{FF2B5EF4-FFF2-40B4-BE49-F238E27FC236}">
                  <a16:creationId xmlns:a16="http://schemas.microsoft.com/office/drawing/2014/main" id="{00000000-0008-0000-1600-0000AC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36</xdr:row>
          <xdr:rowOff>55659</xdr:rowOff>
        </xdr:from>
        <xdr:to>
          <xdr:col>28</xdr:col>
          <xdr:colOff>79513</xdr:colOff>
          <xdr:row>36</xdr:row>
          <xdr:rowOff>254442</xdr:rowOff>
        </xdr:to>
        <xdr:sp macro="" textlink="">
          <xdr:nvSpPr>
            <xdr:cNvPr id="65709" name="Check Box 173" hidden="1">
              <a:extLst>
                <a:ext uri="{63B3BB69-23CF-44E3-9099-C40C66FF867C}">
                  <a14:compatExt spid="_x0000_s65709"/>
                </a:ext>
                <a:ext uri="{FF2B5EF4-FFF2-40B4-BE49-F238E27FC236}">
                  <a16:creationId xmlns:a16="http://schemas.microsoft.com/office/drawing/2014/main" id="{00000000-0008-0000-1600-0000AD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36</xdr:row>
          <xdr:rowOff>55659</xdr:rowOff>
        </xdr:from>
        <xdr:to>
          <xdr:col>24</xdr:col>
          <xdr:colOff>103367</xdr:colOff>
          <xdr:row>36</xdr:row>
          <xdr:rowOff>254442</xdr:rowOff>
        </xdr:to>
        <xdr:sp macro="" textlink="">
          <xdr:nvSpPr>
            <xdr:cNvPr id="65710" name="Check Box 174" hidden="1">
              <a:extLst>
                <a:ext uri="{63B3BB69-23CF-44E3-9099-C40C66FF867C}">
                  <a14:compatExt spid="_x0000_s65710"/>
                </a:ext>
                <a:ext uri="{FF2B5EF4-FFF2-40B4-BE49-F238E27FC236}">
                  <a16:creationId xmlns:a16="http://schemas.microsoft.com/office/drawing/2014/main" id="{00000000-0008-0000-1600-0000AE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341906</xdr:colOff>
          <xdr:row>37</xdr:row>
          <xdr:rowOff>55659</xdr:rowOff>
        </xdr:from>
        <xdr:to>
          <xdr:col>14</xdr:col>
          <xdr:colOff>95416</xdr:colOff>
          <xdr:row>37</xdr:row>
          <xdr:rowOff>254442</xdr:rowOff>
        </xdr:to>
        <xdr:sp macro="" textlink="">
          <xdr:nvSpPr>
            <xdr:cNvPr id="65711" name="Check Box 175" hidden="1">
              <a:extLst>
                <a:ext uri="{63B3BB69-23CF-44E3-9099-C40C66FF867C}">
                  <a14:compatExt spid="_x0000_s65711"/>
                </a:ext>
                <a:ext uri="{FF2B5EF4-FFF2-40B4-BE49-F238E27FC236}">
                  <a16:creationId xmlns:a16="http://schemas.microsoft.com/office/drawing/2014/main" id="{00000000-0008-0000-1600-0000AF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333955</xdr:colOff>
          <xdr:row>37</xdr:row>
          <xdr:rowOff>55659</xdr:rowOff>
        </xdr:from>
        <xdr:to>
          <xdr:col>16</xdr:col>
          <xdr:colOff>79513</xdr:colOff>
          <xdr:row>37</xdr:row>
          <xdr:rowOff>254442</xdr:rowOff>
        </xdr:to>
        <xdr:sp macro="" textlink="">
          <xdr:nvSpPr>
            <xdr:cNvPr id="65712" name="Check Box 176" hidden="1">
              <a:extLst>
                <a:ext uri="{63B3BB69-23CF-44E3-9099-C40C66FF867C}">
                  <a14:compatExt spid="_x0000_s65712"/>
                </a:ext>
                <a:ext uri="{FF2B5EF4-FFF2-40B4-BE49-F238E27FC236}">
                  <a16:creationId xmlns:a16="http://schemas.microsoft.com/office/drawing/2014/main" id="{00000000-0008-0000-1600-0000B0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37</xdr:row>
          <xdr:rowOff>55659</xdr:rowOff>
        </xdr:from>
        <xdr:to>
          <xdr:col>12</xdr:col>
          <xdr:colOff>103367</xdr:colOff>
          <xdr:row>37</xdr:row>
          <xdr:rowOff>254442</xdr:rowOff>
        </xdr:to>
        <xdr:sp macro="" textlink="">
          <xdr:nvSpPr>
            <xdr:cNvPr id="65713" name="Check Box 177" hidden="1">
              <a:extLst>
                <a:ext uri="{63B3BB69-23CF-44E3-9099-C40C66FF867C}">
                  <a14:compatExt spid="_x0000_s65713"/>
                </a:ext>
                <a:ext uri="{FF2B5EF4-FFF2-40B4-BE49-F238E27FC236}">
                  <a16:creationId xmlns:a16="http://schemas.microsoft.com/office/drawing/2014/main" id="{00000000-0008-0000-1600-0000B1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341906</xdr:colOff>
          <xdr:row>37</xdr:row>
          <xdr:rowOff>55659</xdr:rowOff>
        </xdr:from>
        <xdr:to>
          <xdr:col>20</xdr:col>
          <xdr:colOff>95416</xdr:colOff>
          <xdr:row>37</xdr:row>
          <xdr:rowOff>254442</xdr:rowOff>
        </xdr:to>
        <xdr:sp macro="" textlink="">
          <xdr:nvSpPr>
            <xdr:cNvPr id="65714" name="Check Box 178" hidden="1">
              <a:extLst>
                <a:ext uri="{63B3BB69-23CF-44E3-9099-C40C66FF867C}">
                  <a14:compatExt spid="_x0000_s65714"/>
                </a:ext>
                <a:ext uri="{FF2B5EF4-FFF2-40B4-BE49-F238E27FC236}">
                  <a16:creationId xmlns:a16="http://schemas.microsoft.com/office/drawing/2014/main" id="{00000000-0008-0000-1600-0000B2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333955</xdr:colOff>
          <xdr:row>37</xdr:row>
          <xdr:rowOff>55659</xdr:rowOff>
        </xdr:from>
        <xdr:to>
          <xdr:col>22</xdr:col>
          <xdr:colOff>79513</xdr:colOff>
          <xdr:row>37</xdr:row>
          <xdr:rowOff>254442</xdr:rowOff>
        </xdr:to>
        <xdr:sp macro="" textlink="">
          <xdr:nvSpPr>
            <xdr:cNvPr id="65715" name="Check Box 179" hidden="1">
              <a:extLst>
                <a:ext uri="{63B3BB69-23CF-44E3-9099-C40C66FF867C}">
                  <a14:compatExt spid="_x0000_s65715"/>
                </a:ext>
                <a:ext uri="{FF2B5EF4-FFF2-40B4-BE49-F238E27FC236}">
                  <a16:creationId xmlns:a16="http://schemas.microsoft.com/office/drawing/2014/main" id="{00000000-0008-0000-1600-0000B3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365760</xdr:colOff>
          <xdr:row>37</xdr:row>
          <xdr:rowOff>55659</xdr:rowOff>
        </xdr:from>
        <xdr:to>
          <xdr:col>18</xdr:col>
          <xdr:colOff>103367</xdr:colOff>
          <xdr:row>37</xdr:row>
          <xdr:rowOff>254442</xdr:rowOff>
        </xdr:to>
        <xdr:sp macro="" textlink="">
          <xdr:nvSpPr>
            <xdr:cNvPr id="65716" name="Check Box 180" hidden="1">
              <a:extLst>
                <a:ext uri="{63B3BB69-23CF-44E3-9099-C40C66FF867C}">
                  <a14:compatExt spid="_x0000_s65716"/>
                </a:ext>
                <a:ext uri="{FF2B5EF4-FFF2-40B4-BE49-F238E27FC236}">
                  <a16:creationId xmlns:a16="http://schemas.microsoft.com/office/drawing/2014/main" id="{00000000-0008-0000-1600-0000B4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341906</xdr:colOff>
          <xdr:row>37</xdr:row>
          <xdr:rowOff>55659</xdr:rowOff>
        </xdr:from>
        <xdr:to>
          <xdr:col>26</xdr:col>
          <xdr:colOff>95416</xdr:colOff>
          <xdr:row>37</xdr:row>
          <xdr:rowOff>254442</xdr:rowOff>
        </xdr:to>
        <xdr:sp macro="" textlink="">
          <xdr:nvSpPr>
            <xdr:cNvPr id="65717" name="Check Box 181" hidden="1">
              <a:extLst>
                <a:ext uri="{63B3BB69-23CF-44E3-9099-C40C66FF867C}">
                  <a14:compatExt spid="_x0000_s65717"/>
                </a:ext>
                <a:ext uri="{FF2B5EF4-FFF2-40B4-BE49-F238E27FC236}">
                  <a16:creationId xmlns:a16="http://schemas.microsoft.com/office/drawing/2014/main" id="{00000000-0008-0000-1600-0000B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333955</xdr:colOff>
          <xdr:row>37</xdr:row>
          <xdr:rowOff>55659</xdr:rowOff>
        </xdr:from>
        <xdr:to>
          <xdr:col>28</xdr:col>
          <xdr:colOff>79513</xdr:colOff>
          <xdr:row>37</xdr:row>
          <xdr:rowOff>254442</xdr:rowOff>
        </xdr:to>
        <xdr:sp macro="" textlink="">
          <xdr:nvSpPr>
            <xdr:cNvPr id="65718" name="Check Box 182" hidden="1">
              <a:extLst>
                <a:ext uri="{63B3BB69-23CF-44E3-9099-C40C66FF867C}">
                  <a14:compatExt spid="_x0000_s65718"/>
                </a:ext>
                <a:ext uri="{FF2B5EF4-FFF2-40B4-BE49-F238E27FC236}">
                  <a16:creationId xmlns:a16="http://schemas.microsoft.com/office/drawing/2014/main" id="{00000000-0008-0000-1600-0000B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365760</xdr:colOff>
          <xdr:row>37</xdr:row>
          <xdr:rowOff>55659</xdr:rowOff>
        </xdr:from>
        <xdr:to>
          <xdr:col>24</xdr:col>
          <xdr:colOff>103367</xdr:colOff>
          <xdr:row>37</xdr:row>
          <xdr:rowOff>254442</xdr:rowOff>
        </xdr:to>
        <xdr:sp macro="" textlink="">
          <xdr:nvSpPr>
            <xdr:cNvPr id="65719" name="Check Box 183" hidden="1">
              <a:extLst>
                <a:ext uri="{63B3BB69-23CF-44E3-9099-C40C66FF867C}">
                  <a14:compatExt spid="_x0000_s65719"/>
                </a:ext>
                <a:ext uri="{FF2B5EF4-FFF2-40B4-BE49-F238E27FC236}">
                  <a16:creationId xmlns:a16="http://schemas.microsoft.com/office/drawing/2014/main" id="{00000000-0008-0000-1600-0000B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65722" name="Drop Down 186" hidden="1">
              <a:extLst>
                <a:ext uri="{63B3BB69-23CF-44E3-9099-C40C66FF867C}">
                  <a14:compatExt spid="_x0000_s65722"/>
                </a:ext>
                <a:ext uri="{FF2B5EF4-FFF2-40B4-BE49-F238E27FC236}">
                  <a16:creationId xmlns:a16="http://schemas.microsoft.com/office/drawing/2014/main" id="{00000000-0008-0000-1600-0000BA0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167" name="AutoShape 288">
          <a:extLst>
            <a:ext uri="{FF2B5EF4-FFF2-40B4-BE49-F238E27FC236}">
              <a16:creationId xmlns:a16="http://schemas.microsoft.com/office/drawing/2014/main" id="{00000000-0008-0000-1600-0000A7000000}"/>
            </a:ext>
          </a:extLst>
        </xdr:cNvPr>
        <xdr:cNvSpPr>
          <a:spLocks noChangeArrowheads="1"/>
        </xdr:cNvSpPr>
      </xdr:nvSpPr>
      <xdr:spPr bwMode="auto">
        <a:xfrm>
          <a:off x="7943850" y="154050"/>
          <a:ext cx="4095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25</xdr:col>
          <xdr:colOff>31805</xdr:colOff>
          <xdr:row>37</xdr:row>
          <xdr:rowOff>15903</xdr:rowOff>
        </xdr:from>
        <xdr:to>
          <xdr:col>25</xdr:col>
          <xdr:colOff>333955</xdr:colOff>
          <xdr:row>37</xdr:row>
          <xdr:rowOff>246490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1700-000001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37</xdr:row>
          <xdr:rowOff>15903</xdr:rowOff>
        </xdr:from>
        <xdr:to>
          <xdr:col>27</xdr:col>
          <xdr:colOff>333955</xdr:colOff>
          <xdr:row>37</xdr:row>
          <xdr:rowOff>246490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1700-000002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40</xdr:row>
          <xdr:rowOff>15903</xdr:rowOff>
        </xdr:from>
        <xdr:to>
          <xdr:col>27</xdr:col>
          <xdr:colOff>333955</xdr:colOff>
          <xdr:row>40</xdr:row>
          <xdr:rowOff>246490</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1700-000003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31805</xdr:colOff>
          <xdr:row>40</xdr:row>
          <xdr:rowOff>15903</xdr:rowOff>
        </xdr:from>
        <xdr:to>
          <xdr:col>23</xdr:col>
          <xdr:colOff>333955</xdr:colOff>
          <xdr:row>40</xdr:row>
          <xdr:rowOff>246490</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1700-000004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21</xdr:row>
          <xdr:rowOff>15903</xdr:rowOff>
        </xdr:from>
        <xdr:to>
          <xdr:col>27</xdr:col>
          <xdr:colOff>333955</xdr:colOff>
          <xdr:row>21</xdr:row>
          <xdr:rowOff>246490</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1700-000005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31805</xdr:colOff>
          <xdr:row>38</xdr:row>
          <xdr:rowOff>15903</xdr:rowOff>
        </xdr:from>
        <xdr:to>
          <xdr:col>25</xdr:col>
          <xdr:colOff>333955</xdr:colOff>
          <xdr:row>38</xdr:row>
          <xdr:rowOff>246490</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1700-000006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38</xdr:row>
          <xdr:rowOff>15903</xdr:rowOff>
        </xdr:from>
        <xdr:to>
          <xdr:col>27</xdr:col>
          <xdr:colOff>333955</xdr:colOff>
          <xdr:row>38</xdr:row>
          <xdr:rowOff>246490</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1700-000007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31805</xdr:colOff>
          <xdr:row>26</xdr:row>
          <xdr:rowOff>15903</xdr:rowOff>
        </xdr:from>
        <xdr:to>
          <xdr:col>25</xdr:col>
          <xdr:colOff>333955</xdr:colOff>
          <xdr:row>26</xdr:row>
          <xdr:rowOff>246490</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1700-000008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26</xdr:row>
          <xdr:rowOff>15903</xdr:rowOff>
        </xdr:from>
        <xdr:to>
          <xdr:col>27</xdr:col>
          <xdr:colOff>333955</xdr:colOff>
          <xdr:row>26</xdr:row>
          <xdr:rowOff>246490</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1700-000009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31805</xdr:colOff>
          <xdr:row>13</xdr:row>
          <xdr:rowOff>15903</xdr:rowOff>
        </xdr:from>
        <xdr:to>
          <xdr:col>5</xdr:col>
          <xdr:colOff>333955</xdr:colOff>
          <xdr:row>13</xdr:row>
          <xdr:rowOff>246490</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1700-00000A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31805</xdr:colOff>
          <xdr:row>12</xdr:row>
          <xdr:rowOff>15903</xdr:rowOff>
        </xdr:from>
        <xdr:to>
          <xdr:col>5</xdr:col>
          <xdr:colOff>333955</xdr:colOff>
          <xdr:row>12</xdr:row>
          <xdr:rowOff>246490</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1700-00000B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31805</xdr:colOff>
          <xdr:row>18</xdr:row>
          <xdr:rowOff>15903</xdr:rowOff>
        </xdr:from>
        <xdr:to>
          <xdr:col>25</xdr:col>
          <xdr:colOff>333955</xdr:colOff>
          <xdr:row>18</xdr:row>
          <xdr:rowOff>246490</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1700-00000C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18</xdr:row>
          <xdr:rowOff>15903</xdr:rowOff>
        </xdr:from>
        <xdr:to>
          <xdr:col>27</xdr:col>
          <xdr:colOff>333955</xdr:colOff>
          <xdr:row>18</xdr:row>
          <xdr:rowOff>246490</xdr:rowOff>
        </xdr:to>
        <xdr:sp macro="" textlink="">
          <xdr:nvSpPr>
            <xdr:cNvPr id="86029" name="Check Box 13" hidden="1">
              <a:extLst>
                <a:ext uri="{63B3BB69-23CF-44E3-9099-C40C66FF867C}">
                  <a14:compatExt spid="_x0000_s86029"/>
                </a:ext>
                <a:ext uri="{FF2B5EF4-FFF2-40B4-BE49-F238E27FC236}">
                  <a16:creationId xmlns:a16="http://schemas.microsoft.com/office/drawing/2014/main" id="{00000000-0008-0000-1700-00000D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31805</xdr:colOff>
          <xdr:row>19</xdr:row>
          <xdr:rowOff>15903</xdr:rowOff>
        </xdr:from>
        <xdr:to>
          <xdr:col>25</xdr:col>
          <xdr:colOff>333955</xdr:colOff>
          <xdr:row>19</xdr:row>
          <xdr:rowOff>246490</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1700-00000E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19</xdr:row>
          <xdr:rowOff>15903</xdr:rowOff>
        </xdr:from>
        <xdr:to>
          <xdr:col>27</xdr:col>
          <xdr:colOff>333955</xdr:colOff>
          <xdr:row>19</xdr:row>
          <xdr:rowOff>246490</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1700-00000F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22</xdr:row>
          <xdr:rowOff>15903</xdr:rowOff>
        </xdr:from>
        <xdr:to>
          <xdr:col>27</xdr:col>
          <xdr:colOff>333955</xdr:colOff>
          <xdr:row>22</xdr:row>
          <xdr:rowOff>246490</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1700-000010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21</xdr:row>
          <xdr:rowOff>15903</xdr:rowOff>
        </xdr:from>
        <xdr:to>
          <xdr:col>27</xdr:col>
          <xdr:colOff>333955</xdr:colOff>
          <xdr:row>21</xdr:row>
          <xdr:rowOff>246490</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1700-000011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22</xdr:row>
          <xdr:rowOff>15903</xdr:rowOff>
        </xdr:from>
        <xdr:to>
          <xdr:col>27</xdr:col>
          <xdr:colOff>333955</xdr:colOff>
          <xdr:row>22</xdr:row>
          <xdr:rowOff>246490</xdr:rowOff>
        </xdr:to>
        <xdr:sp macro="" textlink="">
          <xdr:nvSpPr>
            <xdr:cNvPr id="86034" name="Check Box 18" hidden="1">
              <a:extLst>
                <a:ext uri="{63B3BB69-23CF-44E3-9099-C40C66FF867C}">
                  <a14:compatExt spid="_x0000_s86034"/>
                </a:ext>
                <a:ext uri="{FF2B5EF4-FFF2-40B4-BE49-F238E27FC236}">
                  <a16:creationId xmlns:a16="http://schemas.microsoft.com/office/drawing/2014/main" id="{00000000-0008-0000-1700-000012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135172</xdr:colOff>
          <xdr:row>19</xdr:row>
          <xdr:rowOff>15903</xdr:rowOff>
        </xdr:from>
        <xdr:to>
          <xdr:col>12</xdr:col>
          <xdr:colOff>15903</xdr:colOff>
          <xdr:row>19</xdr:row>
          <xdr:rowOff>246490</xdr:rowOff>
        </xdr:to>
        <xdr:sp macro="" textlink="">
          <xdr:nvSpPr>
            <xdr:cNvPr id="86035" name="Check Box 19" hidden="1">
              <a:extLst>
                <a:ext uri="{63B3BB69-23CF-44E3-9099-C40C66FF867C}">
                  <a14:compatExt spid="_x0000_s86035"/>
                </a:ext>
                <a:ext uri="{FF2B5EF4-FFF2-40B4-BE49-F238E27FC236}">
                  <a16:creationId xmlns:a16="http://schemas.microsoft.com/office/drawing/2014/main" id="{00000000-0008-0000-1700-000013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31805</xdr:colOff>
          <xdr:row>19</xdr:row>
          <xdr:rowOff>15903</xdr:rowOff>
        </xdr:from>
        <xdr:to>
          <xdr:col>9</xdr:col>
          <xdr:colOff>294198</xdr:colOff>
          <xdr:row>19</xdr:row>
          <xdr:rowOff>246490</xdr:rowOff>
        </xdr:to>
        <xdr:sp macro="" textlink="">
          <xdr:nvSpPr>
            <xdr:cNvPr id="86036" name="Check Box 20" hidden="1">
              <a:extLst>
                <a:ext uri="{63B3BB69-23CF-44E3-9099-C40C66FF867C}">
                  <a14:compatExt spid="_x0000_s86036"/>
                </a:ext>
                <a:ext uri="{FF2B5EF4-FFF2-40B4-BE49-F238E27FC236}">
                  <a16:creationId xmlns:a16="http://schemas.microsoft.com/office/drawing/2014/main" id="{00000000-0008-0000-1700-000014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31805</xdr:colOff>
          <xdr:row>36</xdr:row>
          <xdr:rowOff>31805</xdr:rowOff>
        </xdr:from>
        <xdr:to>
          <xdr:col>25</xdr:col>
          <xdr:colOff>333955</xdr:colOff>
          <xdr:row>36</xdr:row>
          <xdr:rowOff>254442</xdr:rowOff>
        </xdr:to>
        <xdr:sp macro="" textlink="">
          <xdr:nvSpPr>
            <xdr:cNvPr id="86037" name="Check Box 21" hidden="1">
              <a:extLst>
                <a:ext uri="{63B3BB69-23CF-44E3-9099-C40C66FF867C}">
                  <a14:compatExt spid="_x0000_s86037"/>
                </a:ext>
                <a:ext uri="{FF2B5EF4-FFF2-40B4-BE49-F238E27FC236}">
                  <a16:creationId xmlns:a16="http://schemas.microsoft.com/office/drawing/2014/main" id="{00000000-0008-0000-1700-000015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36</xdr:row>
          <xdr:rowOff>31805</xdr:rowOff>
        </xdr:from>
        <xdr:to>
          <xdr:col>27</xdr:col>
          <xdr:colOff>333955</xdr:colOff>
          <xdr:row>36</xdr:row>
          <xdr:rowOff>254442</xdr:rowOff>
        </xdr:to>
        <xdr:sp macro="" textlink="">
          <xdr:nvSpPr>
            <xdr:cNvPr id="86038" name="Check Box 22" hidden="1">
              <a:extLst>
                <a:ext uri="{63B3BB69-23CF-44E3-9099-C40C66FF867C}">
                  <a14:compatExt spid="_x0000_s86038"/>
                </a:ext>
                <a:ext uri="{FF2B5EF4-FFF2-40B4-BE49-F238E27FC236}">
                  <a16:creationId xmlns:a16="http://schemas.microsoft.com/office/drawing/2014/main" id="{00000000-0008-0000-1700-000016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31805</xdr:colOff>
          <xdr:row>27</xdr:row>
          <xdr:rowOff>15903</xdr:rowOff>
        </xdr:from>
        <xdr:to>
          <xdr:col>25</xdr:col>
          <xdr:colOff>333955</xdr:colOff>
          <xdr:row>27</xdr:row>
          <xdr:rowOff>246490</xdr:rowOff>
        </xdr:to>
        <xdr:sp macro="" textlink="">
          <xdr:nvSpPr>
            <xdr:cNvPr id="86039" name="Check Box 23" hidden="1">
              <a:extLst>
                <a:ext uri="{63B3BB69-23CF-44E3-9099-C40C66FF867C}">
                  <a14:compatExt spid="_x0000_s86039"/>
                </a:ext>
                <a:ext uri="{FF2B5EF4-FFF2-40B4-BE49-F238E27FC236}">
                  <a16:creationId xmlns:a16="http://schemas.microsoft.com/office/drawing/2014/main" id="{00000000-0008-0000-1700-000017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27</xdr:row>
          <xdr:rowOff>15903</xdr:rowOff>
        </xdr:from>
        <xdr:to>
          <xdr:col>27</xdr:col>
          <xdr:colOff>333955</xdr:colOff>
          <xdr:row>27</xdr:row>
          <xdr:rowOff>246490</xdr:rowOff>
        </xdr:to>
        <xdr:sp macro="" textlink="">
          <xdr:nvSpPr>
            <xdr:cNvPr id="86040" name="Check Box 24" hidden="1">
              <a:extLst>
                <a:ext uri="{63B3BB69-23CF-44E3-9099-C40C66FF867C}">
                  <a14:compatExt spid="_x0000_s86040"/>
                </a:ext>
                <a:ext uri="{FF2B5EF4-FFF2-40B4-BE49-F238E27FC236}">
                  <a16:creationId xmlns:a16="http://schemas.microsoft.com/office/drawing/2014/main" id="{00000000-0008-0000-1700-000018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31805</xdr:colOff>
          <xdr:row>39</xdr:row>
          <xdr:rowOff>15903</xdr:rowOff>
        </xdr:from>
        <xdr:to>
          <xdr:col>25</xdr:col>
          <xdr:colOff>333955</xdr:colOff>
          <xdr:row>39</xdr:row>
          <xdr:rowOff>246490</xdr:rowOff>
        </xdr:to>
        <xdr:sp macro="" textlink="">
          <xdr:nvSpPr>
            <xdr:cNvPr id="86041" name="Check Box 25" hidden="1">
              <a:extLst>
                <a:ext uri="{63B3BB69-23CF-44E3-9099-C40C66FF867C}">
                  <a14:compatExt spid="_x0000_s86041"/>
                </a:ext>
                <a:ext uri="{FF2B5EF4-FFF2-40B4-BE49-F238E27FC236}">
                  <a16:creationId xmlns:a16="http://schemas.microsoft.com/office/drawing/2014/main" id="{00000000-0008-0000-1700-000019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39</xdr:row>
          <xdr:rowOff>15903</xdr:rowOff>
        </xdr:from>
        <xdr:to>
          <xdr:col>27</xdr:col>
          <xdr:colOff>333955</xdr:colOff>
          <xdr:row>39</xdr:row>
          <xdr:rowOff>246490</xdr:rowOff>
        </xdr:to>
        <xdr:sp macro="" textlink="">
          <xdr:nvSpPr>
            <xdr:cNvPr id="86042" name="Check Box 26" hidden="1">
              <a:extLst>
                <a:ext uri="{63B3BB69-23CF-44E3-9099-C40C66FF867C}">
                  <a14:compatExt spid="_x0000_s86042"/>
                </a:ext>
                <a:ext uri="{FF2B5EF4-FFF2-40B4-BE49-F238E27FC236}">
                  <a16:creationId xmlns:a16="http://schemas.microsoft.com/office/drawing/2014/main" id="{00000000-0008-0000-1700-00001A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39757</xdr:colOff>
          <xdr:row>51</xdr:row>
          <xdr:rowOff>15903</xdr:rowOff>
        </xdr:from>
        <xdr:to>
          <xdr:col>13</xdr:col>
          <xdr:colOff>341906</xdr:colOff>
          <xdr:row>51</xdr:row>
          <xdr:rowOff>246490</xdr:rowOff>
        </xdr:to>
        <xdr:sp macro="" textlink="">
          <xdr:nvSpPr>
            <xdr:cNvPr id="86043" name="Check Box 27" hidden="1">
              <a:extLst>
                <a:ext uri="{63B3BB69-23CF-44E3-9099-C40C66FF867C}">
                  <a14:compatExt spid="_x0000_s86043"/>
                </a:ext>
                <a:ext uri="{FF2B5EF4-FFF2-40B4-BE49-F238E27FC236}">
                  <a16:creationId xmlns:a16="http://schemas.microsoft.com/office/drawing/2014/main" id="{00000000-0008-0000-1700-00001B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55659</xdr:colOff>
          <xdr:row>21</xdr:row>
          <xdr:rowOff>31805</xdr:rowOff>
        </xdr:from>
        <xdr:to>
          <xdr:col>12</xdr:col>
          <xdr:colOff>365760</xdr:colOff>
          <xdr:row>21</xdr:row>
          <xdr:rowOff>254442</xdr:rowOff>
        </xdr:to>
        <xdr:sp macro="" textlink="">
          <xdr:nvSpPr>
            <xdr:cNvPr id="86044" name="Check Box 28" hidden="1">
              <a:extLst>
                <a:ext uri="{63B3BB69-23CF-44E3-9099-C40C66FF867C}">
                  <a14:compatExt spid="_x0000_s86044"/>
                </a:ext>
                <a:ext uri="{FF2B5EF4-FFF2-40B4-BE49-F238E27FC236}">
                  <a16:creationId xmlns:a16="http://schemas.microsoft.com/office/drawing/2014/main" id="{00000000-0008-0000-1700-00001C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55659</xdr:colOff>
          <xdr:row>22</xdr:row>
          <xdr:rowOff>31805</xdr:rowOff>
        </xdr:from>
        <xdr:to>
          <xdr:col>12</xdr:col>
          <xdr:colOff>365760</xdr:colOff>
          <xdr:row>22</xdr:row>
          <xdr:rowOff>254442</xdr:rowOff>
        </xdr:to>
        <xdr:sp macro="" textlink="">
          <xdr:nvSpPr>
            <xdr:cNvPr id="86045" name="Check Box 29" hidden="1">
              <a:extLst>
                <a:ext uri="{63B3BB69-23CF-44E3-9099-C40C66FF867C}">
                  <a14:compatExt spid="_x0000_s86045"/>
                </a:ext>
                <a:ext uri="{FF2B5EF4-FFF2-40B4-BE49-F238E27FC236}">
                  <a16:creationId xmlns:a16="http://schemas.microsoft.com/office/drawing/2014/main" id="{00000000-0008-0000-1700-00001D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55659</xdr:colOff>
          <xdr:row>23</xdr:row>
          <xdr:rowOff>0</xdr:rowOff>
        </xdr:from>
        <xdr:to>
          <xdr:col>12</xdr:col>
          <xdr:colOff>365760</xdr:colOff>
          <xdr:row>23</xdr:row>
          <xdr:rowOff>230588</xdr:rowOff>
        </xdr:to>
        <xdr:sp macro="" textlink="">
          <xdr:nvSpPr>
            <xdr:cNvPr id="86046" name="Check Box 30" hidden="1">
              <a:extLst>
                <a:ext uri="{63B3BB69-23CF-44E3-9099-C40C66FF867C}">
                  <a14:compatExt spid="_x0000_s86046"/>
                </a:ext>
                <a:ext uri="{FF2B5EF4-FFF2-40B4-BE49-F238E27FC236}">
                  <a16:creationId xmlns:a16="http://schemas.microsoft.com/office/drawing/2014/main" id="{00000000-0008-0000-1700-00001E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55659</xdr:colOff>
          <xdr:row>51</xdr:row>
          <xdr:rowOff>63610</xdr:rowOff>
        </xdr:from>
        <xdr:to>
          <xdr:col>16</xdr:col>
          <xdr:colOff>365760</xdr:colOff>
          <xdr:row>51</xdr:row>
          <xdr:rowOff>222637</xdr:rowOff>
        </xdr:to>
        <xdr:sp macro="" textlink="">
          <xdr:nvSpPr>
            <xdr:cNvPr id="86047" name="Check Box 31" hidden="1">
              <a:extLst>
                <a:ext uri="{63B3BB69-23CF-44E3-9099-C40C66FF867C}">
                  <a14:compatExt spid="_x0000_s86047"/>
                </a:ext>
                <a:ext uri="{FF2B5EF4-FFF2-40B4-BE49-F238E27FC236}">
                  <a16:creationId xmlns:a16="http://schemas.microsoft.com/office/drawing/2014/main" id="{00000000-0008-0000-1700-00001F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31805</xdr:colOff>
          <xdr:row>44</xdr:row>
          <xdr:rowOff>31805</xdr:rowOff>
        </xdr:from>
        <xdr:to>
          <xdr:col>25</xdr:col>
          <xdr:colOff>333955</xdr:colOff>
          <xdr:row>44</xdr:row>
          <xdr:rowOff>206734</xdr:rowOff>
        </xdr:to>
        <xdr:sp macro="" textlink="">
          <xdr:nvSpPr>
            <xdr:cNvPr id="86050" name="Check Box 34" hidden="1">
              <a:extLst>
                <a:ext uri="{63B3BB69-23CF-44E3-9099-C40C66FF867C}">
                  <a14:compatExt spid="_x0000_s86050"/>
                </a:ext>
                <a:ext uri="{FF2B5EF4-FFF2-40B4-BE49-F238E27FC236}">
                  <a16:creationId xmlns:a16="http://schemas.microsoft.com/office/drawing/2014/main" id="{00000000-0008-0000-1700-000022500100}"/>
                </a:ext>
              </a:extLst>
            </xdr:cNvPr>
            <xdr:cNvSpPr/>
          </xdr:nvSpPr>
          <xdr:spPr bwMode="auto">
            <a:xfrm>
              <a:off x="0" y="0"/>
              <a:ext cx="0" cy="0"/>
            </a:xfrm>
            <a:prstGeom prst="rect">
              <a:avLst/>
            </a:prstGeom>
            <a:noFill/>
            <a:ln>
              <a:noFill/>
            </a:ln>
            <a:extLst>
              <a:ext uri="{909E8E84-426E-40DD-AFC4-6F175D3DCCD1}">
                <a14:hiddenFill>
                  <a:solidFill>
                    <a:srgbClr val="DEE6F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31805</xdr:colOff>
          <xdr:row>44</xdr:row>
          <xdr:rowOff>31805</xdr:rowOff>
        </xdr:from>
        <xdr:to>
          <xdr:col>27</xdr:col>
          <xdr:colOff>333955</xdr:colOff>
          <xdr:row>44</xdr:row>
          <xdr:rowOff>206734</xdr:rowOff>
        </xdr:to>
        <xdr:sp macro="" textlink="">
          <xdr:nvSpPr>
            <xdr:cNvPr id="86051" name="Check Box 35" hidden="1">
              <a:extLst>
                <a:ext uri="{63B3BB69-23CF-44E3-9099-C40C66FF867C}">
                  <a14:compatExt spid="_x0000_s86051"/>
                </a:ext>
                <a:ext uri="{FF2B5EF4-FFF2-40B4-BE49-F238E27FC236}">
                  <a16:creationId xmlns:a16="http://schemas.microsoft.com/office/drawing/2014/main" id="{00000000-0008-0000-1700-000023500100}"/>
                </a:ext>
              </a:extLst>
            </xdr:cNvPr>
            <xdr:cNvSpPr/>
          </xdr:nvSpPr>
          <xdr:spPr bwMode="auto">
            <a:xfrm>
              <a:off x="0" y="0"/>
              <a:ext cx="0" cy="0"/>
            </a:xfrm>
            <a:prstGeom prst="rect">
              <a:avLst/>
            </a:prstGeom>
            <a:noFill/>
            <a:ln>
              <a:noFill/>
            </a:ln>
            <a:extLst>
              <a:ext uri="{909E8E84-426E-40DD-AFC4-6F175D3DCCD1}">
                <a14:hiddenFill>
                  <a:solidFill>
                    <a:srgbClr val="DEE6F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103367</xdr:colOff>
          <xdr:row>19</xdr:row>
          <xdr:rowOff>31805</xdr:rowOff>
        </xdr:from>
        <xdr:to>
          <xdr:col>13</xdr:col>
          <xdr:colOff>326003</xdr:colOff>
          <xdr:row>19</xdr:row>
          <xdr:rowOff>222637</xdr:rowOff>
        </xdr:to>
        <xdr:sp macro="" textlink="">
          <xdr:nvSpPr>
            <xdr:cNvPr id="86052" name="Check Box 36" hidden="1">
              <a:extLst>
                <a:ext uri="{63B3BB69-23CF-44E3-9099-C40C66FF867C}">
                  <a14:compatExt spid="_x0000_s86052"/>
                </a:ext>
                <a:ext uri="{FF2B5EF4-FFF2-40B4-BE49-F238E27FC236}">
                  <a16:creationId xmlns:a16="http://schemas.microsoft.com/office/drawing/2014/main" id="{00000000-0008-0000-1700-000024500100}"/>
                </a:ext>
              </a:extLst>
            </xdr:cNvPr>
            <xdr:cNvSpPr/>
          </xdr:nvSpPr>
          <xdr:spPr bwMode="auto">
            <a:xfrm>
              <a:off x="0" y="0"/>
              <a:ext cx="0" cy="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238539</xdr:colOff>
          <xdr:row>0</xdr:row>
          <xdr:rowOff>103367</xdr:rowOff>
        </xdr:from>
        <xdr:to>
          <xdr:col>22</xdr:col>
          <xdr:colOff>230588</xdr:colOff>
          <xdr:row>1</xdr:row>
          <xdr:rowOff>143123</xdr:rowOff>
        </xdr:to>
        <xdr:sp macro="" textlink="">
          <xdr:nvSpPr>
            <xdr:cNvPr id="86053" name="Drop Down 37" hidden="1">
              <a:extLst>
                <a:ext uri="{63B3BB69-23CF-44E3-9099-C40C66FF867C}">
                  <a14:compatExt spid="_x0000_s86053"/>
                </a:ext>
                <a:ext uri="{FF2B5EF4-FFF2-40B4-BE49-F238E27FC236}">
                  <a16:creationId xmlns:a16="http://schemas.microsoft.com/office/drawing/2014/main" id="{00000000-0008-0000-1700-0000255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247650</xdr:colOff>
      <xdr:row>0</xdr:row>
      <xdr:rowOff>154050</xdr:rowOff>
    </xdr:from>
    <xdr:to>
      <xdr:col>18</xdr:col>
      <xdr:colOff>95250</xdr:colOff>
      <xdr:row>1</xdr:row>
      <xdr:rowOff>77850</xdr:rowOff>
    </xdr:to>
    <xdr:sp macro="" textlink="">
      <xdr:nvSpPr>
        <xdr:cNvPr id="39" name="AutoShape 288">
          <a:extLst>
            <a:ext uri="{FF2B5EF4-FFF2-40B4-BE49-F238E27FC236}">
              <a16:creationId xmlns:a16="http://schemas.microsoft.com/office/drawing/2014/main" id="{00000000-0008-0000-1700-000027000000}"/>
            </a:ext>
          </a:extLst>
        </xdr:cNvPr>
        <xdr:cNvSpPr>
          <a:spLocks noChangeArrowheads="1"/>
        </xdr:cNvSpPr>
      </xdr:nvSpPr>
      <xdr:spPr bwMode="auto">
        <a:xfrm>
          <a:off x="6467475" y="154050"/>
          <a:ext cx="31432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xdr:from>
          <xdr:col>13</xdr:col>
          <xdr:colOff>31805</xdr:colOff>
          <xdr:row>52</xdr:row>
          <xdr:rowOff>31805</xdr:rowOff>
        </xdr:from>
        <xdr:to>
          <xdr:col>13</xdr:col>
          <xdr:colOff>333955</xdr:colOff>
          <xdr:row>52</xdr:row>
          <xdr:rowOff>254442</xdr:rowOff>
        </xdr:to>
        <xdr:sp macro="" textlink="">
          <xdr:nvSpPr>
            <xdr:cNvPr id="86055" name="Check Box 39" hidden="1">
              <a:extLst>
                <a:ext uri="{63B3BB69-23CF-44E3-9099-C40C66FF867C}">
                  <a14:compatExt spid="_x0000_s86055"/>
                </a:ext>
                <a:ext uri="{FF2B5EF4-FFF2-40B4-BE49-F238E27FC236}">
                  <a16:creationId xmlns:a16="http://schemas.microsoft.com/office/drawing/2014/main" id="{00000000-0008-0000-1700-000027500100}"/>
                </a:ext>
              </a:extLst>
            </xdr:cNvPr>
            <xdr:cNvSpPr/>
          </xdr:nvSpPr>
          <xdr:spPr bwMode="auto">
            <a:xfrm>
              <a:off x="0" y="0"/>
              <a:ext cx="0" cy="0"/>
            </a:xfrm>
            <a:prstGeom prst="rect">
              <a:avLst/>
            </a:prstGeom>
            <a:noFill/>
            <a:ln>
              <a:noFill/>
            </a:ln>
            <a:extLst>
              <a:ext uri="{909E8E84-426E-40DD-AFC4-6F175D3DCCD1}">
                <a14:hiddenFill>
                  <a:solidFill>
                    <a:srgbClr val="DEE6F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47708</xdr:colOff>
          <xdr:row>52</xdr:row>
          <xdr:rowOff>55659</xdr:rowOff>
        </xdr:from>
        <xdr:to>
          <xdr:col>17</xdr:col>
          <xdr:colOff>15903</xdr:colOff>
          <xdr:row>52</xdr:row>
          <xdr:rowOff>286247</xdr:rowOff>
        </xdr:to>
        <xdr:sp macro="" textlink="">
          <xdr:nvSpPr>
            <xdr:cNvPr id="86056" name="Check Box 40" hidden="1">
              <a:extLst>
                <a:ext uri="{63B3BB69-23CF-44E3-9099-C40C66FF867C}">
                  <a14:compatExt spid="_x0000_s86056"/>
                </a:ext>
                <a:ext uri="{FF2B5EF4-FFF2-40B4-BE49-F238E27FC236}">
                  <a16:creationId xmlns:a16="http://schemas.microsoft.com/office/drawing/2014/main" id="{00000000-0008-0000-1700-000028500100}"/>
                </a:ext>
              </a:extLst>
            </xdr:cNvPr>
            <xdr:cNvSpPr/>
          </xdr:nvSpPr>
          <xdr:spPr bwMode="auto">
            <a:xfrm>
              <a:off x="0" y="0"/>
              <a:ext cx="0" cy="0"/>
            </a:xfrm>
            <a:prstGeom prst="rect">
              <a:avLst/>
            </a:prstGeom>
            <a:noFill/>
            <a:ln>
              <a:noFill/>
            </a:ln>
            <a:extLst>
              <a:ext uri="{909E8E84-426E-40DD-AFC4-6F175D3DCCD1}">
                <a14:hiddenFill>
                  <a:solidFill>
                    <a:srgbClr val="DEE6F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oneCellAnchor>
    <xdr:from>
      <xdr:col>10</xdr:col>
      <xdr:colOff>115229</xdr:colOff>
      <xdr:row>11</xdr:row>
      <xdr:rowOff>48322</xdr:rowOff>
    </xdr:from>
    <xdr:ext cx="167269" cy="156117"/>
    <xdr:pic>
      <xdr:nvPicPr>
        <xdr:cNvPr id="2" name="Grafik 1">
          <a:extLst>
            <a:ext uri="{FF2B5EF4-FFF2-40B4-BE49-F238E27FC236}">
              <a16:creationId xmlns:a16="http://schemas.microsoft.com/office/drawing/2014/main" id="{00000000-0008-0000-1800-000002000000}"/>
            </a:ext>
          </a:extLst>
        </xdr:cNvPr>
        <xdr:cNvPicPr>
          <a:picLocks noChangeAspect="1"/>
        </xdr:cNvPicPr>
      </xdr:nvPicPr>
      <xdr:blipFill rotWithShape="1">
        <a:blip xmlns:r="http://schemas.openxmlformats.org/officeDocument/2006/relationships" r:embed="rId1"/>
        <a:srcRect l="8556" t="14997" r="19815" b="11141"/>
        <a:stretch/>
      </xdr:blipFill>
      <xdr:spPr>
        <a:xfrm>
          <a:off x="7630454" y="1419922"/>
          <a:ext cx="167269" cy="156117"/>
        </a:xfrm>
        <a:prstGeom prst="rect">
          <a:avLst/>
        </a:prstGeom>
        <a:ln w="12700">
          <a:solidFill>
            <a:schemeClr val="tx1"/>
          </a:solidFill>
        </a:ln>
      </xdr:spPr>
    </xdr:pic>
    <xdr:clientData/>
  </xdr:oneCellAnchor>
  <xdr:twoCellAnchor>
    <xdr:from>
      <xdr:col>9</xdr:col>
      <xdr:colOff>244736</xdr:colOff>
      <xdr:row>0</xdr:row>
      <xdr:rowOff>150495</xdr:rowOff>
    </xdr:from>
    <xdr:to>
      <xdr:col>9</xdr:col>
      <xdr:colOff>614306</xdr:colOff>
      <xdr:row>1</xdr:row>
      <xdr:rowOff>71157</xdr:rowOff>
    </xdr:to>
    <xdr:sp macro="" textlink="">
      <xdr:nvSpPr>
        <xdr:cNvPr id="4" name="AutoShape 288">
          <a:extLst>
            <a:ext uri="{FF2B5EF4-FFF2-40B4-BE49-F238E27FC236}">
              <a16:creationId xmlns:a16="http://schemas.microsoft.com/office/drawing/2014/main" id="{00000000-0008-0000-1800-000004000000}"/>
            </a:ext>
          </a:extLst>
        </xdr:cNvPr>
        <xdr:cNvSpPr>
          <a:spLocks noChangeArrowheads="1"/>
        </xdr:cNvSpPr>
      </xdr:nvSpPr>
      <xdr:spPr bwMode="auto">
        <a:xfrm>
          <a:off x="6874136" y="150495"/>
          <a:ext cx="369570" cy="139737"/>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9</xdr:col>
          <xdr:colOff>691763</xdr:colOff>
          <xdr:row>0</xdr:row>
          <xdr:rowOff>79513</xdr:rowOff>
        </xdr:from>
        <xdr:to>
          <xdr:col>11</xdr:col>
          <xdr:colOff>516835</xdr:colOff>
          <xdr:row>1</xdr:row>
          <xdr:rowOff>111318</xdr:rowOff>
        </xdr:to>
        <xdr:sp macro="" textlink="">
          <xdr:nvSpPr>
            <xdr:cNvPr id="87043" name="Drop Down 3" hidden="1">
              <a:extLst>
                <a:ext uri="{63B3BB69-23CF-44E3-9099-C40C66FF867C}">
                  <a14:compatExt spid="_x0000_s87043"/>
                </a:ext>
                <a:ext uri="{FF2B5EF4-FFF2-40B4-BE49-F238E27FC236}">
                  <a16:creationId xmlns:a16="http://schemas.microsoft.com/office/drawing/2014/main" id="{00000000-0008-0000-1800-0000035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228600</xdr:colOff>
      <xdr:row>0</xdr:row>
      <xdr:rowOff>154050</xdr:rowOff>
    </xdr:from>
    <xdr:to>
      <xdr:col>15</xdr:col>
      <xdr:colOff>209550</xdr:colOff>
      <xdr:row>1</xdr:row>
      <xdr:rowOff>77850</xdr:rowOff>
    </xdr:to>
    <xdr:sp macro="" textlink="">
      <xdr:nvSpPr>
        <xdr:cNvPr id="3" name="AutoShape 288">
          <a:extLst>
            <a:ext uri="{FF2B5EF4-FFF2-40B4-BE49-F238E27FC236}">
              <a16:creationId xmlns:a16="http://schemas.microsoft.com/office/drawing/2014/main" id="{00000000-0008-0000-0200-000003000000}"/>
            </a:ext>
          </a:extLst>
        </xdr:cNvPr>
        <xdr:cNvSpPr>
          <a:spLocks noChangeArrowheads="1"/>
        </xdr:cNvSpPr>
      </xdr:nvSpPr>
      <xdr:spPr bwMode="auto">
        <a:xfrm>
          <a:off x="7943850" y="154050"/>
          <a:ext cx="4095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15</xdr:col>
          <xdr:colOff>294198</xdr:colOff>
          <xdr:row>0</xdr:row>
          <xdr:rowOff>79513</xdr:rowOff>
        </xdr:from>
        <xdr:to>
          <xdr:col>19</xdr:col>
          <xdr:colOff>39757</xdr:colOff>
          <xdr:row>1</xdr:row>
          <xdr:rowOff>143123</xdr:rowOff>
        </xdr:to>
        <xdr:sp macro="" textlink="">
          <xdr:nvSpPr>
            <xdr:cNvPr id="73730" name="Drop Down 2" hidden="1">
              <a:extLst>
                <a:ext uri="{63B3BB69-23CF-44E3-9099-C40C66FF867C}">
                  <a14:compatExt spid="_x0000_s73730"/>
                </a:ext>
                <a:ext uri="{FF2B5EF4-FFF2-40B4-BE49-F238E27FC236}">
                  <a16:creationId xmlns:a16="http://schemas.microsoft.com/office/drawing/2014/main" id="{00000000-0008-0000-0200-000002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21</xdr:col>
      <xdr:colOff>48931</xdr:colOff>
      <xdr:row>9</xdr:row>
      <xdr:rowOff>1446948</xdr:rowOff>
    </xdr:from>
    <xdr:to>
      <xdr:col>36</xdr:col>
      <xdr:colOff>118110</xdr:colOff>
      <xdr:row>20</xdr:row>
      <xdr:rowOff>156162</xdr:rowOff>
    </xdr:to>
    <xdr:pic>
      <xdr:nvPicPr>
        <xdr:cNvPr id="5" name="Grafik 6">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9461872" y="8290007"/>
          <a:ext cx="7037669" cy="2732574"/>
        </a:xfrm>
        <a:prstGeom prst="rect">
          <a:avLst/>
        </a:prstGeom>
      </xdr:spPr>
    </xdr:pic>
    <xdr:clientData/>
  </xdr:twoCellAnchor>
  <xdr:twoCellAnchor>
    <xdr:from>
      <xdr:col>33</xdr:col>
      <xdr:colOff>56030</xdr:colOff>
      <xdr:row>22</xdr:row>
      <xdr:rowOff>190500</xdr:rowOff>
    </xdr:from>
    <xdr:to>
      <xdr:col>36</xdr:col>
      <xdr:colOff>414618</xdr:colOff>
      <xdr:row>24</xdr:row>
      <xdr:rowOff>190499</xdr:rowOff>
    </xdr:to>
    <xdr:sp macro="" textlink="">
      <xdr:nvSpPr>
        <xdr:cNvPr id="8" name="Flussdiagramm: Alternativer Prozess 7">
          <a:hlinkClick xmlns:r="http://schemas.openxmlformats.org/officeDocument/2006/relationships" r:id="rId2"/>
          <a:extLst>
            <a:ext uri="{FF2B5EF4-FFF2-40B4-BE49-F238E27FC236}">
              <a16:creationId xmlns:a16="http://schemas.microsoft.com/office/drawing/2014/main" id="{00000000-0008-0000-0200-000008000000}"/>
            </a:ext>
          </a:extLst>
        </xdr:cNvPr>
        <xdr:cNvSpPr/>
      </xdr:nvSpPr>
      <xdr:spPr bwMode="auto">
        <a:xfrm>
          <a:off x="13733930" y="6638925"/>
          <a:ext cx="1577788" cy="419099"/>
        </a:xfrm>
        <a:prstGeom prst="flowChartAlternateProcess">
          <a:avLst/>
        </a:prstGeom>
        <a:ln w="19050">
          <a:headEnd type="none" w="med" len="med"/>
          <a:tailEnd type="triangle" w="med" len="med"/>
        </a:ln>
      </xdr:spPr>
      <xdr:style>
        <a:lnRef idx="1">
          <a:schemeClr val="dk1"/>
        </a:lnRef>
        <a:fillRef idx="2">
          <a:schemeClr val="dk1"/>
        </a:fillRef>
        <a:effectRef idx="1">
          <a:schemeClr val="dk1"/>
        </a:effectRef>
        <a:fontRef idx="minor">
          <a:schemeClr val="dk1"/>
        </a:fontRef>
      </xdr:style>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Kalkulation/ </a:t>
          </a:r>
          <a:endParaRPr kumimoji="0" lang="de-DE" sz="1100" b="1" i="0" u="none" strike="noStrike" cap="none" normalizeH="0" baseline="0">
            <a:ln>
              <a:noFill/>
            </a:ln>
            <a:solidFill>
              <a:schemeClr val="tx1"/>
            </a:solidFill>
            <a:effectLst/>
            <a:latin typeface="Univers" pitchFamily="34" charset="0"/>
          </a:endParaRPr>
        </a:p>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Calculation</a:t>
          </a:r>
        </a:p>
      </xdr:txBody>
    </xdr:sp>
    <xdr:clientData/>
  </xdr:twoCellAnchor>
  <xdr:twoCellAnchor editAs="oneCell">
    <xdr:from>
      <xdr:col>33</xdr:col>
      <xdr:colOff>112057</xdr:colOff>
      <xdr:row>23</xdr:row>
      <xdr:rowOff>38661</xdr:rowOff>
    </xdr:from>
    <xdr:to>
      <xdr:col>34</xdr:col>
      <xdr:colOff>1680</xdr:colOff>
      <xdr:row>24</xdr:row>
      <xdr:rowOff>155651</xdr:rowOff>
    </xdr:to>
    <xdr:pic>
      <xdr:nvPicPr>
        <xdr:cNvPr id="13" name="Grafik 12" descr="Kostenlose Vektorgrafik: Zeichen, &lt;strong&gt;Info&lt;/strong&gt;, Informationen ...">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732807" y="16507386"/>
          <a:ext cx="299198" cy="284630"/>
        </a:xfrm>
        <a:prstGeom prst="rect">
          <a:avLst/>
        </a:prstGeom>
      </xdr:spPr>
    </xdr:pic>
    <xdr:clientData/>
  </xdr:twoCellAnchor>
  <xdr:twoCellAnchor>
    <xdr:from>
      <xdr:col>8</xdr:col>
      <xdr:colOff>114300</xdr:colOff>
      <xdr:row>22</xdr:row>
      <xdr:rowOff>114300</xdr:rowOff>
    </xdr:from>
    <xdr:to>
      <xdr:col>36</xdr:col>
      <xdr:colOff>388335</xdr:colOff>
      <xdr:row>51</xdr:row>
      <xdr:rowOff>47032</xdr:rowOff>
    </xdr:to>
    <xdr:grpSp>
      <xdr:nvGrpSpPr>
        <xdr:cNvPr id="6" name="Gruppieren 5">
          <a:extLst>
            <a:ext uri="{FF2B5EF4-FFF2-40B4-BE49-F238E27FC236}">
              <a16:creationId xmlns:a16="http://schemas.microsoft.com/office/drawing/2014/main" id="{00000000-0008-0000-0200-000006000000}"/>
            </a:ext>
          </a:extLst>
        </xdr:cNvPr>
        <xdr:cNvGrpSpPr/>
      </xdr:nvGrpSpPr>
      <xdr:grpSpPr>
        <a:xfrm>
          <a:off x="3535770" y="11318411"/>
          <a:ext cx="12351585" cy="5372147"/>
          <a:chOff x="3390900" y="11325225"/>
          <a:chExt cx="11846910" cy="5266732"/>
        </a:xfrm>
      </xdr:grpSpPr>
      <xdr:grpSp>
        <xdr:nvGrpSpPr>
          <xdr:cNvPr id="73784" name="Gruppieren 73783">
            <a:extLst>
              <a:ext uri="{FF2B5EF4-FFF2-40B4-BE49-F238E27FC236}">
                <a16:creationId xmlns:a16="http://schemas.microsoft.com/office/drawing/2014/main" id="{00000000-0008-0000-0200-000038200100}"/>
              </a:ext>
            </a:extLst>
          </xdr:cNvPr>
          <xdr:cNvGrpSpPr/>
        </xdr:nvGrpSpPr>
        <xdr:grpSpPr>
          <a:xfrm>
            <a:off x="3390900" y="11325225"/>
            <a:ext cx="11846910" cy="5266732"/>
            <a:chOff x="3390900" y="16411575"/>
            <a:chExt cx="11846910" cy="5266732"/>
          </a:xfrm>
        </xdr:grpSpPr>
        <xdr:sp macro="" textlink="">
          <xdr:nvSpPr>
            <xdr:cNvPr id="20" name="Rechteck 19">
              <a:extLst>
                <a:ext uri="{FF2B5EF4-FFF2-40B4-BE49-F238E27FC236}">
                  <a16:creationId xmlns:a16="http://schemas.microsoft.com/office/drawing/2014/main" id="{00000000-0008-0000-0200-000014000000}"/>
                </a:ext>
              </a:extLst>
            </xdr:cNvPr>
            <xdr:cNvSpPr/>
          </xdr:nvSpPr>
          <xdr:spPr bwMode="auto">
            <a:xfrm>
              <a:off x="3914775" y="16411575"/>
              <a:ext cx="211350" cy="22320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1</a:t>
              </a:r>
            </a:p>
          </xdr:txBody>
        </xdr:sp>
        <xdr:sp macro="" textlink="">
          <xdr:nvSpPr>
            <xdr:cNvPr id="21" name="Rechteck 20">
              <a:extLst>
                <a:ext uri="{FF2B5EF4-FFF2-40B4-BE49-F238E27FC236}">
                  <a16:creationId xmlns:a16="http://schemas.microsoft.com/office/drawing/2014/main" id="{00000000-0008-0000-0200-000015000000}"/>
                </a:ext>
              </a:extLst>
            </xdr:cNvPr>
            <xdr:cNvSpPr/>
          </xdr:nvSpPr>
          <xdr:spPr bwMode="auto">
            <a:xfrm>
              <a:off x="8429625" y="16421100"/>
              <a:ext cx="211350" cy="22320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2</a:t>
              </a:r>
            </a:p>
          </xdr:txBody>
        </xdr:sp>
        <xdr:sp macro="" textlink="">
          <xdr:nvSpPr>
            <xdr:cNvPr id="23" name="Rechteck 22">
              <a:extLst>
                <a:ext uri="{FF2B5EF4-FFF2-40B4-BE49-F238E27FC236}">
                  <a16:creationId xmlns:a16="http://schemas.microsoft.com/office/drawing/2014/main" id="{00000000-0008-0000-0200-000017000000}"/>
                </a:ext>
              </a:extLst>
            </xdr:cNvPr>
            <xdr:cNvSpPr/>
          </xdr:nvSpPr>
          <xdr:spPr bwMode="auto">
            <a:xfrm>
              <a:off x="3390900"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3</a:t>
              </a:r>
            </a:p>
          </xdr:txBody>
        </xdr:sp>
        <xdr:sp macro="" textlink="">
          <xdr:nvSpPr>
            <xdr:cNvPr id="24" name="Rechteck 23">
              <a:extLst>
                <a:ext uri="{FF2B5EF4-FFF2-40B4-BE49-F238E27FC236}">
                  <a16:creationId xmlns:a16="http://schemas.microsoft.com/office/drawing/2014/main" id="{00000000-0008-0000-0200-000018000000}"/>
                </a:ext>
              </a:extLst>
            </xdr:cNvPr>
            <xdr:cNvSpPr/>
          </xdr:nvSpPr>
          <xdr:spPr bwMode="auto">
            <a:xfrm>
              <a:off x="4210050"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ea typeface="+mn-ea"/>
                  <a:cs typeface="+mn-cs"/>
                </a:rPr>
                <a:t>4</a:t>
              </a:r>
            </a:p>
          </xdr:txBody>
        </xdr:sp>
        <xdr:sp macro="" textlink="">
          <xdr:nvSpPr>
            <xdr:cNvPr id="26" name="Rechteck 25">
              <a:extLst>
                <a:ext uri="{FF2B5EF4-FFF2-40B4-BE49-F238E27FC236}">
                  <a16:creationId xmlns:a16="http://schemas.microsoft.com/office/drawing/2014/main" id="{00000000-0008-0000-0200-00001A000000}"/>
                </a:ext>
              </a:extLst>
            </xdr:cNvPr>
            <xdr:cNvSpPr/>
          </xdr:nvSpPr>
          <xdr:spPr bwMode="auto">
            <a:xfrm>
              <a:off x="5029199"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5</a:t>
              </a:r>
            </a:p>
          </xdr:txBody>
        </xdr:sp>
        <xdr:sp macro="" textlink="">
          <xdr:nvSpPr>
            <xdr:cNvPr id="27" name="Rechteck 26">
              <a:extLst>
                <a:ext uri="{FF2B5EF4-FFF2-40B4-BE49-F238E27FC236}">
                  <a16:creationId xmlns:a16="http://schemas.microsoft.com/office/drawing/2014/main" id="{00000000-0008-0000-0200-00001B000000}"/>
                </a:ext>
              </a:extLst>
            </xdr:cNvPr>
            <xdr:cNvSpPr/>
          </xdr:nvSpPr>
          <xdr:spPr bwMode="auto">
            <a:xfrm>
              <a:off x="5848349"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6</a:t>
              </a:r>
            </a:p>
          </xdr:txBody>
        </xdr:sp>
        <xdr:sp macro="" textlink="">
          <xdr:nvSpPr>
            <xdr:cNvPr id="28" name="Rechteck 27">
              <a:extLst>
                <a:ext uri="{FF2B5EF4-FFF2-40B4-BE49-F238E27FC236}">
                  <a16:creationId xmlns:a16="http://schemas.microsoft.com/office/drawing/2014/main" id="{00000000-0008-0000-0200-00001C000000}"/>
                </a:ext>
              </a:extLst>
            </xdr:cNvPr>
            <xdr:cNvSpPr/>
          </xdr:nvSpPr>
          <xdr:spPr bwMode="auto">
            <a:xfrm>
              <a:off x="7486650"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7</a:t>
              </a:r>
            </a:p>
          </xdr:txBody>
        </xdr:sp>
        <xdr:sp macro="" textlink="">
          <xdr:nvSpPr>
            <xdr:cNvPr id="30" name="Rechteck 29">
              <a:extLst>
                <a:ext uri="{FF2B5EF4-FFF2-40B4-BE49-F238E27FC236}">
                  <a16:creationId xmlns:a16="http://schemas.microsoft.com/office/drawing/2014/main" id="{00000000-0008-0000-0200-00001E000000}"/>
                </a:ext>
              </a:extLst>
            </xdr:cNvPr>
            <xdr:cNvSpPr/>
          </xdr:nvSpPr>
          <xdr:spPr bwMode="auto">
            <a:xfrm>
              <a:off x="8305800"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8</a:t>
              </a:r>
            </a:p>
          </xdr:txBody>
        </xdr:sp>
        <xdr:sp macro="" textlink="">
          <xdr:nvSpPr>
            <xdr:cNvPr id="33" name="Rechteck 32">
              <a:extLst>
                <a:ext uri="{FF2B5EF4-FFF2-40B4-BE49-F238E27FC236}">
                  <a16:creationId xmlns:a16="http://schemas.microsoft.com/office/drawing/2014/main" id="{00000000-0008-0000-0200-000021000000}"/>
                </a:ext>
              </a:extLst>
            </xdr:cNvPr>
            <xdr:cNvSpPr/>
          </xdr:nvSpPr>
          <xdr:spPr bwMode="auto">
            <a:xfrm>
              <a:off x="8724899"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9</a:t>
              </a:r>
            </a:p>
          </xdr:txBody>
        </xdr:sp>
        <xdr:sp macro="" textlink="">
          <xdr:nvSpPr>
            <xdr:cNvPr id="34" name="Rechteck 33">
              <a:extLst>
                <a:ext uri="{FF2B5EF4-FFF2-40B4-BE49-F238E27FC236}">
                  <a16:creationId xmlns:a16="http://schemas.microsoft.com/office/drawing/2014/main" id="{00000000-0008-0000-0200-000022000000}"/>
                </a:ext>
              </a:extLst>
            </xdr:cNvPr>
            <xdr:cNvSpPr/>
          </xdr:nvSpPr>
          <xdr:spPr bwMode="auto">
            <a:xfrm>
              <a:off x="9210675"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10</a:t>
              </a:r>
            </a:p>
          </xdr:txBody>
        </xdr:sp>
        <xdr:sp macro="" textlink="">
          <xdr:nvSpPr>
            <xdr:cNvPr id="35" name="Rechteck 34">
              <a:extLst>
                <a:ext uri="{FF2B5EF4-FFF2-40B4-BE49-F238E27FC236}">
                  <a16:creationId xmlns:a16="http://schemas.microsoft.com/office/drawing/2014/main" id="{00000000-0008-0000-0200-000023000000}"/>
                </a:ext>
              </a:extLst>
            </xdr:cNvPr>
            <xdr:cNvSpPr/>
          </xdr:nvSpPr>
          <xdr:spPr bwMode="auto">
            <a:xfrm>
              <a:off x="9620250"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11</a:t>
              </a:r>
            </a:p>
          </xdr:txBody>
        </xdr:sp>
        <xdr:sp macro="" textlink="">
          <xdr:nvSpPr>
            <xdr:cNvPr id="36" name="Rechteck 35">
              <a:extLst>
                <a:ext uri="{FF2B5EF4-FFF2-40B4-BE49-F238E27FC236}">
                  <a16:creationId xmlns:a16="http://schemas.microsoft.com/office/drawing/2014/main" id="{00000000-0008-0000-0200-000024000000}"/>
                </a:ext>
              </a:extLst>
            </xdr:cNvPr>
            <xdr:cNvSpPr/>
          </xdr:nvSpPr>
          <xdr:spPr bwMode="auto">
            <a:xfrm>
              <a:off x="10010775"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12</a:t>
              </a:r>
            </a:p>
          </xdr:txBody>
        </xdr:sp>
        <xdr:sp macro="" textlink="">
          <xdr:nvSpPr>
            <xdr:cNvPr id="37" name="Rechteck 36">
              <a:extLst>
                <a:ext uri="{FF2B5EF4-FFF2-40B4-BE49-F238E27FC236}">
                  <a16:creationId xmlns:a16="http://schemas.microsoft.com/office/drawing/2014/main" id="{00000000-0008-0000-0200-000025000000}"/>
                </a:ext>
              </a:extLst>
            </xdr:cNvPr>
            <xdr:cNvSpPr/>
          </xdr:nvSpPr>
          <xdr:spPr bwMode="auto">
            <a:xfrm>
              <a:off x="14963775" y="17021175"/>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13</a:t>
              </a:r>
            </a:p>
          </xdr:txBody>
        </xdr:sp>
        <xdr:sp macro="" textlink="">
          <xdr:nvSpPr>
            <xdr:cNvPr id="83" name="Pfeil nach unten 73734">
              <a:extLst>
                <a:ext uri="{FF2B5EF4-FFF2-40B4-BE49-F238E27FC236}">
                  <a16:creationId xmlns:a16="http://schemas.microsoft.com/office/drawing/2014/main" id="{00000000-0008-0000-0200-000053000000}"/>
                </a:ext>
              </a:extLst>
            </xdr:cNvPr>
            <xdr:cNvSpPr/>
          </xdr:nvSpPr>
          <xdr:spPr bwMode="auto">
            <a:xfrm>
              <a:off x="6414052" y="19404081"/>
              <a:ext cx="219075" cy="257175"/>
            </a:xfrm>
            <a:prstGeom prst="downArrow">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84" name="Pfeil nach unten 65">
              <a:extLst>
                <a:ext uri="{FF2B5EF4-FFF2-40B4-BE49-F238E27FC236}">
                  <a16:creationId xmlns:a16="http://schemas.microsoft.com/office/drawing/2014/main" id="{00000000-0008-0000-0200-000054000000}"/>
                </a:ext>
              </a:extLst>
            </xdr:cNvPr>
            <xdr:cNvSpPr/>
          </xdr:nvSpPr>
          <xdr:spPr bwMode="auto">
            <a:xfrm>
              <a:off x="9603241" y="19404081"/>
              <a:ext cx="219075" cy="257175"/>
            </a:xfrm>
            <a:prstGeom prst="downArrow">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85" name="Pfeil nach unten 66">
              <a:extLst>
                <a:ext uri="{FF2B5EF4-FFF2-40B4-BE49-F238E27FC236}">
                  <a16:creationId xmlns:a16="http://schemas.microsoft.com/office/drawing/2014/main" id="{00000000-0008-0000-0200-000055000000}"/>
                </a:ext>
              </a:extLst>
            </xdr:cNvPr>
            <xdr:cNvSpPr/>
          </xdr:nvSpPr>
          <xdr:spPr bwMode="auto">
            <a:xfrm>
              <a:off x="13273295" y="19404081"/>
              <a:ext cx="238125" cy="257175"/>
            </a:xfrm>
            <a:prstGeom prst="downArrow">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86" name="Pfeil nach unten 67">
              <a:extLst>
                <a:ext uri="{FF2B5EF4-FFF2-40B4-BE49-F238E27FC236}">
                  <a16:creationId xmlns:a16="http://schemas.microsoft.com/office/drawing/2014/main" id="{00000000-0008-0000-0200-000056000000}"/>
                </a:ext>
              </a:extLst>
            </xdr:cNvPr>
            <xdr:cNvSpPr/>
          </xdr:nvSpPr>
          <xdr:spPr bwMode="auto">
            <a:xfrm>
              <a:off x="14705773" y="19404081"/>
              <a:ext cx="219075" cy="1790285"/>
            </a:xfrm>
            <a:prstGeom prst="downArrow">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nvGrpSpPr>
            <xdr:cNvPr id="73771" name="Gruppieren 73770">
              <a:extLst>
                <a:ext uri="{FF2B5EF4-FFF2-40B4-BE49-F238E27FC236}">
                  <a16:creationId xmlns:a16="http://schemas.microsoft.com/office/drawing/2014/main" id="{00000000-0008-0000-0200-00002B200100}"/>
                </a:ext>
              </a:extLst>
            </xdr:cNvPr>
            <xdr:cNvGrpSpPr/>
          </xdr:nvGrpSpPr>
          <xdr:grpSpPr>
            <a:xfrm>
              <a:off x="5794927" y="19738819"/>
              <a:ext cx="1400175" cy="352425"/>
              <a:chOff x="5775877" y="19273452"/>
              <a:chExt cx="1396093" cy="355147"/>
            </a:xfrm>
          </xdr:grpSpPr>
          <xdr:grpSp>
            <xdr:nvGrpSpPr>
              <xdr:cNvPr id="73770" name="Gruppieren 73769">
                <a:extLst>
                  <a:ext uri="{FF2B5EF4-FFF2-40B4-BE49-F238E27FC236}">
                    <a16:creationId xmlns:a16="http://schemas.microsoft.com/office/drawing/2014/main" id="{00000000-0008-0000-0200-00002A200100}"/>
                  </a:ext>
                </a:extLst>
              </xdr:cNvPr>
              <xdr:cNvGrpSpPr/>
            </xdr:nvGrpSpPr>
            <xdr:grpSpPr>
              <a:xfrm>
                <a:off x="5879752" y="19340545"/>
                <a:ext cx="1188343" cy="220961"/>
                <a:chOff x="5861602" y="19370063"/>
                <a:chExt cx="1188343" cy="220961"/>
              </a:xfrm>
            </xdr:grpSpPr>
            <xdr:sp macro="" textlink="">
              <xdr:nvSpPr>
                <xdr:cNvPr id="38" name="Rechteck 37">
                  <a:extLst>
                    <a:ext uri="{FF2B5EF4-FFF2-40B4-BE49-F238E27FC236}">
                      <a16:creationId xmlns:a16="http://schemas.microsoft.com/office/drawing/2014/main" id="{00000000-0008-0000-0200-000026000000}"/>
                    </a:ext>
                  </a:extLst>
                </xdr:cNvPr>
                <xdr:cNvSpPr/>
              </xdr:nvSpPr>
              <xdr:spPr bwMode="auto">
                <a:xfrm>
                  <a:off x="5861602" y="19370325"/>
                  <a:ext cx="219075" cy="220436"/>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11</a:t>
                  </a:r>
                </a:p>
              </xdr:txBody>
            </xdr:sp>
            <xdr:sp macro="" textlink="">
              <xdr:nvSpPr>
                <xdr:cNvPr id="52" name="Rechteck 51">
                  <a:extLst>
                    <a:ext uri="{FF2B5EF4-FFF2-40B4-BE49-F238E27FC236}">
                      <a16:creationId xmlns:a16="http://schemas.microsoft.com/office/drawing/2014/main" id="{00000000-0008-0000-0200-000034000000}"/>
                    </a:ext>
                  </a:extLst>
                </xdr:cNvPr>
                <xdr:cNvSpPr/>
              </xdr:nvSpPr>
              <xdr:spPr bwMode="auto">
                <a:xfrm>
                  <a:off x="6378454" y="19370063"/>
                  <a:ext cx="209990" cy="220961"/>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8</a:t>
                  </a:r>
                </a:p>
              </xdr:txBody>
            </xdr:sp>
            <xdr:sp macro="" textlink="">
              <xdr:nvSpPr>
                <xdr:cNvPr id="53" name="Rechteck 52">
                  <a:extLst>
                    <a:ext uri="{FF2B5EF4-FFF2-40B4-BE49-F238E27FC236}">
                      <a16:creationId xmlns:a16="http://schemas.microsoft.com/office/drawing/2014/main" id="{00000000-0008-0000-0200-000035000000}"/>
                    </a:ext>
                  </a:extLst>
                </xdr:cNvPr>
                <xdr:cNvSpPr/>
              </xdr:nvSpPr>
              <xdr:spPr bwMode="auto">
                <a:xfrm>
                  <a:off x="6839956" y="19370063"/>
                  <a:ext cx="209989" cy="220961"/>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7</a:t>
                  </a:r>
                </a:p>
              </xdr:txBody>
            </xdr:sp>
            <xdr:sp macro="" textlink="">
              <xdr:nvSpPr>
                <xdr:cNvPr id="65" name="Division 73730">
                  <a:extLst>
                    <a:ext uri="{FF2B5EF4-FFF2-40B4-BE49-F238E27FC236}">
                      <a16:creationId xmlns:a16="http://schemas.microsoft.com/office/drawing/2014/main" id="{00000000-0008-0000-0200-000041000000}"/>
                    </a:ext>
                  </a:extLst>
                </xdr:cNvPr>
                <xdr:cNvSpPr/>
              </xdr:nvSpPr>
              <xdr:spPr bwMode="auto">
                <a:xfrm>
                  <a:off x="6106421" y="19389375"/>
                  <a:ext cx="246289" cy="182336"/>
                </a:xfrm>
                <a:prstGeom prst="mathDivide">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69" name="Minus 73731">
                  <a:extLst>
                    <a:ext uri="{FF2B5EF4-FFF2-40B4-BE49-F238E27FC236}">
                      <a16:creationId xmlns:a16="http://schemas.microsoft.com/office/drawing/2014/main" id="{00000000-0008-0000-0200-000045000000}"/>
                    </a:ext>
                  </a:extLst>
                </xdr:cNvPr>
                <xdr:cNvSpPr/>
              </xdr:nvSpPr>
              <xdr:spPr bwMode="auto">
                <a:xfrm>
                  <a:off x="6614188" y="19403663"/>
                  <a:ext cx="200025" cy="153761"/>
                </a:xfrm>
                <a:prstGeom prst="mathMinus">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sp macro="" textlink="">
            <xdr:nvSpPr>
              <xdr:cNvPr id="87" name="Rechteck 86">
                <a:extLst>
                  <a:ext uri="{FF2B5EF4-FFF2-40B4-BE49-F238E27FC236}">
                    <a16:creationId xmlns:a16="http://schemas.microsoft.com/office/drawing/2014/main" id="{00000000-0008-0000-0200-000057000000}"/>
                  </a:ext>
                </a:extLst>
              </xdr:cNvPr>
              <xdr:cNvSpPr/>
            </xdr:nvSpPr>
            <xdr:spPr bwMode="auto">
              <a:xfrm>
                <a:off x="5775877" y="19273452"/>
                <a:ext cx="1396093" cy="355147"/>
              </a:xfrm>
              <a:prstGeom prst="rect">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grpSp>
          <xdr:nvGrpSpPr>
            <xdr:cNvPr id="73766" name="Gruppieren 73765">
              <a:extLst>
                <a:ext uri="{FF2B5EF4-FFF2-40B4-BE49-F238E27FC236}">
                  <a16:creationId xmlns:a16="http://schemas.microsoft.com/office/drawing/2014/main" id="{00000000-0008-0000-0200-000026200100}"/>
                </a:ext>
              </a:extLst>
            </xdr:cNvPr>
            <xdr:cNvGrpSpPr/>
          </xdr:nvGrpSpPr>
          <xdr:grpSpPr>
            <a:xfrm>
              <a:off x="9020175" y="19737517"/>
              <a:ext cx="1390650" cy="355029"/>
              <a:chOff x="8990239" y="19396038"/>
              <a:chExt cx="1390650" cy="357751"/>
            </a:xfrm>
          </xdr:grpSpPr>
          <xdr:grpSp>
            <xdr:nvGrpSpPr>
              <xdr:cNvPr id="73752" name="Gruppieren 73751">
                <a:extLst>
                  <a:ext uri="{FF2B5EF4-FFF2-40B4-BE49-F238E27FC236}">
                    <a16:creationId xmlns:a16="http://schemas.microsoft.com/office/drawing/2014/main" id="{00000000-0008-0000-0200-000018200100}"/>
                  </a:ext>
                </a:extLst>
              </xdr:cNvPr>
              <xdr:cNvGrpSpPr/>
            </xdr:nvGrpSpPr>
            <xdr:grpSpPr>
              <a:xfrm>
                <a:off x="9072059" y="19466913"/>
                <a:ext cx="1227011" cy="216000"/>
                <a:chOff x="9085489" y="19492649"/>
                <a:chExt cx="1227011" cy="216000"/>
              </a:xfrm>
            </xdr:grpSpPr>
            <xdr:sp macro="" textlink="">
              <xdr:nvSpPr>
                <xdr:cNvPr id="74" name="Rechteck 73">
                  <a:extLst>
                    <a:ext uri="{FF2B5EF4-FFF2-40B4-BE49-F238E27FC236}">
                      <a16:creationId xmlns:a16="http://schemas.microsoft.com/office/drawing/2014/main" id="{00000000-0008-0000-0200-00004A000000}"/>
                    </a:ext>
                  </a:extLst>
                </xdr:cNvPr>
                <xdr:cNvSpPr/>
              </xdr:nvSpPr>
              <xdr:spPr bwMode="auto">
                <a:xfrm>
                  <a:off x="9085489" y="19492649"/>
                  <a:ext cx="216000" cy="21600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8</a:t>
                  </a:r>
                </a:p>
              </xdr:txBody>
            </xdr:sp>
            <xdr:sp macro="" textlink="">
              <xdr:nvSpPr>
                <xdr:cNvPr id="75" name="Rechteck 74">
                  <a:extLst>
                    <a:ext uri="{FF2B5EF4-FFF2-40B4-BE49-F238E27FC236}">
                      <a16:creationId xmlns:a16="http://schemas.microsoft.com/office/drawing/2014/main" id="{00000000-0008-0000-0200-00004B000000}"/>
                    </a:ext>
                  </a:extLst>
                </xdr:cNvPr>
                <xdr:cNvSpPr/>
              </xdr:nvSpPr>
              <xdr:spPr bwMode="auto">
                <a:xfrm>
                  <a:off x="9583511" y="19492649"/>
                  <a:ext cx="216000" cy="21600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7</a:t>
                  </a:r>
                </a:p>
              </xdr:txBody>
            </xdr:sp>
            <xdr:sp macro="" textlink="">
              <xdr:nvSpPr>
                <xdr:cNvPr id="76" name="Minus 40">
                  <a:extLst>
                    <a:ext uri="{FF2B5EF4-FFF2-40B4-BE49-F238E27FC236}">
                      <a16:creationId xmlns:a16="http://schemas.microsoft.com/office/drawing/2014/main" id="{00000000-0008-0000-0200-00004C000000}"/>
                    </a:ext>
                  </a:extLst>
                </xdr:cNvPr>
                <xdr:cNvSpPr/>
              </xdr:nvSpPr>
              <xdr:spPr bwMode="auto">
                <a:xfrm>
                  <a:off x="9333139" y="19526249"/>
                  <a:ext cx="202747" cy="153761"/>
                </a:xfrm>
                <a:prstGeom prst="mathMinus">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77" name="Rechteck 76">
                  <a:extLst>
                    <a:ext uri="{FF2B5EF4-FFF2-40B4-BE49-F238E27FC236}">
                      <a16:creationId xmlns:a16="http://schemas.microsoft.com/office/drawing/2014/main" id="{00000000-0008-0000-0200-00004D000000}"/>
                    </a:ext>
                  </a:extLst>
                </xdr:cNvPr>
                <xdr:cNvSpPr/>
              </xdr:nvSpPr>
              <xdr:spPr bwMode="auto">
                <a:xfrm>
                  <a:off x="10096500" y="19492649"/>
                  <a:ext cx="216000" cy="21600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12</a:t>
                  </a:r>
                </a:p>
              </xdr:txBody>
            </xdr:sp>
            <xdr:sp macro="" textlink="">
              <xdr:nvSpPr>
                <xdr:cNvPr id="78" name="Minus 42">
                  <a:extLst>
                    <a:ext uri="{FF2B5EF4-FFF2-40B4-BE49-F238E27FC236}">
                      <a16:creationId xmlns:a16="http://schemas.microsoft.com/office/drawing/2014/main" id="{00000000-0008-0000-0200-00004E000000}"/>
                    </a:ext>
                  </a:extLst>
                </xdr:cNvPr>
                <xdr:cNvSpPr/>
              </xdr:nvSpPr>
              <xdr:spPr bwMode="auto">
                <a:xfrm>
                  <a:off x="9831161" y="19526249"/>
                  <a:ext cx="198664" cy="153761"/>
                </a:xfrm>
                <a:prstGeom prst="mathMinus">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sp macro="" textlink="">
            <xdr:nvSpPr>
              <xdr:cNvPr id="88" name="Rechteck 87">
                <a:extLst>
                  <a:ext uri="{FF2B5EF4-FFF2-40B4-BE49-F238E27FC236}">
                    <a16:creationId xmlns:a16="http://schemas.microsoft.com/office/drawing/2014/main" id="{00000000-0008-0000-0200-000058000000}"/>
                  </a:ext>
                </a:extLst>
              </xdr:cNvPr>
              <xdr:cNvSpPr/>
            </xdr:nvSpPr>
            <xdr:spPr bwMode="auto">
              <a:xfrm>
                <a:off x="8990239" y="19396038"/>
                <a:ext cx="1390650" cy="357751"/>
              </a:xfrm>
              <a:prstGeom prst="rect">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grpSp>
          <xdr:nvGrpSpPr>
            <xdr:cNvPr id="73769" name="Gruppieren 73768">
              <a:extLst>
                <a:ext uri="{FF2B5EF4-FFF2-40B4-BE49-F238E27FC236}">
                  <a16:creationId xmlns:a16="http://schemas.microsoft.com/office/drawing/2014/main" id="{00000000-0008-0000-0200-000029200100}"/>
                </a:ext>
              </a:extLst>
            </xdr:cNvPr>
            <xdr:cNvGrpSpPr/>
          </xdr:nvGrpSpPr>
          <xdr:grpSpPr>
            <a:xfrm>
              <a:off x="12972577" y="19738819"/>
              <a:ext cx="876300" cy="352425"/>
              <a:chOff x="12939920" y="19273452"/>
              <a:chExt cx="873579" cy="355147"/>
            </a:xfrm>
          </xdr:grpSpPr>
          <xdr:grpSp>
            <xdr:nvGrpSpPr>
              <xdr:cNvPr id="73768" name="Gruppieren 73767">
                <a:extLst>
                  <a:ext uri="{FF2B5EF4-FFF2-40B4-BE49-F238E27FC236}">
                    <a16:creationId xmlns:a16="http://schemas.microsoft.com/office/drawing/2014/main" id="{00000000-0008-0000-0200-000028200100}"/>
                  </a:ext>
                </a:extLst>
              </xdr:cNvPr>
              <xdr:cNvGrpSpPr/>
            </xdr:nvGrpSpPr>
            <xdr:grpSpPr>
              <a:xfrm>
                <a:off x="13015220" y="19340545"/>
                <a:ext cx="722979" cy="220961"/>
                <a:chOff x="13016120" y="19370063"/>
                <a:chExt cx="722979" cy="220961"/>
              </a:xfrm>
            </xdr:grpSpPr>
            <xdr:sp macro="" textlink="">
              <xdr:nvSpPr>
                <xdr:cNvPr id="79" name="Rechteck 78">
                  <a:extLst>
                    <a:ext uri="{FF2B5EF4-FFF2-40B4-BE49-F238E27FC236}">
                      <a16:creationId xmlns:a16="http://schemas.microsoft.com/office/drawing/2014/main" id="{00000000-0008-0000-0200-00004F000000}"/>
                    </a:ext>
                  </a:extLst>
                </xdr:cNvPr>
                <xdr:cNvSpPr/>
              </xdr:nvSpPr>
              <xdr:spPr bwMode="auto">
                <a:xfrm>
                  <a:off x="13016120" y="19370325"/>
                  <a:ext cx="208189" cy="220436"/>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13</a:t>
                  </a:r>
                </a:p>
              </xdr:txBody>
            </xdr:sp>
            <xdr:sp macro="" textlink="">
              <xdr:nvSpPr>
                <xdr:cNvPr id="80" name="Rechteck 79">
                  <a:extLst>
                    <a:ext uri="{FF2B5EF4-FFF2-40B4-BE49-F238E27FC236}">
                      <a16:creationId xmlns:a16="http://schemas.microsoft.com/office/drawing/2014/main" id="{00000000-0008-0000-0200-000050000000}"/>
                    </a:ext>
                  </a:extLst>
                </xdr:cNvPr>
                <xdr:cNvSpPr/>
              </xdr:nvSpPr>
              <xdr:spPr bwMode="auto">
                <a:xfrm>
                  <a:off x="13529109" y="19370063"/>
                  <a:ext cx="209990" cy="220961"/>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4</a:t>
                  </a:r>
                </a:p>
              </xdr:txBody>
            </xdr:sp>
            <xdr:sp macro="" textlink="">
              <xdr:nvSpPr>
                <xdr:cNvPr id="82" name="Division 45">
                  <a:extLst>
                    <a:ext uri="{FF2B5EF4-FFF2-40B4-BE49-F238E27FC236}">
                      <a16:creationId xmlns:a16="http://schemas.microsoft.com/office/drawing/2014/main" id="{00000000-0008-0000-0200-000052000000}"/>
                    </a:ext>
                  </a:extLst>
                </xdr:cNvPr>
                <xdr:cNvSpPr/>
              </xdr:nvSpPr>
              <xdr:spPr bwMode="auto">
                <a:xfrm>
                  <a:off x="13248122" y="19389375"/>
                  <a:ext cx="257175" cy="182336"/>
                </a:xfrm>
                <a:prstGeom prst="mathDivide">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sp macro="" textlink="">
            <xdr:nvSpPr>
              <xdr:cNvPr id="89" name="Rechteck 88">
                <a:extLst>
                  <a:ext uri="{FF2B5EF4-FFF2-40B4-BE49-F238E27FC236}">
                    <a16:creationId xmlns:a16="http://schemas.microsoft.com/office/drawing/2014/main" id="{00000000-0008-0000-0200-000059000000}"/>
                  </a:ext>
                </a:extLst>
              </xdr:cNvPr>
              <xdr:cNvSpPr/>
            </xdr:nvSpPr>
            <xdr:spPr bwMode="auto">
              <a:xfrm>
                <a:off x="12939920" y="19273452"/>
                <a:ext cx="873579" cy="355147"/>
              </a:xfrm>
              <a:prstGeom prst="rect">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sp macro="" textlink="">
          <xdr:nvSpPr>
            <xdr:cNvPr id="90" name="Pfeil nach unten 72">
              <a:extLst>
                <a:ext uri="{FF2B5EF4-FFF2-40B4-BE49-F238E27FC236}">
                  <a16:creationId xmlns:a16="http://schemas.microsoft.com/office/drawing/2014/main" id="{00000000-0008-0000-0200-00005A000000}"/>
                </a:ext>
              </a:extLst>
            </xdr:cNvPr>
            <xdr:cNvSpPr/>
          </xdr:nvSpPr>
          <xdr:spPr bwMode="auto">
            <a:xfrm>
              <a:off x="14273656" y="19404081"/>
              <a:ext cx="219075" cy="704850"/>
            </a:xfrm>
            <a:prstGeom prst="downArrow">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91" name="Rechteck 90">
              <a:extLst>
                <a:ext uri="{FF2B5EF4-FFF2-40B4-BE49-F238E27FC236}">
                  <a16:creationId xmlns:a16="http://schemas.microsoft.com/office/drawing/2014/main" id="{00000000-0008-0000-0200-00005B000000}"/>
                </a:ext>
              </a:extLst>
            </xdr:cNvPr>
            <xdr:cNvSpPr/>
          </xdr:nvSpPr>
          <xdr:spPr bwMode="auto">
            <a:xfrm>
              <a:off x="6865454" y="20206252"/>
              <a:ext cx="7677151" cy="720173"/>
            </a:xfrm>
            <a:prstGeom prst="rect">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nvGrpSpPr>
            <xdr:cNvPr id="73773" name="Gruppieren 73772">
              <a:extLst>
                <a:ext uri="{FF2B5EF4-FFF2-40B4-BE49-F238E27FC236}">
                  <a16:creationId xmlns:a16="http://schemas.microsoft.com/office/drawing/2014/main" id="{00000000-0008-0000-0200-00002D200100}"/>
                </a:ext>
              </a:extLst>
            </xdr:cNvPr>
            <xdr:cNvGrpSpPr/>
          </xdr:nvGrpSpPr>
          <xdr:grpSpPr>
            <a:xfrm>
              <a:off x="11262572" y="21328486"/>
              <a:ext cx="3975238" cy="349821"/>
              <a:chOff x="11266885" y="20932929"/>
              <a:chExt cx="3976856" cy="349461"/>
            </a:xfrm>
          </xdr:grpSpPr>
          <xdr:grpSp>
            <xdr:nvGrpSpPr>
              <xdr:cNvPr id="73772" name="Gruppieren 73771">
                <a:extLst>
                  <a:ext uri="{FF2B5EF4-FFF2-40B4-BE49-F238E27FC236}">
                    <a16:creationId xmlns:a16="http://schemas.microsoft.com/office/drawing/2014/main" id="{00000000-0008-0000-0200-00002C200100}"/>
                  </a:ext>
                </a:extLst>
              </xdr:cNvPr>
              <xdr:cNvGrpSpPr/>
            </xdr:nvGrpSpPr>
            <xdr:grpSpPr>
              <a:xfrm>
                <a:off x="11334317" y="20993449"/>
                <a:ext cx="3841993" cy="228420"/>
                <a:chOff x="11325217" y="21004338"/>
                <a:chExt cx="3841993" cy="228420"/>
              </a:xfrm>
            </xdr:grpSpPr>
            <xdr:sp macro="" textlink="">
              <xdr:nvSpPr>
                <xdr:cNvPr id="116" name="Rechteck 115">
                  <a:extLst>
                    <a:ext uri="{FF2B5EF4-FFF2-40B4-BE49-F238E27FC236}">
                      <a16:creationId xmlns:a16="http://schemas.microsoft.com/office/drawing/2014/main" id="{00000000-0008-0000-0200-000074000000}"/>
                    </a:ext>
                  </a:extLst>
                </xdr:cNvPr>
                <xdr:cNvSpPr/>
              </xdr:nvSpPr>
              <xdr:spPr bwMode="auto">
                <a:xfrm>
                  <a:off x="11325217" y="21009100"/>
                  <a:ext cx="212863" cy="218895"/>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11</a:t>
                  </a:r>
                </a:p>
              </xdr:txBody>
            </xdr:sp>
            <xdr:sp macro="" textlink="">
              <xdr:nvSpPr>
                <xdr:cNvPr id="117" name="Runde Klammer links/rechts 116">
                  <a:extLst>
                    <a:ext uri="{FF2B5EF4-FFF2-40B4-BE49-F238E27FC236}">
                      <a16:creationId xmlns:a16="http://schemas.microsoft.com/office/drawing/2014/main" id="{00000000-0008-0000-0200-000075000000}"/>
                    </a:ext>
                  </a:extLst>
                </xdr:cNvPr>
                <xdr:cNvSpPr/>
              </xdr:nvSpPr>
              <xdr:spPr bwMode="auto">
                <a:xfrm>
                  <a:off x="11782597" y="21004338"/>
                  <a:ext cx="790934" cy="228420"/>
                </a:xfrm>
                <a:prstGeom prst="bracketPair">
                  <a:avLst/>
                </a:prstGeom>
                <a:noFill/>
                <a:ln w="9525"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118" name="Division 48">
                  <a:extLst>
                    <a:ext uri="{FF2B5EF4-FFF2-40B4-BE49-F238E27FC236}">
                      <a16:creationId xmlns:a16="http://schemas.microsoft.com/office/drawing/2014/main" id="{00000000-0008-0000-0200-000076000000}"/>
                    </a:ext>
                  </a:extLst>
                </xdr:cNvPr>
                <xdr:cNvSpPr/>
              </xdr:nvSpPr>
              <xdr:spPr bwMode="auto">
                <a:xfrm>
                  <a:off x="11541634" y="21028150"/>
                  <a:ext cx="254042" cy="180795"/>
                </a:xfrm>
                <a:prstGeom prst="mathDivide">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119" name="Rechteck 118">
                  <a:extLst>
                    <a:ext uri="{FF2B5EF4-FFF2-40B4-BE49-F238E27FC236}">
                      <a16:creationId xmlns:a16="http://schemas.microsoft.com/office/drawing/2014/main" id="{00000000-0008-0000-0200-000077000000}"/>
                    </a:ext>
                  </a:extLst>
                </xdr:cNvPr>
                <xdr:cNvSpPr/>
              </xdr:nvSpPr>
              <xdr:spPr bwMode="auto">
                <a:xfrm>
                  <a:off x="11834401" y="21009100"/>
                  <a:ext cx="209730" cy="218895"/>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9</a:t>
                  </a:r>
                </a:p>
              </xdr:txBody>
            </xdr:sp>
            <xdr:sp macro="" textlink="">
              <xdr:nvSpPr>
                <xdr:cNvPr id="120" name="Rechteck 119">
                  <a:extLst>
                    <a:ext uri="{FF2B5EF4-FFF2-40B4-BE49-F238E27FC236}">
                      <a16:creationId xmlns:a16="http://schemas.microsoft.com/office/drawing/2014/main" id="{00000000-0008-0000-0200-000078000000}"/>
                    </a:ext>
                  </a:extLst>
                </xdr:cNvPr>
                <xdr:cNvSpPr/>
              </xdr:nvSpPr>
              <xdr:spPr bwMode="auto">
                <a:xfrm>
                  <a:off x="12295959" y="21009100"/>
                  <a:ext cx="209729" cy="218895"/>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10</a:t>
                  </a:r>
                </a:p>
              </xdr:txBody>
            </xdr:sp>
            <xdr:sp macro="" textlink="">
              <xdr:nvSpPr>
                <xdr:cNvPr id="121" name="Plus 73732">
                  <a:extLst>
                    <a:ext uri="{FF2B5EF4-FFF2-40B4-BE49-F238E27FC236}">
                      <a16:creationId xmlns:a16="http://schemas.microsoft.com/office/drawing/2014/main" id="{00000000-0008-0000-0200-000079000000}"/>
                    </a:ext>
                  </a:extLst>
                </xdr:cNvPr>
                <xdr:cNvSpPr/>
              </xdr:nvSpPr>
              <xdr:spPr bwMode="auto">
                <a:xfrm>
                  <a:off x="12065270" y="21028150"/>
                  <a:ext cx="209550" cy="180795"/>
                </a:xfrm>
                <a:prstGeom prst="mathPlus">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122" name="Multiplizieren 73733">
                  <a:extLst>
                    <a:ext uri="{FF2B5EF4-FFF2-40B4-BE49-F238E27FC236}">
                      <a16:creationId xmlns:a16="http://schemas.microsoft.com/office/drawing/2014/main" id="{00000000-0008-0000-0200-00007A000000}"/>
                    </a:ext>
                  </a:extLst>
                </xdr:cNvPr>
                <xdr:cNvSpPr/>
              </xdr:nvSpPr>
              <xdr:spPr bwMode="auto">
                <a:xfrm>
                  <a:off x="12570792" y="21009100"/>
                  <a:ext cx="184288" cy="218895"/>
                </a:xfrm>
                <a:prstGeom prst="mathMultiply">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123" name="Rechteck 122">
                  <a:extLst>
                    <a:ext uri="{FF2B5EF4-FFF2-40B4-BE49-F238E27FC236}">
                      <a16:creationId xmlns:a16="http://schemas.microsoft.com/office/drawing/2014/main" id="{00000000-0008-0000-0200-00007B000000}"/>
                    </a:ext>
                  </a:extLst>
                </xdr:cNvPr>
                <xdr:cNvSpPr/>
              </xdr:nvSpPr>
              <xdr:spPr bwMode="auto">
                <a:xfrm>
                  <a:off x="12732254" y="21009100"/>
                  <a:ext cx="215942" cy="218895"/>
                </a:xfrm>
                <a:prstGeom prst="rect">
                  <a:avLst/>
                </a:prstGeom>
                <a:solidFill>
                  <a:schemeClr val="bg1"/>
                </a:solidFill>
                <a:ln w="9525" cap="flat" cmpd="sng" algn="ctr">
                  <a:solidFill>
                    <a:schemeClr val="bg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60</a:t>
                  </a:r>
                </a:p>
              </xdr:txBody>
            </xdr:sp>
            <xdr:sp macro="" textlink="">
              <xdr:nvSpPr>
                <xdr:cNvPr id="124" name="Multiplizieren 54">
                  <a:extLst>
                    <a:ext uri="{FF2B5EF4-FFF2-40B4-BE49-F238E27FC236}">
                      <a16:creationId xmlns:a16="http://schemas.microsoft.com/office/drawing/2014/main" id="{00000000-0008-0000-0200-00007C000000}"/>
                    </a:ext>
                  </a:extLst>
                </xdr:cNvPr>
                <xdr:cNvSpPr/>
              </xdr:nvSpPr>
              <xdr:spPr bwMode="auto">
                <a:xfrm>
                  <a:off x="12969336" y="21009100"/>
                  <a:ext cx="190500" cy="218895"/>
                </a:xfrm>
                <a:prstGeom prst="mathMultiply">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125" name="Rechteck 124">
                  <a:extLst>
                    <a:ext uri="{FF2B5EF4-FFF2-40B4-BE49-F238E27FC236}">
                      <a16:creationId xmlns:a16="http://schemas.microsoft.com/office/drawing/2014/main" id="{00000000-0008-0000-0200-00007D000000}"/>
                    </a:ext>
                  </a:extLst>
                </xdr:cNvPr>
                <xdr:cNvSpPr/>
              </xdr:nvSpPr>
              <xdr:spPr bwMode="auto">
                <a:xfrm>
                  <a:off x="13180976" y="21008838"/>
                  <a:ext cx="215942" cy="21942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1</a:t>
                  </a:r>
                </a:p>
              </xdr:txBody>
            </xdr:sp>
            <xdr:sp macro="" textlink="">
              <xdr:nvSpPr>
                <xdr:cNvPr id="126" name="Multiplizieren 56">
                  <a:extLst>
                    <a:ext uri="{FF2B5EF4-FFF2-40B4-BE49-F238E27FC236}">
                      <a16:creationId xmlns:a16="http://schemas.microsoft.com/office/drawing/2014/main" id="{00000000-0008-0000-0200-00007E000000}"/>
                    </a:ext>
                  </a:extLst>
                </xdr:cNvPr>
                <xdr:cNvSpPr/>
              </xdr:nvSpPr>
              <xdr:spPr bwMode="auto">
                <a:xfrm>
                  <a:off x="13418057" y="21009100"/>
                  <a:ext cx="165238" cy="218895"/>
                </a:xfrm>
                <a:prstGeom prst="mathMultiply">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127" name="Rechteck 126">
                  <a:extLst>
                    <a:ext uri="{FF2B5EF4-FFF2-40B4-BE49-F238E27FC236}">
                      <a16:creationId xmlns:a16="http://schemas.microsoft.com/office/drawing/2014/main" id="{00000000-0008-0000-0200-00007F000000}"/>
                    </a:ext>
                  </a:extLst>
                </xdr:cNvPr>
                <xdr:cNvSpPr/>
              </xdr:nvSpPr>
              <xdr:spPr bwMode="auto">
                <a:xfrm>
                  <a:off x="13604435" y="21008838"/>
                  <a:ext cx="265367" cy="21942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2</a:t>
                  </a:r>
                </a:p>
              </xdr:txBody>
            </xdr:sp>
            <xdr:sp macro="" textlink="">
              <xdr:nvSpPr>
                <xdr:cNvPr id="73728" name="Multiplizieren 58">
                  <a:extLst>
                    <a:ext uri="{FF2B5EF4-FFF2-40B4-BE49-F238E27FC236}">
                      <a16:creationId xmlns:a16="http://schemas.microsoft.com/office/drawing/2014/main" id="{00000000-0008-0000-0200-000000200100}"/>
                    </a:ext>
                  </a:extLst>
                </xdr:cNvPr>
                <xdr:cNvSpPr/>
              </xdr:nvSpPr>
              <xdr:spPr bwMode="auto">
                <a:xfrm>
                  <a:off x="13890942" y="21009100"/>
                  <a:ext cx="136663" cy="218895"/>
                </a:xfrm>
                <a:prstGeom prst="mathMultiply">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73729" name="Rechteck 73728">
                  <a:extLst>
                    <a:ext uri="{FF2B5EF4-FFF2-40B4-BE49-F238E27FC236}">
                      <a16:creationId xmlns:a16="http://schemas.microsoft.com/office/drawing/2014/main" id="{00000000-0008-0000-0200-000001200100}"/>
                    </a:ext>
                  </a:extLst>
                </xdr:cNvPr>
                <xdr:cNvSpPr/>
              </xdr:nvSpPr>
              <xdr:spPr bwMode="auto">
                <a:xfrm>
                  <a:off x="14048191" y="21008838"/>
                  <a:ext cx="230400" cy="21942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3</a:t>
                  </a:r>
                </a:p>
              </xdr:txBody>
            </xdr:sp>
            <xdr:sp macro="" textlink="">
              <xdr:nvSpPr>
                <xdr:cNvPr id="73737" name="Multiplizieren 60">
                  <a:extLst>
                    <a:ext uri="{FF2B5EF4-FFF2-40B4-BE49-F238E27FC236}">
                      <a16:creationId xmlns:a16="http://schemas.microsoft.com/office/drawing/2014/main" id="{00000000-0008-0000-0200-000009200100}"/>
                    </a:ext>
                  </a:extLst>
                </xdr:cNvPr>
                <xdr:cNvSpPr/>
              </xdr:nvSpPr>
              <xdr:spPr bwMode="auto">
                <a:xfrm>
                  <a:off x="14299731" y="21009100"/>
                  <a:ext cx="171630" cy="218895"/>
                </a:xfrm>
                <a:prstGeom prst="mathMultiply">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73738" name="Rechteck 73737">
                  <a:extLst>
                    <a:ext uri="{FF2B5EF4-FFF2-40B4-BE49-F238E27FC236}">
                      <a16:creationId xmlns:a16="http://schemas.microsoft.com/office/drawing/2014/main" id="{00000000-0008-0000-0200-00000A200100}"/>
                    </a:ext>
                  </a:extLst>
                </xdr:cNvPr>
                <xdr:cNvSpPr/>
              </xdr:nvSpPr>
              <xdr:spPr bwMode="auto">
                <a:xfrm>
                  <a:off x="14492500" y="21008838"/>
                  <a:ext cx="230400" cy="21942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5</a:t>
                  </a:r>
                </a:p>
              </xdr:txBody>
            </xdr:sp>
            <xdr:sp macro="" textlink="">
              <xdr:nvSpPr>
                <xdr:cNvPr id="73739" name="Multiplizieren 62">
                  <a:extLst>
                    <a:ext uri="{FF2B5EF4-FFF2-40B4-BE49-F238E27FC236}">
                      <a16:creationId xmlns:a16="http://schemas.microsoft.com/office/drawing/2014/main" id="{00000000-0008-0000-0200-00000B200100}"/>
                    </a:ext>
                  </a:extLst>
                </xdr:cNvPr>
                <xdr:cNvSpPr/>
              </xdr:nvSpPr>
              <xdr:spPr bwMode="auto">
                <a:xfrm>
                  <a:off x="14744040" y="21009100"/>
                  <a:ext cx="171630" cy="218895"/>
                </a:xfrm>
                <a:prstGeom prst="mathMultiply">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73740" name="Rechteck 73739">
                  <a:extLst>
                    <a:ext uri="{FF2B5EF4-FFF2-40B4-BE49-F238E27FC236}">
                      <a16:creationId xmlns:a16="http://schemas.microsoft.com/office/drawing/2014/main" id="{00000000-0008-0000-0200-00000C200100}"/>
                    </a:ext>
                  </a:extLst>
                </xdr:cNvPr>
                <xdr:cNvSpPr/>
              </xdr:nvSpPr>
              <xdr:spPr bwMode="auto">
                <a:xfrm>
                  <a:off x="14936810" y="21008838"/>
                  <a:ext cx="230400" cy="21942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6</a:t>
                  </a:r>
                </a:p>
              </xdr:txBody>
            </xdr:sp>
          </xdr:grpSp>
          <xdr:sp macro="" textlink="">
            <xdr:nvSpPr>
              <xdr:cNvPr id="73741" name="Rechteck 73740">
                <a:extLst>
                  <a:ext uri="{FF2B5EF4-FFF2-40B4-BE49-F238E27FC236}">
                    <a16:creationId xmlns:a16="http://schemas.microsoft.com/office/drawing/2014/main" id="{00000000-0008-0000-0200-00000D200100}"/>
                  </a:ext>
                </a:extLst>
              </xdr:cNvPr>
              <xdr:cNvSpPr/>
            </xdr:nvSpPr>
            <xdr:spPr bwMode="auto">
              <a:xfrm>
                <a:off x="11266885" y="20932929"/>
                <a:ext cx="3976856" cy="349461"/>
              </a:xfrm>
              <a:prstGeom prst="rect">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sp macro="" textlink="">
          <xdr:nvSpPr>
            <xdr:cNvPr id="73744" name="Rechteck 73743">
              <a:extLst>
                <a:ext uri="{FF2B5EF4-FFF2-40B4-BE49-F238E27FC236}">
                  <a16:creationId xmlns:a16="http://schemas.microsoft.com/office/drawing/2014/main" id="{00000000-0008-0000-0200-000010200100}"/>
                </a:ext>
              </a:extLst>
            </xdr:cNvPr>
            <xdr:cNvSpPr/>
          </xdr:nvSpPr>
          <xdr:spPr bwMode="auto">
            <a:xfrm>
              <a:off x="10438040" y="17013011"/>
              <a:ext cx="230400" cy="28035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1" i="0" u="none" strike="noStrike" cap="none" normalizeH="0" baseline="0">
                  <a:ln>
                    <a:noFill/>
                  </a:ln>
                  <a:solidFill>
                    <a:schemeClr val="tx1"/>
                  </a:solidFill>
                  <a:effectLst/>
                  <a:latin typeface="Univers" pitchFamily="34" charset="0"/>
                </a:rPr>
                <a:t>14</a:t>
              </a:r>
            </a:p>
          </xdr:txBody>
        </xdr:sp>
        <xdr:sp macro="" textlink="">
          <xdr:nvSpPr>
            <xdr:cNvPr id="73759" name="Pfeil nach unten 65">
              <a:extLst>
                <a:ext uri="{FF2B5EF4-FFF2-40B4-BE49-F238E27FC236}">
                  <a16:creationId xmlns:a16="http://schemas.microsoft.com/office/drawing/2014/main" id="{00000000-0008-0000-0200-00001F200100}"/>
                </a:ext>
              </a:extLst>
            </xdr:cNvPr>
            <xdr:cNvSpPr/>
          </xdr:nvSpPr>
          <xdr:spPr bwMode="auto">
            <a:xfrm>
              <a:off x="11060566" y="19404081"/>
              <a:ext cx="220436" cy="257175"/>
            </a:xfrm>
            <a:prstGeom prst="downArrow">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nvGrpSpPr>
            <xdr:cNvPr id="73767" name="Gruppieren 73766">
              <a:extLst>
                <a:ext uri="{FF2B5EF4-FFF2-40B4-BE49-F238E27FC236}">
                  <a16:creationId xmlns:a16="http://schemas.microsoft.com/office/drawing/2014/main" id="{00000000-0008-0000-0200-000027200100}"/>
                </a:ext>
              </a:extLst>
            </xdr:cNvPr>
            <xdr:cNvGrpSpPr/>
          </xdr:nvGrpSpPr>
          <xdr:grpSpPr>
            <a:xfrm>
              <a:off x="10473417" y="19737517"/>
              <a:ext cx="2388053" cy="355029"/>
              <a:chOff x="10443481" y="19396038"/>
              <a:chExt cx="2379889" cy="357751"/>
            </a:xfrm>
          </xdr:grpSpPr>
          <xdr:sp macro="" textlink="">
            <xdr:nvSpPr>
              <xdr:cNvPr id="73760" name="Rechteck 73759">
                <a:extLst>
                  <a:ext uri="{FF2B5EF4-FFF2-40B4-BE49-F238E27FC236}">
                    <a16:creationId xmlns:a16="http://schemas.microsoft.com/office/drawing/2014/main" id="{00000000-0008-0000-0200-000020200100}"/>
                  </a:ext>
                </a:extLst>
              </xdr:cNvPr>
              <xdr:cNvSpPr/>
            </xdr:nvSpPr>
            <xdr:spPr bwMode="auto">
              <a:xfrm>
                <a:off x="10443481" y="19396038"/>
                <a:ext cx="2379889" cy="357751"/>
              </a:xfrm>
              <a:prstGeom prst="rect">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nvGrpSpPr>
              <xdr:cNvPr id="73765" name="Gruppieren 73764">
                <a:extLst>
                  <a:ext uri="{FF2B5EF4-FFF2-40B4-BE49-F238E27FC236}">
                    <a16:creationId xmlns:a16="http://schemas.microsoft.com/office/drawing/2014/main" id="{00000000-0008-0000-0200-000025200100}"/>
                  </a:ext>
                </a:extLst>
              </xdr:cNvPr>
              <xdr:cNvGrpSpPr/>
            </xdr:nvGrpSpPr>
            <xdr:grpSpPr>
              <a:xfrm>
                <a:off x="10514326" y="19460227"/>
                <a:ext cx="2238198" cy="229961"/>
                <a:chOff x="10525302" y="19460227"/>
                <a:chExt cx="2238198" cy="229961"/>
              </a:xfrm>
            </xdr:grpSpPr>
            <xdr:sp macro="" textlink="">
              <xdr:nvSpPr>
                <xdr:cNvPr id="73743" name="Rechteck 73742">
                  <a:extLst>
                    <a:ext uri="{FF2B5EF4-FFF2-40B4-BE49-F238E27FC236}">
                      <a16:creationId xmlns:a16="http://schemas.microsoft.com/office/drawing/2014/main" id="{00000000-0008-0000-0200-00000F200100}"/>
                    </a:ext>
                  </a:extLst>
                </xdr:cNvPr>
                <xdr:cNvSpPr/>
              </xdr:nvSpPr>
              <xdr:spPr bwMode="auto">
                <a:xfrm>
                  <a:off x="12004222" y="19464727"/>
                  <a:ext cx="230400" cy="220961"/>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8</a:t>
                  </a:r>
                </a:p>
              </xdr:txBody>
            </xdr:sp>
            <xdr:sp macro="" textlink="">
              <xdr:nvSpPr>
                <xdr:cNvPr id="73754" name="Rechteck 73753">
                  <a:extLst>
                    <a:ext uri="{FF2B5EF4-FFF2-40B4-BE49-F238E27FC236}">
                      <a16:creationId xmlns:a16="http://schemas.microsoft.com/office/drawing/2014/main" id="{00000000-0008-0000-0200-00001A200100}"/>
                    </a:ext>
                  </a:extLst>
                </xdr:cNvPr>
                <xdr:cNvSpPr/>
              </xdr:nvSpPr>
              <xdr:spPr bwMode="auto">
                <a:xfrm>
                  <a:off x="10525302" y="19467207"/>
                  <a:ext cx="216000" cy="21600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9</a:t>
                  </a:r>
                </a:p>
              </xdr:txBody>
            </xdr:sp>
            <xdr:sp macro="" textlink="">
              <xdr:nvSpPr>
                <xdr:cNvPr id="73755" name="Rechteck 73754">
                  <a:extLst>
                    <a:ext uri="{FF2B5EF4-FFF2-40B4-BE49-F238E27FC236}">
                      <a16:creationId xmlns:a16="http://schemas.microsoft.com/office/drawing/2014/main" id="{00000000-0008-0000-0200-00001B200100}"/>
                    </a:ext>
                  </a:extLst>
                </xdr:cNvPr>
                <xdr:cNvSpPr/>
              </xdr:nvSpPr>
              <xdr:spPr bwMode="auto">
                <a:xfrm>
                  <a:off x="11442425" y="19467207"/>
                  <a:ext cx="216000" cy="21600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14</a:t>
                  </a:r>
                </a:p>
              </xdr:txBody>
            </xdr:sp>
            <xdr:sp macro="" textlink="">
              <xdr:nvSpPr>
                <xdr:cNvPr id="73757" name="Rechteck 73756">
                  <a:extLst>
                    <a:ext uri="{FF2B5EF4-FFF2-40B4-BE49-F238E27FC236}">
                      <a16:creationId xmlns:a16="http://schemas.microsoft.com/office/drawing/2014/main" id="{00000000-0008-0000-0200-00001D200100}"/>
                    </a:ext>
                  </a:extLst>
                </xdr:cNvPr>
                <xdr:cNvSpPr/>
              </xdr:nvSpPr>
              <xdr:spPr bwMode="auto">
                <a:xfrm>
                  <a:off x="12483370" y="19467207"/>
                  <a:ext cx="216000" cy="216000"/>
                </a:xfrm>
                <a:prstGeom prst="rect">
                  <a:avLst/>
                </a:prstGeom>
                <a:solidFill>
                  <a:srgbClr val="FFFF00"/>
                </a:solidFill>
                <a:ln w="9525" cap="flat" cmpd="sng" algn="ctr">
                  <a:solidFill>
                    <a:schemeClr val="tx1"/>
                  </a:solid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7</a:t>
                  </a:r>
                </a:p>
              </xdr:txBody>
            </xdr:sp>
            <xdr:sp macro="" textlink="">
              <xdr:nvSpPr>
                <xdr:cNvPr id="73758" name="Minus 42">
                  <a:extLst>
                    <a:ext uri="{FF2B5EF4-FFF2-40B4-BE49-F238E27FC236}">
                      <a16:creationId xmlns:a16="http://schemas.microsoft.com/office/drawing/2014/main" id="{00000000-0008-0000-0200-00001E200100}"/>
                    </a:ext>
                  </a:extLst>
                </xdr:cNvPr>
                <xdr:cNvSpPr/>
              </xdr:nvSpPr>
              <xdr:spPr bwMode="auto">
                <a:xfrm>
                  <a:off x="12250689" y="19498327"/>
                  <a:ext cx="198664" cy="153761"/>
                </a:xfrm>
                <a:prstGeom prst="mathMinus">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73761" name="Multiplikationszeichen 73760">
                  <a:extLst>
                    <a:ext uri="{FF2B5EF4-FFF2-40B4-BE49-F238E27FC236}">
                      <a16:creationId xmlns:a16="http://schemas.microsoft.com/office/drawing/2014/main" id="{00000000-0008-0000-0200-000021200100}"/>
                    </a:ext>
                  </a:extLst>
                </xdr:cNvPr>
                <xdr:cNvSpPr/>
              </xdr:nvSpPr>
              <xdr:spPr bwMode="auto">
                <a:xfrm>
                  <a:off x="10738758" y="19463629"/>
                  <a:ext cx="223157" cy="223157"/>
                </a:xfrm>
                <a:prstGeom prst="mathMultiply">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73762" name="Rechteck 73761">
                  <a:extLst>
                    <a:ext uri="{FF2B5EF4-FFF2-40B4-BE49-F238E27FC236}">
                      <a16:creationId xmlns:a16="http://schemas.microsoft.com/office/drawing/2014/main" id="{00000000-0008-0000-0200-000022200100}"/>
                    </a:ext>
                  </a:extLst>
                </xdr:cNvPr>
                <xdr:cNvSpPr/>
              </xdr:nvSpPr>
              <xdr:spPr bwMode="auto">
                <a:xfrm>
                  <a:off x="10977059" y="19467207"/>
                  <a:ext cx="216000" cy="216000"/>
                </a:xfrm>
                <a:prstGeom prst="rect">
                  <a:avLst/>
                </a:prstGeom>
                <a:solidFill>
                  <a:schemeClr val="bg1"/>
                </a:solidFill>
                <a:ln w="9525" cap="flat" cmpd="sng" algn="ctr">
                  <a:noFill/>
                  <a:prstDash val="solid"/>
                  <a:round/>
                  <a:headEnd type="none" w="med" len="med"/>
                  <a:tailEnd type="triangle" w="med" len="med"/>
                </a:ln>
                <a:effectLst/>
              </xdr:spPr>
              <xdr:txBody>
                <a:bodyPr vertOverflow="clip" horzOverflow="clip" vert="horz" wrap="none" lIns="0" tIns="0" rIns="0" bIns="0" numCol="1" rtlCol="0" anchor="ctr" anchorCtr="0" compatLnSpc="1">
                  <a:prstTxWarp prst="textNoShape">
                    <a:avLst/>
                  </a:prstTxWarp>
                </a:bodyPr>
                <a:lstStyle/>
                <a:p>
                  <a:pPr marL="0" marR="0" indent="0" algn="ctr" defTabSz="914400" rtl="0" eaLnBrk="0" fontAlgn="base" latinLnBrk="0" hangingPunct="0">
                    <a:lnSpc>
                      <a:spcPct val="100000"/>
                    </a:lnSpc>
                    <a:spcBef>
                      <a:spcPct val="0"/>
                    </a:spcBef>
                    <a:spcAft>
                      <a:spcPct val="0"/>
                    </a:spcAft>
                    <a:buClrTx/>
                    <a:buSzTx/>
                    <a:buFontTx/>
                    <a:buNone/>
                    <a:tabLst/>
                  </a:pPr>
                  <a:r>
                    <a:rPr kumimoji="0" lang="de-DE" sz="1200" b="0" i="0" u="none" strike="noStrike" cap="none" normalizeH="0" baseline="0">
                      <a:ln>
                        <a:noFill/>
                      </a:ln>
                      <a:solidFill>
                        <a:schemeClr val="tx1"/>
                      </a:solidFill>
                      <a:effectLst/>
                      <a:latin typeface="Univers" pitchFamily="34" charset="0"/>
                    </a:rPr>
                    <a:t>60</a:t>
                  </a:r>
                </a:p>
              </xdr:txBody>
            </xdr:sp>
            <xdr:sp macro="" textlink="">
              <xdr:nvSpPr>
                <xdr:cNvPr id="73763" name="Division 48">
                  <a:extLst>
                    <a:ext uri="{FF2B5EF4-FFF2-40B4-BE49-F238E27FC236}">
                      <a16:creationId xmlns:a16="http://schemas.microsoft.com/office/drawing/2014/main" id="{00000000-0008-0000-0200-000023200100}"/>
                    </a:ext>
                  </a:extLst>
                </xdr:cNvPr>
                <xdr:cNvSpPr/>
              </xdr:nvSpPr>
              <xdr:spPr bwMode="auto">
                <a:xfrm>
                  <a:off x="11648067" y="19484039"/>
                  <a:ext cx="252501" cy="182336"/>
                </a:xfrm>
                <a:prstGeom prst="mathDivide">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sp macro="" textlink="">
              <xdr:nvSpPr>
                <xdr:cNvPr id="73764" name="Runde Klammer links/rechts 73763">
                  <a:extLst>
                    <a:ext uri="{FF2B5EF4-FFF2-40B4-BE49-F238E27FC236}">
                      <a16:creationId xmlns:a16="http://schemas.microsoft.com/office/drawing/2014/main" id="{00000000-0008-0000-0200-000024200100}"/>
                    </a:ext>
                  </a:extLst>
                </xdr:cNvPr>
                <xdr:cNvSpPr/>
              </xdr:nvSpPr>
              <xdr:spPr bwMode="auto">
                <a:xfrm>
                  <a:off x="11945471" y="19460227"/>
                  <a:ext cx="818029" cy="229961"/>
                </a:xfrm>
                <a:prstGeom prst="bracketPair">
                  <a:avLst/>
                </a:prstGeom>
                <a:noFill/>
                <a:ln w="9525" cap="flat" cmpd="sng" algn="ctr">
                  <a:solidFill>
                    <a:schemeClr val="tx1"/>
                  </a:solidFill>
                  <a:prstDash val="solid"/>
                  <a:round/>
                  <a:headEnd type="none" w="med" len="med"/>
                  <a:tailEnd type="non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Overflow="clip" horzOverflow="clip"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grpSp>
      </xdr:grpSp>
      <xdr:sp macro="" textlink="">
        <xdr:nvSpPr>
          <xdr:cNvPr id="4" name="Multiplikationszeichen 3">
            <a:extLst>
              <a:ext uri="{FF2B5EF4-FFF2-40B4-BE49-F238E27FC236}">
                <a16:creationId xmlns:a16="http://schemas.microsoft.com/office/drawing/2014/main" id="{00000000-0008-0000-0200-000004000000}"/>
              </a:ext>
            </a:extLst>
          </xdr:cNvPr>
          <xdr:cNvSpPr/>
        </xdr:nvSpPr>
        <xdr:spPr bwMode="auto">
          <a:xfrm>
            <a:off x="11201400" y="14725650"/>
            <a:ext cx="223923" cy="221459"/>
          </a:xfrm>
          <a:prstGeom prst="mathMultiply">
            <a:avLst/>
          </a:pr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vert="horz" wrap="none" lIns="0" tIns="0" rIns="0" bIns="0" numCol="1" rtlCol="0" anchor="t" anchorCtr="0" compatLnSpc="1">
            <a:prstTxWarp prst="textNoShape">
              <a:avLst/>
            </a:prstTxWarp>
          </a:bodyPr>
          <a:lstStyle/>
          <a:p>
            <a:pPr marL="0" marR="0" indent="0" algn="l" defTabSz="914400" rtl="0" eaLnBrk="0" fontAlgn="base" latinLnBrk="0" hangingPunct="0">
              <a:lnSpc>
                <a:spcPct val="100000"/>
              </a:lnSpc>
              <a:spcBef>
                <a:spcPct val="0"/>
              </a:spcBef>
              <a:spcAft>
                <a:spcPct val="0"/>
              </a:spcAft>
              <a:buClrTx/>
              <a:buSzTx/>
              <a:buFontTx/>
              <a:buNone/>
              <a:tabLst/>
            </a:pPr>
            <a:endParaRPr kumimoji="0" lang="de-DE" sz="1600" b="1" i="0" u="none" strike="noStrike" cap="none" normalizeH="0" baseline="0">
              <a:ln>
                <a:noFill/>
              </a:ln>
              <a:solidFill>
                <a:schemeClr val="tx1"/>
              </a:solidFill>
              <a:effectLst/>
              <a:latin typeface="Univers"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414130</xdr:colOff>
      <xdr:row>0</xdr:row>
      <xdr:rowOff>149086</xdr:rowOff>
    </xdr:from>
    <xdr:to>
      <xdr:col>16</xdr:col>
      <xdr:colOff>783700</xdr:colOff>
      <xdr:row>1</xdr:row>
      <xdr:rowOff>73475</xdr:rowOff>
    </xdr:to>
    <xdr:sp macro="" textlink="">
      <xdr:nvSpPr>
        <xdr:cNvPr id="2" name="AutoShape 288">
          <a:extLst>
            <a:ext uri="{FF2B5EF4-FFF2-40B4-BE49-F238E27FC236}">
              <a16:creationId xmlns:a16="http://schemas.microsoft.com/office/drawing/2014/main" id="{00000000-0008-0000-1900-000002000000}"/>
            </a:ext>
          </a:extLst>
        </xdr:cNvPr>
        <xdr:cNvSpPr>
          <a:spLocks noChangeArrowheads="1"/>
        </xdr:cNvSpPr>
      </xdr:nvSpPr>
      <xdr:spPr bwMode="auto">
        <a:xfrm>
          <a:off x="8970065" y="149086"/>
          <a:ext cx="369570" cy="139737"/>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17</xdr:col>
          <xdr:colOff>31805</xdr:colOff>
          <xdr:row>0</xdr:row>
          <xdr:rowOff>63610</xdr:rowOff>
        </xdr:from>
        <xdr:to>
          <xdr:col>19</xdr:col>
          <xdr:colOff>127221</xdr:colOff>
          <xdr:row>1</xdr:row>
          <xdr:rowOff>111318</xdr:rowOff>
        </xdr:to>
        <xdr:sp macro="" textlink="">
          <xdr:nvSpPr>
            <xdr:cNvPr id="116738" name="Drop Down 2" hidden="1">
              <a:extLst>
                <a:ext uri="{63B3BB69-23CF-44E3-9099-C40C66FF867C}">
                  <a14:compatExt spid="_x0000_s116738"/>
                </a:ext>
                <a:ext uri="{FF2B5EF4-FFF2-40B4-BE49-F238E27FC236}">
                  <a16:creationId xmlns:a16="http://schemas.microsoft.com/office/drawing/2014/main" id="{00000000-0008-0000-1900-000002C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3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7" name="AutoShape 288">
          <a:extLst>
            <a:ext uri="{FF2B5EF4-FFF2-40B4-BE49-F238E27FC236}">
              <a16:creationId xmlns:a16="http://schemas.microsoft.com/office/drawing/2014/main" id="{00000000-0008-0000-0300-000007000000}"/>
            </a:ext>
          </a:extLst>
        </xdr:cNvPr>
        <xdr:cNvSpPr>
          <a:spLocks noChangeArrowheads="1"/>
        </xdr:cNvSpPr>
      </xdr:nvSpPr>
      <xdr:spPr bwMode="auto">
        <a:xfrm>
          <a:off x="6705600" y="154050"/>
          <a:ext cx="409575" cy="171450"/>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100353" name="Drop Down 1" hidden="1">
              <a:extLst>
                <a:ext uri="{63B3BB69-23CF-44E3-9099-C40C66FF867C}">
                  <a14:compatExt spid="_x0000_s100353"/>
                </a:ext>
                <a:ext uri="{FF2B5EF4-FFF2-40B4-BE49-F238E27FC236}">
                  <a16:creationId xmlns:a16="http://schemas.microsoft.com/office/drawing/2014/main" id="{00000000-0008-0000-0400-0000018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 name="AutoShape 288">
          <a:extLst>
            <a:ext uri="{FF2B5EF4-FFF2-40B4-BE49-F238E27FC236}">
              <a16:creationId xmlns:a16="http://schemas.microsoft.com/office/drawing/2014/main" id="{00000000-0008-0000-0400-000003000000}"/>
            </a:ext>
          </a:extLst>
        </xdr:cNvPr>
        <xdr:cNvSpPr>
          <a:spLocks noChangeArrowheads="1"/>
        </xdr:cNvSpPr>
      </xdr:nvSpPr>
      <xdr:spPr bwMode="auto">
        <a:xfrm>
          <a:off x="8286750" y="154050"/>
          <a:ext cx="42862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101377" name="Drop Down 1" hidden="1">
              <a:extLst>
                <a:ext uri="{63B3BB69-23CF-44E3-9099-C40C66FF867C}">
                  <a14:compatExt spid="_x0000_s101377"/>
                </a:ext>
                <a:ext uri="{FF2B5EF4-FFF2-40B4-BE49-F238E27FC236}">
                  <a16:creationId xmlns:a16="http://schemas.microsoft.com/office/drawing/2014/main" id="{00000000-0008-0000-0500-0000018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 name="AutoShape 288">
          <a:extLst>
            <a:ext uri="{FF2B5EF4-FFF2-40B4-BE49-F238E27FC236}">
              <a16:creationId xmlns:a16="http://schemas.microsoft.com/office/drawing/2014/main" id="{00000000-0008-0000-0500-000003000000}"/>
            </a:ext>
          </a:extLst>
        </xdr:cNvPr>
        <xdr:cNvSpPr>
          <a:spLocks noChangeArrowheads="1"/>
        </xdr:cNvSpPr>
      </xdr:nvSpPr>
      <xdr:spPr bwMode="auto">
        <a:xfrm>
          <a:off x="8677275" y="154050"/>
          <a:ext cx="4476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102401" name="Drop Down 1" hidden="1">
              <a:extLst>
                <a:ext uri="{63B3BB69-23CF-44E3-9099-C40C66FF867C}">
                  <a14:compatExt spid="_x0000_s102401"/>
                </a:ext>
                <a:ext uri="{FF2B5EF4-FFF2-40B4-BE49-F238E27FC236}">
                  <a16:creationId xmlns:a16="http://schemas.microsoft.com/office/drawing/2014/main" id="{00000000-0008-0000-0600-0000019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 name="AutoShape 288">
          <a:extLst>
            <a:ext uri="{FF2B5EF4-FFF2-40B4-BE49-F238E27FC236}">
              <a16:creationId xmlns:a16="http://schemas.microsoft.com/office/drawing/2014/main" id="{00000000-0008-0000-0600-000003000000}"/>
            </a:ext>
          </a:extLst>
        </xdr:cNvPr>
        <xdr:cNvSpPr>
          <a:spLocks noChangeArrowheads="1"/>
        </xdr:cNvSpPr>
      </xdr:nvSpPr>
      <xdr:spPr bwMode="auto">
        <a:xfrm>
          <a:off x="9010650" y="154050"/>
          <a:ext cx="4476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254442</xdr:colOff>
          <xdr:row>1</xdr:row>
          <xdr:rowOff>143123</xdr:rowOff>
        </xdr:to>
        <xdr:sp macro="" textlink="">
          <xdr:nvSpPr>
            <xdr:cNvPr id="103425" name="Drop Down 1" hidden="1">
              <a:extLst>
                <a:ext uri="{63B3BB69-23CF-44E3-9099-C40C66FF867C}">
                  <a14:compatExt spid="_x0000_s103425"/>
                </a:ext>
                <a:ext uri="{FF2B5EF4-FFF2-40B4-BE49-F238E27FC236}">
                  <a16:creationId xmlns:a16="http://schemas.microsoft.com/office/drawing/2014/main" id="{00000000-0008-0000-0700-000001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 name="AutoShape 288">
          <a:extLst>
            <a:ext uri="{FF2B5EF4-FFF2-40B4-BE49-F238E27FC236}">
              <a16:creationId xmlns:a16="http://schemas.microsoft.com/office/drawing/2014/main" id="{00000000-0008-0000-0700-000003000000}"/>
            </a:ext>
          </a:extLst>
        </xdr:cNvPr>
        <xdr:cNvSpPr>
          <a:spLocks noChangeArrowheads="1"/>
        </xdr:cNvSpPr>
      </xdr:nvSpPr>
      <xdr:spPr bwMode="auto">
        <a:xfrm>
          <a:off x="8372475" y="154050"/>
          <a:ext cx="42862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33796" name="Drop Down 4" hidden="1">
              <a:extLst>
                <a:ext uri="{63B3BB69-23CF-44E3-9099-C40C66FF867C}">
                  <a14:compatExt spid="_x0000_s33796"/>
                </a:ext>
                <a:ext uri="{FF2B5EF4-FFF2-40B4-BE49-F238E27FC236}">
                  <a16:creationId xmlns:a16="http://schemas.microsoft.com/office/drawing/2014/main" id="{00000000-0008-0000-0800-000004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 name="AutoShape 288">
          <a:extLst>
            <a:ext uri="{FF2B5EF4-FFF2-40B4-BE49-F238E27FC236}">
              <a16:creationId xmlns:a16="http://schemas.microsoft.com/office/drawing/2014/main" id="{00000000-0008-0000-0800-000003000000}"/>
            </a:ext>
          </a:extLst>
        </xdr:cNvPr>
        <xdr:cNvSpPr>
          <a:spLocks noChangeArrowheads="1"/>
        </xdr:cNvSpPr>
      </xdr:nvSpPr>
      <xdr:spPr bwMode="auto">
        <a:xfrm>
          <a:off x="8001000" y="154050"/>
          <a:ext cx="4095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79513</xdr:colOff>
          <xdr:row>0</xdr:row>
          <xdr:rowOff>103367</xdr:rowOff>
        </xdr:from>
        <xdr:to>
          <xdr:col>23</xdr:col>
          <xdr:colOff>246490</xdr:colOff>
          <xdr:row>1</xdr:row>
          <xdr:rowOff>143123</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9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18</xdr:col>
      <xdr:colOff>228600</xdr:colOff>
      <xdr:row>0</xdr:row>
      <xdr:rowOff>154050</xdr:rowOff>
    </xdr:from>
    <xdr:to>
      <xdr:col>19</xdr:col>
      <xdr:colOff>209550</xdr:colOff>
      <xdr:row>1</xdr:row>
      <xdr:rowOff>77850</xdr:rowOff>
    </xdr:to>
    <xdr:sp macro="" textlink="">
      <xdr:nvSpPr>
        <xdr:cNvPr id="3" name="AutoShape 288">
          <a:extLst>
            <a:ext uri="{FF2B5EF4-FFF2-40B4-BE49-F238E27FC236}">
              <a16:creationId xmlns:a16="http://schemas.microsoft.com/office/drawing/2014/main" id="{00000000-0008-0000-0900-000003000000}"/>
            </a:ext>
          </a:extLst>
        </xdr:cNvPr>
        <xdr:cNvSpPr>
          <a:spLocks noChangeArrowheads="1"/>
        </xdr:cNvSpPr>
      </xdr:nvSpPr>
      <xdr:spPr bwMode="auto">
        <a:xfrm>
          <a:off x="7943850" y="154050"/>
          <a:ext cx="409575" cy="142875"/>
        </a:xfrm>
        <a:prstGeom prst="rightArrow">
          <a:avLst>
            <a:gd name="adj1" fmla="val 50000"/>
            <a:gd name="adj2" fmla="val 71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rose.net\global\GT\TP3\TQU3\02_QP_Kaufteile\08_Wissensspeicher\05_Vorlagen\AWE\template_AWE_deviation_request_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rose.net\global\Users\AbouRat\AppData\Local\Microsoft\Windows\INetCache\Content.Outlook\FVGH2OZ4\Lieferanten%20Quality%20Gates%20+%20FRT_Gewicht_19101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EX-106291"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qmsmuel/AppData/Roaming/brose.net/users/WUP/homer/reinhol/Documents/SQR-Template/alt/SQR_Template_Global_V5.xlsx" TargetMode="External"/><Relationship Id="rId1" Type="http://schemas.openxmlformats.org/officeDocument/2006/relationships/externalLinkPath" Target="/Users/qmsmuel/AppData/Roaming/brose.net/users/WUP/homer/reinhol/Documents/SQR-Template/alt/SQR_Template_Global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WE-Antrag"/>
      <sheetName val="Anlage"/>
      <sheetName val="Anleitung"/>
      <sheetName val="LANGUAGE"/>
      <sheetName val="Button"/>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NGUAGE"/>
      <sheetName val="Hilfstabelle SQG DEEN"/>
      <sheetName val="Instruction"/>
      <sheetName val="Basic_Data"/>
      <sheetName val="SQG_Result"/>
      <sheetName val="SQG_1"/>
      <sheetName val="SQG_2"/>
      <sheetName val="SQG_3"/>
      <sheetName val="LQG-Ergebnis"/>
      <sheetName val="LQG1"/>
      <sheetName val="LQG2"/>
      <sheetName val="LQG3"/>
      <sheetName val="FRT"/>
      <sheetName val="Gewichte"/>
      <sheetName val="optional TP DE"/>
      <sheetName val="Weights"/>
      <sheetName val="opt. Timing"/>
      <sheetName val="opt. Mixed_Part_Audit"/>
      <sheetName val="opt. Drawing_Review"/>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 List"/>
      <sheetName val="Ref"/>
      <sheetName val="Action List (2)"/>
      <sheetName val="Attendance record"/>
      <sheetName val="Sheet1"/>
      <sheetName val="SQG1"/>
      <sheetName val="LANGUAGE"/>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ANGUAGE"/>
    </sheetNames>
  </externalBook>
</externalLink>
</file>

<file path=xl/theme/theme1.xml><?xml version="1.0" encoding="utf-8"?>
<a:theme xmlns:a="http://schemas.openxmlformats.org/drawingml/2006/main" name="Brose">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lank">
      <a:majorFont>
        <a:latin typeface="Univers"/>
        <a:ea typeface=""/>
        <a:cs typeface=""/>
      </a:majorFont>
      <a:minorFont>
        <a:latin typeface="Univers"/>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a:spPr>
      <a:bodyPr vert="horz" wrap="none" lIns="0" tIns="0" rIns="0" bIns="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1600" b="1" i="0" u="none" strike="noStrike" cap="none" normalizeH="0" baseline="0" smtClean="0">
            <a:ln>
              <a:noFill/>
            </a:ln>
            <a:solidFill>
              <a:schemeClr val="tx1"/>
            </a:solidFill>
            <a:effectLst/>
            <a:latin typeface="Univers" pitchFamily="34" charset="0"/>
          </a:defRPr>
        </a:defPPr>
      </a:lstStyle>
    </a:spDef>
    <a:lnDef>
      <a:spPr bwMode="auto">
        <a:xfrm>
          <a:off x="0" y="0"/>
          <a:ext cx="1" cy="1"/>
        </a:xfrm>
        <a:custGeom>
          <a:avLst/>
          <a:gdLst/>
          <a:ahLst/>
          <a:cxnLst/>
          <a:rect l="0" t="0" r="0" b="0"/>
          <a:pathLst/>
        </a:custGeom>
        <a:noFill/>
        <a:ln w="9525" cap="flat" cmpd="sng" algn="ctr">
          <a:solidFill>
            <a:schemeClr val="tx1"/>
          </a:solidFill>
          <a:prstDash val="solid"/>
          <a:round/>
          <a:headEnd type="none" w="med" len="med"/>
          <a:tailEnd type="triangle" w="med" len="me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a:spPr>
      <a:bodyPr vert="horz" wrap="none" lIns="0" tIns="0" rIns="0" bIns="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1600" b="1" i="0" u="none" strike="noStrike" cap="none" normalizeH="0" baseline="0" smtClean="0">
            <a:ln>
              <a:noFill/>
            </a:ln>
            <a:solidFill>
              <a:schemeClr val="tx1"/>
            </a:solidFill>
            <a:effectLst/>
            <a:latin typeface="Univers" pitchFamily="34" charset="0"/>
          </a:defRPr>
        </a:defPPr>
      </a:lstStyle>
    </a:lnDef>
  </a:objectDefaults>
  <a:extraClrSchemeLst>
    <a:extraClrScheme>
      <a:clrScheme name="blank 1">
        <a:dk1>
          <a:srgbClr val="000000"/>
        </a:dk1>
        <a:lt1>
          <a:srgbClr val="FFFFFF"/>
        </a:lt1>
        <a:dk2>
          <a:srgbClr val="000000"/>
        </a:dk2>
        <a:lt2>
          <a:srgbClr val="D9D6D1"/>
        </a:lt2>
        <a:accent1>
          <a:srgbClr val="ADADAD"/>
        </a:accent1>
        <a:accent2>
          <a:srgbClr val="C5CEDC"/>
        </a:accent2>
        <a:accent3>
          <a:srgbClr val="FFFFFF"/>
        </a:accent3>
        <a:accent4>
          <a:srgbClr val="000000"/>
        </a:accent4>
        <a:accent5>
          <a:srgbClr val="D3D3D3"/>
        </a:accent5>
        <a:accent6>
          <a:srgbClr val="B2BAC7"/>
        </a:accent6>
        <a:hlink>
          <a:srgbClr val="003E6A"/>
        </a:hlink>
        <a:folHlink>
          <a:srgbClr val="8096B2"/>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7" Type="http://schemas.openxmlformats.org/officeDocument/2006/relationships/comments" Target="../comments5.x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6" Type="http://schemas.openxmlformats.org/officeDocument/2006/relationships/ctrlProp" Target="../ctrlProps/ctrlProp9.xml"/><Relationship Id="rId5" Type="http://schemas.openxmlformats.org/officeDocument/2006/relationships/vmlDrawing" Target="../drawings/vmlDrawing19.vml"/><Relationship Id="rId4" Type="http://schemas.openxmlformats.org/officeDocument/2006/relationships/vmlDrawing" Target="../drawings/vmlDrawing18.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7" Type="http://schemas.openxmlformats.org/officeDocument/2006/relationships/comments" Target="../comments6.x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6" Type="http://schemas.openxmlformats.org/officeDocument/2006/relationships/ctrlProp" Target="../ctrlProps/ctrlProp10.xml"/><Relationship Id="rId5" Type="http://schemas.openxmlformats.org/officeDocument/2006/relationships/vmlDrawing" Target="../drawings/vmlDrawing21.vml"/><Relationship Id="rId4" Type="http://schemas.openxmlformats.org/officeDocument/2006/relationships/vmlDrawing" Target="../drawings/vmlDrawing20.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comments" Target="../comments7.x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6" Type="http://schemas.openxmlformats.org/officeDocument/2006/relationships/ctrlProp" Target="../ctrlProps/ctrlProp11.xml"/><Relationship Id="rId5" Type="http://schemas.openxmlformats.org/officeDocument/2006/relationships/vmlDrawing" Target="../drawings/vmlDrawing23.vml"/><Relationship Id="rId4" Type="http://schemas.openxmlformats.org/officeDocument/2006/relationships/vmlDrawing" Target="../drawings/vmlDrawing22.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2.xml"/><Relationship Id="rId7" Type="http://schemas.openxmlformats.org/officeDocument/2006/relationships/comments" Target="../comments8.xml"/><Relationship Id="rId2" Type="http://schemas.openxmlformats.org/officeDocument/2006/relationships/customProperty" Target="../customProperty17.bin"/><Relationship Id="rId1" Type="http://schemas.openxmlformats.org/officeDocument/2006/relationships/printerSettings" Target="../printerSettings/printerSettings17.bin"/><Relationship Id="rId6" Type="http://schemas.openxmlformats.org/officeDocument/2006/relationships/ctrlProp" Target="../ctrlProps/ctrlProp12.xml"/><Relationship Id="rId5" Type="http://schemas.openxmlformats.org/officeDocument/2006/relationships/vmlDrawing" Target="../drawings/vmlDrawing29.vml"/><Relationship Id="rId4" Type="http://schemas.openxmlformats.org/officeDocument/2006/relationships/vmlDrawing" Target="../drawings/vmlDrawing28.v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9.bin"/><Relationship Id="rId1" Type="http://schemas.openxmlformats.org/officeDocument/2006/relationships/printerSettings" Target="../printerSettings/printerSettings19.bin"/><Relationship Id="rId6" Type="http://schemas.openxmlformats.org/officeDocument/2006/relationships/comments" Target="../comments9.xml"/><Relationship Id="rId5" Type="http://schemas.openxmlformats.org/officeDocument/2006/relationships/vmlDrawing" Target="../drawings/vmlDrawing32.vml"/><Relationship Id="rId4" Type="http://schemas.openxmlformats.org/officeDocument/2006/relationships/vmlDrawing" Target="../drawings/vmlDrawing3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20.bin"/><Relationship Id="rId1" Type="http://schemas.openxmlformats.org/officeDocument/2006/relationships/printerSettings" Target="../printerSettings/printerSettings20.bin"/><Relationship Id="rId6" Type="http://schemas.openxmlformats.org/officeDocument/2006/relationships/ctrlProp" Target="../ctrlProps/ctrlProp13.xml"/><Relationship Id="rId5" Type="http://schemas.openxmlformats.org/officeDocument/2006/relationships/vmlDrawing" Target="../drawings/vmlDrawing34.vml"/><Relationship Id="rId4" Type="http://schemas.openxmlformats.org/officeDocument/2006/relationships/vmlDrawing" Target="../drawings/vmlDrawing33.v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21.bin"/><Relationship Id="rId1" Type="http://schemas.openxmlformats.org/officeDocument/2006/relationships/printerSettings" Target="../printerSettings/printerSettings21.bin"/><Relationship Id="rId6" Type="http://schemas.openxmlformats.org/officeDocument/2006/relationships/ctrlProp" Target="../ctrlProps/ctrlProp14.xml"/><Relationship Id="rId5" Type="http://schemas.openxmlformats.org/officeDocument/2006/relationships/vmlDrawing" Target="../drawings/vmlDrawing36.vml"/><Relationship Id="rId4" Type="http://schemas.openxmlformats.org/officeDocument/2006/relationships/vmlDrawing" Target="../drawings/vmlDrawing35.vml"/></Relationships>
</file>

<file path=xl/worksheets/_rels/sheet22.xml.rels><?xml version="1.0" encoding="UTF-8" standalone="yes"?>
<Relationships xmlns="http://schemas.openxmlformats.org/package/2006/relationships"><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9" Type="http://schemas.openxmlformats.org/officeDocument/2006/relationships/ctrlProp" Target="../ctrlProps/ctrlProp48.xml"/><Relationship Id="rId21" Type="http://schemas.openxmlformats.org/officeDocument/2006/relationships/ctrlProp" Target="../ctrlProps/ctrlProp30.xml"/><Relationship Id="rId34" Type="http://schemas.openxmlformats.org/officeDocument/2006/relationships/ctrlProp" Target="../ctrlProps/ctrlProp43.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33" Type="http://schemas.openxmlformats.org/officeDocument/2006/relationships/ctrlProp" Target="../ctrlProps/ctrlProp42.xml"/><Relationship Id="rId38" Type="http://schemas.openxmlformats.org/officeDocument/2006/relationships/ctrlProp" Target="../ctrlProps/ctrlProp47.xml"/><Relationship Id="rId2" Type="http://schemas.openxmlformats.org/officeDocument/2006/relationships/customProperty" Target="../customProperty22.bin"/><Relationship Id="rId16" Type="http://schemas.openxmlformats.org/officeDocument/2006/relationships/ctrlProp" Target="../ctrlProps/ctrlProp25.xml"/><Relationship Id="rId20" Type="http://schemas.openxmlformats.org/officeDocument/2006/relationships/ctrlProp" Target="../ctrlProps/ctrlProp29.xml"/><Relationship Id="rId29" Type="http://schemas.openxmlformats.org/officeDocument/2006/relationships/ctrlProp" Target="../ctrlProps/ctrlProp38.xml"/><Relationship Id="rId1" Type="http://schemas.openxmlformats.org/officeDocument/2006/relationships/printerSettings" Target="../printerSettings/printerSettings22.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32" Type="http://schemas.openxmlformats.org/officeDocument/2006/relationships/ctrlProp" Target="../ctrlProps/ctrlProp41.xml"/><Relationship Id="rId37" Type="http://schemas.openxmlformats.org/officeDocument/2006/relationships/ctrlProp" Target="../ctrlProps/ctrlProp46.xml"/><Relationship Id="rId5" Type="http://schemas.openxmlformats.org/officeDocument/2006/relationships/vmlDrawing" Target="../drawings/vmlDrawing38.vml"/><Relationship Id="rId15" Type="http://schemas.openxmlformats.org/officeDocument/2006/relationships/ctrlProp" Target="../ctrlProps/ctrlProp24.xml"/><Relationship Id="rId23" Type="http://schemas.openxmlformats.org/officeDocument/2006/relationships/ctrlProp" Target="../ctrlProps/ctrlProp32.xml"/><Relationship Id="rId28" Type="http://schemas.openxmlformats.org/officeDocument/2006/relationships/ctrlProp" Target="../ctrlProps/ctrlProp37.xml"/><Relationship Id="rId36" Type="http://schemas.openxmlformats.org/officeDocument/2006/relationships/ctrlProp" Target="../ctrlProps/ctrlProp45.xml"/><Relationship Id="rId10" Type="http://schemas.openxmlformats.org/officeDocument/2006/relationships/ctrlProp" Target="../ctrlProps/ctrlProp19.xml"/><Relationship Id="rId19" Type="http://schemas.openxmlformats.org/officeDocument/2006/relationships/ctrlProp" Target="../ctrlProps/ctrlProp28.xml"/><Relationship Id="rId31" Type="http://schemas.openxmlformats.org/officeDocument/2006/relationships/ctrlProp" Target="../ctrlProps/ctrlProp40.xml"/><Relationship Id="rId4" Type="http://schemas.openxmlformats.org/officeDocument/2006/relationships/vmlDrawing" Target="../drawings/vmlDrawing37.v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 Id="rId27" Type="http://schemas.openxmlformats.org/officeDocument/2006/relationships/ctrlProp" Target="../ctrlProps/ctrlProp36.xml"/><Relationship Id="rId30" Type="http://schemas.openxmlformats.org/officeDocument/2006/relationships/ctrlProp" Target="../ctrlProps/ctrlProp39.xml"/><Relationship Id="rId35" Type="http://schemas.openxmlformats.org/officeDocument/2006/relationships/ctrlProp" Target="../ctrlProps/ctrlProp44.xml"/><Relationship Id="rId8" Type="http://schemas.openxmlformats.org/officeDocument/2006/relationships/ctrlProp" Target="../ctrlProps/ctrlProp17.xml"/><Relationship Id="rId3"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17" Type="http://schemas.openxmlformats.org/officeDocument/2006/relationships/ctrlProp" Target="../ctrlProps/ctrlProp160.xml"/><Relationship Id="rId21" Type="http://schemas.openxmlformats.org/officeDocument/2006/relationships/ctrlProp" Target="../ctrlProps/ctrlProp64.xml"/><Relationship Id="rId42" Type="http://schemas.openxmlformats.org/officeDocument/2006/relationships/ctrlProp" Target="../ctrlProps/ctrlProp85.xml"/><Relationship Id="rId63" Type="http://schemas.openxmlformats.org/officeDocument/2006/relationships/ctrlProp" Target="../ctrlProps/ctrlProp106.xml"/><Relationship Id="rId84" Type="http://schemas.openxmlformats.org/officeDocument/2006/relationships/ctrlProp" Target="../ctrlProps/ctrlProp127.xml"/><Relationship Id="rId138" Type="http://schemas.openxmlformats.org/officeDocument/2006/relationships/ctrlProp" Target="../ctrlProps/ctrlProp181.xml"/><Relationship Id="rId159" Type="http://schemas.openxmlformats.org/officeDocument/2006/relationships/ctrlProp" Target="../ctrlProps/ctrlProp202.xml"/><Relationship Id="rId107" Type="http://schemas.openxmlformats.org/officeDocument/2006/relationships/ctrlProp" Target="../ctrlProps/ctrlProp150.xml"/><Relationship Id="rId11" Type="http://schemas.openxmlformats.org/officeDocument/2006/relationships/ctrlProp" Target="../ctrlProps/ctrlProp54.xml"/><Relationship Id="rId32" Type="http://schemas.openxmlformats.org/officeDocument/2006/relationships/ctrlProp" Target="../ctrlProps/ctrlProp75.xml"/><Relationship Id="rId53" Type="http://schemas.openxmlformats.org/officeDocument/2006/relationships/ctrlProp" Target="../ctrlProps/ctrlProp96.xml"/><Relationship Id="rId74" Type="http://schemas.openxmlformats.org/officeDocument/2006/relationships/ctrlProp" Target="../ctrlProps/ctrlProp117.xml"/><Relationship Id="rId128" Type="http://schemas.openxmlformats.org/officeDocument/2006/relationships/ctrlProp" Target="../ctrlProps/ctrlProp171.xml"/><Relationship Id="rId149" Type="http://schemas.openxmlformats.org/officeDocument/2006/relationships/ctrlProp" Target="../ctrlProps/ctrlProp192.xml"/><Relationship Id="rId5" Type="http://schemas.openxmlformats.org/officeDocument/2006/relationships/vmlDrawing" Target="../drawings/vmlDrawing40.vml"/><Relationship Id="rId95" Type="http://schemas.openxmlformats.org/officeDocument/2006/relationships/ctrlProp" Target="../ctrlProps/ctrlProp138.xml"/><Relationship Id="rId160" Type="http://schemas.openxmlformats.org/officeDocument/2006/relationships/ctrlProp" Target="../ctrlProps/ctrlProp203.xml"/><Relationship Id="rId22" Type="http://schemas.openxmlformats.org/officeDocument/2006/relationships/ctrlProp" Target="../ctrlProps/ctrlProp65.xml"/><Relationship Id="rId43" Type="http://schemas.openxmlformats.org/officeDocument/2006/relationships/ctrlProp" Target="../ctrlProps/ctrlProp86.xml"/><Relationship Id="rId64" Type="http://schemas.openxmlformats.org/officeDocument/2006/relationships/ctrlProp" Target="../ctrlProps/ctrlProp107.xml"/><Relationship Id="rId118" Type="http://schemas.openxmlformats.org/officeDocument/2006/relationships/ctrlProp" Target="../ctrlProps/ctrlProp161.xml"/><Relationship Id="rId139" Type="http://schemas.openxmlformats.org/officeDocument/2006/relationships/ctrlProp" Target="../ctrlProps/ctrlProp182.xml"/><Relationship Id="rId85" Type="http://schemas.openxmlformats.org/officeDocument/2006/relationships/ctrlProp" Target="../ctrlProps/ctrlProp128.xml"/><Relationship Id="rId150" Type="http://schemas.openxmlformats.org/officeDocument/2006/relationships/ctrlProp" Target="../ctrlProps/ctrlProp193.xml"/><Relationship Id="rId12" Type="http://schemas.openxmlformats.org/officeDocument/2006/relationships/ctrlProp" Target="../ctrlProps/ctrlProp55.xml"/><Relationship Id="rId17" Type="http://schemas.openxmlformats.org/officeDocument/2006/relationships/ctrlProp" Target="../ctrlProps/ctrlProp60.xml"/><Relationship Id="rId33" Type="http://schemas.openxmlformats.org/officeDocument/2006/relationships/ctrlProp" Target="../ctrlProps/ctrlProp76.xml"/><Relationship Id="rId38" Type="http://schemas.openxmlformats.org/officeDocument/2006/relationships/ctrlProp" Target="../ctrlProps/ctrlProp81.xml"/><Relationship Id="rId59" Type="http://schemas.openxmlformats.org/officeDocument/2006/relationships/ctrlProp" Target="../ctrlProps/ctrlProp102.xml"/><Relationship Id="rId103" Type="http://schemas.openxmlformats.org/officeDocument/2006/relationships/ctrlProp" Target="../ctrlProps/ctrlProp146.xml"/><Relationship Id="rId108" Type="http://schemas.openxmlformats.org/officeDocument/2006/relationships/ctrlProp" Target="../ctrlProps/ctrlProp151.xml"/><Relationship Id="rId124" Type="http://schemas.openxmlformats.org/officeDocument/2006/relationships/ctrlProp" Target="../ctrlProps/ctrlProp167.xml"/><Relationship Id="rId129" Type="http://schemas.openxmlformats.org/officeDocument/2006/relationships/ctrlProp" Target="../ctrlProps/ctrlProp172.xml"/><Relationship Id="rId54" Type="http://schemas.openxmlformats.org/officeDocument/2006/relationships/ctrlProp" Target="../ctrlProps/ctrlProp97.xml"/><Relationship Id="rId70" Type="http://schemas.openxmlformats.org/officeDocument/2006/relationships/ctrlProp" Target="../ctrlProps/ctrlProp113.xml"/><Relationship Id="rId75" Type="http://schemas.openxmlformats.org/officeDocument/2006/relationships/ctrlProp" Target="../ctrlProps/ctrlProp118.xml"/><Relationship Id="rId91" Type="http://schemas.openxmlformats.org/officeDocument/2006/relationships/ctrlProp" Target="../ctrlProps/ctrlProp134.xml"/><Relationship Id="rId96" Type="http://schemas.openxmlformats.org/officeDocument/2006/relationships/ctrlProp" Target="../ctrlProps/ctrlProp139.xml"/><Relationship Id="rId140" Type="http://schemas.openxmlformats.org/officeDocument/2006/relationships/ctrlProp" Target="../ctrlProps/ctrlProp183.xml"/><Relationship Id="rId145" Type="http://schemas.openxmlformats.org/officeDocument/2006/relationships/ctrlProp" Target="../ctrlProps/ctrlProp188.xml"/><Relationship Id="rId161" Type="http://schemas.openxmlformats.org/officeDocument/2006/relationships/ctrlProp" Target="../ctrlProps/ctrlProp204.xml"/><Relationship Id="rId166" Type="http://schemas.openxmlformats.org/officeDocument/2006/relationships/ctrlProp" Target="../ctrlProps/ctrlProp209.xml"/><Relationship Id="rId1" Type="http://schemas.openxmlformats.org/officeDocument/2006/relationships/printerSettings" Target="../printerSettings/printerSettings23.bin"/><Relationship Id="rId6" Type="http://schemas.openxmlformats.org/officeDocument/2006/relationships/ctrlProp" Target="../ctrlProps/ctrlProp49.xml"/><Relationship Id="rId23" Type="http://schemas.openxmlformats.org/officeDocument/2006/relationships/ctrlProp" Target="../ctrlProps/ctrlProp66.xml"/><Relationship Id="rId28" Type="http://schemas.openxmlformats.org/officeDocument/2006/relationships/ctrlProp" Target="../ctrlProps/ctrlProp71.xml"/><Relationship Id="rId49" Type="http://schemas.openxmlformats.org/officeDocument/2006/relationships/ctrlProp" Target="../ctrlProps/ctrlProp92.xml"/><Relationship Id="rId114" Type="http://schemas.openxmlformats.org/officeDocument/2006/relationships/ctrlProp" Target="../ctrlProps/ctrlProp157.xml"/><Relationship Id="rId119" Type="http://schemas.openxmlformats.org/officeDocument/2006/relationships/ctrlProp" Target="../ctrlProps/ctrlProp162.xml"/><Relationship Id="rId44" Type="http://schemas.openxmlformats.org/officeDocument/2006/relationships/ctrlProp" Target="../ctrlProps/ctrlProp87.xml"/><Relationship Id="rId60" Type="http://schemas.openxmlformats.org/officeDocument/2006/relationships/ctrlProp" Target="../ctrlProps/ctrlProp103.xml"/><Relationship Id="rId65" Type="http://schemas.openxmlformats.org/officeDocument/2006/relationships/ctrlProp" Target="../ctrlProps/ctrlProp108.xml"/><Relationship Id="rId81" Type="http://schemas.openxmlformats.org/officeDocument/2006/relationships/ctrlProp" Target="../ctrlProps/ctrlProp124.xml"/><Relationship Id="rId86" Type="http://schemas.openxmlformats.org/officeDocument/2006/relationships/ctrlProp" Target="../ctrlProps/ctrlProp129.xml"/><Relationship Id="rId130" Type="http://schemas.openxmlformats.org/officeDocument/2006/relationships/ctrlProp" Target="../ctrlProps/ctrlProp173.xml"/><Relationship Id="rId135" Type="http://schemas.openxmlformats.org/officeDocument/2006/relationships/ctrlProp" Target="../ctrlProps/ctrlProp178.xml"/><Relationship Id="rId151" Type="http://schemas.openxmlformats.org/officeDocument/2006/relationships/ctrlProp" Target="../ctrlProps/ctrlProp194.xml"/><Relationship Id="rId156" Type="http://schemas.openxmlformats.org/officeDocument/2006/relationships/ctrlProp" Target="../ctrlProps/ctrlProp199.xml"/><Relationship Id="rId13" Type="http://schemas.openxmlformats.org/officeDocument/2006/relationships/ctrlProp" Target="../ctrlProps/ctrlProp56.xml"/><Relationship Id="rId18" Type="http://schemas.openxmlformats.org/officeDocument/2006/relationships/ctrlProp" Target="../ctrlProps/ctrlProp61.xml"/><Relationship Id="rId39" Type="http://schemas.openxmlformats.org/officeDocument/2006/relationships/ctrlProp" Target="../ctrlProps/ctrlProp82.xml"/><Relationship Id="rId109" Type="http://schemas.openxmlformats.org/officeDocument/2006/relationships/ctrlProp" Target="../ctrlProps/ctrlProp152.xml"/><Relationship Id="rId34" Type="http://schemas.openxmlformats.org/officeDocument/2006/relationships/ctrlProp" Target="../ctrlProps/ctrlProp77.xml"/><Relationship Id="rId50" Type="http://schemas.openxmlformats.org/officeDocument/2006/relationships/ctrlProp" Target="../ctrlProps/ctrlProp93.xml"/><Relationship Id="rId55" Type="http://schemas.openxmlformats.org/officeDocument/2006/relationships/ctrlProp" Target="../ctrlProps/ctrlProp98.xml"/><Relationship Id="rId76" Type="http://schemas.openxmlformats.org/officeDocument/2006/relationships/ctrlProp" Target="../ctrlProps/ctrlProp119.xml"/><Relationship Id="rId97" Type="http://schemas.openxmlformats.org/officeDocument/2006/relationships/ctrlProp" Target="../ctrlProps/ctrlProp140.xml"/><Relationship Id="rId104" Type="http://schemas.openxmlformats.org/officeDocument/2006/relationships/ctrlProp" Target="../ctrlProps/ctrlProp147.xml"/><Relationship Id="rId120" Type="http://schemas.openxmlformats.org/officeDocument/2006/relationships/ctrlProp" Target="../ctrlProps/ctrlProp163.xml"/><Relationship Id="rId125" Type="http://schemas.openxmlformats.org/officeDocument/2006/relationships/ctrlProp" Target="../ctrlProps/ctrlProp168.xml"/><Relationship Id="rId141" Type="http://schemas.openxmlformats.org/officeDocument/2006/relationships/ctrlProp" Target="../ctrlProps/ctrlProp184.xml"/><Relationship Id="rId146" Type="http://schemas.openxmlformats.org/officeDocument/2006/relationships/ctrlProp" Target="../ctrlProps/ctrlProp189.xml"/><Relationship Id="rId167" Type="http://schemas.openxmlformats.org/officeDocument/2006/relationships/ctrlProp" Target="../ctrlProps/ctrlProp210.xml"/><Relationship Id="rId7" Type="http://schemas.openxmlformats.org/officeDocument/2006/relationships/ctrlProp" Target="../ctrlProps/ctrlProp50.xml"/><Relationship Id="rId71" Type="http://schemas.openxmlformats.org/officeDocument/2006/relationships/ctrlProp" Target="../ctrlProps/ctrlProp114.xml"/><Relationship Id="rId92" Type="http://schemas.openxmlformats.org/officeDocument/2006/relationships/ctrlProp" Target="../ctrlProps/ctrlProp135.xml"/><Relationship Id="rId162" Type="http://schemas.openxmlformats.org/officeDocument/2006/relationships/ctrlProp" Target="../ctrlProps/ctrlProp205.xml"/><Relationship Id="rId2" Type="http://schemas.openxmlformats.org/officeDocument/2006/relationships/customProperty" Target="../customProperty23.bin"/><Relationship Id="rId29" Type="http://schemas.openxmlformats.org/officeDocument/2006/relationships/ctrlProp" Target="../ctrlProps/ctrlProp72.xml"/><Relationship Id="rId24" Type="http://schemas.openxmlformats.org/officeDocument/2006/relationships/ctrlProp" Target="../ctrlProps/ctrlProp67.xml"/><Relationship Id="rId40" Type="http://schemas.openxmlformats.org/officeDocument/2006/relationships/ctrlProp" Target="../ctrlProps/ctrlProp83.xml"/><Relationship Id="rId45" Type="http://schemas.openxmlformats.org/officeDocument/2006/relationships/ctrlProp" Target="../ctrlProps/ctrlProp88.xml"/><Relationship Id="rId66" Type="http://schemas.openxmlformats.org/officeDocument/2006/relationships/ctrlProp" Target="../ctrlProps/ctrlProp109.xml"/><Relationship Id="rId87" Type="http://schemas.openxmlformats.org/officeDocument/2006/relationships/ctrlProp" Target="../ctrlProps/ctrlProp130.xml"/><Relationship Id="rId110" Type="http://schemas.openxmlformats.org/officeDocument/2006/relationships/ctrlProp" Target="../ctrlProps/ctrlProp153.xml"/><Relationship Id="rId115" Type="http://schemas.openxmlformats.org/officeDocument/2006/relationships/ctrlProp" Target="../ctrlProps/ctrlProp158.xml"/><Relationship Id="rId131" Type="http://schemas.openxmlformats.org/officeDocument/2006/relationships/ctrlProp" Target="../ctrlProps/ctrlProp174.xml"/><Relationship Id="rId136" Type="http://schemas.openxmlformats.org/officeDocument/2006/relationships/ctrlProp" Target="../ctrlProps/ctrlProp179.xml"/><Relationship Id="rId157" Type="http://schemas.openxmlformats.org/officeDocument/2006/relationships/ctrlProp" Target="../ctrlProps/ctrlProp200.xml"/><Relationship Id="rId61" Type="http://schemas.openxmlformats.org/officeDocument/2006/relationships/ctrlProp" Target="../ctrlProps/ctrlProp104.xml"/><Relationship Id="rId82" Type="http://schemas.openxmlformats.org/officeDocument/2006/relationships/ctrlProp" Target="../ctrlProps/ctrlProp125.xml"/><Relationship Id="rId152" Type="http://schemas.openxmlformats.org/officeDocument/2006/relationships/ctrlProp" Target="../ctrlProps/ctrlProp195.xml"/><Relationship Id="rId19" Type="http://schemas.openxmlformats.org/officeDocument/2006/relationships/ctrlProp" Target="../ctrlProps/ctrlProp62.xml"/><Relationship Id="rId14" Type="http://schemas.openxmlformats.org/officeDocument/2006/relationships/ctrlProp" Target="../ctrlProps/ctrlProp57.xml"/><Relationship Id="rId30" Type="http://schemas.openxmlformats.org/officeDocument/2006/relationships/ctrlProp" Target="../ctrlProps/ctrlProp73.xml"/><Relationship Id="rId35" Type="http://schemas.openxmlformats.org/officeDocument/2006/relationships/ctrlProp" Target="../ctrlProps/ctrlProp78.xml"/><Relationship Id="rId56" Type="http://schemas.openxmlformats.org/officeDocument/2006/relationships/ctrlProp" Target="../ctrlProps/ctrlProp99.xml"/><Relationship Id="rId77" Type="http://schemas.openxmlformats.org/officeDocument/2006/relationships/ctrlProp" Target="../ctrlProps/ctrlProp120.xml"/><Relationship Id="rId100" Type="http://schemas.openxmlformats.org/officeDocument/2006/relationships/ctrlProp" Target="../ctrlProps/ctrlProp143.xml"/><Relationship Id="rId105" Type="http://schemas.openxmlformats.org/officeDocument/2006/relationships/ctrlProp" Target="../ctrlProps/ctrlProp148.xml"/><Relationship Id="rId126" Type="http://schemas.openxmlformats.org/officeDocument/2006/relationships/ctrlProp" Target="../ctrlProps/ctrlProp169.xml"/><Relationship Id="rId147" Type="http://schemas.openxmlformats.org/officeDocument/2006/relationships/ctrlProp" Target="../ctrlProps/ctrlProp190.xml"/><Relationship Id="rId168" Type="http://schemas.openxmlformats.org/officeDocument/2006/relationships/ctrlProp" Target="../ctrlProps/ctrlProp211.xml"/><Relationship Id="rId8" Type="http://schemas.openxmlformats.org/officeDocument/2006/relationships/ctrlProp" Target="../ctrlProps/ctrlProp51.xml"/><Relationship Id="rId51" Type="http://schemas.openxmlformats.org/officeDocument/2006/relationships/ctrlProp" Target="../ctrlProps/ctrlProp94.xml"/><Relationship Id="rId72" Type="http://schemas.openxmlformats.org/officeDocument/2006/relationships/ctrlProp" Target="../ctrlProps/ctrlProp115.xml"/><Relationship Id="rId93" Type="http://schemas.openxmlformats.org/officeDocument/2006/relationships/ctrlProp" Target="../ctrlProps/ctrlProp136.xml"/><Relationship Id="rId98" Type="http://schemas.openxmlformats.org/officeDocument/2006/relationships/ctrlProp" Target="../ctrlProps/ctrlProp141.xml"/><Relationship Id="rId121" Type="http://schemas.openxmlformats.org/officeDocument/2006/relationships/ctrlProp" Target="../ctrlProps/ctrlProp164.xml"/><Relationship Id="rId142" Type="http://schemas.openxmlformats.org/officeDocument/2006/relationships/ctrlProp" Target="../ctrlProps/ctrlProp185.xml"/><Relationship Id="rId163" Type="http://schemas.openxmlformats.org/officeDocument/2006/relationships/ctrlProp" Target="../ctrlProps/ctrlProp206.xml"/><Relationship Id="rId3" Type="http://schemas.openxmlformats.org/officeDocument/2006/relationships/drawing" Target="../drawings/drawing17.xml"/><Relationship Id="rId25" Type="http://schemas.openxmlformats.org/officeDocument/2006/relationships/ctrlProp" Target="../ctrlProps/ctrlProp68.xml"/><Relationship Id="rId46" Type="http://schemas.openxmlformats.org/officeDocument/2006/relationships/ctrlProp" Target="../ctrlProps/ctrlProp89.xml"/><Relationship Id="rId67" Type="http://schemas.openxmlformats.org/officeDocument/2006/relationships/ctrlProp" Target="../ctrlProps/ctrlProp110.xml"/><Relationship Id="rId116" Type="http://schemas.openxmlformats.org/officeDocument/2006/relationships/ctrlProp" Target="../ctrlProps/ctrlProp159.xml"/><Relationship Id="rId137" Type="http://schemas.openxmlformats.org/officeDocument/2006/relationships/ctrlProp" Target="../ctrlProps/ctrlProp180.xml"/><Relationship Id="rId158" Type="http://schemas.openxmlformats.org/officeDocument/2006/relationships/ctrlProp" Target="../ctrlProps/ctrlProp201.xml"/><Relationship Id="rId20" Type="http://schemas.openxmlformats.org/officeDocument/2006/relationships/ctrlProp" Target="../ctrlProps/ctrlProp63.xml"/><Relationship Id="rId41" Type="http://schemas.openxmlformats.org/officeDocument/2006/relationships/ctrlProp" Target="../ctrlProps/ctrlProp84.xml"/><Relationship Id="rId62" Type="http://schemas.openxmlformats.org/officeDocument/2006/relationships/ctrlProp" Target="../ctrlProps/ctrlProp105.xml"/><Relationship Id="rId83" Type="http://schemas.openxmlformats.org/officeDocument/2006/relationships/ctrlProp" Target="../ctrlProps/ctrlProp126.xml"/><Relationship Id="rId88" Type="http://schemas.openxmlformats.org/officeDocument/2006/relationships/ctrlProp" Target="../ctrlProps/ctrlProp131.xml"/><Relationship Id="rId111" Type="http://schemas.openxmlformats.org/officeDocument/2006/relationships/ctrlProp" Target="../ctrlProps/ctrlProp154.xml"/><Relationship Id="rId132" Type="http://schemas.openxmlformats.org/officeDocument/2006/relationships/ctrlProp" Target="../ctrlProps/ctrlProp175.xml"/><Relationship Id="rId153" Type="http://schemas.openxmlformats.org/officeDocument/2006/relationships/ctrlProp" Target="../ctrlProps/ctrlProp196.xml"/><Relationship Id="rId15" Type="http://schemas.openxmlformats.org/officeDocument/2006/relationships/ctrlProp" Target="../ctrlProps/ctrlProp58.xml"/><Relationship Id="rId36" Type="http://schemas.openxmlformats.org/officeDocument/2006/relationships/ctrlProp" Target="../ctrlProps/ctrlProp79.xml"/><Relationship Id="rId57" Type="http://schemas.openxmlformats.org/officeDocument/2006/relationships/ctrlProp" Target="../ctrlProps/ctrlProp100.xml"/><Relationship Id="rId106" Type="http://schemas.openxmlformats.org/officeDocument/2006/relationships/ctrlProp" Target="../ctrlProps/ctrlProp149.xml"/><Relationship Id="rId127" Type="http://schemas.openxmlformats.org/officeDocument/2006/relationships/ctrlProp" Target="../ctrlProps/ctrlProp170.xml"/><Relationship Id="rId10" Type="http://schemas.openxmlformats.org/officeDocument/2006/relationships/ctrlProp" Target="../ctrlProps/ctrlProp53.xml"/><Relationship Id="rId31" Type="http://schemas.openxmlformats.org/officeDocument/2006/relationships/ctrlProp" Target="../ctrlProps/ctrlProp74.xml"/><Relationship Id="rId52" Type="http://schemas.openxmlformats.org/officeDocument/2006/relationships/ctrlProp" Target="../ctrlProps/ctrlProp95.xml"/><Relationship Id="rId73" Type="http://schemas.openxmlformats.org/officeDocument/2006/relationships/ctrlProp" Target="../ctrlProps/ctrlProp116.xml"/><Relationship Id="rId78" Type="http://schemas.openxmlformats.org/officeDocument/2006/relationships/ctrlProp" Target="../ctrlProps/ctrlProp121.xml"/><Relationship Id="rId94" Type="http://schemas.openxmlformats.org/officeDocument/2006/relationships/ctrlProp" Target="../ctrlProps/ctrlProp137.xml"/><Relationship Id="rId99" Type="http://schemas.openxmlformats.org/officeDocument/2006/relationships/ctrlProp" Target="../ctrlProps/ctrlProp142.xml"/><Relationship Id="rId101" Type="http://schemas.openxmlformats.org/officeDocument/2006/relationships/ctrlProp" Target="../ctrlProps/ctrlProp144.xml"/><Relationship Id="rId122" Type="http://schemas.openxmlformats.org/officeDocument/2006/relationships/ctrlProp" Target="../ctrlProps/ctrlProp165.xml"/><Relationship Id="rId143" Type="http://schemas.openxmlformats.org/officeDocument/2006/relationships/ctrlProp" Target="../ctrlProps/ctrlProp186.xml"/><Relationship Id="rId148" Type="http://schemas.openxmlformats.org/officeDocument/2006/relationships/ctrlProp" Target="../ctrlProps/ctrlProp191.xml"/><Relationship Id="rId164" Type="http://schemas.openxmlformats.org/officeDocument/2006/relationships/ctrlProp" Target="../ctrlProps/ctrlProp207.xml"/><Relationship Id="rId4" Type="http://schemas.openxmlformats.org/officeDocument/2006/relationships/vmlDrawing" Target="../drawings/vmlDrawing39.vml"/><Relationship Id="rId9" Type="http://schemas.openxmlformats.org/officeDocument/2006/relationships/ctrlProp" Target="../ctrlProps/ctrlProp52.xml"/><Relationship Id="rId26" Type="http://schemas.openxmlformats.org/officeDocument/2006/relationships/ctrlProp" Target="../ctrlProps/ctrlProp69.xml"/><Relationship Id="rId47" Type="http://schemas.openxmlformats.org/officeDocument/2006/relationships/ctrlProp" Target="../ctrlProps/ctrlProp90.xml"/><Relationship Id="rId68" Type="http://schemas.openxmlformats.org/officeDocument/2006/relationships/ctrlProp" Target="../ctrlProps/ctrlProp111.xml"/><Relationship Id="rId89" Type="http://schemas.openxmlformats.org/officeDocument/2006/relationships/ctrlProp" Target="../ctrlProps/ctrlProp132.xml"/><Relationship Id="rId112" Type="http://schemas.openxmlformats.org/officeDocument/2006/relationships/ctrlProp" Target="../ctrlProps/ctrlProp155.xml"/><Relationship Id="rId133" Type="http://schemas.openxmlformats.org/officeDocument/2006/relationships/ctrlProp" Target="../ctrlProps/ctrlProp176.xml"/><Relationship Id="rId154" Type="http://schemas.openxmlformats.org/officeDocument/2006/relationships/ctrlProp" Target="../ctrlProps/ctrlProp197.xml"/><Relationship Id="rId16" Type="http://schemas.openxmlformats.org/officeDocument/2006/relationships/ctrlProp" Target="../ctrlProps/ctrlProp59.xml"/><Relationship Id="rId37" Type="http://schemas.openxmlformats.org/officeDocument/2006/relationships/ctrlProp" Target="../ctrlProps/ctrlProp80.xml"/><Relationship Id="rId58" Type="http://schemas.openxmlformats.org/officeDocument/2006/relationships/ctrlProp" Target="../ctrlProps/ctrlProp101.xml"/><Relationship Id="rId79" Type="http://schemas.openxmlformats.org/officeDocument/2006/relationships/ctrlProp" Target="../ctrlProps/ctrlProp122.xml"/><Relationship Id="rId102" Type="http://schemas.openxmlformats.org/officeDocument/2006/relationships/ctrlProp" Target="../ctrlProps/ctrlProp145.xml"/><Relationship Id="rId123" Type="http://schemas.openxmlformats.org/officeDocument/2006/relationships/ctrlProp" Target="../ctrlProps/ctrlProp166.xml"/><Relationship Id="rId144" Type="http://schemas.openxmlformats.org/officeDocument/2006/relationships/ctrlProp" Target="../ctrlProps/ctrlProp187.xml"/><Relationship Id="rId90" Type="http://schemas.openxmlformats.org/officeDocument/2006/relationships/ctrlProp" Target="../ctrlProps/ctrlProp133.xml"/><Relationship Id="rId165" Type="http://schemas.openxmlformats.org/officeDocument/2006/relationships/ctrlProp" Target="../ctrlProps/ctrlProp208.xml"/><Relationship Id="rId27" Type="http://schemas.openxmlformats.org/officeDocument/2006/relationships/ctrlProp" Target="../ctrlProps/ctrlProp70.xml"/><Relationship Id="rId48" Type="http://schemas.openxmlformats.org/officeDocument/2006/relationships/ctrlProp" Target="../ctrlProps/ctrlProp91.xml"/><Relationship Id="rId69" Type="http://schemas.openxmlformats.org/officeDocument/2006/relationships/ctrlProp" Target="../ctrlProps/ctrlProp112.xml"/><Relationship Id="rId113" Type="http://schemas.openxmlformats.org/officeDocument/2006/relationships/ctrlProp" Target="../ctrlProps/ctrlProp156.xml"/><Relationship Id="rId134" Type="http://schemas.openxmlformats.org/officeDocument/2006/relationships/ctrlProp" Target="../ctrlProps/ctrlProp177.xml"/><Relationship Id="rId80" Type="http://schemas.openxmlformats.org/officeDocument/2006/relationships/ctrlProp" Target="../ctrlProps/ctrlProp123.xml"/><Relationship Id="rId155" Type="http://schemas.openxmlformats.org/officeDocument/2006/relationships/ctrlProp" Target="../ctrlProps/ctrlProp198.xml"/></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219.xml"/><Relationship Id="rId18" Type="http://schemas.openxmlformats.org/officeDocument/2006/relationships/ctrlProp" Target="../ctrlProps/ctrlProp224.xml"/><Relationship Id="rId26" Type="http://schemas.openxmlformats.org/officeDocument/2006/relationships/ctrlProp" Target="../ctrlProps/ctrlProp232.xml"/><Relationship Id="rId39" Type="http://schemas.openxmlformats.org/officeDocument/2006/relationships/ctrlProp" Target="../ctrlProps/ctrlProp245.xml"/><Relationship Id="rId21" Type="http://schemas.openxmlformats.org/officeDocument/2006/relationships/ctrlProp" Target="../ctrlProps/ctrlProp227.xml"/><Relationship Id="rId34" Type="http://schemas.openxmlformats.org/officeDocument/2006/relationships/ctrlProp" Target="../ctrlProps/ctrlProp240.xml"/><Relationship Id="rId42" Type="http://schemas.openxmlformats.org/officeDocument/2006/relationships/ctrlProp" Target="../ctrlProps/ctrlProp248.xml"/><Relationship Id="rId7" Type="http://schemas.openxmlformats.org/officeDocument/2006/relationships/ctrlProp" Target="../ctrlProps/ctrlProp213.xml"/><Relationship Id="rId2" Type="http://schemas.openxmlformats.org/officeDocument/2006/relationships/customProperty" Target="../customProperty24.bin"/><Relationship Id="rId16" Type="http://schemas.openxmlformats.org/officeDocument/2006/relationships/ctrlProp" Target="../ctrlProps/ctrlProp222.xml"/><Relationship Id="rId20" Type="http://schemas.openxmlformats.org/officeDocument/2006/relationships/ctrlProp" Target="../ctrlProps/ctrlProp226.xml"/><Relationship Id="rId29" Type="http://schemas.openxmlformats.org/officeDocument/2006/relationships/ctrlProp" Target="../ctrlProps/ctrlProp235.xml"/><Relationship Id="rId41" Type="http://schemas.openxmlformats.org/officeDocument/2006/relationships/ctrlProp" Target="../ctrlProps/ctrlProp247.xml"/><Relationship Id="rId1" Type="http://schemas.openxmlformats.org/officeDocument/2006/relationships/printerSettings" Target="../printerSettings/printerSettings24.bin"/><Relationship Id="rId6" Type="http://schemas.openxmlformats.org/officeDocument/2006/relationships/ctrlProp" Target="../ctrlProps/ctrlProp212.xml"/><Relationship Id="rId11" Type="http://schemas.openxmlformats.org/officeDocument/2006/relationships/ctrlProp" Target="../ctrlProps/ctrlProp217.xml"/><Relationship Id="rId24" Type="http://schemas.openxmlformats.org/officeDocument/2006/relationships/ctrlProp" Target="../ctrlProps/ctrlProp230.xml"/><Relationship Id="rId32" Type="http://schemas.openxmlformats.org/officeDocument/2006/relationships/ctrlProp" Target="../ctrlProps/ctrlProp238.xml"/><Relationship Id="rId37" Type="http://schemas.openxmlformats.org/officeDocument/2006/relationships/ctrlProp" Target="../ctrlProps/ctrlProp243.xml"/><Relationship Id="rId40" Type="http://schemas.openxmlformats.org/officeDocument/2006/relationships/ctrlProp" Target="../ctrlProps/ctrlProp246.xml"/><Relationship Id="rId5" Type="http://schemas.openxmlformats.org/officeDocument/2006/relationships/vmlDrawing" Target="../drawings/vmlDrawing42.vml"/><Relationship Id="rId15" Type="http://schemas.openxmlformats.org/officeDocument/2006/relationships/ctrlProp" Target="../ctrlProps/ctrlProp221.xml"/><Relationship Id="rId23" Type="http://schemas.openxmlformats.org/officeDocument/2006/relationships/ctrlProp" Target="../ctrlProps/ctrlProp229.xml"/><Relationship Id="rId28" Type="http://schemas.openxmlformats.org/officeDocument/2006/relationships/ctrlProp" Target="../ctrlProps/ctrlProp234.xml"/><Relationship Id="rId36" Type="http://schemas.openxmlformats.org/officeDocument/2006/relationships/ctrlProp" Target="../ctrlProps/ctrlProp242.xml"/><Relationship Id="rId10" Type="http://schemas.openxmlformats.org/officeDocument/2006/relationships/ctrlProp" Target="../ctrlProps/ctrlProp216.xml"/><Relationship Id="rId19" Type="http://schemas.openxmlformats.org/officeDocument/2006/relationships/ctrlProp" Target="../ctrlProps/ctrlProp225.xml"/><Relationship Id="rId31" Type="http://schemas.openxmlformats.org/officeDocument/2006/relationships/ctrlProp" Target="../ctrlProps/ctrlProp237.xml"/><Relationship Id="rId4" Type="http://schemas.openxmlformats.org/officeDocument/2006/relationships/vmlDrawing" Target="../drawings/vmlDrawing41.vml"/><Relationship Id="rId9" Type="http://schemas.openxmlformats.org/officeDocument/2006/relationships/ctrlProp" Target="../ctrlProps/ctrlProp215.xml"/><Relationship Id="rId14" Type="http://schemas.openxmlformats.org/officeDocument/2006/relationships/ctrlProp" Target="../ctrlProps/ctrlProp220.xml"/><Relationship Id="rId22" Type="http://schemas.openxmlformats.org/officeDocument/2006/relationships/ctrlProp" Target="../ctrlProps/ctrlProp228.xml"/><Relationship Id="rId27" Type="http://schemas.openxmlformats.org/officeDocument/2006/relationships/ctrlProp" Target="../ctrlProps/ctrlProp233.xml"/><Relationship Id="rId30" Type="http://schemas.openxmlformats.org/officeDocument/2006/relationships/ctrlProp" Target="../ctrlProps/ctrlProp236.xml"/><Relationship Id="rId35" Type="http://schemas.openxmlformats.org/officeDocument/2006/relationships/ctrlProp" Target="../ctrlProps/ctrlProp241.xml"/><Relationship Id="rId8" Type="http://schemas.openxmlformats.org/officeDocument/2006/relationships/ctrlProp" Target="../ctrlProps/ctrlProp214.xml"/><Relationship Id="rId3" Type="http://schemas.openxmlformats.org/officeDocument/2006/relationships/drawing" Target="../drawings/drawing18.xml"/><Relationship Id="rId12" Type="http://schemas.openxmlformats.org/officeDocument/2006/relationships/ctrlProp" Target="../ctrlProps/ctrlProp218.xml"/><Relationship Id="rId17" Type="http://schemas.openxmlformats.org/officeDocument/2006/relationships/ctrlProp" Target="../ctrlProps/ctrlProp223.xml"/><Relationship Id="rId25" Type="http://schemas.openxmlformats.org/officeDocument/2006/relationships/ctrlProp" Target="../ctrlProps/ctrlProp231.xml"/><Relationship Id="rId33" Type="http://schemas.openxmlformats.org/officeDocument/2006/relationships/ctrlProp" Target="../ctrlProps/ctrlProp239.xml"/><Relationship Id="rId38" Type="http://schemas.openxmlformats.org/officeDocument/2006/relationships/ctrlProp" Target="../ctrlProps/ctrlProp244.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25.bin"/><Relationship Id="rId1" Type="http://schemas.openxmlformats.org/officeDocument/2006/relationships/printerSettings" Target="../printerSettings/printerSettings25.bin"/><Relationship Id="rId6" Type="http://schemas.openxmlformats.org/officeDocument/2006/relationships/ctrlProp" Target="../ctrlProps/ctrlProp249.xml"/><Relationship Id="rId5" Type="http://schemas.openxmlformats.org/officeDocument/2006/relationships/vmlDrawing" Target="../drawings/vmlDrawing44.vml"/><Relationship Id="rId4" Type="http://schemas.openxmlformats.org/officeDocument/2006/relationships/vmlDrawing" Target="../drawings/vmlDrawing43.v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6.bin"/><Relationship Id="rId1" Type="http://schemas.openxmlformats.org/officeDocument/2006/relationships/printerSettings" Target="../printerSettings/printerSettings26.bin"/><Relationship Id="rId6" Type="http://schemas.openxmlformats.org/officeDocument/2006/relationships/ctrlProp" Target="../ctrlProps/ctrlProp250.xml"/><Relationship Id="rId5" Type="http://schemas.openxmlformats.org/officeDocument/2006/relationships/vmlDrawing" Target="../drawings/vmlDrawing46.vml"/><Relationship Id="rId4" Type="http://schemas.openxmlformats.org/officeDocument/2006/relationships/vmlDrawing" Target="../drawings/vmlDrawing45.vml"/></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omments" Target="../comments1.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vmlDrawing" Target="../drawings/vmlDrawing5.v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vmlDrawing" Target="../drawings/vmlDrawing7.vml"/><Relationship Id="rId4"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6" Type="http://schemas.openxmlformats.org/officeDocument/2006/relationships/ctrlProp" Target="../ctrlProps/ctrlProp4.xml"/><Relationship Id="rId5" Type="http://schemas.openxmlformats.org/officeDocument/2006/relationships/vmlDrawing" Target="../drawings/vmlDrawing9.vml"/><Relationship Id="rId4" Type="http://schemas.openxmlformats.org/officeDocument/2006/relationships/vmlDrawing" Target="../drawings/vmlDrawing8.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7" Type="http://schemas.openxmlformats.org/officeDocument/2006/relationships/comments" Target="../comments2.xml"/><Relationship Id="rId2" Type="http://schemas.openxmlformats.org/officeDocument/2006/relationships/customProperty" Target="../customProperty6.bin"/><Relationship Id="rId1" Type="http://schemas.openxmlformats.org/officeDocument/2006/relationships/printerSettings" Target="../printerSettings/printerSettings6.bin"/><Relationship Id="rId6" Type="http://schemas.openxmlformats.org/officeDocument/2006/relationships/ctrlProp" Target="../ctrlProps/ctrlProp5.xml"/><Relationship Id="rId5" Type="http://schemas.openxmlformats.org/officeDocument/2006/relationships/vmlDrawing" Target="../drawings/vmlDrawing11.vml"/><Relationship Id="rId4" Type="http://schemas.openxmlformats.org/officeDocument/2006/relationships/vmlDrawing" Target="../drawings/vmlDrawing10.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7" Type="http://schemas.openxmlformats.org/officeDocument/2006/relationships/comments" Target="../comments3.xml"/><Relationship Id="rId2" Type="http://schemas.openxmlformats.org/officeDocument/2006/relationships/customProperty" Target="../customProperty7.bin"/><Relationship Id="rId1" Type="http://schemas.openxmlformats.org/officeDocument/2006/relationships/printerSettings" Target="../printerSettings/printerSettings7.bin"/><Relationship Id="rId6" Type="http://schemas.openxmlformats.org/officeDocument/2006/relationships/ctrlProp" Target="../ctrlProps/ctrlProp6.xml"/><Relationship Id="rId5" Type="http://schemas.openxmlformats.org/officeDocument/2006/relationships/vmlDrawing" Target="../drawings/vmlDrawing13.vml"/><Relationship Id="rId4" Type="http://schemas.openxmlformats.org/officeDocument/2006/relationships/vmlDrawing" Target="../drawings/vmlDrawing12.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comments" Target="../comments4.xml"/><Relationship Id="rId2" Type="http://schemas.openxmlformats.org/officeDocument/2006/relationships/customProperty" Target="../customProperty8.bin"/><Relationship Id="rId1" Type="http://schemas.openxmlformats.org/officeDocument/2006/relationships/printerSettings" Target="../printerSettings/printerSettings8.bin"/><Relationship Id="rId6" Type="http://schemas.openxmlformats.org/officeDocument/2006/relationships/ctrlProp" Target="../ctrlProps/ctrlProp7.xml"/><Relationship Id="rId5" Type="http://schemas.openxmlformats.org/officeDocument/2006/relationships/vmlDrawing" Target="../drawings/vmlDrawing15.vml"/><Relationship Id="rId4" Type="http://schemas.openxmlformats.org/officeDocument/2006/relationships/vmlDrawing" Target="../drawings/vmlDrawing14.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9.bin"/><Relationship Id="rId1" Type="http://schemas.openxmlformats.org/officeDocument/2006/relationships/printerSettings" Target="../printerSettings/printerSettings9.bin"/><Relationship Id="rId6" Type="http://schemas.openxmlformats.org/officeDocument/2006/relationships/ctrlProp" Target="../ctrlProps/ctrlProp8.xml"/><Relationship Id="rId5" Type="http://schemas.openxmlformats.org/officeDocument/2006/relationships/vmlDrawing" Target="../drawings/vmlDrawing17.vml"/><Relationship Id="rId4" Type="http://schemas.openxmlformats.org/officeDocument/2006/relationships/vmlDrawing" Target="../drawings/vmlDrawing1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5" tint="0.59999389629810485"/>
    <outlinePr summaryBelow="0" summaryRight="0"/>
    <pageSetUpPr fitToPage="1"/>
  </sheetPr>
  <dimension ref="A1:L2534"/>
  <sheetViews>
    <sheetView showGridLines="0" zoomScale="55" zoomScaleNormal="55" workbookViewId="0">
      <pane xSplit="3" ySplit="13" topLeftCell="D1272" activePane="bottomRight" state="frozen"/>
      <selection pane="topRight" activeCell="J44" sqref="J44"/>
      <selection pane="bottomLeft" activeCell="J44" sqref="J44"/>
      <selection pane="bottomRight" activeCell="D1288" sqref="D1288"/>
    </sheetView>
  </sheetViews>
  <sheetFormatPr baseColWidth="10" defaultColWidth="10" defaultRowHeight="17.25" customHeight="1" x14ac:dyDescent="0.2"/>
  <cols>
    <col min="1" max="1" width="21" style="152" customWidth="1"/>
    <col min="2" max="2" width="4.8984375" style="327" customWidth="1"/>
    <col min="3" max="3" width="38.59765625" style="326" customWidth="1"/>
    <col min="4" max="4" width="38.59765625" style="327" customWidth="1"/>
    <col min="5" max="7" width="50.3984375" style="147" customWidth="1"/>
    <col min="8" max="8" width="24.69921875" style="147" bestFit="1" customWidth="1"/>
    <col min="9" max="9" width="38" style="147" customWidth="1"/>
    <col min="10" max="10" width="18" style="147" bestFit="1" customWidth="1"/>
    <col min="11" max="12" width="27.69921875" style="147" bestFit="1" customWidth="1"/>
    <col min="13" max="16384" width="10" style="147"/>
  </cols>
  <sheetData>
    <row r="1" spans="1:12" s="136" customFormat="1" ht="17.25" customHeight="1" x14ac:dyDescent="0.25">
      <c r="A1" s="135"/>
      <c r="B1" s="302"/>
      <c r="C1" s="303"/>
      <c r="D1" s="304" t="s">
        <v>0</v>
      </c>
    </row>
    <row r="2" spans="1:12" s="136" customFormat="1" ht="17.25" customHeight="1" x14ac:dyDescent="0.25">
      <c r="A2" s="137"/>
      <c r="B2" s="488">
        <v>2</v>
      </c>
      <c r="C2" s="305" t="s">
        <v>1</v>
      </c>
      <c r="D2" s="306" t="s">
        <v>2</v>
      </c>
      <c r="F2" s="138"/>
    </row>
    <row r="3" spans="1:12" s="136" customFormat="1" ht="17.25" customHeight="1" x14ac:dyDescent="0.25">
      <c r="A3" s="135"/>
      <c r="B3" s="302"/>
      <c r="C3" s="303"/>
      <c r="D3" s="302"/>
      <c r="E3" s="139"/>
      <c r="F3" s="172" t="s">
        <v>3</v>
      </c>
      <c r="G3" s="173" t="s">
        <v>4</v>
      </c>
      <c r="H3" s="550" t="s">
        <v>5</v>
      </c>
      <c r="I3" s="173" t="s">
        <v>6</v>
      </c>
      <c r="J3" s="173" t="s">
        <v>7</v>
      </c>
      <c r="K3" s="654" t="s">
        <v>8</v>
      </c>
      <c r="L3" s="654" t="s">
        <v>9</v>
      </c>
    </row>
    <row r="4" spans="1:12" s="136" customFormat="1" ht="17.25" customHeight="1" x14ac:dyDescent="0.25">
      <c r="A4" s="135"/>
      <c r="B4" s="307"/>
      <c r="C4" s="308" t="s">
        <v>10</v>
      </c>
      <c r="D4" s="309" t="s">
        <v>11</v>
      </c>
      <c r="E4" s="139"/>
      <c r="F4" s="168" t="str">
        <f>HLOOKUP(LANGUAGE!$B$2,LANGUAGE!$C$14:$G$1500,125)</f>
        <v>green</v>
      </c>
      <c r="G4" s="230" t="str">
        <f>HLOOKUP(LANGUAGE!$B$2,LANGUAGE!$C$14:$G$1500,128)</f>
        <v>in progress</v>
      </c>
      <c r="H4" s="203" t="str">
        <f>HLOOKUP(LANGUAGE!$B$2,LANGUAGE!$C$14:$G$1500,1008)</f>
        <v>Brose</v>
      </c>
      <c r="I4" s="551" t="str">
        <f>HLOOKUP(LANGUAGE!$B$2,LANGUAGE!$C$14:$G$1500,1033)</f>
        <v>Yes</v>
      </c>
      <c r="J4" s="552" t="str">
        <f>HLOOKUP(LANGUAGE!$B$2,LANGUAGE!$C$14:$G$2995,2500)</f>
        <v>Ø Diameter</v>
      </c>
      <c r="K4" s="655" t="str">
        <f>HLOOKUP(LANGUAGE!$B$2,LANGUAGE!$C$14:$G$2995,274)</f>
        <v>Project Purchasing</v>
      </c>
      <c r="L4" s="653" t="str">
        <f>HLOOKUP(LANGUAGE!$B$2,LANGUAGE!$C$14:$G$2995,1098)</f>
        <v>MPR Injection Molding</v>
      </c>
    </row>
    <row r="5" spans="1:12" s="136" customFormat="1" ht="17.25" customHeight="1" x14ac:dyDescent="0.25">
      <c r="A5" s="135"/>
      <c r="B5" s="310"/>
      <c r="C5" s="311"/>
      <c r="D5" s="312" t="s">
        <v>12</v>
      </c>
      <c r="E5" s="140" t="s">
        <v>13</v>
      </c>
      <c r="F5" s="169" t="str">
        <f>HLOOKUP(LANGUAGE!$B$2,LANGUAGE!$C$14:$G$1500,126)</f>
        <v>yellow</v>
      </c>
      <c r="G5" s="168" t="str">
        <f>HLOOKUP(LANGUAGE!$B$2,LANGUAGE!$C$14:$G$1500,129)</f>
        <v>completed</v>
      </c>
      <c r="H5" s="203" t="str">
        <f>HLOOKUP(LANGUAGE!$B$2,LANGUAGE!$C$14:$G$1500,1002)</f>
        <v xml:space="preserve">Self-assessment </v>
      </c>
      <c r="I5" s="171" t="str">
        <f>HLOOKUP(LANGUAGE!$B$2,LANGUAGE!$C$14:$G$1500,1034)</f>
        <v>No</v>
      </c>
      <c r="J5" s="549" t="str">
        <f>HLOOKUP(LANGUAGE!$B$2,LANGUAGE!$C$14:$G$2995,2501)</f>
        <v>R Radius</v>
      </c>
      <c r="K5" s="653" t="str">
        <f>HLOOKUP(LANGUAGE!$B$2,LANGUAGE!$C$14:$G$2995,275)</f>
        <v>Commodity Purchasing</v>
      </c>
      <c r="L5" s="653" t="str">
        <f>HLOOKUP(LANGUAGE!$B$2,LANGUAGE!$C$14:$G$2995,1099)</f>
        <v>MPR Welding Assemblies</v>
      </c>
    </row>
    <row r="6" spans="1:12" s="136" customFormat="1" ht="17.25" customHeight="1" x14ac:dyDescent="0.25">
      <c r="A6" s="135"/>
      <c r="B6" s="310"/>
      <c r="C6" s="313" t="s">
        <v>14</v>
      </c>
      <c r="D6" s="312" t="s">
        <v>15</v>
      </c>
      <c r="E6" s="139"/>
      <c r="F6" s="170" t="str">
        <f>HLOOKUP(LANGUAGE!$B$2,LANGUAGE!$C$14:$G$1500,127)</f>
        <v>red</v>
      </c>
      <c r="G6" s="178" t="str">
        <f>HLOOKUP(LANGUAGE!$B$2,LANGUAGE!$C$14:$G$1500,130)</f>
        <v>open</v>
      </c>
      <c r="J6" s="549" t="str">
        <f>HLOOKUP(LANGUAGE!$B$2,LANGUAGE!$C$14:$G$2995,2502)</f>
        <v>Length</v>
      </c>
      <c r="K6" s="653" t="str">
        <f>HLOOKUP(LANGUAGE!$B$2,LANGUAGE!$C$14:$G$2995,276)</f>
        <v>Design</v>
      </c>
      <c r="L6" s="653" t="str">
        <f>HLOOKUP(LANGUAGE!$B$2,LANGUAGE!$C$14:$G$2995,1100)</f>
        <v>MPR Die-Casting</v>
      </c>
    </row>
    <row r="7" spans="1:12" s="136" customFormat="1" ht="17.25" customHeight="1" x14ac:dyDescent="0.25">
      <c r="A7" s="135"/>
      <c r="B7" s="310"/>
      <c r="C7" s="313"/>
      <c r="D7" s="312" t="s">
        <v>16</v>
      </c>
      <c r="E7" s="139"/>
      <c r="F7" s="172" t="str">
        <f>HLOOKUP(LANGUAGE!$B$2,LANGUAGE!$C$14:$G$1500,124)</f>
        <v>N/A</v>
      </c>
      <c r="J7" s="549" t="str">
        <f>HLOOKUP(LANGUAGE!$B$2,LANGUAGE!$C$14:$G$2995,2503)</f>
        <v>— Straightness</v>
      </c>
      <c r="K7" s="653" t="str">
        <f>HLOOKUP(LANGUAGE!$B$2,LANGUAGE!$C$14:$G$2995,277)</f>
        <v>Development</v>
      </c>
      <c r="L7" s="653" t="str">
        <f>HLOOKUP(LANGUAGE!$B$2,LANGUAGE!$C$14:$G$2995,1101)</f>
        <v>MPR Motor Assemblies</v>
      </c>
    </row>
    <row r="8" spans="1:12" s="136" customFormat="1" ht="17.25" customHeight="1" x14ac:dyDescent="0.25">
      <c r="A8" s="135"/>
      <c r="B8" s="310"/>
      <c r="C8" s="313"/>
      <c r="D8" s="312"/>
      <c r="E8" s="139"/>
      <c r="F8" s="139"/>
      <c r="J8" s="549" t="str">
        <f>HLOOKUP(LANGUAGE!$B$2,LANGUAGE!$C$14:$G$2995,2504)</f>
        <v>▱ Flatness</v>
      </c>
      <c r="K8" s="653" t="str">
        <f>HLOOKUP(LANGUAGE!$B$2,LANGUAGE!$C$14:$G$2995,243)</f>
        <v>Project management</v>
      </c>
      <c r="L8" s="653" t="str">
        <f>HLOOKUP(LANGUAGE!$B$2,LANGUAGE!$C$14:$G$2995,1102)</f>
        <v>MPR Stamping/Deep-draw.</v>
      </c>
    </row>
    <row r="9" spans="1:12" s="136" customFormat="1" ht="17.25" customHeight="1" x14ac:dyDescent="0.25">
      <c r="A9" s="135"/>
      <c r="B9" s="310"/>
      <c r="C9" s="303"/>
      <c r="D9" s="312"/>
      <c r="E9" s="139"/>
      <c r="F9" s="139"/>
      <c r="J9" s="549" t="str">
        <f>HLOOKUP(LANGUAGE!$B$2,LANGUAGE!$C$14:$G$2995,2505)</f>
        <v>○ Circularity</v>
      </c>
      <c r="K9" s="653" t="str">
        <f>HLOOKUP(LANGUAGE!$B$2,LANGUAGE!$C$14:$G$2995,244)</f>
        <v>Quality</v>
      </c>
      <c r="L9" s="653" t="str">
        <f>HLOOKUP(LANGUAGE!$B$2,LANGUAGE!$C$14:$G$2995,1103)</f>
        <v>MPR Cold Extrusion</v>
      </c>
    </row>
    <row r="10" spans="1:12" s="136" customFormat="1" ht="17.25" customHeight="1" x14ac:dyDescent="0.25">
      <c r="A10" s="135"/>
      <c r="B10" s="314">
        <v>1</v>
      </c>
      <c r="C10" s="305" t="s">
        <v>17</v>
      </c>
      <c r="D10" s="312"/>
      <c r="E10" s="139"/>
      <c r="F10" s="139"/>
      <c r="J10" s="549" t="str">
        <f>HLOOKUP(LANGUAGE!$B$2,LANGUAGE!$C$14:$G$2995,2506)</f>
        <v>Cylindricity</v>
      </c>
      <c r="K10" s="653" t="str">
        <f>HLOOKUP(LANGUAGE!$B$2,LANGUAGE!$C$14:$G$2995,245)</f>
        <v>Sales</v>
      </c>
      <c r="L10" s="653" t="str">
        <f>HLOOKUP(LANGUAGE!$B$2,LANGUAGE!$C$14:$G$2995,1104)</f>
        <v>Not Applicable</v>
      </c>
    </row>
    <row r="11" spans="1:12" s="136" customFormat="1" ht="17.25" customHeight="1" x14ac:dyDescent="0.25">
      <c r="A11" s="135"/>
      <c r="B11" s="315"/>
      <c r="C11" s="316"/>
      <c r="D11" s="317"/>
      <c r="J11" s="549" t="str">
        <f>HLOOKUP(LANGUAGE!$B$2,LANGUAGE!$C$14:$G$2995,2507)</f>
        <v>⌒ Profile of a line</v>
      </c>
      <c r="K11" s="653" t="str">
        <f>HLOOKUP(LANGUAGE!$B$2,LANGUAGE!$C$14:$G$2995,246)</f>
        <v>Process-/tool technologist</v>
      </c>
      <c r="L11" s="653"/>
    </row>
    <row r="12" spans="1:12" s="136" customFormat="1" ht="17.25" customHeight="1" x14ac:dyDescent="0.25">
      <c r="A12" s="141"/>
      <c r="B12" s="318"/>
      <c r="C12" s="319"/>
      <c r="D12" s="318"/>
      <c r="E12" s="142"/>
      <c r="F12" s="142"/>
      <c r="G12" s="142"/>
      <c r="J12" s="549" t="str">
        <f>HLOOKUP(LANGUAGE!$B$2,LANGUAGE!$C$14:$G$2995,2508)</f>
        <v xml:space="preserve">⌓ Profile of a surface </v>
      </c>
      <c r="K12" s="653" t="str">
        <f>HLOOKUP(LANGUAGE!$B$2,LANGUAGE!$C$14:$G$2995,256)</f>
        <v>Logistics Planner</v>
      </c>
      <c r="L12" s="653"/>
    </row>
    <row r="13" spans="1:12" s="145" customFormat="1" ht="17.25" customHeight="1" x14ac:dyDescent="0.25">
      <c r="A13" s="143" t="s">
        <v>18</v>
      </c>
      <c r="B13" s="320">
        <v>0</v>
      </c>
      <c r="C13" s="320" t="s">
        <v>11</v>
      </c>
      <c r="D13" s="320" t="s">
        <v>12</v>
      </c>
      <c r="E13" s="144" t="s">
        <v>19</v>
      </c>
      <c r="F13" s="144" t="s">
        <v>20</v>
      </c>
      <c r="G13" s="144" t="s">
        <v>21</v>
      </c>
      <c r="J13" s="549" t="str">
        <f>HLOOKUP(LANGUAGE!$B$2,LANGUAGE!$C$14:$G$2995,2509)</f>
        <v>// Parallelism</v>
      </c>
      <c r="K13" s="136"/>
    </row>
    <row r="14" spans="1:12" s="146" customFormat="1" ht="17.25" customHeight="1" thickBot="1" x14ac:dyDescent="0.3">
      <c r="A14" s="163"/>
      <c r="B14" s="321">
        <f>ROW()-13</f>
        <v>1</v>
      </c>
      <c r="C14" s="164">
        <v>1</v>
      </c>
      <c r="D14" s="164">
        <v>2</v>
      </c>
      <c r="E14" s="165">
        <v>3</v>
      </c>
      <c r="F14" s="165">
        <v>4</v>
      </c>
      <c r="G14" s="165">
        <v>5</v>
      </c>
      <c r="J14" s="549" t="str">
        <f>HLOOKUP(LANGUAGE!$B$2,LANGUAGE!$C$14:$G$2995,2510)</f>
        <v>⟂ Perpendicularity</v>
      </c>
    </row>
    <row r="15" spans="1:12" s="146" customFormat="1" ht="17.25" customHeight="1" x14ac:dyDescent="0.25">
      <c r="A15" s="162" t="s">
        <v>22</v>
      </c>
      <c r="B15" s="337">
        <v>2</v>
      </c>
      <c r="C15" s="323" t="s">
        <v>23</v>
      </c>
      <c r="D15" s="323" t="s">
        <v>24</v>
      </c>
      <c r="E15" s="151"/>
      <c r="F15" s="179"/>
      <c r="G15" s="179"/>
      <c r="J15" s="549" t="str">
        <f>HLOOKUP(LANGUAGE!$B$2,LANGUAGE!$C$14:$G$2995,2511)</f>
        <v>∠ Angularity</v>
      </c>
    </row>
    <row r="16" spans="1:12" s="146" customFormat="1" ht="17.25" customHeight="1" x14ac:dyDescent="0.25">
      <c r="A16" s="162" t="s">
        <v>22</v>
      </c>
      <c r="B16" s="337">
        <v>3</v>
      </c>
      <c r="C16" s="694" t="s">
        <v>25</v>
      </c>
      <c r="D16" s="695" t="s">
        <v>26</v>
      </c>
      <c r="E16" s="151"/>
      <c r="F16" s="179"/>
      <c r="G16" s="179"/>
      <c r="J16" s="549" t="str">
        <f>HLOOKUP(LANGUAGE!$B$2,LANGUAGE!$C$14:$G$2995,2512)</f>
        <v>⌖ Position</v>
      </c>
    </row>
    <row r="17" spans="1:10" s="146" customFormat="1" ht="17.25" customHeight="1" x14ac:dyDescent="0.25">
      <c r="A17" s="162" t="s">
        <v>22</v>
      </c>
      <c r="B17" s="337">
        <v>4</v>
      </c>
      <c r="C17" s="694" t="s">
        <v>27</v>
      </c>
      <c r="D17" s="695" t="s">
        <v>28</v>
      </c>
      <c r="E17" s="151"/>
      <c r="F17" s="179"/>
      <c r="G17" s="179"/>
      <c r="J17" s="549" t="str">
        <f>HLOOKUP(LANGUAGE!$B$2,LANGUAGE!$C$14:$G$2995,2513)</f>
        <v>◎ Concentricity</v>
      </c>
    </row>
    <row r="18" spans="1:10" s="146" customFormat="1" ht="36" customHeight="1" x14ac:dyDescent="0.25">
      <c r="A18" s="162" t="s">
        <v>22</v>
      </c>
      <c r="B18" s="337">
        <v>5</v>
      </c>
      <c r="C18" s="694" t="s">
        <v>29</v>
      </c>
      <c r="D18" s="695" t="s">
        <v>30</v>
      </c>
      <c r="E18" s="151"/>
      <c r="F18" s="179"/>
      <c r="G18" s="179"/>
      <c r="J18" s="549" t="str">
        <f>HLOOKUP(LANGUAGE!$B$2,LANGUAGE!$C$14:$G$2995,2514)</f>
        <v>Symmetry</v>
      </c>
    </row>
    <row r="19" spans="1:10" s="146" customFormat="1" ht="17.25" customHeight="1" x14ac:dyDescent="0.25">
      <c r="A19" s="162" t="s">
        <v>22</v>
      </c>
      <c r="B19" s="337">
        <v>6</v>
      </c>
      <c r="C19" s="694" t="s">
        <v>31</v>
      </c>
      <c r="D19" s="695" t="s">
        <v>32</v>
      </c>
      <c r="E19" s="151"/>
      <c r="F19" s="179"/>
      <c r="G19" s="179"/>
      <c r="J19" s="549" t="str">
        <f>HLOOKUP(LANGUAGE!$B$2,LANGUAGE!$C$14:$G$2995,2515)</f>
        <v>↗ Runout</v>
      </c>
    </row>
    <row r="20" spans="1:10" s="146" customFormat="1" ht="17.25" customHeight="1" x14ac:dyDescent="0.25">
      <c r="A20" s="162" t="s">
        <v>22</v>
      </c>
      <c r="B20" s="322">
        <v>7</v>
      </c>
      <c r="C20" s="694"/>
      <c r="D20" s="695"/>
      <c r="E20" s="151"/>
      <c r="F20" s="179"/>
      <c r="G20" s="179"/>
      <c r="J20" s="549" t="str">
        <f>HLOOKUP(LANGUAGE!$B$2,LANGUAGE!$C$14:$G$2995,2516)</f>
        <v>↗ Runout</v>
      </c>
    </row>
    <row r="21" spans="1:10" s="146" customFormat="1" ht="17.25" customHeight="1" x14ac:dyDescent="0.25">
      <c r="A21" s="162" t="s">
        <v>22</v>
      </c>
      <c r="B21" s="322">
        <v>8</v>
      </c>
      <c r="C21" s="694"/>
      <c r="D21" s="695"/>
      <c r="E21" s="151"/>
      <c r="F21" s="179"/>
      <c r="G21" s="179"/>
      <c r="J21" s="549" t="str">
        <f>HLOOKUP(LANGUAGE!$B$2,LANGUAGE!$C$14:$G$2995,2517)</f>
        <v xml:space="preserve">⌰ Total runout </v>
      </c>
    </row>
    <row r="22" spans="1:10" s="146" customFormat="1" ht="17.25" customHeight="1" x14ac:dyDescent="0.25">
      <c r="A22" s="162" t="s">
        <v>22</v>
      </c>
      <c r="B22" s="322">
        <v>9</v>
      </c>
      <c r="C22" s="694"/>
      <c r="D22" s="695"/>
      <c r="E22" s="151"/>
      <c r="F22" s="179"/>
      <c r="G22" s="179"/>
      <c r="J22" s="549"/>
    </row>
    <row r="23" spans="1:10" s="146" customFormat="1" ht="17.25" customHeight="1" x14ac:dyDescent="0.25">
      <c r="A23" s="162" t="s">
        <v>22</v>
      </c>
      <c r="B23" s="322">
        <v>10</v>
      </c>
      <c r="C23" s="694"/>
      <c r="D23" s="695"/>
      <c r="E23" s="151"/>
      <c r="F23" s="179"/>
      <c r="G23" s="179"/>
    </row>
    <row r="24" spans="1:10" s="146" customFormat="1" ht="17.25" customHeight="1" x14ac:dyDescent="0.25">
      <c r="A24" s="162" t="s">
        <v>22</v>
      </c>
      <c r="B24" s="322">
        <v>11</v>
      </c>
      <c r="C24" s="694"/>
      <c r="D24" s="695"/>
      <c r="E24" s="151"/>
      <c r="F24" s="179"/>
      <c r="G24" s="179"/>
    </row>
    <row r="25" spans="1:10" s="146" customFormat="1" ht="17.25" customHeight="1" x14ac:dyDescent="0.25">
      <c r="A25" s="162" t="s">
        <v>22</v>
      </c>
      <c r="B25" s="337">
        <v>12</v>
      </c>
      <c r="C25" s="696" t="s">
        <v>33</v>
      </c>
      <c r="D25" s="696" t="s">
        <v>34</v>
      </c>
      <c r="E25" s="697"/>
      <c r="F25" s="179"/>
      <c r="G25" s="179"/>
    </row>
    <row r="26" spans="1:10" s="146" customFormat="1" ht="17.25" customHeight="1" x14ac:dyDescent="0.25">
      <c r="A26" s="162" t="s">
        <v>22</v>
      </c>
      <c r="B26" s="337">
        <v>13</v>
      </c>
      <c r="C26" s="698" t="s">
        <v>35</v>
      </c>
      <c r="D26" s="698" t="s">
        <v>36</v>
      </c>
      <c r="E26" s="697"/>
      <c r="F26" s="179"/>
      <c r="G26" s="179"/>
    </row>
    <row r="27" spans="1:10" s="146" customFormat="1" ht="17.25" customHeight="1" x14ac:dyDescent="0.25">
      <c r="A27" s="162" t="s">
        <v>22</v>
      </c>
      <c r="B27" s="337">
        <v>14</v>
      </c>
      <c r="C27" s="698" t="s">
        <v>37</v>
      </c>
      <c r="D27" s="698" t="s">
        <v>38</v>
      </c>
      <c r="E27" s="697"/>
      <c r="F27" s="179"/>
      <c r="G27" s="179"/>
    </row>
    <row r="28" spans="1:10" s="146" customFormat="1" ht="17.25" customHeight="1" x14ac:dyDescent="0.25">
      <c r="A28" s="162" t="s">
        <v>22</v>
      </c>
      <c r="B28" s="322">
        <v>15</v>
      </c>
      <c r="C28" s="699"/>
      <c r="D28" s="700"/>
      <c r="E28" s="697"/>
      <c r="F28" s="179"/>
      <c r="G28" s="179"/>
    </row>
    <row r="29" spans="1:10" s="146" customFormat="1" ht="17.25" customHeight="1" x14ac:dyDescent="0.25">
      <c r="A29" s="162" t="s">
        <v>22</v>
      </c>
      <c r="B29" s="322">
        <v>16</v>
      </c>
      <c r="C29" s="699"/>
      <c r="D29" s="700"/>
      <c r="E29" s="697"/>
      <c r="F29" s="179"/>
      <c r="G29" s="179"/>
    </row>
    <row r="30" spans="1:10" s="146" customFormat="1" ht="17.25" customHeight="1" x14ac:dyDescent="0.25">
      <c r="A30" s="162" t="s">
        <v>22</v>
      </c>
      <c r="B30" s="322">
        <v>17</v>
      </c>
      <c r="C30" s="699"/>
      <c r="D30" s="700"/>
      <c r="E30" s="697"/>
      <c r="F30" s="179"/>
      <c r="G30" s="179"/>
    </row>
    <row r="31" spans="1:10" s="146" customFormat="1" ht="17.25" customHeight="1" x14ac:dyDescent="0.25">
      <c r="A31" s="162" t="s">
        <v>22</v>
      </c>
      <c r="B31" s="322">
        <v>18</v>
      </c>
      <c r="C31" s="699"/>
      <c r="D31" s="700"/>
      <c r="E31" s="697"/>
      <c r="F31" s="179"/>
      <c r="G31" s="179"/>
    </row>
    <row r="32" spans="1:10" s="146" customFormat="1" ht="17.25" customHeight="1" x14ac:dyDescent="0.25">
      <c r="A32" s="162" t="s">
        <v>22</v>
      </c>
      <c r="B32" s="322">
        <v>19</v>
      </c>
      <c r="C32" s="699"/>
      <c r="D32" s="700"/>
      <c r="E32" s="697"/>
      <c r="F32" s="179"/>
      <c r="G32" s="179"/>
    </row>
    <row r="33" spans="1:7" s="146" customFormat="1" ht="17.25" customHeight="1" x14ac:dyDescent="0.25">
      <c r="A33" s="162" t="s">
        <v>22</v>
      </c>
      <c r="B33" s="322">
        <v>20</v>
      </c>
      <c r="C33" s="694"/>
      <c r="D33" s="695"/>
      <c r="E33" s="697"/>
      <c r="F33" s="179"/>
      <c r="G33" s="179"/>
    </row>
    <row r="34" spans="1:7" s="146" customFormat="1" ht="17.25" customHeight="1" x14ac:dyDescent="0.25">
      <c r="A34" s="162" t="s">
        <v>22</v>
      </c>
      <c r="B34" s="337">
        <v>21</v>
      </c>
      <c r="C34" s="698" t="s">
        <v>39</v>
      </c>
      <c r="D34" s="698" t="s">
        <v>40</v>
      </c>
      <c r="E34" s="697"/>
      <c r="F34" s="179"/>
      <c r="G34" s="179"/>
    </row>
    <row r="35" spans="1:7" s="146" customFormat="1" ht="17.25" customHeight="1" x14ac:dyDescent="0.25">
      <c r="A35" s="162" t="s">
        <v>22</v>
      </c>
      <c r="B35" s="322">
        <v>22</v>
      </c>
      <c r="C35" s="698"/>
      <c r="D35" s="698"/>
      <c r="E35" s="697"/>
      <c r="F35" s="179"/>
      <c r="G35" s="179"/>
    </row>
    <row r="36" spans="1:7" s="146" customFormat="1" ht="17.25" customHeight="1" x14ac:dyDescent="0.25">
      <c r="A36" s="162" t="s">
        <v>22</v>
      </c>
      <c r="B36" s="322">
        <v>23</v>
      </c>
      <c r="C36" s="698"/>
      <c r="D36" s="698"/>
      <c r="E36" s="697"/>
      <c r="F36" s="179"/>
      <c r="G36" s="179"/>
    </row>
    <row r="37" spans="1:7" s="146" customFormat="1" ht="17.25" customHeight="1" x14ac:dyDescent="0.25">
      <c r="A37" s="162" t="s">
        <v>22</v>
      </c>
      <c r="B37" s="322">
        <v>24</v>
      </c>
      <c r="C37" s="698"/>
      <c r="D37" s="698"/>
      <c r="E37" s="697"/>
      <c r="F37" s="179"/>
      <c r="G37" s="179"/>
    </row>
    <row r="38" spans="1:7" s="146" customFormat="1" ht="17.25" customHeight="1" x14ac:dyDescent="0.25">
      <c r="A38" s="162" t="s">
        <v>22</v>
      </c>
      <c r="B38" s="322">
        <v>25</v>
      </c>
      <c r="C38" s="698"/>
      <c r="D38" s="698"/>
      <c r="E38" s="697"/>
      <c r="F38" s="179"/>
      <c r="G38" s="179"/>
    </row>
    <row r="39" spans="1:7" s="146" customFormat="1" ht="17.25" customHeight="1" x14ac:dyDescent="0.25">
      <c r="A39" s="162" t="s">
        <v>22</v>
      </c>
      <c r="B39" s="322">
        <v>26</v>
      </c>
      <c r="C39" s="698"/>
      <c r="D39" s="698"/>
      <c r="E39" s="697"/>
      <c r="F39" s="179"/>
      <c r="G39" s="179"/>
    </row>
    <row r="40" spans="1:7" s="146" customFormat="1" ht="17.25" customHeight="1" x14ac:dyDescent="0.25">
      <c r="A40" s="162" t="s">
        <v>22</v>
      </c>
      <c r="B40" s="337">
        <v>27</v>
      </c>
      <c r="C40" s="696" t="s">
        <v>41</v>
      </c>
      <c r="D40" s="696" t="s">
        <v>42</v>
      </c>
      <c r="E40" s="697"/>
      <c r="F40" s="179"/>
      <c r="G40" s="179"/>
    </row>
    <row r="41" spans="1:7" s="146" customFormat="1" ht="17.25" customHeight="1" x14ac:dyDescent="0.25">
      <c r="A41" s="162" t="s">
        <v>22</v>
      </c>
      <c r="B41" s="337">
        <v>28</v>
      </c>
      <c r="C41" s="698" t="s">
        <v>43</v>
      </c>
      <c r="D41" s="698" t="s">
        <v>44</v>
      </c>
      <c r="E41" s="697"/>
      <c r="F41" s="179"/>
      <c r="G41" s="179"/>
    </row>
    <row r="42" spans="1:7" s="146" customFormat="1" ht="17.25" customHeight="1" x14ac:dyDescent="0.25">
      <c r="A42" s="162" t="s">
        <v>22</v>
      </c>
      <c r="B42" s="337">
        <v>29</v>
      </c>
      <c r="C42" s="324" t="s">
        <v>45</v>
      </c>
      <c r="D42" s="324" t="s">
        <v>46</v>
      </c>
      <c r="E42" s="697"/>
      <c r="F42" s="179"/>
      <c r="G42" s="179"/>
    </row>
    <row r="43" spans="1:7" s="146" customFormat="1" ht="17.25" customHeight="1" x14ac:dyDescent="0.25">
      <c r="A43" s="162" t="s">
        <v>22</v>
      </c>
      <c r="B43" s="322">
        <v>30</v>
      </c>
      <c r="C43" s="701"/>
      <c r="D43" s="702"/>
      <c r="E43" s="697"/>
      <c r="F43" s="179"/>
      <c r="G43" s="179"/>
    </row>
    <row r="44" spans="1:7" s="146" customFormat="1" ht="17.25" customHeight="1" x14ac:dyDescent="0.25">
      <c r="A44" s="162" t="s">
        <v>22</v>
      </c>
      <c r="B44" s="322">
        <v>31</v>
      </c>
      <c r="C44" s="701"/>
      <c r="D44" s="702"/>
      <c r="E44" s="697"/>
      <c r="F44" s="179"/>
      <c r="G44" s="179"/>
    </row>
    <row r="45" spans="1:7" s="146" customFormat="1" ht="17.25" customHeight="1" x14ac:dyDescent="0.25">
      <c r="A45" s="162" t="s">
        <v>22</v>
      </c>
      <c r="B45" s="322">
        <v>32</v>
      </c>
      <c r="C45" s="701"/>
      <c r="D45" s="702"/>
      <c r="E45" s="697"/>
      <c r="F45" s="179"/>
      <c r="G45" s="179"/>
    </row>
    <row r="46" spans="1:7" s="146" customFormat="1" ht="17.25" customHeight="1" x14ac:dyDescent="0.25">
      <c r="A46" s="162" t="s">
        <v>22</v>
      </c>
      <c r="B46" s="322">
        <v>33</v>
      </c>
      <c r="C46" s="701"/>
      <c r="D46" s="702"/>
      <c r="E46" s="697"/>
      <c r="F46" s="179"/>
      <c r="G46" s="179"/>
    </row>
    <row r="47" spans="1:7" s="146" customFormat="1" ht="17.25" customHeight="1" x14ac:dyDescent="0.25">
      <c r="A47" s="162" t="s">
        <v>22</v>
      </c>
      <c r="B47" s="322">
        <v>34</v>
      </c>
      <c r="C47" s="701"/>
      <c r="D47" s="702"/>
      <c r="E47" s="697"/>
      <c r="F47" s="179"/>
      <c r="G47" s="179"/>
    </row>
    <row r="48" spans="1:7" s="146" customFormat="1" ht="17.25" customHeight="1" x14ac:dyDescent="0.25">
      <c r="A48" s="162" t="s">
        <v>22</v>
      </c>
      <c r="B48" s="322">
        <v>35</v>
      </c>
      <c r="C48" s="701"/>
      <c r="D48" s="702"/>
      <c r="E48" s="697"/>
      <c r="F48" s="179"/>
      <c r="G48" s="179"/>
    </row>
    <row r="49" spans="1:7" s="146" customFormat="1" ht="17.25" customHeight="1" x14ac:dyDescent="0.25">
      <c r="A49" s="162" t="s">
        <v>22</v>
      </c>
      <c r="B49" s="322">
        <v>36</v>
      </c>
      <c r="C49" s="701"/>
      <c r="D49" s="702"/>
      <c r="E49" s="697"/>
      <c r="F49" s="179"/>
      <c r="G49" s="179"/>
    </row>
    <row r="50" spans="1:7" s="146" customFormat="1" ht="17.25" customHeight="1" x14ac:dyDescent="0.25">
      <c r="A50" s="162" t="s">
        <v>22</v>
      </c>
      <c r="B50" s="322">
        <v>37</v>
      </c>
      <c r="C50" s="701"/>
      <c r="D50" s="702"/>
      <c r="E50" s="697"/>
      <c r="F50" s="179"/>
      <c r="G50" s="179"/>
    </row>
    <row r="51" spans="1:7" s="146" customFormat="1" ht="17.25" customHeight="1" x14ac:dyDescent="0.25">
      <c r="A51" s="162" t="s">
        <v>22</v>
      </c>
      <c r="B51" s="322">
        <v>38</v>
      </c>
      <c r="C51" s="701"/>
      <c r="D51" s="702"/>
      <c r="E51" s="697"/>
      <c r="F51" s="179"/>
      <c r="G51" s="179"/>
    </row>
    <row r="52" spans="1:7" s="146" customFormat="1" ht="17.25" customHeight="1" x14ac:dyDescent="0.25">
      <c r="A52" s="162" t="s">
        <v>22</v>
      </c>
      <c r="B52" s="322">
        <v>39</v>
      </c>
      <c r="C52" s="698"/>
      <c r="D52" s="698"/>
      <c r="E52" s="697"/>
      <c r="F52" s="179"/>
      <c r="G52" s="179"/>
    </row>
    <row r="53" spans="1:7" s="146" customFormat="1" ht="17.25" customHeight="1" x14ac:dyDescent="0.25">
      <c r="A53" s="162" t="s">
        <v>22</v>
      </c>
      <c r="B53" s="337">
        <v>40</v>
      </c>
      <c r="C53" s="696" t="s">
        <v>47</v>
      </c>
      <c r="D53" s="696" t="s">
        <v>48</v>
      </c>
      <c r="E53" s="697"/>
      <c r="F53" s="179"/>
      <c r="G53" s="179"/>
    </row>
    <row r="54" spans="1:7" s="146" customFormat="1" ht="17.25" customHeight="1" x14ac:dyDescent="0.25">
      <c r="A54" s="162" t="s">
        <v>22</v>
      </c>
      <c r="B54" s="337">
        <v>41</v>
      </c>
      <c r="C54" s="698" t="s">
        <v>49</v>
      </c>
      <c r="D54" s="698" t="s">
        <v>50</v>
      </c>
      <c r="E54" s="697"/>
      <c r="F54" s="179"/>
      <c r="G54" s="179"/>
    </row>
    <row r="55" spans="1:7" s="146" customFormat="1" ht="17.25" customHeight="1" x14ac:dyDescent="0.25">
      <c r="A55" s="162" t="s">
        <v>22</v>
      </c>
      <c r="B55" s="337">
        <v>42</v>
      </c>
      <c r="C55" s="698" t="s">
        <v>51</v>
      </c>
      <c r="D55" s="698" t="s">
        <v>51</v>
      </c>
      <c r="E55" s="697"/>
      <c r="F55" s="179"/>
      <c r="G55" s="179"/>
    </row>
    <row r="56" spans="1:7" s="146" customFormat="1" ht="17.25" customHeight="1" x14ac:dyDescent="0.25">
      <c r="A56" s="162" t="s">
        <v>22</v>
      </c>
      <c r="B56" s="337">
        <v>43</v>
      </c>
      <c r="C56" s="698" t="s">
        <v>52</v>
      </c>
      <c r="D56" s="698" t="s">
        <v>53</v>
      </c>
      <c r="E56" s="697"/>
      <c r="F56" s="179"/>
      <c r="G56" s="179"/>
    </row>
    <row r="57" spans="1:7" s="146" customFormat="1" ht="17.25" customHeight="1" x14ac:dyDescent="0.25">
      <c r="A57" s="162" t="s">
        <v>22</v>
      </c>
      <c r="B57" s="322">
        <v>44</v>
      </c>
      <c r="C57" s="698"/>
      <c r="D57" s="698"/>
      <c r="E57" s="697"/>
      <c r="F57" s="179"/>
      <c r="G57" s="179"/>
    </row>
    <row r="58" spans="1:7" s="146" customFormat="1" ht="17.25" customHeight="1" x14ac:dyDescent="0.25">
      <c r="A58" s="162" t="s">
        <v>22</v>
      </c>
      <c r="B58" s="322">
        <v>45</v>
      </c>
      <c r="C58" s="694"/>
      <c r="D58" s="695"/>
      <c r="E58" s="697"/>
      <c r="F58" s="179"/>
      <c r="G58" s="179"/>
    </row>
    <row r="59" spans="1:7" s="146" customFormat="1" ht="17.25" customHeight="1" x14ac:dyDescent="0.25">
      <c r="A59" s="162" t="s">
        <v>22</v>
      </c>
      <c r="B59" s="322">
        <v>46</v>
      </c>
      <c r="C59" s="694"/>
      <c r="D59" s="695"/>
      <c r="E59" s="697"/>
      <c r="F59" s="179"/>
      <c r="G59" s="179"/>
    </row>
    <row r="60" spans="1:7" s="146" customFormat="1" ht="17.25" customHeight="1" x14ac:dyDescent="0.25">
      <c r="A60" s="162" t="s">
        <v>22</v>
      </c>
      <c r="B60" s="322">
        <v>47</v>
      </c>
      <c r="C60" s="694"/>
      <c r="D60" s="695"/>
      <c r="E60" s="697"/>
      <c r="F60" s="179"/>
      <c r="G60" s="179"/>
    </row>
    <row r="61" spans="1:7" s="146" customFormat="1" ht="17.25" customHeight="1" x14ac:dyDescent="0.25">
      <c r="A61" s="162" t="s">
        <v>22</v>
      </c>
      <c r="B61" s="322">
        <v>48</v>
      </c>
      <c r="C61" s="694"/>
      <c r="D61" s="695"/>
      <c r="E61" s="697"/>
      <c r="F61" s="179"/>
      <c r="G61" s="179"/>
    </row>
    <row r="62" spans="1:7" s="146" customFormat="1" ht="17.25" customHeight="1" x14ac:dyDescent="0.25">
      <c r="A62" s="162" t="s">
        <v>22</v>
      </c>
      <c r="B62" s="322">
        <v>49</v>
      </c>
      <c r="C62" s="694"/>
      <c r="D62" s="695"/>
      <c r="E62" s="697"/>
      <c r="F62" s="179"/>
      <c r="G62" s="179"/>
    </row>
    <row r="63" spans="1:7" s="146" customFormat="1" ht="17.25" customHeight="1" x14ac:dyDescent="0.25">
      <c r="A63" s="162" t="s">
        <v>22</v>
      </c>
      <c r="B63" s="322">
        <v>50</v>
      </c>
      <c r="C63" s="694"/>
      <c r="D63" s="695"/>
      <c r="E63" s="697"/>
      <c r="F63" s="179"/>
      <c r="G63" s="179"/>
    </row>
    <row r="64" spans="1:7" s="146" customFormat="1" ht="17.25" customHeight="1" x14ac:dyDescent="0.25">
      <c r="A64" s="162" t="s">
        <v>22</v>
      </c>
      <c r="B64" s="322">
        <v>51</v>
      </c>
      <c r="C64" s="694"/>
      <c r="D64" s="695"/>
      <c r="E64" s="697"/>
      <c r="F64" s="179"/>
      <c r="G64" s="179"/>
    </row>
    <row r="65" spans="1:7" s="146" customFormat="1" ht="17.25" customHeight="1" x14ac:dyDescent="0.25">
      <c r="A65" s="162" t="s">
        <v>22</v>
      </c>
      <c r="B65" s="322">
        <v>52</v>
      </c>
      <c r="C65" s="694"/>
      <c r="D65" s="695"/>
      <c r="E65" s="697"/>
      <c r="F65" s="179"/>
      <c r="G65" s="179"/>
    </row>
    <row r="66" spans="1:7" s="146" customFormat="1" ht="17.25" customHeight="1" x14ac:dyDescent="0.25">
      <c r="A66" s="162" t="s">
        <v>22</v>
      </c>
      <c r="B66" s="322">
        <v>53</v>
      </c>
      <c r="C66" s="694"/>
      <c r="D66" s="695"/>
      <c r="E66" s="697"/>
      <c r="F66" s="179"/>
      <c r="G66" s="179"/>
    </row>
    <row r="67" spans="1:7" s="146" customFormat="1" ht="17.25" customHeight="1" x14ac:dyDescent="0.25">
      <c r="A67" s="162" t="s">
        <v>22</v>
      </c>
      <c r="B67" s="337">
        <v>54</v>
      </c>
      <c r="C67" s="703" t="s">
        <v>54</v>
      </c>
      <c r="D67" s="704" t="s">
        <v>55</v>
      </c>
      <c r="E67" s="697"/>
      <c r="F67" s="179"/>
      <c r="G67" s="179"/>
    </row>
    <row r="68" spans="1:7" s="146" customFormat="1" ht="17.25" customHeight="1" x14ac:dyDescent="0.25">
      <c r="A68" s="162" t="s">
        <v>22</v>
      </c>
      <c r="B68" s="337">
        <v>55</v>
      </c>
      <c r="C68" s="701" t="s">
        <v>56</v>
      </c>
      <c r="D68" s="702" t="s">
        <v>57</v>
      </c>
      <c r="E68" s="697"/>
      <c r="F68" s="179"/>
      <c r="G68" s="179"/>
    </row>
    <row r="69" spans="1:7" s="146" customFormat="1" ht="17.25" customHeight="1" x14ac:dyDescent="0.25">
      <c r="A69" s="162" t="s">
        <v>22</v>
      </c>
      <c r="B69" s="337">
        <v>56</v>
      </c>
      <c r="C69" s="701" t="s">
        <v>58</v>
      </c>
      <c r="D69" s="702" t="s">
        <v>59</v>
      </c>
      <c r="E69" s="697"/>
      <c r="F69" s="179"/>
      <c r="G69" s="179"/>
    </row>
    <row r="70" spans="1:7" s="146" customFormat="1" ht="17.25" customHeight="1" x14ac:dyDescent="0.25">
      <c r="A70" s="162" t="s">
        <v>22</v>
      </c>
      <c r="B70" s="337">
        <v>57</v>
      </c>
      <c r="C70" s="701" t="s">
        <v>60</v>
      </c>
      <c r="D70" s="702" t="s">
        <v>61</v>
      </c>
      <c r="E70" s="697"/>
      <c r="F70" s="179"/>
      <c r="G70" s="179"/>
    </row>
    <row r="71" spans="1:7" s="146" customFormat="1" ht="17.25" customHeight="1" x14ac:dyDescent="0.25">
      <c r="A71" s="162" t="s">
        <v>22</v>
      </c>
      <c r="B71" s="337">
        <v>58</v>
      </c>
      <c r="C71" s="701" t="s">
        <v>62</v>
      </c>
      <c r="D71" s="702" t="s">
        <v>63</v>
      </c>
      <c r="E71" s="697"/>
      <c r="F71" s="179"/>
      <c r="G71" s="179"/>
    </row>
    <row r="72" spans="1:7" s="146" customFormat="1" ht="17.25" customHeight="1" x14ac:dyDescent="0.25">
      <c r="A72" s="162" t="s">
        <v>22</v>
      </c>
      <c r="B72" s="337">
        <v>59</v>
      </c>
      <c r="C72" s="701" t="s">
        <v>64</v>
      </c>
      <c r="D72" s="702" t="s">
        <v>65</v>
      </c>
      <c r="E72" s="697"/>
      <c r="F72" s="179"/>
      <c r="G72" s="179"/>
    </row>
    <row r="73" spans="1:7" s="146" customFormat="1" ht="17.25" customHeight="1" x14ac:dyDescent="0.25">
      <c r="A73" s="162" t="s">
        <v>22</v>
      </c>
      <c r="B73" s="337">
        <v>60</v>
      </c>
      <c r="C73" s="701" t="s">
        <v>66</v>
      </c>
      <c r="D73" s="702" t="s">
        <v>67</v>
      </c>
      <c r="E73" s="697"/>
      <c r="F73" s="179"/>
      <c r="G73" s="179"/>
    </row>
    <row r="74" spans="1:7" s="146" customFormat="1" ht="17.25" customHeight="1" x14ac:dyDescent="0.25">
      <c r="A74" s="162" t="s">
        <v>22</v>
      </c>
      <c r="B74" s="337">
        <v>61</v>
      </c>
      <c r="C74" s="705" t="s">
        <v>68</v>
      </c>
      <c r="D74" s="705" t="s">
        <v>69</v>
      </c>
      <c r="E74" s="697"/>
      <c r="F74" s="179"/>
      <c r="G74" s="179"/>
    </row>
    <row r="75" spans="1:7" s="146" customFormat="1" ht="17.25" customHeight="1" x14ac:dyDescent="0.25">
      <c r="A75" s="162" t="s">
        <v>22</v>
      </c>
      <c r="B75" s="337">
        <v>62</v>
      </c>
      <c r="C75" s="706" t="s">
        <v>70</v>
      </c>
      <c r="D75" s="707" t="s">
        <v>71</v>
      </c>
      <c r="E75" s="697"/>
      <c r="F75" s="179"/>
      <c r="G75" s="179"/>
    </row>
    <row r="76" spans="1:7" s="146" customFormat="1" ht="17.25" customHeight="1" x14ac:dyDescent="0.25">
      <c r="A76" s="162" t="s">
        <v>22</v>
      </c>
      <c r="B76" s="322">
        <v>63</v>
      </c>
      <c r="C76" s="698"/>
      <c r="D76" s="698"/>
      <c r="E76" s="697"/>
      <c r="F76" s="179"/>
      <c r="G76" s="179"/>
    </row>
    <row r="77" spans="1:7" s="146" customFormat="1" ht="17.25" customHeight="1" x14ac:dyDescent="0.25">
      <c r="A77" s="162" t="s">
        <v>22</v>
      </c>
      <c r="B77" s="322">
        <v>64</v>
      </c>
      <c r="C77" s="698"/>
      <c r="D77" s="698"/>
      <c r="E77" s="697"/>
      <c r="F77" s="179"/>
      <c r="G77" s="179"/>
    </row>
    <row r="78" spans="1:7" s="146" customFormat="1" ht="17.25" customHeight="1" x14ac:dyDescent="0.25">
      <c r="A78" s="162" t="s">
        <v>22</v>
      </c>
      <c r="B78" s="322">
        <v>65</v>
      </c>
      <c r="C78" s="698"/>
      <c r="D78" s="698"/>
      <c r="E78" s="697"/>
      <c r="F78" s="179"/>
      <c r="G78" s="179"/>
    </row>
    <row r="79" spans="1:7" s="146" customFormat="1" ht="17.25" customHeight="1" x14ac:dyDescent="0.25">
      <c r="A79" s="162" t="s">
        <v>22</v>
      </c>
      <c r="B79" s="322">
        <v>66</v>
      </c>
      <c r="C79" s="698"/>
      <c r="D79" s="698"/>
      <c r="E79" s="697"/>
      <c r="F79" s="179"/>
      <c r="G79" s="179"/>
    </row>
    <row r="80" spans="1:7" s="146" customFormat="1" ht="17.25" customHeight="1" x14ac:dyDescent="0.25">
      <c r="A80" s="162" t="s">
        <v>22</v>
      </c>
      <c r="B80" s="337">
        <v>67</v>
      </c>
      <c r="C80" s="698" t="s">
        <v>72</v>
      </c>
      <c r="D80" s="698" t="s">
        <v>73</v>
      </c>
      <c r="E80" s="697"/>
      <c r="F80" s="300"/>
      <c r="G80" s="179"/>
    </row>
    <row r="81" spans="1:7" s="146" customFormat="1" ht="17.25" customHeight="1" x14ac:dyDescent="0.25">
      <c r="A81" s="162" t="s">
        <v>22</v>
      </c>
      <c r="B81" s="322">
        <v>68</v>
      </c>
      <c r="C81" s="698"/>
      <c r="D81" s="698"/>
      <c r="E81" s="697"/>
      <c r="F81" s="179"/>
      <c r="G81" s="179"/>
    </row>
    <row r="82" spans="1:7" s="146" customFormat="1" ht="17.25" customHeight="1" x14ac:dyDescent="0.25">
      <c r="A82" s="162" t="s">
        <v>22</v>
      </c>
      <c r="B82" s="322">
        <v>69</v>
      </c>
      <c r="C82" s="698"/>
      <c r="D82" s="698"/>
      <c r="E82" s="697"/>
      <c r="F82" s="179"/>
      <c r="G82" s="179"/>
    </row>
    <row r="83" spans="1:7" s="146" customFormat="1" ht="17.25" customHeight="1" x14ac:dyDescent="0.25">
      <c r="A83" s="162" t="s">
        <v>22</v>
      </c>
      <c r="B83" s="322">
        <v>70</v>
      </c>
      <c r="C83" s="698"/>
      <c r="D83" s="698"/>
      <c r="E83" s="697"/>
      <c r="F83" s="179"/>
      <c r="G83" s="179"/>
    </row>
    <row r="84" spans="1:7" s="146" customFormat="1" ht="17.25" customHeight="1" x14ac:dyDescent="0.25">
      <c r="A84" s="162" t="s">
        <v>22</v>
      </c>
      <c r="B84" s="322">
        <v>71</v>
      </c>
      <c r="C84" s="698"/>
      <c r="D84" s="698"/>
      <c r="E84" s="697"/>
      <c r="F84" s="179"/>
      <c r="G84" s="179"/>
    </row>
    <row r="85" spans="1:7" s="146" customFormat="1" ht="17.25" customHeight="1" x14ac:dyDescent="0.25">
      <c r="A85" s="162" t="s">
        <v>22</v>
      </c>
      <c r="B85" s="322">
        <v>72</v>
      </c>
      <c r="C85" s="698"/>
      <c r="D85" s="698"/>
      <c r="E85" s="697"/>
      <c r="F85" s="179"/>
      <c r="G85" s="179"/>
    </row>
    <row r="86" spans="1:7" s="146" customFormat="1" ht="17.25" customHeight="1" x14ac:dyDescent="0.25">
      <c r="A86" s="162" t="s">
        <v>22</v>
      </c>
      <c r="B86" s="337">
        <v>73</v>
      </c>
      <c r="C86" s="696" t="s">
        <v>74</v>
      </c>
      <c r="D86" s="696" t="s">
        <v>75</v>
      </c>
      <c r="E86" s="697"/>
      <c r="F86" s="179"/>
      <c r="G86" s="179"/>
    </row>
    <row r="87" spans="1:7" s="146" customFormat="1" ht="17.25" customHeight="1" x14ac:dyDescent="0.25">
      <c r="A87" s="162" t="s">
        <v>22</v>
      </c>
      <c r="B87" s="337">
        <v>74</v>
      </c>
      <c r="C87" s="698" t="s">
        <v>76</v>
      </c>
      <c r="D87" s="698" t="s">
        <v>77</v>
      </c>
      <c r="E87" s="697"/>
      <c r="F87" s="179"/>
      <c r="G87" s="179"/>
    </row>
    <row r="88" spans="1:7" s="146" customFormat="1" ht="17.25" customHeight="1" x14ac:dyDescent="0.25">
      <c r="A88" s="162" t="s">
        <v>22</v>
      </c>
      <c r="B88" s="337">
        <v>75</v>
      </c>
      <c r="C88" s="698" t="s">
        <v>78</v>
      </c>
      <c r="D88" s="698" t="s">
        <v>79</v>
      </c>
      <c r="E88" s="697"/>
      <c r="F88" s="179"/>
      <c r="G88" s="179"/>
    </row>
    <row r="89" spans="1:7" s="146" customFormat="1" ht="17.25" customHeight="1" x14ac:dyDescent="0.25">
      <c r="A89" s="162" t="s">
        <v>22</v>
      </c>
      <c r="B89" s="337">
        <v>76</v>
      </c>
      <c r="C89" s="698" t="s">
        <v>80</v>
      </c>
      <c r="D89" s="698" t="s">
        <v>81</v>
      </c>
      <c r="E89" s="697"/>
      <c r="F89" s="179"/>
      <c r="G89" s="179"/>
    </row>
    <row r="90" spans="1:7" s="146" customFormat="1" ht="17.25" customHeight="1" x14ac:dyDescent="0.25">
      <c r="A90" s="162" t="s">
        <v>22</v>
      </c>
      <c r="B90" s="337">
        <v>77</v>
      </c>
      <c r="C90" s="698" t="s">
        <v>82</v>
      </c>
      <c r="D90" s="698" t="s">
        <v>83</v>
      </c>
      <c r="E90" s="697"/>
      <c r="F90" s="179"/>
      <c r="G90" s="179"/>
    </row>
    <row r="91" spans="1:7" s="146" customFormat="1" ht="17.25" customHeight="1" x14ac:dyDescent="0.25">
      <c r="A91" s="162" t="s">
        <v>22</v>
      </c>
      <c r="B91" s="337">
        <v>78</v>
      </c>
      <c r="C91" s="698" t="s">
        <v>84</v>
      </c>
      <c r="D91" s="698" t="s">
        <v>85</v>
      </c>
      <c r="E91" s="697"/>
      <c r="F91" s="179"/>
      <c r="G91" s="179"/>
    </row>
    <row r="92" spans="1:7" s="146" customFormat="1" ht="17.25" customHeight="1" x14ac:dyDescent="0.25">
      <c r="A92" s="162" t="s">
        <v>22</v>
      </c>
      <c r="B92" s="337">
        <v>79</v>
      </c>
      <c r="C92" s="698" t="s">
        <v>86</v>
      </c>
      <c r="D92" s="698" t="s">
        <v>87</v>
      </c>
      <c r="E92" s="697"/>
      <c r="F92" s="179"/>
      <c r="G92" s="179"/>
    </row>
    <row r="93" spans="1:7" s="146" customFormat="1" ht="17.25" customHeight="1" x14ac:dyDescent="0.25">
      <c r="A93" s="162" t="s">
        <v>22</v>
      </c>
      <c r="B93" s="337">
        <v>80</v>
      </c>
      <c r="C93" s="698" t="s">
        <v>88</v>
      </c>
      <c r="D93" s="698" t="s">
        <v>89</v>
      </c>
      <c r="E93" s="697"/>
      <c r="F93" s="179"/>
      <c r="G93" s="179"/>
    </row>
    <row r="94" spans="1:7" s="146" customFormat="1" ht="17.25" customHeight="1" x14ac:dyDescent="0.25">
      <c r="A94" s="162" t="s">
        <v>22</v>
      </c>
      <c r="B94" s="322">
        <v>81</v>
      </c>
      <c r="C94" s="694"/>
      <c r="D94" s="695"/>
      <c r="E94" s="697"/>
      <c r="F94" s="179"/>
      <c r="G94" s="179"/>
    </row>
    <row r="95" spans="1:7" s="146" customFormat="1" ht="17.25" customHeight="1" x14ac:dyDescent="0.25">
      <c r="A95" s="162" t="s">
        <v>22</v>
      </c>
      <c r="B95" s="322">
        <v>82</v>
      </c>
      <c r="C95" s="694"/>
      <c r="D95" s="695"/>
      <c r="E95" s="697"/>
      <c r="F95" s="179"/>
      <c r="G95" s="179"/>
    </row>
    <row r="96" spans="1:7" s="146" customFormat="1" ht="17.25" customHeight="1" x14ac:dyDescent="0.25">
      <c r="A96" s="162" t="s">
        <v>22</v>
      </c>
      <c r="B96" s="322">
        <v>83</v>
      </c>
      <c r="C96" s="694"/>
      <c r="D96" s="695"/>
      <c r="E96" s="697"/>
      <c r="F96" s="179"/>
      <c r="G96" s="179"/>
    </row>
    <row r="97" spans="1:7" s="146" customFormat="1" ht="17.25" customHeight="1" x14ac:dyDescent="0.25">
      <c r="A97" s="162" t="s">
        <v>22</v>
      </c>
      <c r="B97" s="322">
        <v>84</v>
      </c>
      <c r="C97" s="694"/>
      <c r="D97" s="695"/>
      <c r="E97" s="697"/>
      <c r="F97" s="179"/>
      <c r="G97" s="179"/>
    </row>
    <row r="98" spans="1:7" s="146" customFormat="1" ht="17.25" customHeight="1" x14ac:dyDescent="0.25">
      <c r="A98" s="162" t="s">
        <v>22</v>
      </c>
      <c r="B98" s="322">
        <v>85</v>
      </c>
      <c r="C98" s="694"/>
      <c r="D98" s="695"/>
      <c r="E98" s="697"/>
      <c r="F98" s="179"/>
      <c r="G98" s="179"/>
    </row>
    <row r="99" spans="1:7" s="146" customFormat="1" ht="17.25" customHeight="1" x14ac:dyDescent="0.25">
      <c r="A99" s="162" t="s">
        <v>22</v>
      </c>
      <c r="B99" s="322">
        <v>86</v>
      </c>
      <c r="C99" s="694"/>
      <c r="D99" s="695"/>
      <c r="E99" s="697"/>
      <c r="F99" s="179"/>
      <c r="G99" s="179"/>
    </row>
    <row r="100" spans="1:7" s="146" customFormat="1" ht="17.25" customHeight="1" x14ac:dyDescent="0.25">
      <c r="A100" s="162" t="s">
        <v>22</v>
      </c>
      <c r="B100" s="322">
        <v>87</v>
      </c>
      <c r="C100" s="694"/>
      <c r="D100" s="695"/>
      <c r="E100" s="697"/>
      <c r="F100" s="179"/>
      <c r="G100" s="179"/>
    </row>
    <row r="101" spans="1:7" s="146" customFormat="1" ht="17.25" customHeight="1" x14ac:dyDescent="0.25">
      <c r="A101" s="162" t="s">
        <v>22</v>
      </c>
      <c r="B101" s="322">
        <v>88</v>
      </c>
      <c r="C101" s="694"/>
      <c r="D101" s="695"/>
      <c r="E101" s="697"/>
      <c r="F101" s="179"/>
      <c r="G101" s="179"/>
    </row>
    <row r="102" spans="1:7" s="146" customFormat="1" ht="17.25" customHeight="1" x14ac:dyDescent="0.25">
      <c r="A102" s="162" t="s">
        <v>22</v>
      </c>
      <c r="B102" s="322">
        <v>89</v>
      </c>
      <c r="C102" s="694"/>
      <c r="D102" s="695"/>
      <c r="E102" s="697"/>
      <c r="F102" s="179"/>
      <c r="G102" s="179"/>
    </row>
    <row r="103" spans="1:7" s="146" customFormat="1" ht="17.25" customHeight="1" x14ac:dyDescent="0.25">
      <c r="A103" s="162" t="s">
        <v>22</v>
      </c>
      <c r="B103" s="322">
        <v>90</v>
      </c>
      <c r="C103" s="701"/>
      <c r="D103" s="702"/>
      <c r="E103" s="697"/>
      <c r="F103" s="179"/>
      <c r="G103" s="179"/>
    </row>
    <row r="104" spans="1:7" s="146" customFormat="1" ht="17.25" customHeight="1" x14ac:dyDescent="0.25">
      <c r="A104" s="162" t="s">
        <v>22</v>
      </c>
      <c r="B104" s="337">
        <v>91</v>
      </c>
      <c r="C104" s="701" t="s">
        <v>90</v>
      </c>
      <c r="D104" s="702" t="s">
        <v>91</v>
      </c>
      <c r="E104" s="697"/>
      <c r="F104" s="179"/>
      <c r="G104" s="179"/>
    </row>
    <row r="105" spans="1:7" s="146" customFormat="1" ht="17.25" customHeight="1" x14ac:dyDescent="0.25">
      <c r="A105" s="162" t="s">
        <v>22</v>
      </c>
      <c r="B105" s="337">
        <v>92</v>
      </c>
      <c r="C105" s="701" t="s">
        <v>92</v>
      </c>
      <c r="D105" s="702" t="s">
        <v>93</v>
      </c>
      <c r="E105" s="697"/>
      <c r="F105" s="179"/>
      <c r="G105" s="179"/>
    </row>
    <row r="106" spans="1:7" s="146" customFormat="1" ht="17.25" customHeight="1" x14ac:dyDescent="0.25">
      <c r="A106" s="162" t="s">
        <v>22</v>
      </c>
      <c r="B106" s="337">
        <v>93</v>
      </c>
      <c r="C106" s="701" t="s">
        <v>94</v>
      </c>
      <c r="D106" s="702" t="s">
        <v>95</v>
      </c>
      <c r="E106" s="697"/>
      <c r="F106" s="179"/>
      <c r="G106" s="179"/>
    </row>
    <row r="107" spans="1:7" s="146" customFormat="1" ht="17.25" customHeight="1" x14ac:dyDescent="0.25">
      <c r="A107" s="162" t="s">
        <v>22</v>
      </c>
      <c r="B107" s="322">
        <v>94</v>
      </c>
      <c r="C107" s="701"/>
      <c r="D107" s="702"/>
      <c r="E107" s="697"/>
      <c r="F107" s="179"/>
      <c r="G107" s="179"/>
    </row>
    <row r="108" spans="1:7" s="146" customFormat="1" ht="17.25" customHeight="1" x14ac:dyDescent="0.25">
      <c r="A108" s="162" t="s">
        <v>22</v>
      </c>
      <c r="B108" s="337">
        <v>95</v>
      </c>
      <c r="C108" s="701" t="s">
        <v>96</v>
      </c>
      <c r="D108" s="702" t="s">
        <v>97</v>
      </c>
      <c r="E108" s="697"/>
      <c r="F108" s="179"/>
      <c r="G108" s="179"/>
    </row>
    <row r="109" spans="1:7" s="146" customFormat="1" ht="17.25" customHeight="1" x14ac:dyDescent="0.25">
      <c r="A109" s="162" t="s">
        <v>22</v>
      </c>
      <c r="B109" s="337">
        <v>96</v>
      </c>
      <c r="C109" s="701" t="s">
        <v>98</v>
      </c>
      <c r="D109" s="702" t="s">
        <v>99</v>
      </c>
      <c r="E109" s="697"/>
      <c r="F109" s="179"/>
      <c r="G109" s="179"/>
    </row>
    <row r="110" spans="1:7" s="146" customFormat="1" ht="17.25" customHeight="1" x14ac:dyDescent="0.25">
      <c r="A110" s="162" t="s">
        <v>22</v>
      </c>
      <c r="B110" s="322">
        <v>97</v>
      </c>
      <c r="C110" s="701"/>
      <c r="D110" s="702"/>
      <c r="E110" s="697"/>
      <c r="F110" s="179"/>
      <c r="G110" s="179"/>
    </row>
    <row r="111" spans="1:7" s="146" customFormat="1" ht="17.25" customHeight="1" x14ac:dyDescent="0.25">
      <c r="A111" s="162" t="s">
        <v>22</v>
      </c>
      <c r="B111" s="322">
        <v>98</v>
      </c>
      <c r="C111" s="701"/>
      <c r="D111" s="702"/>
      <c r="E111" s="697"/>
      <c r="F111" s="179"/>
      <c r="G111" s="179"/>
    </row>
    <row r="112" spans="1:7" s="146" customFormat="1" ht="17.25" customHeight="1" x14ac:dyDescent="0.25">
      <c r="A112" s="162" t="s">
        <v>22</v>
      </c>
      <c r="B112" s="322">
        <v>99</v>
      </c>
      <c r="C112" s="701"/>
      <c r="D112" s="702"/>
      <c r="E112" s="697"/>
      <c r="F112" s="179"/>
      <c r="G112" s="179"/>
    </row>
    <row r="113" spans="1:7" s="146" customFormat="1" ht="17.25" customHeight="1" x14ac:dyDescent="0.25">
      <c r="A113" s="162" t="s">
        <v>22</v>
      </c>
      <c r="B113" s="322">
        <v>100</v>
      </c>
      <c r="C113" s="701"/>
      <c r="D113" s="702"/>
      <c r="E113" s="697"/>
      <c r="F113" s="179"/>
      <c r="G113" s="179"/>
    </row>
    <row r="114" spans="1:7" s="146" customFormat="1" ht="17.25" customHeight="1" x14ac:dyDescent="0.25">
      <c r="A114" s="162" t="s">
        <v>22</v>
      </c>
      <c r="B114" s="322">
        <v>101</v>
      </c>
      <c r="C114" s="701"/>
      <c r="D114" s="702"/>
      <c r="E114" s="697"/>
      <c r="F114" s="179"/>
      <c r="G114" s="179"/>
    </row>
    <row r="115" spans="1:7" s="146" customFormat="1" ht="17.25" customHeight="1" x14ac:dyDescent="0.25">
      <c r="A115" s="162" t="s">
        <v>22</v>
      </c>
      <c r="B115" s="337">
        <v>102</v>
      </c>
      <c r="C115" s="701" t="s">
        <v>100</v>
      </c>
      <c r="D115" s="702" t="s">
        <v>101</v>
      </c>
      <c r="E115" s="697"/>
      <c r="F115" s="179"/>
      <c r="G115" s="179"/>
    </row>
    <row r="116" spans="1:7" s="146" customFormat="1" ht="17.25" customHeight="1" x14ac:dyDescent="0.25">
      <c r="A116" s="162" t="s">
        <v>22</v>
      </c>
      <c r="B116" s="322">
        <v>103</v>
      </c>
      <c r="C116" s="701"/>
      <c r="D116" s="702"/>
      <c r="E116" s="697"/>
      <c r="F116" s="179"/>
      <c r="G116" s="179"/>
    </row>
    <row r="117" spans="1:7" s="146" customFormat="1" ht="17.25" customHeight="1" x14ac:dyDescent="0.25">
      <c r="A117" s="162" t="s">
        <v>22</v>
      </c>
      <c r="B117" s="322">
        <v>104</v>
      </c>
      <c r="C117" s="701"/>
      <c r="D117" s="702"/>
      <c r="E117" s="697"/>
      <c r="F117" s="179"/>
      <c r="G117" s="179"/>
    </row>
    <row r="118" spans="1:7" s="146" customFormat="1" ht="17.25" customHeight="1" x14ac:dyDescent="0.25">
      <c r="A118" s="162" t="s">
        <v>22</v>
      </c>
      <c r="B118" s="322">
        <v>105</v>
      </c>
      <c r="C118" s="701"/>
      <c r="D118" s="702"/>
      <c r="E118" s="697"/>
      <c r="F118" s="179"/>
      <c r="G118" s="179"/>
    </row>
    <row r="119" spans="1:7" s="146" customFormat="1" ht="17.25" customHeight="1" x14ac:dyDescent="0.25">
      <c r="A119" s="162" t="s">
        <v>22</v>
      </c>
      <c r="B119" s="322">
        <v>106</v>
      </c>
      <c r="C119" s="701"/>
      <c r="D119" s="702"/>
      <c r="E119" s="697"/>
      <c r="F119" s="179"/>
      <c r="G119" s="179"/>
    </row>
    <row r="120" spans="1:7" s="146" customFormat="1" ht="17.25" customHeight="1" x14ac:dyDescent="0.25">
      <c r="A120" s="162" t="s">
        <v>22</v>
      </c>
      <c r="B120" s="322">
        <v>107</v>
      </c>
      <c r="C120" s="701"/>
      <c r="D120" s="702"/>
      <c r="E120" s="697"/>
      <c r="F120" s="179"/>
      <c r="G120" s="179"/>
    </row>
    <row r="121" spans="1:7" s="146" customFormat="1" ht="17.25" customHeight="1" x14ac:dyDescent="0.25">
      <c r="A121" s="162" t="s">
        <v>22</v>
      </c>
      <c r="B121" s="322">
        <v>108</v>
      </c>
      <c r="C121" s="701"/>
      <c r="D121" s="702"/>
      <c r="E121" s="697"/>
      <c r="F121" s="179"/>
      <c r="G121" s="179"/>
    </row>
    <row r="122" spans="1:7" s="146" customFormat="1" ht="17.25" customHeight="1" x14ac:dyDescent="0.25">
      <c r="A122" s="162" t="s">
        <v>22</v>
      </c>
      <c r="B122" s="322">
        <v>109</v>
      </c>
      <c r="C122" s="701"/>
      <c r="D122" s="702"/>
      <c r="E122" s="697"/>
      <c r="F122" s="179"/>
      <c r="G122" s="179"/>
    </row>
    <row r="123" spans="1:7" s="146" customFormat="1" ht="17.25" customHeight="1" x14ac:dyDescent="0.25">
      <c r="A123" s="162" t="s">
        <v>22</v>
      </c>
      <c r="B123" s="322">
        <v>110</v>
      </c>
      <c r="C123" s="701"/>
      <c r="D123" s="702"/>
      <c r="E123" s="697"/>
      <c r="F123" s="179"/>
      <c r="G123" s="179"/>
    </row>
    <row r="124" spans="1:7" s="146" customFormat="1" ht="17.25" customHeight="1" x14ac:dyDescent="0.25">
      <c r="A124" s="162" t="s">
        <v>22</v>
      </c>
      <c r="B124" s="337">
        <v>111</v>
      </c>
      <c r="C124" s="701" t="s">
        <v>102</v>
      </c>
      <c r="D124" s="702" t="s">
        <v>103</v>
      </c>
      <c r="E124" s="697"/>
      <c r="F124" s="179"/>
      <c r="G124" s="179"/>
    </row>
    <row r="125" spans="1:7" s="146" customFormat="1" ht="17.25" customHeight="1" x14ac:dyDescent="0.25">
      <c r="A125" s="162" t="s">
        <v>22</v>
      </c>
      <c r="B125" s="322">
        <v>112</v>
      </c>
      <c r="C125" s="701"/>
      <c r="D125" s="702"/>
      <c r="E125" s="697"/>
      <c r="F125" s="179"/>
      <c r="G125" s="179"/>
    </row>
    <row r="126" spans="1:7" s="146" customFormat="1" ht="17.25" customHeight="1" x14ac:dyDescent="0.25">
      <c r="A126" s="162" t="s">
        <v>22</v>
      </c>
      <c r="B126" s="337">
        <v>113</v>
      </c>
      <c r="C126" s="698" t="s">
        <v>104</v>
      </c>
      <c r="D126" s="698" t="s">
        <v>105</v>
      </c>
      <c r="E126" s="697"/>
      <c r="F126" s="179"/>
      <c r="G126" s="179"/>
    </row>
    <row r="127" spans="1:7" s="146" customFormat="1" ht="17.25" customHeight="1" x14ac:dyDescent="0.25">
      <c r="A127" s="162" t="s">
        <v>22</v>
      </c>
      <c r="B127" s="337">
        <v>114</v>
      </c>
      <c r="C127" s="698" t="s">
        <v>106</v>
      </c>
      <c r="D127" s="698" t="s">
        <v>107</v>
      </c>
      <c r="E127" s="697"/>
      <c r="F127" s="179"/>
      <c r="G127" s="179"/>
    </row>
    <row r="128" spans="1:7" s="146" customFormat="1" ht="17.25" customHeight="1" x14ac:dyDescent="0.25">
      <c r="A128" s="162" t="s">
        <v>22</v>
      </c>
      <c r="B128" s="322">
        <v>115</v>
      </c>
      <c r="C128" s="149"/>
      <c r="D128" s="698"/>
      <c r="E128" s="697"/>
      <c r="F128" s="179"/>
      <c r="G128" s="179"/>
    </row>
    <row r="129" spans="1:7" s="146" customFormat="1" ht="17.25" customHeight="1" x14ac:dyDescent="0.25">
      <c r="A129" s="162" t="s">
        <v>22</v>
      </c>
      <c r="B129" s="541">
        <v>116</v>
      </c>
      <c r="C129" s="540" t="s">
        <v>108</v>
      </c>
      <c r="D129" s="708" t="s">
        <v>109</v>
      </c>
      <c r="E129" s="697"/>
      <c r="F129" s="179"/>
      <c r="G129" s="179"/>
    </row>
    <row r="130" spans="1:7" s="146" customFormat="1" ht="17.25" customHeight="1" x14ac:dyDescent="0.25">
      <c r="A130" s="162" t="s">
        <v>22</v>
      </c>
      <c r="B130" s="541">
        <v>117</v>
      </c>
      <c r="C130" s="540" t="s">
        <v>110</v>
      </c>
      <c r="D130" s="708" t="s">
        <v>111</v>
      </c>
      <c r="E130" s="697"/>
      <c r="F130" s="179"/>
      <c r="G130" s="179"/>
    </row>
    <row r="131" spans="1:7" s="146" customFormat="1" ht="17.25" customHeight="1" x14ac:dyDescent="0.25">
      <c r="A131" s="162" t="s">
        <v>22</v>
      </c>
      <c r="B131" s="541">
        <v>118</v>
      </c>
      <c r="C131" s="540" t="s">
        <v>112</v>
      </c>
      <c r="D131" s="708" t="s">
        <v>2310</v>
      </c>
      <c r="E131" s="697"/>
      <c r="F131" s="179"/>
      <c r="G131" s="179"/>
    </row>
    <row r="132" spans="1:7" s="146" customFormat="1" ht="17.25" customHeight="1" x14ac:dyDescent="0.25">
      <c r="A132" s="162" t="s">
        <v>22</v>
      </c>
      <c r="B132" s="322">
        <v>119</v>
      </c>
      <c r="C132" s="149"/>
      <c r="D132" s="698"/>
      <c r="E132" s="697"/>
      <c r="F132" s="179"/>
      <c r="G132" s="179"/>
    </row>
    <row r="133" spans="1:7" s="146" customFormat="1" ht="17.25" customHeight="1" x14ac:dyDescent="0.25">
      <c r="A133" s="162" t="s">
        <v>22</v>
      </c>
      <c r="B133" s="322">
        <v>120</v>
      </c>
      <c r="C133" s="149"/>
      <c r="D133" s="698"/>
      <c r="E133" s="697"/>
      <c r="F133" s="179"/>
      <c r="G133" s="179"/>
    </row>
    <row r="134" spans="1:7" s="146" customFormat="1" ht="17.25" customHeight="1" x14ac:dyDescent="0.25">
      <c r="A134" s="162" t="s">
        <v>22</v>
      </c>
      <c r="B134" s="322">
        <v>121</v>
      </c>
      <c r="C134" s="149"/>
      <c r="D134" s="698"/>
      <c r="E134" s="697"/>
      <c r="F134" s="179"/>
      <c r="G134" s="179"/>
    </row>
    <row r="135" spans="1:7" s="146" customFormat="1" ht="17.25" customHeight="1" x14ac:dyDescent="0.25">
      <c r="A135" s="162" t="s">
        <v>22</v>
      </c>
      <c r="B135" s="322">
        <v>122</v>
      </c>
      <c r="C135" s="149"/>
      <c r="D135" s="698"/>
      <c r="E135" s="697"/>
      <c r="F135" s="179"/>
      <c r="G135" s="179"/>
    </row>
    <row r="136" spans="1:7" s="146" customFormat="1" ht="17.25" customHeight="1" x14ac:dyDescent="0.25">
      <c r="A136" s="162" t="s">
        <v>22</v>
      </c>
      <c r="B136" s="322">
        <v>123</v>
      </c>
      <c r="C136" s="149"/>
      <c r="D136" s="698"/>
      <c r="E136" s="697"/>
      <c r="F136" s="179"/>
      <c r="G136" s="179"/>
    </row>
    <row r="137" spans="1:7" s="146" customFormat="1" ht="17.25" customHeight="1" x14ac:dyDescent="0.25">
      <c r="A137" s="162" t="s">
        <v>22</v>
      </c>
      <c r="B137" s="322">
        <v>124</v>
      </c>
      <c r="C137" s="149" t="s">
        <v>113</v>
      </c>
      <c r="D137" s="698" t="s">
        <v>114</v>
      </c>
      <c r="E137" s="697"/>
      <c r="F137" s="179"/>
      <c r="G137" s="179"/>
    </row>
    <row r="138" spans="1:7" s="146" customFormat="1" ht="17.25" customHeight="1" x14ac:dyDescent="0.25">
      <c r="A138" s="162" t="s">
        <v>22</v>
      </c>
      <c r="B138" s="337">
        <v>125</v>
      </c>
      <c r="C138" s="709" t="s">
        <v>115</v>
      </c>
      <c r="D138" s="709" t="s">
        <v>116</v>
      </c>
      <c r="E138" s="697"/>
      <c r="F138" s="179"/>
      <c r="G138" s="179"/>
    </row>
    <row r="139" spans="1:7" s="146" customFormat="1" ht="17.25" customHeight="1" x14ac:dyDescent="0.25">
      <c r="A139" s="162" t="s">
        <v>22</v>
      </c>
      <c r="B139" s="337">
        <v>126</v>
      </c>
      <c r="C139" s="710" t="s">
        <v>117</v>
      </c>
      <c r="D139" s="710" t="s">
        <v>118</v>
      </c>
      <c r="E139" s="697"/>
      <c r="F139" s="179"/>
      <c r="G139" s="179"/>
    </row>
    <row r="140" spans="1:7" s="146" customFormat="1" ht="17.25" customHeight="1" x14ac:dyDescent="0.25">
      <c r="A140" s="162" t="s">
        <v>22</v>
      </c>
      <c r="B140" s="337">
        <v>127</v>
      </c>
      <c r="C140" s="711" t="s">
        <v>119</v>
      </c>
      <c r="D140" s="711" t="s">
        <v>120</v>
      </c>
      <c r="E140" s="697"/>
      <c r="F140" s="179"/>
      <c r="G140" s="179"/>
    </row>
    <row r="141" spans="1:7" s="146" customFormat="1" ht="17.25" customHeight="1" x14ac:dyDescent="0.25">
      <c r="A141" s="162" t="s">
        <v>22</v>
      </c>
      <c r="B141" s="337">
        <v>128</v>
      </c>
      <c r="C141" s="698" t="s">
        <v>121</v>
      </c>
      <c r="D141" s="698" t="s">
        <v>122</v>
      </c>
      <c r="E141" s="697"/>
      <c r="F141" s="179"/>
      <c r="G141" s="179"/>
    </row>
    <row r="142" spans="1:7" s="146" customFormat="1" ht="17.25" customHeight="1" x14ac:dyDescent="0.25">
      <c r="A142" s="162" t="s">
        <v>22</v>
      </c>
      <c r="B142" s="337">
        <v>129</v>
      </c>
      <c r="C142" s="709" t="s">
        <v>123</v>
      </c>
      <c r="D142" s="709" t="s">
        <v>124</v>
      </c>
      <c r="E142" s="697"/>
      <c r="F142" s="179"/>
      <c r="G142" s="179"/>
    </row>
    <row r="143" spans="1:7" s="146" customFormat="1" ht="17.25" customHeight="1" x14ac:dyDescent="0.25">
      <c r="A143" s="162" t="s">
        <v>22</v>
      </c>
      <c r="B143" s="337">
        <v>130</v>
      </c>
      <c r="C143" s="711" t="s">
        <v>125</v>
      </c>
      <c r="D143" s="711" t="s">
        <v>126</v>
      </c>
      <c r="E143" s="697"/>
      <c r="F143" s="179"/>
      <c r="G143" s="179"/>
    </row>
    <row r="144" spans="1:7" s="146" customFormat="1" ht="17.25" customHeight="1" x14ac:dyDescent="0.25">
      <c r="A144" s="162" t="s">
        <v>22</v>
      </c>
      <c r="B144" s="322">
        <v>131</v>
      </c>
      <c r="C144" s="698"/>
      <c r="D144" s="698"/>
      <c r="E144" s="697"/>
      <c r="F144" s="179"/>
      <c r="G144" s="179"/>
    </row>
    <row r="145" spans="1:7" s="146" customFormat="1" ht="17.25" customHeight="1" x14ac:dyDescent="0.25">
      <c r="A145" s="162" t="s">
        <v>22</v>
      </c>
      <c r="B145" s="322">
        <v>132</v>
      </c>
      <c r="C145" s="698"/>
      <c r="D145" s="698"/>
      <c r="E145" s="697"/>
      <c r="F145" s="179"/>
      <c r="G145" s="179"/>
    </row>
    <row r="146" spans="1:7" s="146" customFormat="1" ht="17.25" customHeight="1" x14ac:dyDescent="0.25">
      <c r="A146" s="162" t="s">
        <v>22</v>
      </c>
      <c r="B146" s="322">
        <v>133</v>
      </c>
      <c r="C146" s="698"/>
      <c r="D146" s="698"/>
      <c r="E146" s="697"/>
      <c r="F146" s="179"/>
      <c r="G146" s="179"/>
    </row>
    <row r="147" spans="1:7" s="146" customFormat="1" ht="17.25" customHeight="1" x14ac:dyDescent="0.25">
      <c r="A147" s="162" t="s">
        <v>22</v>
      </c>
      <c r="B147" s="322">
        <v>134</v>
      </c>
      <c r="C147" s="698"/>
      <c r="D147" s="698"/>
      <c r="E147" s="697"/>
      <c r="F147" s="179"/>
      <c r="G147" s="179"/>
    </row>
    <row r="148" spans="1:7" s="146" customFormat="1" ht="17.25" customHeight="1" x14ac:dyDescent="0.25">
      <c r="A148" s="162" t="s">
        <v>22</v>
      </c>
      <c r="B148" s="322">
        <v>135</v>
      </c>
      <c r="C148" s="698"/>
      <c r="D148" s="698"/>
      <c r="E148" s="697"/>
      <c r="F148" s="179"/>
      <c r="G148" s="179"/>
    </row>
    <row r="149" spans="1:7" s="146" customFormat="1" ht="17.25" customHeight="1" x14ac:dyDescent="0.25">
      <c r="A149" s="162" t="s">
        <v>22</v>
      </c>
      <c r="B149" s="322">
        <v>136</v>
      </c>
      <c r="C149" s="698"/>
      <c r="D149" s="698"/>
      <c r="E149" s="697"/>
      <c r="F149" s="179"/>
      <c r="G149" s="179"/>
    </row>
    <row r="150" spans="1:7" s="146" customFormat="1" ht="17.25" customHeight="1" x14ac:dyDescent="0.25">
      <c r="A150" s="162" t="s">
        <v>22</v>
      </c>
      <c r="B150" s="322">
        <v>137</v>
      </c>
      <c r="C150" s="698"/>
      <c r="D150" s="698"/>
      <c r="E150" s="697"/>
      <c r="F150" s="179"/>
      <c r="G150" s="179"/>
    </row>
    <row r="151" spans="1:7" s="146" customFormat="1" ht="17.25" customHeight="1" x14ac:dyDescent="0.25">
      <c r="A151" s="162" t="s">
        <v>22</v>
      </c>
      <c r="B151" s="322">
        <v>138</v>
      </c>
      <c r="C151" s="698"/>
      <c r="D151" s="698"/>
      <c r="E151" s="697"/>
      <c r="F151" s="179"/>
      <c r="G151" s="179"/>
    </row>
    <row r="152" spans="1:7" s="146" customFormat="1" ht="17.25" customHeight="1" x14ac:dyDescent="0.25">
      <c r="A152" s="162" t="s">
        <v>22</v>
      </c>
      <c r="B152" s="322">
        <v>139</v>
      </c>
      <c r="C152" s="698"/>
      <c r="D152" s="698"/>
      <c r="E152" s="697"/>
      <c r="F152" s="179"/>
      <c r="G152" s="179"/>
    </row>
    <row r="153" spans="1:7" s="146" customFormat="1" ht="17.25" customHeight="1" x14ac:dyDescent="0.25">
      <c r="A153" s="162" t="s">
        <v>22</v>
      </c>
      <c r="B153" s="322">
        <v>140</v>
      </c>
      <c r="C153" s="698"/>
      <c r="D153" s="698"/>
      <c r="E153" s="697"/>
      <c r="F153" s="179"/>
      <c r="G153" s="179"/>
    </row>
    <row r="154" spans="1:7" s="146" customFormat="1" ht="17.25" customHeight="1" x14ac:dyDescent="0.25">
      <c r="A154" s="162" t="s">
        <v>22</v>
      </c>
      <c r="B154" s="322">
        <v>141</v>
      </c>
      <c r="C154" s="698"/>
      <c r="D154" s="698"/>
      <c r="E154" s="697"/>
      <c r="F154" s="179"/>
      <c r="G154" s="179"/>
    </row>
    <row r="155" spans="1:7" s="146" customFormat="1" ht="17.25" customHeight="1" x14ac:dyDescent="0.25">
      <c r="A155" s="162" t="s">
        <v>22</v>
      </c>
      <c r="B155" s="322">
        <v>142</v>
      </c>
      <c r="C155" s="698"/>
      <c r="D155" s="698"/>
      <c r="E155" s="697"/>
      <c r="F155" s="179"/>
      <c r="G155" s="179"/>
    </row>
    <row r="156" spans="1:7" s="146" customFormat="1" ht="17.25" customHeight="1" x14ac:dyDescent="0.25">
      <c r="A156" s="162" t="s">
        <v>22</v>
      </c>
      <c r="B156" s="322">
        <v>143</v>
      </c>
      <c r="C156" s="698"/>
      <c r="D156" s="698"/>
      <c r="E156" s="697"/>
      <c r="F156" s="179"/>
      <c r="G156" s="179"/>
    </row>
    <row r="157" spans="1:7" s="146" customFormat="1" ht="17.25" customHeight="1" x14ac:dyDescent="0.25">
      <c r="A157" s="162" t="s">
        <v>22</v>
      </c>
      <c r="B157" s="322">
        <v>144</v>
      </c>
      <c r="C157" s="698"/>
      <c r="D157" s="698"/>
      <c r="E157" s="697"/>
      <c r="F157" s="179"/>
      <c r="G157" s="179"/>
    </row>
    <row r="158" spans="1:7" s="146" customFormat="1" ht="17.25" customHeight="1" x14ac:dyDescent="0.25">
      <c r="A158" s="162" t="s">
        <v>22</v>
      </c>
      <c r="B158" s="322">
        <v>145</v>
      </c>
      <c r="C158" s="698"/>
      <c r="D158" s="698"/>
      <c r="E158" s="697"/>
      <c r="F158" s="179"/>
      <c r="G158" s="179"/>
    </row>
    <row r="159" spans="1:7" s="146" customFormat="1" ht="17.25" customHeight="1" x14ac:dyDescent="0.25">
      <c r="A159" s="162" t="s">
        <v>22</v>
      </c>
      <c r="B159" s="322">
        <v>146</v>
      </c>
      <c r="C159" s="698"/>
      <c r="D159" s="698"/>
      <c r="E159" s="697"/>
      <c r="F159" s="179"/>
      <c r="G159" s="179"/>
    </row>
    <row r="160" spans="1:7" s="146" customFormat="1" ht="17.25" customHeight="1" x14ac:dyDescent="0.25">
      <c r="A160" s="162" t="s">
        <v>22</v>
      </c>
      <c r="B160" s="322">
        <v>147</v>
      </c>
      <c r="C160" s="698"/>
      <c r="D160" s="698"/>
      <c r="E160" s="697"/>
      <c r="F160" s="179"/>
      <c r="G160" s="179"/>
    </row>
    <row r="161" spans="1:7" s="146" customFormat="1" ht="17.25" customHeight="1" x14ac:dyDescent="0.25">
      <c r="A161" s="162" t="s">
        <v>22</v>
      </c>
      <c r="B161" s="322">
        <v>148</v>
      </c>
      <c r="C161" s="698"/>
      <c r="D161" s="698"/>
      <c r="E161" s="697"/>
      <c r="F161" s="179"/>
      <c r="G161" s="179"/>
    </row>
    <row r="162" spans="1:7" s="146" customFormat="1" ht="17.25" customHeight="1" x14ac:dyDescent="0.25">
      <c r="A162" s="162" t="s">
        <v>22</v>
      </c>
      <c r="B162" s="322">
        <v>149</v>
      </c>
      <c r="C162" s="698"/>
      <c r="D162" s="698"/>
      <c r="E162" s="697"/>
      <c r="F162" s="179"/>
      <c r="G162" s="179"/>
    </row>
    <row r="163" spans="1:7" s="146" customFormat="1" ht="17.25" customHeight="1" x14ac:dyDescent="0.25">
      <c r="A163" s="162" t="s">
        <v>22</v>
      </c>
      <c r="B163" s="322">
        <v>150</v>
      </c>
      <c r="C163" s="698"/>
      <c r="D163" s="698"/>
      <c r="E163" s="697"/>
      <c r="F163" s="179"/>
      <c r="G163" s="179"/>
    </row>
    <row r="164" spans="1:7" s="146" customFormat="1" ht="17.25" customHeight="1" x14ac:dyDescent="0.25">
      <c r="A164" s="162" t="s">
        <v>22</v>
      </c>
      <c r="B164" s="322">
        <v>151</v>
      </c>
      <c r="C164" s="698"/>
      <c r="D164" s="698"/>
      <c r="E164" s="697"/>
      <c r="F164" s="179"/>
      <c r="G164" s="179"/>
    </row>
    <row r="165" spans="1:7" s="146" customFormat="1" ht="17.25" customHeight="1" x14ac:dyDescent="0.25">
      <c r="A165" s="162" t="s">
        <v>22</v>
      </c>
      <c r="B165" s="322">
        <v>152</v>
      </c>
      <c r="C165" s="698"/>
      <c r="D165" s="698"/>
      <c r="E165" s="697"/>
      <c r="F165" s="179"/>
      <c r="G165" s="179"/>
    </row>
    <row r="166" spans="1:7" s="146" customFormat="1" ht="17.25" customHeight="1" x14ac:dyDescent="0.25">
      <c r="A166" s="162" t="s">
        <v>22</v>
      </c>
      <c r="B166" s="322">
        <v>153</v>
      </c>
      <c r="C166" s="698"/>
      <c r="D166" s="698"/>
      <c r="E166" s="697"/>
      <c r="F166" s="179"/>
      <c r="G166" s="179"/>
    </row>
    <row r="167" spans="1:7" s="146" customFormat="1" ht="17.25" customHeight="1" x14ac:dyDescent="0.25">
      <c r="A167" s="162" t="s">
        <v>22</v>
      </c>
      <c r="B167" s="322">
        <v>154</v>
      </c>
      <c r="C167" s="698"/>
      <c r="D167" s="698"/>
      <c r="E167" s="697"/>
      <c r="F167" s="179"/>
      <c r="G167" s="179"/>
    </row>
    <row r="168" spans="1:7" s="146" customFormat="1" ht="17.25" customHeight="1" x14ac:dyDescent="0.25">
      <c r="A168" s="162" t="s">
        <v>22</v>
      </c>
      <c r="B168" s="322">
        <v>155</v>
      </c>
      <c r="C168" s="698"/>
      <c r="D168" s="698"/>
      <c r="E168" s="697"/>
      <c r="F168" s="179"/>
      <c r="G168" s="179"/>
    </row>
    <row r="169" spans="1:7" s="146" customFormat="1" ht="17.25" customHeight="1" x14ac:dyDescent="0.25">
      <c r="A169" s="162" t="s">
        <v>22</v>
      </c>
      <c r="B169" s="322">
        <v>156</v>
      </c>
      <c r="C169" s="698"/>
      <c r="D169" s="698"/>
      <c r="E169" s="697"/>
      <c r="F169" s="179"/>
      <c r="G169" s="179"/>
    </row>
    <row r="170" spans="1:7" s="146" customFormat="1" ht="17.25" customHeight="1" x14ac:dyDescent="0.25">
      <c r="A170" s="162" t="s">
        <v>22</v>
      </c>
      <c r="B170" s="322">
        <v>157</v>
      </c>
      <c r="C170" s="698"/>
      <c r="D170" s="698"/>
      <c r="E170" s="697"/>
      <c r="F170" s="179"/>
      <c r="G170" s="179"/>
    </row>
    <row r="171" spans="1:7" s="146" customFormat="1" ht="17.25" customHeight="1" x14ac:dyDescent="0.25">
      <c r="A171" s="162" t="s">
        <v>22</v>
      </c>
      <c r="B171" s="322">
        <v>158</v>
      </c>
      <c r="C171" s="698"/>
      <c r="D171" s="698"/>
      <c r="E171" s="697"/>
      <c r="F171" s="179"/>
      <c r="G171" s="179"/>
    </row>
    <row r="172" spans="1:7" s="146" customFormat="1" ht="17.25" customHeight="1" x14ac:dyDescent="0.25">
      <c r="A172" s="162" t="s">
        <v>22</v>
      </c>
      <c r="B172" s="322">
        <v>159</v>
      </c>
      <c r="C172" s="698"/>
      <c r="D172" s="698"/>
      <c r="E172" s="697"/>
      <c r="F172" s="179"/>
      <c r="G172" s="179"/>
    </row>
    <row r="173" spans="1:7" s="146" customFormat="1" ht="17.25" customHeight="1" x14ac:dyDescent="0.25">
      <c r="A173" s="162" t="s">
        <v>22</v>
      </c>
      <c r="B173" s="322">
        <v>160</v>
      </c>
      <c r="C173" s="698"/>
      <c r="D173" s="698"/>
      <c r="E173" s="697"/>
      <c r="F173" s="179"/>
      <c r="G173" s="179"/>
    </row>
    <row r="174" spans="1:7" s="146" customFormat="1" ht="17.25" customHeight="1" x14ac:dyDescent="0.25">
      <c r="A174" s="162" t="s">
        <v>22</v>
      </c>
      <c r="B174" s="322">
        <v>161</v>
      </c>
      <c r="C174" s="698"/>
      <c r="D174" s="698"/>
      <c r="E174" s="697"/>
      <c r="F174" s="179"/>
      <c r="G174" s="179"/>
    </row>
    <row r="175" spans="1:7" s="146" customFormat="1" ht="17.25" customHeight="1" x14ac:dyDescent="0.25">
      <c r="A175" s="162" t="s">
        <v>22</v>
      </c>
      <c r="B175" s="322">
        <v>162</v>
      </c>
      <c r="C175" s="698"/>
      <c r="D175" s="698"/>
      <c r="E175" s="697"/>
      <c r="F175" s="179"/>
      <c r="G175" s="179"/>
    </row>
    <row r="176" spans="1:7" s="146" customFormat="1" ht="17.25" customHeight="1" x14ac:dyDescent="0.25">
      <c r="A176" s="162" t="s">
        <v>22</v>
      </c>
      <c r="B176" s="322">
        <v>163</v>
      </c>
      <c r="C176" s="698"/>
      <c r="D176" s="698"/>
      <c r="E176" s="697"/>
      <c r="F176" s="179"/>
      <c r="G176" s="179"/>
    </row>
    <row r="177" spans="1:7" s="146" customFormat="1" ht="17.25" customHeight="1" x14ac:dyDescent="0.25">
      <c r="A177" s="162" t="s">
        <v>22</v>
      </c>
      <c r="B177" s="322">
        <v>164</v>
      </c>
      <c r="C177" s="698"/>
      <c r="D177" s="698"/>
      <c r="E177" s="697"/>
      <c r="F177" s="179"/>
      <c r="G177" s="179"/>
    </row>
    <row r="178" spans="1:7" s="146" customFormat="1" ht="17.25" customHeight="1" x14ac:dyDescent="0.25">
      <c r="A178" s="162" t="s">
        <v>22</v>
      </c>
      <c r="B178" s="322">
        <v>165</v>
      </c>
      <c r="C178" s="698"/>
      <c r="D178" s="698"/>
      <c r="E178" s="697"/>
      <c r="F178" s="179"/>
      <c r="G178" s="179"/>
    </row>
    <row r="179" spans="1:7" s="146" customFormat="1" ht="17.25" customHeight="1" x14ac:dyDescent="0.25">
      <c r="A179" s="162" t="s">
        <v>22</v>
      </c>
      <c r="B179" s="322">
        <v>166</v>
      </c>
      <c r="C179" s="698"/>
      <c r="D179" s="698"/>
      <c r="E179" s="697"/>
      <c r="F179" s="179"/>
      <c r="G179" s="179"/>
    </row>
    <row r="180" spans="1:7" s="146" customFormat="1" ht="17.25" customHeight="1" x14ac:dyDescent="0.25">
      <c r="A180" s="162" t="s">
        <v>22</v>
      </c>
      <c r="B180" s="322">
        <v>167</v>
      </c>
      <c r="C180" s="698"/>
      <c r="D180" s="698"/>
      <c r="E180" s="697"/>
      <c r="F180" s="179"/>
      <c r="G180" s="179"/>
    </row>
    <row r="181" spans="1:7" s="146" customFormat="1" ht="17.25" customHeight="1" x14ac:dyDescent="0.25">
      <c r="A181" s="162" t="s">
        <v>22</v>
      </c>
      <c r="B181" s="322">
        <v>168</v>
      </c>
      <c r="C181" s="698"/>
      <c r="D181" s="698"/>
      <c r="E181" s="697"/>
      <c r="F181" s="179"/>
      <c r="G181" s="179"/>
    </row>
    <row r="182" spans="1:7" s="146" customFormat="1" ht="17.25" customHeight="1" x14ac:dyDescent="0.25">
      <c r="A182" s="162" t="s">
        <v>22</v>
      </c>
      <c r="B182" s="322">
        <v>169</v>
      </c>
      <c r="C182" s="698"/>
      <c r="D182" s="698"/>
      <c r="E182" s="697"/>
      <c r="F182" s="179"/>
      <c r="G182" s="179"/>
    </row>
    <row r="183" spans="1:7" s="146" customFormat="1" ht="17.25" customHeight="1" x14ac:dyDescent="0.25">
      <c r="A183" s="162" t="s">
        <v>22</v>
      </c>
      <c r="B183" s="322">
        <v>170</v>
      </c>
      <c r="C183" s="698"/>
      <c r="D183" s="698"/>
      <c r="E183" s="697"/>
      <c r="F183" s="179"/>
      <c r="G183" s="179"/>
    </row>
    <row r="184" spans="1:7" s="146" customFormat="1" ht="17.25" customHeight="1" x14ac:dyDescent="0.25">
      <c r="A184" s="162" t="s">
        <v>22</v>
      </c>
      <c r="B184" s="322">
        <v>171</v>
      </c>
      <c r="C184" s="698"/>
      <c r="D184" s="698"/>
      <c r="E184" s="697"/>
      <c r="F184" s="179"/>
      <c r="G184" s="179"/>
    </row>
    <row r="185" spans="1:7" s="146" customFormat="1" ht="17.25" customHeight="1" x14ac:dyDescent="0.25">
      <c r="A185" s="162" t="s">
        <v>22</v>
      </c>
      <c r="B185" s="322">
        <v>172</v>
      </c>
      <c r="C185" s="698"/>
      <c r="D185" s="698"/>
      <c r="E185" s="697"/>
      <c r="F185" s="179"/>
      <c r="G185" s="179"/>
    </row>
    <row r="186" spans="1:7" s="146" customFormat="1" ht="17.25" customHeight="1" x14ac:dyDescent="0.25">
      <c r="A186" s="162" t="s">
        <v>22</v>
      </c>
      <c r="B186" s="322">
        <v>173</v>
      </c>
      <c r="C186" s="698"/>
      <c r="D186" s="698"/>
      <c r="E186" s="697"/>
      <c r="F186" s="179"/>
      <c r="G186" s="179"/>
    </row>
    <row r="187" spans="1:7" s="146" customFormat="1" ht="17.25" customHeight="1" x14ac:dyDescent="0.25">
      <c r="A187" s="162" t="s">
        <v>22</v>
      </c>
      <c r="B187" s="322">
        <v>174</v>
      </c>
      <c r="C187" s="698"/>
      <c r="D187" s="698"/>
      <c r="E187" s="697"/>
      <c r="F187" s="179"/>
      <c r="G187" s="179"/>
    </row>
    <row r="188" spans="1:7" s="146" customFormat="1" ht="17.25" customHeight="1" x14ac:dyDescent="0.25">
      <c r="A188" s="162" t="s">
        <v>22</v>
      </c>
      <c r="B188" s="322">
        <v>175</v>
      </c>
      <c r="C188" s="698"/>
      <c r="D188" s="698"/>
      <c r="E188" s="697"/>
      <c r="F188" s="179"/>
      <c r="G188" s="179"/>
    </row>
    <row r="189" spans="1:7" s="146" customFormat="1" ht="17.25" customHeight="1" x14ac:dyDescent="0.25">
      <c r="A189" s="162" t="s">
        <v>22</v>
      </c>
      <c r="B189" s="322">
        <v>176</v>
      </c>
      <c r="C189" s="698"/>
      <c r="D189" s="698"/>
      <c r="E189" s="697"/>
      <c r="F189" s="179"/>
      <c r="G189" s="179"/>
    </row>
    <row r="190" spans="1:7" s="146" customFormat="1" ht="17.25" customHeight="1" x14ac:dyDescent="0.25">
      <c r="A190" s="162" t="s">
        <v>22</v>
      </c>
      <c r="B190" s="322">
        <v>177</v>
      </c>
      <c r="C190" s="698"/>
      <c r="D190" s="698"/>
      <c r="E190" s="697"/>
      <c r="F190" s="179"/>
      <c r="G190" s="179"/>
    </row>
    <row r="191" spans="1:7" s="146" customFormat="1" ht="17.25" customHeight="1" x14ac:dyDescent="0.25">
      <c r="A191" s="162" t="s">
        <v>22</v>
      </c>
      <c r="B191" s="322">
        <v>178</v>
      </c>
      <c r="C191" s="698"/>
      <c r="D191" s="698"/>
      <c r="E191" s="697"/>
      <c r="F191" s="179"/>
      <c r="G191" s="179"/>
    </row>
    <row r="192" spans="1:7" s="146" customFormat="1" ht="17.25" customHeight="1" x14ac:dyDescent="0.25">
      <c r="A192" s="162" t="s">
        <v>22</v>
      </c>
      <c r="B192" s="322">
        <v>179</v>
      </c>
      <c r="C192" s="698"/>
      <c r="D192" s="698"/>
      <c r="E192" s="697"/>
      <c r="F192" s="179"/>
      <c r="G192" s="179"/>
    </row>
    <row r="193" spans="1:7" s="146" customFormat="1" ht="17.25" customHeight="1" x14ac:dyDescent="0.25">
      <c r="A193" s="162" t="s">
        <v>22</v>
      </c>
      <c r="B193" s="322">
        <v>180</v>
      </c>
      <c r="C193" s="698"/>
      <c r="D193" s="698"/>
      <c r="E193" s="697"/>
      <c r="F193" s="179"/>
      <c r="G193" s="179"/>
    </row>
    <row r="194" spans="1:7" s="146" customFormat="1" ht="17.25" customHeight="1" x14ac:dyDescent="0.25">
      <c r="A194" s="162" t="s">
        <v>22</v>
      </c>
      <c r="B194" s="322">
        <v>181</v>
      </c>
      <c r="C194" s="698"/>
      <c r="D194" s="698"/>
      <c r="E194" s="697"/>
      <c r="F194" s="179"/>
      <c r="G194" s="179"/>
    </row>
    <row r="195" spans="1:7" s="146" customFormat="1" ht="17.25" customHeight="1" thickBot="1" x14ac:dyDescent="0.3">
      <c r="A195" s="712" t="s">
        <v>22</v>
      </c>
      <c r="B195" s="713">
        <v>182</v>
      </c>
      <c r="C195" s="714"/>
      <c r="D195" s="715"/>
      <c r="E195" s="716"/>
      <c r="F195" s="717"/>
      <c r="G195" s="717"/>
    </row>
    <row r="196" spans="1:7" s="146" customFormat="1" ht="17.25" customHeight="1" x14ac:dyDescent="0.25">
      <c r="A196" s="161" t="s">
        <v>127</v>
      </c>
      <c r="B196" s="322">
        <v>183</v>
      </c>
      <c r="C196" s="325"/>
      <c r="D196" s="149"/>
      <c r="E196" s="151"/>
      <c r="F196" s="179"/>
      <c r="G196" s="179"/>
    </row>
    <row r="197" spans="1:7" s="146" customFormat="1" ht="17.25" customHeight="1" x14ac:dyDescent="0.25">
      <c r="A197" s="161" t="s">
        <v>127</v>
      </c>
      <c r="B197" s="322">
        <v>184</v>
      </c>
      <c r="C197" s="718"/>
      <c r="D197" s="698"/>
      <c r="E197" s="697"/>
      <c r="F197" s="719"/>
      <c r="G197" s="719"/>
    </row>
    <row r="198" spans="1:7" s="146" customFormat="1" ht="17.25" customHeight="1" x14ac:dyDescent="0.25">
      <c r="A198" s="161" t="s">
        <v>127</v>
      </c>
      <c r="B198" s="322">
        <v>185</v>
      </c>
      <c r="C198" s="718"/>
      <c r="D198" s="698"/>
      <c r="E198" s="697"/>
      <c r="F198" s="719"/>
      <c r="G198" s="719"/>
    </row>
    <row r="199" spans="1:7" s="146" customFormat="1" ht="17.25" customHeight="1" x14ac:dyDescent="0.25">
      <c r="A199" s="161" t="s">
        <v>127</v>
      </c>
      <c r="B199" s="322">
        <v>186</v>
      </c>
      <c r="C199" s="718"/>
      <c r="D199" s="698"/>
      <c r="E199" s="697"/>
      <c r="F199" s="719"/>
      <c r="G199" s="719"/>
    </row>
    <row r="200" spans="1:7" s="146" customFormat="1" ht="17.25" customHeight="1" x14ac:dyDescent="0.25">
      <c r="A200" s="161" t="s">
        <v>127</v>
      </c>
      <c r="B200" s="322">
        <v>187</v>
      </c>
      <c r="C200" s="718"/>
      <c r="D200" s="698"/>
      <c r="E200" s="697"/>
      <c r="F200" s="719"/>
      <c r="G200" s="719"/>
    </row>
    <row r="201" spans="1:7" s="146" customFormat="1" ht="17.25" customHeight="1" x14ac:dyDescent="0.25">
      <c r="A201" s="161" t="s">
        <v>127</v>
      </c>
      <c r="B201" s="322">
        <v>188</v>
      </c>
      <c r="C201" s="718"/>
      <c r="D201" s="698"/>
      <c r="E201" s="697"/>
      <c r="F201" s="719"/>
      <c r="G201" s="719"/>
    </row>
    <row r="202" spans="1:7" s="146" customFormat="1" ht="17.25" customHeight="1" x14ac:dyDescent="0.25">
      <c r="A202" s="161" t="s">
        <v>127</v>
      </c>
      <c r="B202" s="322">
        <v>189</v>
      </c>
      <c r="C202" s="718"/>
      <c r="D202" s="698"/>
      <c r="E202" s="697"/>
      <c r="F202" s="719"/>
      <c r="G202" s="719"/>
    </row>
    <row r="203" spans="1:7" s="146" customFormat="1" ht="17.25" customHeight="1" x14ac:dyDescent="0.25">
      <c r="A203" s="161" t="s">
        <v>127</v>
      </c>
      <c r="B203" s="322">
        <v>190</v>
      </c>
      <c r="C203" s="718"/>
      <c r="D203" s="698"/>
      <c r="E203" s="697"/>
      <c r="F203" s="719"/>
      <c r="G203" s="719"/>
    </row>
    <row r="204" spans="1:7" s="146" customFormat="1" ht="17.25" customHeight="1" x14ac:dyDescent="0.25">
      <c r="A204" s="161" t="s">
        <v>127</v>
      </c>
      <c r="B204" s="322">
        <v>191</v>
      </c>
      <c r="C204" s="718"/>
      <c r="D204" s="698"/>
      <c r="E204" s="697"/>
      <c r="F204" s="719"/>
      <c r="G204" s="719"/>
    </row>
    <row r="205" spans="1:7" s="146" customFormat="1" ht="17.25" customHeight="1" x14ac:dyDescent="0.25">
      <c r="A205" s="161" t="s">
        <v>127</v>
      </c>
      <c r="B205" s="322">
        <v>192</v>
      </c>
      <c r="C205" s="718"/>
      <c r="D205" s="698"/>
      <c r="E205" s="697"/>
      <c r="F205" s="719"/>
      <c r="G205" s="719"/>
    </row>
    <row r="206" spans="1:7" s="146" customFormat="1" ht="17.25" customHeight="1" x14ac:dyDescent="0.25">
      <c r="A206" s="161" t="s">
        <v>127</v>
      </c>
      <c r="B206" s="322">
        <v>193</v>
      </c>
      <c r="C206" s="718"/>
      <c r="D206" s="698"/>
      <c r="E206" s="697"/>
      <c r="F206" s="719"/>
      <c r="G206" s="719"/>
    </row>
    <row r="207" spans="1:7" s="136" customFormat="1" ht="17.25" customHeight="1" x14ac:dyDescent="0.25">
      <c r="A207" s="161" t="s">
        <v>127</v>
      </c>
      <c r="B207" s="337">
        <v>194</v>
      </c>
      <c r="C207" s="149" t="s">
        <v>128</v>
      </c>
      <c r="D207" s="149" t="s">
        <v>129</v>
      </c>
      <c r="E207" s="151"/>
      <c r="F207" s="181"/>
      <c r="G207" s="181"/>
    </row>
    <row r="208" spans="1:7" s="136" customFormat="1" ht="17.25" customHeight="1" x14ac:dyDescent="0.25">
      <c r="A208" s="161" t="s">
        <v>127</v>
      </c>
      <c r="B208" s="322">
        <v>195</v>
      </c>
      <c r="C208" s="699"/>
      <c r="D208" s="202"/>
      <c r="E208" s="151"/>
      <c r="F208" s="181"/>
      <c r="G208" s="181"/>
    </row>
    <row r="209" spans="1:7" s="136" customFormat="1" ht="17.25" customHeight="1" x14ac:dyDescent="0.25">
      <c r="A209" s="161" t="s">
        <v>127</v>
      </c>
      <c r="B209" s="322">
        <v>196</v>
      </c>
      <c r="C209" s="699"/>
      <c r="D209" s="202"/>
      <c r="E209" s="151"/>
      <c r="F209" s="181"/>
      <c r="G209" s="181"/>
    </row>
    <row r="210" spans="1:7" s="136" customFormat="1" ht="17.25" customHeight="1" x14ac:dyDescent="0.25">
      <c r="A210" s="161" t="s">
        <v>127</v>
      </c>
      <c r="B210" s="322">
        <v>197</v>
      </c>
      <c r="C210" s="699"/>
      <c r="D210" s="202"/>
      <c r="E210" s="151"/>
      <c r="F210" s="181"/>
      <c r="G210" s="181"/>
    </row>
    <row r="211" spans="1:7" s="136" customFormat="1" ht="17.25" customHeight="1" x14ac:dyDescent="0.25">
      <c r="A211" s="161" t="s">
        <v>127</v>
      </c>
      <c r="B211" s="322">
        <v>198</v>
      </c>
      <c r="C211" s="699"/>
      <c r="D211" s="202"/>
      <c r="E211" s="151"/>
      <c r="F211" s="181"/>
      <c r="G211" s="181"/>
    </row>
    <row r="212" spans="1:7" s="136" customFormat="1" ht="17.25" customHeight="1" x14ac:dyDescent="0.25">
      <c r="A212" s="161" t="s">
        <v>127</v>
      </c>
      <c r="B212" s="322">
        <v>199</v>
      </c>
      <c r="C212" s="699"/>
      <c r="D212" s="202"/>
      <c r="E212" s="151"/>
      <c r="F212" s="181"/>
      <c r="G212" s="181"/>
    </row>
    <row r="213" spans="1:7" s="136" customFormat="1" ht="17.25" customHeight="1" x14ac:dyDescent="0.25">
      <c r="A213" s="161" t="s">
        <v>127</v>
      </c>
      <c r="B213" s="322">
        <v>200</v>
      </c>
      <c r="C213" s="699"/>
      <c r="D213" s="202"/>
      <c r="E213" s="151"/>
      <c r="F213" s="181"/>
      <c r="G213" s="181"/>
    </row>
    <row r="214" spans="1:7" s="136" customFormat="1" ht="17.25" customHeight="1" x14ac:dyDescent="0.25">
      <c r="A214" s="161" t="s">
        <v>127</v>
      </c>
      <c r="B214" s="322">
        <v>201</v>
      </c>
      <c r="C214" s="699"/>
      <c r="D214" s="202"/>
      <c r="E214" s="151"/>
      <c r="F214" s="181"/>
      <c r="G214" s="181"/>
    </row>
    <row r="215" spans="1:7" s="136" customFormat="1" ht="17.25" customHeight="1" x14ac:dyDescent="0.25">
      <c r="A215" s="161" t="s">
        <v>127</v>
      </c>
      <c r="B215" s="322">
        <v>202</v>
      </c>
      <c r="C215" s="699"/>
      <c r="D215" s="202"/>
      <c r="E215" s="151"/>
      <c r="F215" s="181"/>
      <c r="G215" s="181"/>
    </row>
    <row r="216" spans="1:7" s="136" customFormat="1" ht="17.25" customHeight="1" x14ac:dyDescent="0.25">
      <c r="A216" s="161" t="s">
        <v>127</v>
      </c>
      <c r="B216" s="322">
        <v>203</v>
      </c>
      <c r="C216" s="699"/>
      <c r="D216" s="202"/>
      <c r="E216" s="151"/>
      <c r="F216" s="181"/>
      <c r="G216" s="181"/>
    </row>
    <row r="217" spans="1:7" s="136" customFormat="1" ht="17.25" customHeight="1" x14ac:dyDescent="0.25">
      <c r="A217" s="161" t="s">
        <v>127</v>
      </c>
      <c r="B217" s="322">
        <v>204</v>
      </c>
      <c r="C217" s="699"/>
      <c r="D217" s="700"/>
      <c r="E217" s="697"/>
      <c r="F217" s="720"/>
      <c r="G217" s="720"/>
    </row>
    <row r="218" spans="1:7" s="136" customFormat="1" ht="17.25" customHeight="1" x14ac:dyDescent="0.25">
      <c r="A218" s="161" t="s">
        <v>127</v>
      </c>
      <c r="B218" s="337">
        <v>205</v>
      </c>
      <c r="C218" s="698" t="s">
        <v>130</v>
      </c>
      <c r="D218" s="302" t="s">
        <v>131</v>
      </c>
      <c r="E218" s="697"/>
      <c r="F218" s="720"/>
      <c r="G218" s="720"/>
    </row>
    <row r="219" spans="1:7" s="136" customFormat="1" ht="17.25" customHeight="1" x14ac:dyDescent="0.25">
      <c r="A219" s="161" t="s">
        <v>127</v>
      </c>
      <c r="B219" s="337">
        <v>206</v>
      </c>
      <c r="C219" s="698" t="s">
        <v>132</v>
      </c>
      <c r="D219" s="698" t="s">
        <v>133</v>
      </c>
      <c r="E219" s="697"/>
      <c r="F219" s="720"/>
      <c r="G219" s="720"/>
    </row>
    <row r="220" spans="1:7" s="136" customFormat="1" ht="17.25" customHeight="1" x14ac:dyDescent="0.25">
      <c r="A220" s="161" t="s">
        <v>127</v>
      </c>
      <c r="B220" s="322">
        <v>207</v>
      </c>
      <c r="C220" s="698"/>
      <c r="D220" s="698"/>
      <c r="E220" s="697"/>
      <c r="F220" s="720"/>
      <c r="G220" s="720"/>
    </row>
    <row r="221" spans="1:7" s="136" customFormat="1" ht="17.25" customHeight="1" x14ac:dyDescent="0.25">
      <c r="A221" s="161" t="s">
        <v>127</v>
      </c>
      <c r="B221" s="322">
        <v>208</v>
      </c>
      <c r="C221" s="699"/>
      <c r="D221" s="700"/>
      <c r="E221" s="697"/>
      <c r="F221" s="720"/>
      <c r="G221" s="720"/>
    </row>
    <row r="222" spans="1:7" s="136" customFormat="1" ht="17.25" customHeight="1" x14ac:dyDescent="0.25">
      <c r="A222" s="161" t="s">
        <v>127</v>
      </c>
      <c r="B222" s="322">
        <v>209</v>
      </c>
      <c r="C222" s="699"/>
      <c r="D222" s="700"/>
      <c r="E222" s="697"/>
      <c r="F222" s="720"/>
      <c r="G222" s="720"/>
    </row>
    <row r="223" spans="1:7" s="136" customFormat="1" ht="17.25" customHeight="1" x14ac:dyDescent="0.25">
      <c r="A223" s="161" t="s">
        <v>127</v>
      </c>
      <c r="B223" s="322">
        <v>210</v>
      </c>
      <c r="C223" s="699"/>
      <c r="D223" s="700"/>
      <c r="E223" s="697"/>
      <c r="F223" s="720"/>
      <c r="G223" s="720"/>
    </row>
    <row r="224" spans="1:7" s="136" customFormat="1" ht="17.25" customHeight="1" x14ac:dyDescent="0.25">
      <c r="A224" s="161" t="s">
        <v>127</v>
      </c>
      <c r="B224" s="322">
        <v>211</v>
      </c>
      <c r="C224" s="699"/>
      <c r="D224" s="700"/>
      <c r="E224" s="697"/>
      <c r="F224" s="720"/>
      <c r="G224" s="720"/>
    </row>
    <row r="225" spans="1:7" s="136" customFormat="1" ht="17.25" customHeight="1" x14ac:dyDescent="0.25">
      <c r="A225" s="161" t="s">
        <v>127</v>
      </c>
      <c r="B225" s="322">
        <v>212</v>
      </c>
      <c r="C225" s="699"/>
      <c r="D225" s="700"/>
      <c r="E225" s="697"/>
      <c r="F225" s="720"/>
      <c r="G225" s="720"/>
    </row>
    <row r="226" spans="1:7" s="136" customFormat="1" ht="17.25" customHeight="1" x14ac:dyDescent="0.25">
      <c r="A226" s="161" t="s">
        <v>127</v>
      </c>
      <c r="B226" s="322">
        <v>213</v>
      </c>
      <c r="C226" s="699"/>
      <c r="D226" s="700"/>
      <c r="E226" s="697"/>
      <c r="F226" s="720"/>
      <c r="G226" s="720"/>
    </row>
    <row r="227" spans="1:7" s="136" customFormat="1" ht="17.25" customHeight="1" x14ac:dyDescent="0.25">
      <c r="A227" s="161" t="s">
        <v>127</v>
      </c>
      <c r="B227" s="322">
        <v>214</v>
      </c>
      <c r="C227" s="699"/>
      <c r="D227" s="700"/>
      <c r="E227" s="697"/>
      <c r="F227" s="720"/>
      <c r="G227" s="720"/>
    </row>
    <row r="228" spans="1:7" s="136" customFormat="1" ht="17.25" customHeight="1" x14ac:dyDescent="0.25">
      <c r="A228" s="161" t="s">
        <v>127</v>
      </c>
      <c r="B228" s="322">
        <v>215</v>
      </c>
      <c r="C228" s="699"/>
      <c r="D228" s="700"/>
      <c r="E228" s="697"/>
      <c r="F228" s="720"/>
      <c r="G228" s="720"/>
    </row>
    <row r="229" spans="1:7" s="136" customFormat="1" ht="17.25" customHeight="1" x14ac:dyDescent="0.25">
      <c r="A229" s="161" t="s">
        <v>127</v>
      </c>
      <c r="B229" s="322">
        <v>216</v>
      </c>
      <c r="C229" s="699"/>
      <c r="D229" s="700"/>
      <c r="E229" s="697"/>
      <c r="F229" s="720"/>
      <c r="G229" s="720"/>
    </row>
    <row r="230" spans="1:7" s="136" customFormat="1" ht="17.25" customHeight="1" x14ac:dyDescent="0.25">
      <c r="A230" s="161" t="s">
        <v>127</v>
      </c>
      <c r="B230" s="322">
        <v>217</v>
      </c>
      <c r="C230" s="699"/>
      <c r="D230" s="700"/>
      <c r="E230" s="697"/>
      <c r="F230" s="720"/>
      <c r="G230" s="720"/>
    </row>
    <row r="231" spans="1:7" s="136" customFormat="1" ht="17.25" customHeight="1" x14ac:dyDescent="0.25">
      <c r="A231" s="161" t="s">
        <v>127</v>
      </c>
      <c r="B231" s="322">
        <v>218</v>
      </c>
      <c r="C231" s="699"/>
      <c r="D231" s="700"/>
      <c r="E231" s="697"/>
      <c r="F231" s="720"/>
      <c r="G231" s="720"/>
    </row>
    <row r="232" spans="1:7" ht="17.25" customHeight="1" x14ac:dyDescent="0.2">
      <c r="A232" s="161" t="s">
        <v>127</v>
      </c>
      <c r="B232" s="322">
        <v>219</v>
      </c>
      <c r="C232" s="721"/>
      <c r="D232" s="722"/>
      <c r="E232" s="697"/>
      <c r="F232" s="720"/>
      <c r="G232" s="720"/>
    </row>
    <row r="233" spans="1:7" s="148" customFormat="1" ht="17.25" customHeight="1" x14ac:dyDescent="0.25">
      <c r="A233" s="161" t="s">
        <v>127</v>
      </c>
      <c r="B233" s="337">
        <v>220</v>
      </c>
      <c r="C233" s="698" t="s">
        <v>134</v>
      </c>
      <c r="D233" s="698" t="s">
        <v>135</v>
      </c>
      <c r="E233" s="697"/>
      <c r="F233" s="720"/>
      <c r="G233" s="720"/>
    </row>
    <row r="234" spans="1:7" s="136" customFormat="1" ht="17.25" customHeight="1" x14ac:dyDescent="0.25">
      <c r="A234" s="161" t="s">
        <v>127</v>
      </c>
      <c r="B234" s="337">
        <v>221</v>
      </c>
      <c r="C234" s="698" t="s">
        <v>136</v>
      </c>
      <c r="D234" s="698" t="s">
        <v>137</v>
      </c>
      <c r="E234" s="697"/>
      <c r="F234" s="720"/>
      <c r="G234" s="720"/>
    </row>
    <row r="235" spans="1:7" s="136" customFormat="1" ht="17.25" customHeight="1" x14ac:dyDescent="0.25">
      <c r="A235" s="161" t="s">
        <v>127</v>
      </c>
      <c r="B235" s="337">
        <v>222</v>
      </c>
      <c r="C235" s="698" t="s">
        <v>138</v>
      </c>
      <c r="D235" s="698" t="s">
        <v>139</v>
      </c>
      <c r="E235" s="697"/>
      <c r="F235" s="720"/>
      <c r="G235" s="720"/>
    </row>
    <row r="236" spans="1:7" s="136" customFormat="1" ht="17.25" customHeight="1" x14ac:dyDescent="0.25">
      <c r="A236" s="161" t="s">
        <v>127</v>
      </c>
      <c r="B236" s="337">
        <v>223</v>
      </c>
      <c r="C236" s="698" t="s">
        <v>140</v>
      </c>
      <c r="D236" s="698" t="s">
        <v>141</v>
      </c>
      <c r="E236" s="697"/>
      <c r="F236" s="720"/>
      <c r="G236" s="720"/>
    </row>
    <row r="237" spans="1:7" s="136" customFormat="1" ht="17.25" customHeight="1" x14ac:dyDescent="0.25">
      <c r="A237" s="161" t="s">
        <v>127</v>
      </c>
      <c r="B237" s="337">
        <v>224</v>
      </c>
      <c r="C237" s="698" t="s">
        <v>142</v>
      </c>
      <c r="D237" s="698" t="s">
        <v>143</v>
      </c>
      <c r="E237" s="697"/>
      <c r="F237" s="720"/>
      <c r="G237" s="720"/>
    </row>
    <row r="238" spans="1:7" s="136" customFormat="1" ht="17.25" customHeight="1" x14ac:dyDescent="0.25">
      <c r="A238" s="161" t="s">
        <v>127</v>
      </c>
      <c r="B238" s="322">
        <v>225</v>
      </c>
      <c r="C238" s="698"/>
      <c r="D238" s="698"/>
      <c r="E238" s="697"/>
      <c r="F238" s="720"/>
      <c r="G238" s="720"/>
    </row>
    <row r="239" spans="1:7" s="136" customFormat="1" ht="17.25" customHeight="1" x14ac:dyDescent="0.25">
      <c r="A239" s="161" t="s">
        <v>127</v>
      </c>
      <c r="B239" s="322">
        <v>226</v>
      </c>
      <c r="C239" s="698"/>
      <c r="D239" s="698"/>
      <c r="E239" s="697"/>
      <c r="F239" s="720"/>
      <c r="G239" s="720"/>
    </row>
    <row r="240" spans="1:7" s="136" customFormat="1" ht="17.25" customHeight="1" x14ac:dyDescent="0.25">
      <c r="A240" s="161" t="s">
        <v>127</v>
      </c>
      <c r="B240" s="322">
        <v>227</v>
      </c>
      <c r="C240" s="698"/>
      <c r="D240" s="698"/>
      <c r="E240" s="697"/>
      <c r="F240" s="720"/>
      <c r="G240" s="720"/>
    </row>
    <row r="241" spans="1:7" s="136" customFormat="1" ht="17.25" customHeight="1" x14ac:dyDescent="0.25">
      <c r="A241" s="161" t="s">
        <v>127</v>
      </c>
      <c r="B241" s="322">
        <v>228</v>
      </c>
      <c r="C241" s="698"/>
      <c r="D241" s="698"/>
      <c r="E241" s="697"/>
      <c r="F241" s="720"/>
      <c r="G241" s="720"/>
    </row>
    <row r="242" spans="1:7" s="136" customFormat="1" ht="17.25" customHeight="1" x14ac:dyDescent="0.25">
      <c r="A242" s="161" t="s">
        <v>127</v>
      </c>
      <c r="B242" s="322">
        <v>229</v>
      </c>
      <c r="C242" s="698"/>
      <c r="D242" s="698"/>
      <c r="E242" s="697"/>
      <c r="F242" s="720"/>
      <c r="G242" s="720"/>
    </row>
    <row r="243" spans="1:7" s="136" customFormat="1" ht="17.25" customHeight="1" x14ac:dyDescent="0.25">
      <c r="A243" s="161" t="s">
        <v>127</v>
      </c>
      <c r="B243" s="322">
        <v>230</v>
      </c>
      <c r="C243" s="698"/>
      <c r="D243" s="698"/>
      <c r="E243" s="697"/>
      <c r="F243" s="720"/>
      <c r="G243" s="720"/>
    </row>
    <row r="244" spans="1:7" s="136" customFormat="1" ht="17.25" customHeight="1" x14ac:dyDescent="0.25">
      <c r="A244" s="161" t="s">
        <v>127</v>
      </c>
      <c r="B244" s="322">
        <v>231</v>
      </c>
      <c r="C244" s="698"/>
      <c r="D244" s="698"/>
      <c r="E244" s="697"/>
      <c r="F244" s="720"/>
      <c r="G244" s="720"/>
    </row>
    <row r="245" spans="1:7" s="136" customFormat="1" ht="17.25" customHeight="1" x14ac:dyDescent="0.25">
      <c r="A245" s="161" t="s">
        <v>127</v>
      </c>
      <c r="B245" s="322">
        <v>232</v>
      </c>
      <c r="C245" s="698"/>
      <c r="D245" s="698"/>
      <c r="E245" s="697"/>
      <c r="F245" s="720"/>
      <c r="G245" s="720"/>
    </row>
    <row r="246" spans="1:7" s="136" customFormat="1" ht="17.25" customHeight="1" x14ac:dyDescent="0.25">
      <c r="A246" s="161" t="s">
        <v>127</v>
      </c>
      <c r="B246" s="322">
        <v>233</v>
      </c>
      <c r="C246" s="698"/>
      <c r="D246" s="698"/>
      <c r="E246" s="697"/>
      <c r="F246" s="720"/>
      <c r="G246" s="720"/>
    </row>
    <row r="247" spans="1:7" s="136" customFormat="1" ht="17.25" customHeight="1" x14ac:dyDescent="0.25">
      <c r="A247" s="161" t="s">
        <v>127</v>
      </c>
      <c r="B247" s="322">
        <v>234</v>
      </c>
      <c r="C247" s="698"/>
      <c r="D247" s="698"/>
      <c r="E247" s="697"/>
      <c r="F247" s="720"/>
      <c r="G247" s="720"/>
    </row>
    <row r="248" spans="1:7" s="136" customFormat="1" ht="17.25" customHeight="1" x14ac:dyDescent="0.25">
      <c r="A248" s="161" t="s">
        <v>127</v>
      </c>
      <c r="B248" s="322">
        <v>235</v>
      </c>
      <c r="C248" s="698"/>
      <c r="D248" s="698"/>
      <c r="E248" s="697"/>
      <c r="F248" s="720"/>
      <c r="G248" s="720"/>
    </row>
    <row r="249" spans="1:7" s="136" customFormat="1" ht="17.25" customHeight="1" x14ac:dyDescent="0.25">
      <c r="A249" s="161" t="s">
        <v>127</v>
      </c>
      <c r="B249" s="322">
        <v>236</v>
      </c>
      <c r="C249" s="698"/>
      <c r="D249" s="698"/>
      <c r="E249" s="697"/>
      <c r="F249" s="720"/>
      <c r="G249" s="720"/>
    </row>
    <row r="250" spans="1:7" s="136" customFormat="1" ht="17.25" customHeight="1" x14ac:dyDescent="0.25">
      <c r="A250" s="161" t="s">
        <v>127</v>
      </c>
      <c r="B250" s="337">
        <v>237</v>
      </c>
      <c r="C250" s="696" t="s">
        <v>144</v>
      </c>
      <c r="D250" s="696" t="s">
        <v>145</v>
      </c>
      <c r="E250" s="697"/>
      <c r="F250" s="720"/>
      <c r="G250" s="720"/>
    </row>
    <row r="251" spans="1:7" s="136" customFormat="1" ht="17.25" customHeight="1" x14ac:dyDescent="0.25">
      <c r="A251" s="161" t="s">
        <v>127</v>
      </c>
      <c r="B251" s="337">
        <v>238</v>
      </c>
      <c r="C251" s="698" t="s">
        <v>146</v>
      </c>
      <c r="D251" s="698" t="s">
        <v>147</v>
      </c>
      <c r="E251" s="697"/>
      <c r="F251" s="720"/>
      <c r="G251" s="720"/>
    </row>
    <row r="252" spans="1:7" s="136" customFormat="1" ht="17.25" customHeight="1" x14ac:dyDescent="0.25">
      <c r="A252" s="161" t="s">
        <v>127</v>
      </c>
      <c r="B252" s="337">
        <v>239</v>
      </c>
      <c r="C252" s="302" t="s">
        <v>148</v>
      </c>
      <c r="D252" s="302" t="s">
        <v>148</v>
      </c>
      <c r="E252" s="697"/>
      <c r="F252" s="720"/>
      <c r="G252" s="720"/>
    </row>
    <row r="253" spans="1:7" s="136" customFormat="1" ht="17.25" customHeight="1" x14ac:dyDescent="0.25">
      <c r="A253" s="161" t="s">
        <v>127</v>
      </c>
      <c r="B253" s="337">
        <v>240</v>
      </c>
      <c r="C253" s="698" t="s">
        <v>149</v>
      </c>
      <c r="D253" s="698" t="s">
        <v>149</v>
      </c>
      <c r="E253" s="697"/>
      <c r="F253" s="720"/>
      <c r="G253" s="720"/>
    </row>
    <row r="254" spans="1:7" s="136" customFormat="1" ht="17.25" customHeight="1" x14ac:dyDescent="0.25">
      <c r="A254" s="161" t="s">
        <v>127</v>
      </c>
      <c r="B254" s="337">
        <v>241</v>
      </c>
      <c r="C254" s="698" t="s">
        <v>150</v>
      </c>
      <c r="D254" s="698" t="s">
        <v>151</v>
      </c>
      <c r="E254" s="697"/>
      <c r="F254" s="720"/>
      <c r="G254" s="720"/>
    </row>
    <row r="255" spans="1:7" s="136" customFormat="1" ht="17.25" customHeight="1" x14ac:dyDescent="0.25">
      <c r="A255" s="161" t="s">
        <v>127</v>
      </c>
      <c r="B255" s="337">
        <v>242</v>
      </c>
      <c r="C255" s="698" t="s">
        <v>152</v>
      </c>
      <c r="D255" s="698" t="s">
        <v>153</v>
      </c>
      <c r="E255" s="697"/>
      <c r="F255" s="720"/>
      <c r="G255" s="720"/>
    </row>
    <row r="256" spans="1:7" s="136" customFormat="1" ht="17.25" customHeight="1" x14ac:dyDescent="0.25">
      <c r="A256" s="161" t="s">
        <v>127</v>
      </c>
      <c r="B256" s="337">
        <v>243</v>
      </c>
      <c r="C256" s="698" t="s">
        <v>154</v>
      </c>
      <c r="D256" s="698" t="s">
        <v>83</v>
      </c>
      <c r="E256" s="697"/>
      <c r="F256" s="720"/>
      <c r="G256" s="720"/>
    </row>
    <row r="257" spans="1:7" s="136" customFormat="1" ht="17.25" customHeight="1" x14ac:dyDescent="0.25">
      <c r="A257" s="161" t="s">
        <v>127</v>
      </c>
      <c r="B257" s="337">
        <v>244</v>
      </c>
      <c r="C257" s="698" t="s">
        <v>84</v>
      </c>
      <c r="D257" s="698" t="s">
        <v>85</v>
      </c>
      <c r="E257" s="697"/>
      <c r="F257" s="720"/>
      <c r="G257" s="720"/>
    </row>
    <row r="258" spans="1:7" s="136" customFormat="1" ht="17.25" customHeight="1" x14ac:dyDescent="0.25">
      <c r="A258" s="161" t="s">
        <v>127</v>
      </c>
      <c r="B258" s="337">
        <v>245</v>
      </c>
      <c r="C258" s="698" t="s">
        <v>155</v>
      </c>
      <c r="D258" s="698" t="s">
        <v>156</v>
      </c>
      <c r="E258" s="697"/>
      <c r="F258" s="720"/>
      <c r="G258" s="720"/>
    </row>
    <row r="259" spans="1:7" s="136" customFormat="1" ht="17.25" customHeight="1" x14ac:dyDescent="0.25">
      <c r="A259" s="161" t="s">
        <v>127</v>
      </c>
      <c r="B259" s="337">
        <v>246</v>
      </c>
      <c r="C259" s="698" t="s">
        <v>157</v>
      </c>
      <c r="D259" s="698" t="s">
        <v>158</v>
      </c>
      <c r="E259" s="697"/>
      <c r="F259" s="720"/>
      <c r="G259" s="720"/>
    </row>
    <row r="260" spans="1:7" s="136" customFormat="1" ht="17.25" customHeight="1" x14ac:dyDescent="0.25">
      <c r="A260" s="161" t="s">
        <v>127</v>
      </c>
      <c r="B260" s="337">
        <v>247</v>
      </c>
      <c r="C260" s="698" t="s">
        <v>159</v>
      </c>
      <c r="D260" s="698" t="s">
        <v>160</v>
      </c>
      <c r="E260" s="697"/>
      <c r="F260" s="720"/>
      <c r="G260" s="720"/>
    </row>
    <row r="261" spans="1:7" s="136" customFormat="1" ht="17.25" customHeight="1" x14ac:dyDescent="0.25">
      <c r="A261" s="161" t="s">
        <v>127</v>
      </c>
      <c r="B261" s="337">
        <v>248</v>
      </c>
      <c r="C261" s="302" t="s">
        <v>161</v>
      </c>
      <c r="D261" s="698" t="s">
        <v>162</v>
      </c>
      <c r="E261" s="697"/>
      <c r="F261" s="720"/>
      <c r="G261" s="720"/>
    </row>
    <row r="262" spans="1:7" s="136" customFormat="1" ht="17.25" customHeight="1" x14ac:dyDescent="0.25">
      <c r="A262" s="161" t="s">
        <v>127</v>
      </c>
      <c r="B262" s="337">
        <v>249</v>
      </c>
      <c r="C262" s="698" t="s">
        <v>163</v>
      </c>
      <c r="D262" s="698" t="s">
        <v>164</v>
      </c>
      <c r="E262" s="697"/>
      <c r="F262" s="720"/>
      <c r="G262" s="720"/>
    </row>
    <row r="263" spans="1:7" s="136" customFormat="1" ht="17.25" customHeight="1" x14ac:dyDescent="0.25">
      <c r="A263" s="161" t="s">
        <v>127</v>
      </c>
      <c r="B263" s="337">
        <v>250</v>
      </c>
      <c r="C263" s="698" t="s">
        <v>165</v>
      </c>
      <c r="D263" s="698" t="s">
        <v>166</v>
      </c>
      <c r="E263" s="697"/>
      <c r="F263" s="720"/>
      <c r="G263" s="720"/>
    </row>
    <row r="264" spans="1:7" s="136" customFormat="1" ht="17.25" customHeight="1" x14ac:dyDescent="0.25">
      <c r="A264" s="161" t="s">
        <v>127</v>
      </c>
      <c r="B264" s="337">
        <v>251</v>
      </c>
      <c r="C264" s="698" t="s">
        <v>167</v>
      </c>
      <c r="D264" s="698" t="s">
        <v>168</v>
      </c>
      <c r="E264" s="697"/>
      <c r="F264" s="720"/>
      <c r="G264" s="720"/>
    </row>
    <row r="265" spans="1:7" s="136" customFormat="1" ht="17.25" customHeight="1" x14ac:dyDescent="0.25">
      <c r="A265" s="161" t="s">
        <v>127</v>
      </c>
      <c r="B265" s="337">
        <v>252</v>
      </c>
      <c r="C265" s="698" t="s">
        <v>169</v>
      </c>
      <c r="D265" s="698" t="s">
        <v>170</v>
      </c>
      <c r="E265" s="697"/>
      <c r="F265" s="720"/>
      <c r="G265" s="720"/>
    </row>
    <row r="266" spans="1:7" s="136" customFormat="1" ht="17.25" customHeight="1" x14ac:dyDescent="0.25">
      <c r="A266" s="161" t="s">
        <v>127</v>
      </c>
      <c r="B266" s="337">
        <v>253</v>
      </c>
      <c r="C266" s="698" t="s">
        <v>171</v>
      </c>
      <c r="D266" s="698" t="s">
        <v>172</v>
      </c>
      <c r="E266" s="697"/>
      <c r="F266" s="720"/>
      <c r="G266" s="720"/>
    </row>
    <row r="267" spans="1:7" s="136" customFormat="1" ht="17.25" customHeight="1" x14ac:dyDescent="0.25">
      <c r="A267" s="161" t="s">
        <v>127</v>
      </c>
      <c r="B267" s="337">
        <v>254</v>
      </c>
      <c r="C267" s="698" t="s">
        <v>173</v>
      </c>
      <c r="D267" s="698" t="s">
        <v>174</v>
      </c>
      <c r="E267" s="697"/>
      <c r="F267" s="720"/>
      <c r="G267" s="720"/>
    </row>
    <row r="268" spans="1:7" s="136" customFormat="1" ht="17.25" customHeight="1" x14ac:dyDescent="0.25">
      <c r="A268" s="161" t="s">
        <v>127</v>
      </c>
      <c r="B268" s="337">
        <v>255</v>
      </c>
      <c r="C268" s="698" t="s">
        <v>175</v>
      </c>
      <c r="D268" s="698" t="s">
        <v>176</v>
      </c>
      <c r="E268" s="697"/>
      <c r="F268" s="720"/>
      <c r="G268" s="720"/>
    </row>
    <row r="269" spans="1:7" s="136" customFormat="1" ht="17.25" customHeight="1" x14ac:dyDescent="0.25">
      <c r="A269" s="161" t="s">
        <v>127</v>
      </c>
      <c r="B269" s="337">
        <v>256</v>
      </c>
      <c r="C269" s="698" t="s">
        <v>177</v>
      </c>
      <c r="D269" s="698" t="s">
        <v>178</v>
      </c>
      <c r="E269" s="697"/>
      <c r="F269" s="720"/>
      <c r="G269" s="720"/>
    </row>
    <row r="270" spans="1:7" s="136" customFormat="1" ht="17.25" customHeight="1" x14ac:dyDescent="0.25">
      <c r="A270" s="161" t="s">
        <v>127</v>
      </c>
      <c r="B270" s="322">
        <v>257</v>
      </c>
      <c r="C270" s="698"/>
      <c r="D270" s="698"/>
      <c r="E270" s="697"/>
      <c r="F270" s="720"/>
      <c r="G270" s="720"/>
    </row>
    <row r="271" spans="1:7" s="136" customFormat="1" ht="17.25" customHeight="1" x14ac:dyDescent="0.25">
      <c r="A271" s="161" t="s">
        <v>127</v>
      </c>
      <c r="B271" s="322">
        <v>258</v>
      </c>
      <c r="C271" s="698"/>
      <c r="D271" s="698"/>
      <c r="E271" s="697"/>
      <c r="F271" s="720"/>
      <c r="G271" s="720"/>
    </row>
    <row r="272" spans="1:7" s="136" customFormat="1" ht="17.25" customHeight="1" x14ac:dyDescent="0.25">
      <c r="A272" s="161" t="s">
        <v>127</v>
      </c>
      <c r="B272" s="322">
        <v>259</v>
      </c>
      <c r="C272" s="698"/>
      <c r="D272" s="698"/>
      <c r="E272" s="697"/>
      <c r="F272" s="720"/>
      <c r="G272" s="720"/>
    </row>
    <row r="273" spans="1:7" s="136" customFormat="1" ht="17.25" customHeight="1" x14ac:dyDescent="0.25">
      <c r="A273" s="161" t="s">
        <v>127</v>
      </c>
      <c r="B273" s="322">
        <v>260</v>
      </c>
      <c r="C273" s="698"/>
      <c r="D273" s="698"/>
      <c r="E273" s="697"/>
      <c r="F273" s="720"/>
      <c r="G273" s="720"/>
    </row>
    <row r="274" spans="1:7" s="136" customFormat="1" ht="17.25" customHeight="1" x14ac:dyDescent="0.25">
      <c r="A274" s="161" t="s">
        <v>127</v>
      </c>
      <c r="B274" s="322">
        <v>261</v>
      </c>
      <c r="C274" s="698"/>
      <c r="D274" s="698"/>
      <c r="E274" s="697"/>
      <c r="F274" s="720"/>
      <c r="G274" s="720"/>
    </row>
    <row r="275" spans="1:7" s="136" customFormat="1" ht="17.25" customHeight="1" x14ac:dyDescent="0.25">
      <c r="A275" s="161" t="s">
        <v>127</v>
      </c>
      <c r="B275" s="322">
        <v>262</v>
      </c>
      <c r="C275" s="698"/>
      <c r="D275" s="698"/>
      <c r="E275" s="697"/>
      <c r="F275" s="720"/>
      <c r="G275" s="720"/>
    </row>
    <row r="276" spans="1:7" s="136" customFormat="1" ht="17.25" customHeight="1" x14ac:dyDescent="0.25">
      <c r="A276" s="161" t="s">
        <v>127</v>
      </c>
      <c r="B276" s="322">
        <v>263</v>
      </c>
      <c r="C276" s="698"/>
      <c r="D276" s="698"/>
      <c r="E276" s="697"/>
      <c r="F276" s="720"/>
      <c r="G276" s="720"/>
    </row>
    <row r="277" spans="1:7" s="136" customFormat="1" ht="17.25" customHeight="1" x14ac:dyDescent="0.25">
      <c r="A277" s="161" t="s">
        <v>127</v>
      </c>
      <c r="B277" s="322">
        <v>264</v>
      </c>
      <c r="C277" s="698"/>
      <c r="D277" s="698"/>
      <c r="E277" s="697"/>
      <c r="F277" s="720"/>
      <c r="G277" s="720"/>
    </row>
    <row r="278" spans="1:7" s="136" customFormat="1" ht="17.25" customHeight="1" x14ac:dyDescent="0.25">
      <c r="A278" s="161" t="s">
        <v>127</v>
      </c>
      <c r="B278" s="322">
        <v>265</v>
      </c>
      <c r="C278" s="698"/>
      <c r="D278" s="698"/>
      <c r="E278" s="697"/>
      <c r="F278" s="720"/>
      <c r="G278" s="720"/>
    </row>
    <row r="279" spans="1:7" s="136" customFormat="1" ht="17.25" customHeight="1" x14ac:dyDescent="0.25">
      <c r="A279" s="161" t="s">
        <v>127</v>
      </c>
      <c r="B279" s="322">
        <v>266</v>
      </c>
      <c r="C279" s="698"/>
      <c r="D279" s="698"/>
      <c r="E279" s="697"/>
      <c r="F279" s="720"/>
      <c r="G279" s="720"/>
    </row>
    <row r="280" spans="1:7" s="136" customFormat="1" ht="17.25" customHeight="1" x14ac:dyDescent="0.25">
      <c r="A280" s="161" t="s">
        <v>127</v>
      </c>
      <c r="B280" s="322">
        <v>267</v>
      </c>
      <c r="C280" s="698"/>
      <c r="D280" s="698"/>
      <c r="E280" s="697"/>
      <c r="F280" s="720"/>
      <c r="G280" s="720"/>
    </row>
    <row r="281" spans="1:7" s="136" customFormat="1" ht="17.25" customHeight="1" x14ac:dyDescent="0.25">
      <c r="A281" s="161" t="s">
        <v>127</v>
      </c>
      <c r="B281" s="322">
        <v>268</v>
      </c>
      <c r="C281" s="698"/>
      <c r="D281" s="698"/>
      <c r="E281" s="697"/>
      <c r="F281" s="720"/>
      <c r="G281" s="720"/>
    </row>
    <row r="282" spans="1:7" s="136" customFormat="1" ht="17.25" customHeight="1" x14ac:dyDescent="0.25">
      <c r="A282" s="161" t="s">
        <v>127</v>
      </c>
      <c r="B282" s="322">
        <v>269</v>
      </c>
      <c r="C282" s="698"/>
      <c r="D282" s="698"/>
      <c r="E282" s="697"/>
      <c r="F282" s="720"/>
      <c r="G282" s="720"/>
    </row>
    <row r="283" spans="1:7" s="136" customFormat="1" ht="17.25" customHeight="1" x14ac:dyDescent="0.25">
      <c r="A283" s="161" t="s">
        <v>127</v>
      </c>
      <c r="B283" s="322">
        <v>270</v>
      </c>
      <c r="C283" s="698"/>
      <c r="D283" s="698"/>
      <c r="E283" s="697"/>
      <c r="F283" s="720"/>
      <c r="G283" s="720"/>
    </row>
    <row r="284" spans="1:7" s="136" customFormat="1" ht="17.25" customHeight="1" x14ac:dyDescent="0.25">
      <c r="A284" s="161" t="s">
        <v>127</v>
      </c>
      <c r="B284" s="322">
        <v>271</v>
      </c>
      <c r="C284" s="698"/>
      <c r="D284" s="698"/>
      <c r="E284" s="697"/>
      <c r="F284" s="720"/>
      <c r="G284" s="720"/>
    </row>
    <row r="285" spans="1:7" s="136" customFormat="1" ht="17.25" customHeight="1" x14ac:dyDescent="0.25">
      <c r="A285" s="161" t="s">
        <v>127</v>
      </c>
      <c r="B285" s="322">
        <v>272</v>
      </c>
      <c r="C285" s="698"/>
      <c r="D285" s="698"/>
      <c r="E285" s="697"/>
      <c r="F285" s="720"/>
      <c r="G285" s="720"/>
    </row>
    <row r="286" spans="1:7" s="136" customFormat="1" ht="17.25" customHeight="1" x14ac:dyDescent="0.25">
      <c r="A286" s="161" t="s">
        <v>127</v>
      </c>
      <c r="B286" s="337">
        <v>273</v>
      </c>
      <c r="C286" s="696" t="s">
        <v>179</v>
      </c>
      <c r="D286" s="696" t="s">
        <v>180</v>
      </c>
      <c r="E286" s="150"/>
      <c r="F286" s="180"/>
      <c r="G286" s="181"/>
    </row>
    <row r="287" spans="1:7" s="136" customFormat="1" ht="17.25" customHeight="1" x14ac:dyDescent="0.25">
      <c r="A287" s="161" t="s">
        <v>127</v>
      </c>
      <c r="B287" s="337">
        <v>274</v>
      </c>
      <c r="C287" s="149" t="s">
        <v>181</v>
      </c>
      <c r="D287" s="149" t="s">
        <v>182</v>
      </c>
      <c r="E287" s="151"/>
      <c r="F287" s="180"/>
      <c r="G287" s="181"/>
    </row>
    <row r="288" spans="1:7" s="136" customFormat="1" ht="17.25" customHeight="1" x14ac:dyDescent="0.25">
      <c r="A288" s="161" t="s">
        <v>127</v>
      </c>
      <c r="B288" s="337">
        <v>275</v>
      </c>
      <c r="C288" s="149" t="s">
        <v>183</v>
      </c>
      <c r="D288" s="149" t="s">
        <v>184</v>
      </c>
      <c r="E288" s="697"/>
      <c r="F288" s="723"/>
      <c r="G288" s="720"/>
    </row>
    <row r="289" spans="1:7" s="136" customFormat="1" ht="17.25" customHeight="1" x14ac:dyDescent="0.25">
      <c r="A289" s="161" t="s">
        <v>127</v>
      </c>
      <c r="B289" s="337">
        <v>276</v>
      </c>
      <c r="C289" s="698" t="s">
        <v>185</v>
      </c>
      <c r="D289" s="698" t="s">
        <v>186</v>
      </c>
      <c r="E289" s="697"/>
      <c r="F289" s="723"/>
      <c r="G289" s="720"/>
    </row>
    <row r="290" spans="1:7" s="136" customFormat="1" ht="17.25" customHeight="1" x14ac:dyDescent="0.25">
      <c r="A290" s="161" t="s">
        <v>127</v>
      </c>
      <c r="B290" s="337">
        <v>277</v>
      </c>
      <c r="C290" s="698" t="s">
        <v>187</v>
      </c>
      <c r="D290" s="698" t="s">
        <v>188</v>
      </c>
      <c r="E290" s="149"/>
      <c r="F290" s="723"/>
      <c r="G290" s="720"/>
    </row>
    <row r="291" spans="1:7" s="136" customFormat="1" ht="17.25" customHeight="1" x14ac:dyDescent="0.25">
      <c r="A291" s="161" t="s">
        <v>127</v>
      </c>
      <c r="B291" s="322">
        <v>278</v>
      </c>
      <c r="C291" s="698"/>
      <c r="D291" s="698"/>
      <c r="E291" s="698"/>
      <c r="F291" s="723"/>
      <c r="G291" s="720"/>
    </row>
    <row r="292" spans="1:7" s="136" customFormat="1" ht="17.25" customHeight="1" x14ac:dyDescent="0.25">
      <c r="A292" s="161" t="s">
        <v>127</v>
      </c>
      <c r="B292" s="322">
        <v>279</v>
      </c>
      <c r="C292" s="698"/>
      <c r="D292" s="698"/>
      <c r="E292" s="698"/>
      <c r="F292" s="723"/>
      <c r="G292" s="720"/>
    </row>
    <row r="293" spans="1:7" s="136" customFormat="1" ht="17.25" customHeight="1" x14ac:dyDescent="0.25">
      <c r="A293" s="161" t="s">
        <v>127</v>
      </c>
      <c r="B293" s="322">
        <v>280</v>
      </c>
      <c r="C293" s="698"/>
      <c r="D293" s="698"/>
      <c r="E293" s="698"/>
      <c r="F293" s="723"/>
      <c r="G293" s="720"/>
    </row>
    <row r="294" spans="1:7" s="136" customFormat="1" ht="17.25" customHeight="1" x14ac:dyDescent="0.25">
      <c r="A294" s="161" t="s">
        <v>127</v>
      </c>
      <c r="B294" s="322">
        <v>281</v>
      </c>
      <c r="C294" s="698"/>
      <c r="D294" s="698"/>
      <c r="E294" s="698"/>
      <c r="F294" s="723"/>
      <c r="G294" s="720"/>
    </row>
    <row r="295" spans="1:7" s="136" customFormat="1" ht="17.25" customHeight="1" x14ac:dyDescent="0.25">
      <c r="A295" s="161" t="s">
        <v>127</v>
      </c>
      <c r="B295" s="322">
        <v>282</v>
      </c>
      <c r="C295" s="698"/>
      <c r="D295" s="698"/>
      <c r="E295" s="698"/>
      <c r="F295" s="723"/>
      <c r="G295" s="720"/>
    </row>
    <row r="296" spans="1:7" s="136" customFormat="1" ht="17.25" customHeight="1" x14ac:dyDescent="0.25">
      <c r="A296" s="161" t="s">
        <v>127</v>
      </c>
      <c r="B296" s="322">
        <v>283</v>
      </c>
      <c r="C296" s="698"/>
      <c r="D296" s="698"/>
      <c r="E296" s="698"/>
      <c r="F296" s="723"/>
      <c r="G296" s="720"/>
    </row>
    <row r="297" spans="1:7" s="136" customFormat="1" ht="17.25" customHeight="1" x14ac:dyDescent="0.25">
      <c r="A297" s="161" t="s">
        <v>127</v>
      </c>
      <c r="B297" s="322">
        <v>284</v>
      </c>
      <c r="C297" s="698"/>
      <c r="D297" s="698"/>
      <c r="E297" s="698"/>
      <c r="F297" s="723"/>
      <c r="G297" s="720"/>
    </row>
    <row r="298" spans="1:7" s="136" customFormat="1" ht="17.25" customHeight="1" x14ac:dyDescent="0.25">
      <c r="A298" s="161" t="s">
        <v>127</v>
      </c>
      <c r="B298" s="322">
        <v>285</v>
      </c>
      <c r="C298" s="698"/>
      <c r="D298" s="698"/>
      <c r="E298" s="698"/>
      <c r="F298" s="723"/>
      <c r="G298" s="720"/>
    </row>
    <row r="299" spans="1:7" s="136" customFormat="1" ht="17.25" customHeight="1" x14ac:dyDescent="0.25">
      <c r="A299" s="161" t="s">
        <v>127</v>
      </c>
      <c r="B299" s="322">
        <v>286</v>
      </c>
      <c r="C299" s="698"/>
      <c r="D299" s="698"/>
      <c r="E299" s="698"/>
      <c r="F299" s="723"/>
      <c r="G299" s="720"/>
    </row>
    <row r="300" spans="1:7" s="136" customFormat="1" ht="17.25" customHeight="1" x14ac:dyDescent="0.25">
      <c r="A300" s="161" t="s">
        <v>127</v>
      </c>
      <c r="B300" s="322">
        <v>287</v>
      </c>
      <c r="C300" s="698"/>
      <c r="D300" s="698"/>
      <c r="E300" s="698"/>
      <c r="F300" s="723"/>
      <c r="G300" s="720"/>
    </row>
    <row r="301" spans="1:7" s="136" customFormat="1" ht="17.25" customHeight="1" x14ac:dyDescent="0.25">
      <c r="A301" s="161" t="s">
        <v>127</v>
      </c>
      <c r="B301" s="322">
        <v>288</v>
      </c>
      <c r="C301" s="698"/>
      <c r="D301" s="698"/>
      <c r="E301" s="698"/>
      <c r="F301" s="723"/>
      <c r="G301" s="720"/>
    </row>
    <row r="302" spans="1:7" s="136" customFormat="1" ht="17.25" customHeight="1" x14ac:dyDescent="0.25">
      <c r="A302" s="161" t="s">
        <v>127</v>
      </c>
      <c r="B302" s="322">
        <v>289</v>
      </c>
      <c r="C302" s="698"/>
      <c r="D302" s="698"/>
      <c r="E302" s="698"/>
      <c r="F302" s="723"/>
      <c r="G302" s="720"/>
    </row>
    <row r="303" spans="1:7" s="136" customFormat="1" ht="17.25" customHeight="1" x14ac:dyDescent="0.25">
      <c r="A303" s="161" t="s">
        <v>127</v>
      </c>
      <c r="B303" s="322">
        <v>290</v>
      </c>
      <c r="C303" s="698"/>
      <c r="D303" s="698"/>
      <c r="E303" s="698"/>
      <c r="F303" s="723"/>
      <c r="G303" s="720"/>
    </row>
    <row r="304" spans="1:7" s="136" customFormat="1" ht="17.25" customHeight="1" x14ac:dyDescent="0.25">
      <c r="A304" s="161" t="s">
        <v>127</v>
      </c>
      <c r="B304" s="322">
        <v>291</v>
      </c>
      <c r="C304" s="698"/>
      <c r="D304" s="698"/>
      <c r="E304" s="698"/>
      <c r="F304" s="723"/>
      <c r="G304" s="720"/>
    </row>
    <row r="305" spans="1:7" s="136" customFormat="1" ht="17.25" customHeight="1" x14ac:dyDescent="0.25">
      <c r="A305" s="161" t="s">
        <v>127</v>
      </c>
      <c r="B305" s="322">
        <v>292</v>
      </c>
      <c r="C305" s="698"/>
      <c r="D305" s="698"/>
      <c r="E305" s="698"/>
      <c r="F305" s="723"/>
      <c r="G305" s="720"/>
    </row>
    <row r="306" spans="1:7" s="136" customFormat="1" ht="17.25" customHeight="1" x14ac:dyDescent="0.25">
      <c r="A306" s="161" t="s">
        <v>127</v>
      </c>
      <c r="B306" s="322">
        <v>293</v>
      </c>
      <c r="C306" s="698"/>
      <c r="D306" s="698"/>
      <c r="E306" s="698"/>
      <c r="F306" s="723"/>
      <c r="G306" s="720"/>
    </row>
    <row r="307" spans="1:7" s="136" customFormat="1" ht="17.25" customHeight="1" x14ac:dyDescent="0.25">
      <c r="A307" s="161" t="s">
        <v>127</v>
      </c>
      <c r="B307" s="322">
        <v>294</v>
      </c>
      <c r="C307" s="698"/>
      <c r="D307" s="698"/>
      <c r="E307" s="698"/>
      <c r="F307" s="723"/>
      <c r="G307" s="720"/>
    </row>
    <row r="308" spans="1:7" s="136" customFormat="1" ht="17.25" customHeight="1" x14ac:dyDescent="0.25">
      <c r="A308" s="161" t="s">
        <v>127</v>
      </c>
      <c r="B308" s="322">
        <v>295</v>
      </c>
      <c r="C308" s="698"/>
      <c r="D308" s="698"/>
      <c r="E308" s="698"/>
      <c r="F308" s="723"/>
      <c r="G308" s="720"/>
    </row>
    <row r="309" spans="1:7" s="136" customFormat="1" ht="17.25" customHeight="1" x14ac:dyDescent="0.25">
      <c r="A309" s="161" t="s">
        <v>127</v>
      </c>
      <c r="B309" s="322">
        <v>296</v>
      </c>
      <c r="C309" s="698"/>
      <c r="D309" s="698"/>
      <c r="E309" s="698"/>
      <c r="F309" s="723"/>
      <c r="G309" s="720"/>
    </row>
    <row r="310" spans="1:7" s="136" customFormat="1" ht="17.25" customHeight="1" x14ac:dyDescent="0.25">
      <c r="A310" s="161" t="s">
        <v>127</v>
      </c>
      <c r="B310" s="322">
        <v>297</v>
      </c>
      <c r="C310" s="698"/>
      <c r="D310" s="698"/>
      <c r="E310" s="698"/>
      <c r="F310" s="723"/>
      <c r="G310" s="720"/>
    </row>
    <row r="311" spans="1:7" s="136" customFormat="1" ht="17.25" customHeight="1" x14ac:dyDescent="0.25">
      <c r="A311" s="161" t="s">
        <v>127</v>
      </c>
      <c r="B311" s="322">
        <v>298</v>
      </c>
      <c r="C311" s="698"/>
      <c r="D311" s="698"/>
      <c r="E311" s="698"/>
      <c r="F311" s="723"/>
      <c r="G311" s="720"/>
    </row>
    <row r="312" spans="1:7" s="136" customFormat="1" ht="17.25" customHeight="1" thickBot="1" x14ac:dyDescent="0.3">
      <c r="A312" s="724" t="s">
        <v>127</v>
      </c>
      <c r="B312" s="713">
        <v>299</v>
      </c>
      <c r="C312" s="715"/>
      <c r="D312" s="715"/>
      <c r="E312" s="715"/>
      <c r="F312" s="725"/>
      <c r="G312" s="726"/>
    </row>
    <row r="313" spans="1:7" ht="17.25" customHeight="1" x14ac:dyDescent="0.2">
      <c r="A313" s="338" t="s">
        <v>189</v>
      </c>
      <c r="B313" s="322">
        <v>300</v>
      </c>
      <c r="C313" s="149"/>
      <c r="D313" s="149"/>
      <c r="E313" s="149"/>
      <c r="F313" s="182"/>
      <c r="G313" s="182"/>
    </row>
    <row r="314" spans="1:7" ht="17.25" customHeight="1" x14ac:dyDescent="0.2">
      <c r="A314" s="338" t="s">
        <v>189</v>
      </c>
      <c r="B314" s="322">
        <v>301</v>
      </c>
      <c r="C314" s="149"/>
      <c r="D314" s="149"/>
      <c r="E314" s="149"/>
      <c r="F314" s="182"/>
      <c r="G314" s="182"/>
    </row>
    <row r="315" spans="1:7" ht="17.25" customHeight="1" x14ac:dyDescent="0.2">
      <c r="A315" s="338" t="s">
        <v>189</v>
      </c>
      <c r="B315" s="322">
        <v>302</v>
      </c>
      <c r="C315" s="149"/>
      <c r="D315" s="149"/>
      <c r="E315" s="149"/>
      <c r="F315" s="182"/>
      <c r="G315" s="182"/>
    </row>
    <row r="316" spans="1:7" ht="17.25" customHeight="1" x14ac:dyDescent="0.2">
      <c r="A316" s="338" t="s">
        <v>189</v>
      </c>
      <c r="B316" s="322">
        <v>303</v>
      </c>
      <c r="C316" s="149"/>
      <c r="D316" s="149"/>
      <c r="E316" s="149"/>
      <c r="F316" s="182"/>
      <c r="G316" s="182"/>
    </row>
    <row r="317" spans="1:7" ht="17.25" customHeight="1" x14ac:dyDescent="0.2">
      <c r="A317" s="338" t="s">
        <v>189</v>
      </c>
      <c r="B317" s="322">
        <v>304</v>
      </c>
      <c r="C317" s="149"/>
      <c r="D317" s="149"/>
      <c r="E317" s="149"/>
      <c r="F317" s="182"/>
      <c r="G317" s="182"/>
    </row>
    <row r="318" spans="1:7" ht="17.25" customHeight="1" x14ac:dyDescent="0.2">
      <c r="A318" s="338" t="s">
        <v>189</v>
      </c>
      <c r="B318" s="322">
        <v>305</v>
      </c>
      <c r="C318" s="149"/>
      <c r="D318" s="149"/>
      <c r="E318" s="149"/>
      <c r="F318" s="182"/>
      <c r="G318" s="182"/>
    </row>
    <row r="319" spans="1:7" ht="17.25" customHeight="1" x14ac:dyDescent="0.2">
      <c r="A319" s="338" t="s">
        <v>189</v>
      </c>
      <c r="B319" s="322">
        <v>306</v>
      </c>
      <c r="C319" s="149"/>
      <c r="D319" s="149"/>
      <c r="E319" s="149"/>
      <c r="F319" s="182"/>
      <c r="G319" s="182"/>
    </row>
    <row r="320" spans="1:7" ht="17.25" customHeight="1" x14ac:dyDescent="0.2">
      <c r="A320" s="338" t="s">
        <v>189</v>
      </c>
      <c r="B320" s="322">
        <v>307</v>
      </c>
      <c r="C320" s="149"/>
      <c r="D320" s="149"/>
      <c r="E320" s="149"/>
      <c r="F320" s="182"/>
      <c r="G320" s="182"/>
    </row>
    <row r="321" spans="1:7" ht="17.25" customHeight="1" x14ac:dyDescent="0.2">
      <c r="A321" s="338" t="s">
        <v>189</v>
      </c>
      <c r="B321" s="322">
        <v>308</v>
      </c>
      <c r="C321" s="149"/>
      <c r="D321" s="149"/>
      <c r="E321" s="149"/>
      <c r="F321" s="182"/>
      <c r="G321" s="182"/>
    </row>
    <row r="322" spans="1:7" ht="17.25" customHeight="1" x14ac:dyDescent="0.2">
      <c r="A322" s="338" t="s">
        <v>189</v>
      </c>
      <c r="B322" s="322">
        <v>309</v>
      </c>
      <c r="C322" s="149"/>
      <c r="D322" s="149"/>
      <c r="E322" s="149"/>
      <c r="F322" s="182"/>
      <c r="G322" s="182"/>
    </row>
    <row r="323" spans="1:7" ht="17.25" customHeight="1" x14ac:dyDescent="0.2">
      <c r="A323" s="338" t="s">
        <v>189</v>
      </c>
      <c r="B323" s="322">
        <v>310</v>
      </c>
      <c r="C323" s="149"/>
      <c r="D323" s="149"/>
      <c r="E323" s="149"/>
      <c r="F323" s="182"/>
      <c r="G323" s="182"/>
    </row>
    <row r="324" spans="1:7" ht="17.25" customHeight="1" x14ac:dyDescent="0.2">
      <c r="A324" s="338" t="s">
        <v>189</v>
      </c>
      <c r="B324" s="322">
        <v>311</v>
      </c>
      <c r="C324" s="149"/>
      <c r="D324" s="149"/>
      <c r="E324" s="149"/>
      <c r="F324" s="182"/>
      <c r="G324" s="182"/>
    </row>
    <row r="325" spans="1:7" ht="17.25" customHeight="1" x14ac:dyDescent="0.2">
      <c r="A325" s="338" t="s">
        <v>189</v>
      </c>
      <c r="B325" s="337">
        <v>312</v>
      </c>
      <c r="C325" s="149" t="s">
        <v>190</v>
      </c>
      <c r="D325" s="149" t="s">
        <v>191</v>
      </c>
      <c r="E325" s="149"/>
      <c r="F325" s="182"/>
      <c r="G325" s="182"/>
    </row>
    <row r="326" spans="1:7" ht="17.25" customHeight="1" x14ac:dyDescent="0.2">
      <c r="A326" s="338" t="s">
        <v>189</v>
      </c>
      <c r="B326" s="322">
        <v>313</v>
      </c>
      <c r="C326" s="149"/>
      <c r="D326" s="149"/>
      <c r="E326" s="149"/>
      <c r="F326" s="182"/>
      <c r="G326" s="182"/>
    </row>
    <row r="327" spans="1:7" ht="17.25" customHeight="1" x14ac:dyDescent="0.2">
      <c r="A327" s="338" t="s">
        <v>189</v>
      </c>
      <c r="B327" s="322">
        <v>314</v>
      </c>
      <c r="C327" s="149"/>
      <c r="D327" s="149"/>
      <c r="E327" s="149"/>
      <c r="F327" s="182"/>
      <c r="G327" s="182"/>
    </row>
    <row r="328" spans="1:7" ht="17.25" customHeight="1" x14ac:dyDescent="0.2">
      <c r="A328" s="338" t="s">
        <v>189</v>
      </c>
      <c r="B328" s="322">
        <v>315</v>
      </c>
      <c r="C328" s="149"/>
      <c r="D328" s="149"/>
      <c r="E328" s="149"/>
      <c r="F328" s="182"/>
      <c r="G328" s="182"/>
    </row>
    <row r="329" spans="1:7" ht="17.25" customHeight="1" x14ac:dyDescent="0.2">
      <c r="A329" s="338" t="s">
        <v>189</v>
      </c>
      <c r="B329" s="322">
        <v>316</v>
      </c>
      <c r="C329" s="149"/>
      <c r="D329" s="149"/>
      <c r="E329" s="149"/>
      <c r="F329" s="182"/>
      <c r="G329" s="182"/>
    </row>
    <row r="330" spans="1:7" ht="17.25" customHeight="1" x14ac:dyDescent="0.2">
      <c r="A330" s="338" t="s">
        <v>189</v>
      </c>
      <c r="B330" s="322">
        <v>317</v>
      </c>
      <c r="C330" s="149"/>
      <c r="D330" s="149"/>
      <c r="E330" s="149"/>
      <c r="F330" s="182"/>
      <c r="G330" s="182"/>
    </row>
    <row r="331" spans="1:7" ht="17.25" customHeight="1" x14ac:dyDescent="0.2">
      <c r="A331" s="338" t="s">
        <v>189</v>
      </c>
      <c r="B331" s="322">
        <v>318</v>
      </c>
      <c r="C331" s="149"/>
      <c r="D331" s="149"/>
      <c r="E331" s="149"/>
      <c r="F331" s="182"/>
      <c r="G331" s="182"/>
    </row>
    <row r="332" spans="1:7" ht="17.25" customHeight="1" x14ac:dyDescent="0.2">
      <c r="A332" s="338" t="s">
        <v>189</v>
      </c>
      <c r="B332" s="322">
        <v>319</v>
      </c>
      <c r="C332" s="149"/>
      <c r="D332" s="149"/>
      <c r="E332" s="149"/>
      <c r="F332" s="182"/>
      <c r="G332" s="182"/>
    </row>
    <row r="333" spans="1:7" ht="17.25" customHeight="1" x14ac:dyDescent="0.2">
      <c r="A333" s="338" t="s">
        <v>189</v>
      </c>
      <c r="B333" s="322">
        <v>320</v>
      </c>
      <c r="C333" s="149"/>
      <c r="D333" s="149"/>
      <c r="E333" s="149"/>
      <c r="F333" s="182"/>
      <c r="G333" s="182"/>
    </row>
    <row r="334" spans="1:7" ht="17.25" customHeight="1" x14ac:dyDescent="0.2">
      <c r="A334" s="338" t="s">
        <v>189</v>
      </c>
      <c r="B334" s="322">
        <v>321</v>
      </c>
      <c r="C334" s="149"/>
      <c r="D334" s="149"/>
      <c r="E334" s="149"/>
      <c r="F334" s="182"/>
      <c r="G334" s="182"/>
    </row>
    <row r="335" spans="1:7" ht="17.25" customHeight="1" x14ac:dyDescent="0.2">
      <c r="A335" s="338" t="s">
        <v>189</v>
      </c>
      <c r="B335" s="322">
        <v>322</v>
      </c>
      <c r="C335" s="149"/>
      <c r="D335" s="149"/>
      <c r="E335" s="149"/>
      <c r="F335" s="182"/>
      <c r="G335" s="182"/>
    </row>
    <row r="336" spans="1:7" ht="43.55" customHeight="1" x14ac:dyDescent="0.2">
      <c r="A336" s="338" t="s">
        <v>189</v>
      </c>
      <c r="B336" s="337">
        <v>323</v>
      </c>
      <c r="C336" s="149" t="s">
        <v>192</v>
      </c>
      <c r="D336" s="149" t="s">
        <v>193</v>
      </c>
      <c r="E336" s="149"/>
      <c r="F336" s="182"/>
      <c r="G336" s="182"/>
    </row>
    <row r="337" spans="1:7" ht="17.25" customHeight="1" x14ac:dyDescent="0.2">
      <c r="A337" s="338" t="s">
        <v>189</v>
      </c>
      <c r="B337" s="322">
        <v>324</v>
      </c>
      <c r="C337" s="149"/>
      <c r="D337" s="149"/>
      <c r="E337" s="149"/>
      <c r="F337" s="182"/>
      <c r="G337" s="182"/>
    </row>
    <row r="338" spans="1:7" ht="17.25" customHeight="1" x14ac:dyDescent="0.2">
      <c r="A338" s="338" t="s">
        <v>189</v>
      </c>
      <c r="B338" s="322">
        <v>325</v>
      </c>
      <c r="C338" s="149"/>
      <c r="D338" s="149"/>
      <c r="E338" s="149"/>
      <c r="F338" s="182"/>
      <c r="G338" s="182"/>
    </row>
    <row r="339" spans="1:7" ht="17.25" customHeight="1" x14ac:dyDescent="0.2">
      <c r="A339" s="338" t="s">
        <v>189</v>
      </c>
      <c r="B339" s="322">
        <v>326</v>
      </c>
      <c r="C339" s="149"/>
      <c r="D339" s="149"/>
      <c r="E339" s="149"/>
      <c r="F339" s="182"/>
      <c r="G339" s="182"/>
    </row>
    <row r="340" spans="1:7" ht="17.25" customHeight="1" x14ac:dyDescent="0.2">
      <c r="A340" s="338" t="s">
        <v>189</v>
      </c>
      <c r="B340" s="322">
        <v>327</v>
      </c>
      <c r="C340" s="149"/>
      <c r="D340" s="149"/>
      <c r="E340" s="149"/>
      <c r="F340" s="182"/>
      <c r="G340" s="182"/>
    </row>
    <row r="341" spans="1:7" ht="17.25" customHeight="1" x14ac:dyDescent="0.2">
      <c r="A341" s="338" t="s">
        <v>189</v>
      </c>
      <c r="B341" s="322">
        <v>328</v>
      </c>
      <c r="C341" s="149"/>
      <c r="D341" s="149"/>
      <c r="E341" s="149"/>
      <c r="F341" s="182"/>
      <c r="G341" s="182"/>
    </row>
    <row r="342" spans="1:7" ht="17.25" customHeight="1" x14ac:dyDescent="0.2">
      <c r="A342" s="338" t="s">
        <v>189</v>
      </c>
      <c r="B342" s="322">
        <v>329</v>
      </c>
      <c r="C342" s="149"/>
      <c r="D342" s="149"/>
      <c r="E342" s="149"/>
      <c r="F342" s="182"/>
      <c r="G342" s="182"/>
    </row>
    <row r="343" spans="1:7" ht="17.25" customHeight="1" x14ac:dyDescent="0.2">
      <c r="A343" s="338" t="s">
        <v>189</v>
      </c>
      <c r="B343" s="322">
        <v>330</v>
      </c>
      <c r="C343" s="149"/>
      <c r="D343" s="149"/>
      <c r="E343" s="149"/>
      <c r="F343" s="182"/>
      <c r="G343" s="182"/>
    </row>
    <row r="344" spans="1:7" ht="17.25" customHeight="1" x14ac:dyDescent="0.2">
      <c r="A344" s="338" t="s">
        <v>189</v>
      </c>
      <c r="B344" s="322">
        <v>331</v>
      </c>
      <c r="C344" s="149"/>
      <c r="D344" s="149"/>
      <c r="E344" s="149"/>
      <c r="F344" s="182"/>
      <c r="G344" s="182"/>
    </row>
    <row r="345" spans="1:7" ht="17.25" customHeight="1" x14ac:dyDescent="0.2">
      <c r="A345" s="338" t="s">
        <v>189</v>
      </c>
      <c r="B345" s="322">
        <v>332</v>
      </c>
      <c r="C345" s="149"/>
      <c r="D345" s="149"/>
      <c r="E345" s="149"/>
      <c r="F345" s="182"/>
      <c r="G345" s="182"/>
    </row>
    <row r="346" spans="1:7" ht="17.25" customHeight="1" x14ac:dyDescent="0.2">
      <c r="A346" s="338" t="s">
        <v>189</v>
      </c>
      <c r="B346" s="322">
        <v>333</v>
      </c>
      <c r="C346" s="149"/>
      <c r="D346" s="149"/>
      <c r="E346" s="149"/>
      <c r="F346" s="182"/>
      <c r="G346" s="182"/>
    </row>
    <row r="347" spans="1:7" ht="17.25" customHeight="1" x14ac:dyDescent="0.2">
      <c r="A347" s="338" t="s">
        <v>189</v>
      </c>
      <c r="B347" s="322">
        <v>334</v>
      </c>
      <c r="C347" s="149"/>
      <c r="D347" s="149"/>
      <c r="E347" s="149"/>
      <c r="F347" s="182"/>
      <c r="G347" s="182"/>
    </row>
    <row r="348" spans="1:7" ht="17.25" customHeight="1" x14ac:dyDescent="0.2">
      <c r="A348" s="338" t="s">
        <v>189</v>
      </c>
      <c r="B348" s="337">
        <v>335</v>
      </c>
      <c r="C348" s="149" t="s">
        <v>194</v>
      </c>
      <c r="D348" s="149" t="s">
        <v>195</v>
      </c>
      <c r="E348" s="149"/>
      <c r="F348" s="182"/>
      <c r="G348" s="182"/>
    </row>
    <row r="349" spans="1:7" ht="17.25" customHeight="1" x14ac:dyDescent="0.2">
      <c r="A349" s="338" t="s">
        <v>189</v>
      </c>
      <c r="B349" s="337">
        <v>336</v>
      </c>
      <c r="C349" s="149" t="s">
        <v>196</v>
      </c>
      <c r="D349" s="149" t="s">
        <v>197</v>
      </c>
      <c r="E349" s="149"/>
      <c r="F349" s="182"/>
      <c r="G349" s="182"/>
    </row>
    <row r="350" spans="1:7" ht="17.25" customHeight="1" x14ac:dyDescent="0.2">
      <c r="A350" s="338" t="s">
        <v>189</v>
      </c>
      <c r="B350" s="337">
        <v>337</v>
      </c>
      <c r="C350" s="149" t="s">
        <v>198</v>
      </c>
      <c r="D350" s="149" t="s">
        <v>199</v>
      </c>
      <c r="E350" s="149"/>
      <c r="F350" s="182"/>
      <c r="G350" s="182"/>
    </row>
    <row r="351" spans="1:7" ht="17.25" customHeight="1" x14ac:dyDescent="0.2">
      <c r="A351" s="338" t="s">
        <v>189</v>
      </c>
      <c r="B351" s="322">
        <v>338</v>
      </c>
      <c r="C351" s="149"/>
      <c r="D351" s="149"/>
      <c r="E351" s="149"/>
      <c r="F351" s="182"/>
      <c r="G351" s="182"/>
    </row>
    <row r="352" spans="1:7" ht="17.25" customHeight="1" x14ac:dyDescent="0.2">
      <c r="A352" s="338" t="s">
        <v>189</v>
      </c>
      <c r="B352" s="322">
        <v>339</v>
      </c>
      <c r="C352" s="149"/>
      <c r="D352" s="149"/>
      <c r="E352" s="149"/>
      <c r="F352" s="182"/>
      <c r="G352" s="182"/>
    </row>
    <row r="353" spans="1:7" ht="17.25" customHeight="1" x14ac:dyDescent="0.2">
      <c r="A353" s="338" t="s">
        <v>189</v>
      </c>
      <c r="B353" s="322">
        <v>340</v>
      </c>
      <c r="C353" s="149"/>
      <c r="D353" s="149"/>
      <c r="E353" s="149"/>
      <c r="F353" s="182"/>
      <c r="G353" s="182"/>
    </row>
    <row r="354" spans="1:7" ht="17.25" customHeight="1" x14ac:dyDescent="0.2">
      <c r="A354" s="338" t="s">
        <v>189</v>
      </c>
      <c r="B354" s="322">
        <v>341</v>
      </c>
      <c r="C354" s="149"/>
      <c r="D354" s="149"/>
      <c r="E354" s="149"/>
      <c r="F354" s="182"/>
      <c r="G354" s="182"/>
    </row>
    <row r="355" spans="1:7" ht="17.25" customHeight="1" x14ac:dyDescent="0.2">
      <c r="A355" s="338" t="s">
        <v>189</v>
      </c>
      <c r="B355" s="322">
        <v>342</v>
      </c>
      <c r="C355" s="149"/>
      <c r="D355" s="149"/>
      <c r="E355" s="149"/>
      <c r="F355" s="182"/>
      <c r="G355" s="182"/>
    </row>
    <row r="356" spans="1:7" ht="17.25" customHeight="1" x14ac:dyDescent="0.2">
      <c r="A356" s="338" t="s">
        <v>189</v>
      </c>
      <c r="B356" s="322">
        <v>343</v>
      </c>
      <c r="C356" s="149"/>
      <c r="D356" s="149"/>
      <c r="E356" s="149"/>
      <c r="F356" s="182"/>
      <c r="G356" s="182"/>
    </row>
    <row r="357" spans="1:7" ht="17.25" customHeight="1" x14ac:dyDescent="0.2">
      <c r="A357" s="338" t="s">
        <v>189</v>
      </c>
      <c r="B357" s="322">
        <v>344</v>
      </c>
      <c r="C357" s="149"/>
      <c r="D357" s="149"/>
      <c r="E357" s="149"/>
      <c r="F357" s="182"/>
      <c r="G357" s="182"/>
    </row>
    <row r="358" spans="1:7" ht="17.25" customHeight="1" x14ac:dyDescent="0.2">
      <c r="A358" s="338" t="s">
        <v>189</v>
      </c>
      <c r="B358" s="322">
        <v>345</v>
      </c>
      <c r="C358" s="149"/>
      <c r="D358" s="149"/>
      <c r="E358" s="149"/>
      <c r="F358" s="182"/>
      <c r="G358" s="182"/>
    </row>
    <row r="359" spans="1:7" ht="17.25" customHeight="1" x14ac:dyDescent="0.2">
      <c r="A359" s="338" t="s">
        <v>189</v>
      </c>
      <c r="B359" s="322">
        <v>346</v>
      </c>
      <c r="C359" s="149"/>
      <c r="D359" s="149"/>
      <c r="E359" s="149"/>
      <c r="F359" s="182"/>
      <c r="G359" s="182"/>
    </row>
    <row r="360" spans="1:7" ht="17.25" customHeight="1" x14ac:dyDescent="0.2">
      <c r="A360" s="338" t="s">
        <v>189</v>
      </c>
      <c r="B360" s="322">
        <v>347</v>
      </c>
      <c r="C360" s="149"/>
      <c r="D360" s="149"/>
      <c r="E360" s="149"/>
      <c r="F360" s="182"/>
      <c r="G360" s="182"/>
    </row>
    <row r="361" spans="1:7" ht="17.25" customHeight="1" x14ac:dyDescent="0.2">
      <c r="A361" s="338" t="s">
        <v>189</v>
      </c>
      <c r="B361" s="322">
        <v>348</v>
      </c>
      <c r="C361" s="149"/>
      <c r="D361" s="149"/>
      <c r="E361" s="149"/>
      <c r="F361" s="182"/>
      <c r="G361" s="182"/>
    </row>
    <row r="362" spans="1:7" ht="17.25" customHeight="1" x14ac:dyDescent="0.2">
      <c r="A362" s="338" t="s">
        <v>189</v>
      </c>
      <c r="B362" s="322">
        <v>349</v>
      </c>
      <c r="C362" s="149"/>
      <c r="D362" s="149"/>
      <c r="E362" s="149"/>
      <c r="F362" s="182"/>
      <c r="G362" s="182"/>
    </row>
    <row r="363" spans="1:7" ht="17.25" customHeight="1" x14ac:dyDescent="0.2">
      <c r="A363" s="338" t="s">
        <v>189</v>
      </c>
      <c r="B363" s="331">
        <v>350</v>
      </c>
      <c r="C363" s="149"/>
      <c r="D363" s="149"/>
      <c r="E363" s="149"/>
      <c r="F363" s="182"/>
      <c r="G363" s="182"/>
    </row>
    <row r="364" spans="1:7" ht="17.25" customHeight="1" x14ac:dyDescent="0.2">
      <c r="A364" s="338" t="s">
        <v>189</v>
      </c>
      <c r="B364" s="331">
        <v>351</v>
      </c>
      <c r="C364" s="149"/>
      <c r="D364" s="149"/>
      <c r="E364" s="149"/>
      <c r="F364" s="182"/>
      <c r="G364" s="182"/>
    </row>
    <row r="365" spans="1:7" ht="17.25" customHeight="1" x14ac:dyDescent="0.2">
      <c r="A365" s="338" t="s">
        <v>189</v>
      </c>
      <c r="B365" s="322">
        <v>352</v>
      </c>
      <c r="C365" s="149"/>
      <c r="D365" s="149"/>
      <c r="E365" s="149"/>
      <c r="F365" s="182"/>
      <c r="G365" s="182"/>
    </row>
    <row r="366" spans="1:7" ht="17.25" customHeight="1" x14ac:dyDescent="0.2">
      <c r="A366" s="338" t="s">
        <v>189</v>
      </c>
      <c r="B366" s="322">
        <v>353</v>
      </c>
      <c r="C366" s="149"/>
      <c r="D366" s="149"/>
      <c r="E366" s="149"/>
      <c r="F366" s="182"/>
      <c r="G366" s="182"/>
    </row>
    <row r="367" spans="1:7" ht="17.25" customHeight="1" x14ac:dyDescent="0.2">
      <c r="A367" s="338" t="s">
        <v>189</v>
      </c>
      <c r="B367" s="322">
        <v>354</v>
      </c>
      <c r="C367" s="149"/>
      <c r="D367" s="149"/>
      <c r="E367" s="149"/>
      <c r="F367" s="182"/>
      <c r="G367" s="182"/>
    </row>
    <row r="368" spans="1:7" ht="17.25" customHeight="1" x14ac:dyDescent="0.2">
      <c r="A368" s="338" t="s">
        <v>189</v>
      </c>
      <c r="B368" s="322">
        <v>355</v>
      </c>
      <c r="C368" s="149"/>
      <c r="D368" s="149"/>
      <c r="E368" s="149"/>
      <c r="F368" s="182"/>
      <c r="G368" s="182"/>
    </row>
    <row r="369" spans="1:7" ht="17.25" customHeight="1" x14ac:dyDescent="0.2">
      <c r="A369" s="338" t="s">
        <v>189</v>
      </c>
      <c r="B369" s="322">
        <v>356</v>
      </c>
      <c r="C369" s="149"/>
      <c r="D369" s="149"/>
      <c r="E369" s="149"/>
      <c r="F369" s="182"/>
      <c r="G369" s="182"/>
    </row>
    <row r="370" spans="1:7" ht="17.25" customHeight="1" x14ac:dyDescent="0.2">
      <c r="A370" s="338" t="s">
        <v>189</v>
      </c>
      <c r="B370" s="322">
        <v>357</v>
      </c>
      <c r="C370" s="149"/>
      <c r="D370" s="149"/>
      <c r="E370" s="149"/>
      <c r="F370" s="182"/>
      <c r="G370" s="182"/>
    </row>
    <row r="371" spans="1:7" ht="17.25" customHeight="1" x14ac:dyDescent="0.2">
      <c r="A371" s="338" t="s">
        <v>189</v>
      </c>
      <c r="B371" s="322">
        <v>358</v>
      </c>
      <c r="C371" s="149"/>
      <c r="D371" s="149"/>
      <c r="E371" s="149"/>
      <c r="F371" s="182"/>
      <c r="G371" s="182"/>
    </row>
    <row r="372" spans="1:7" ht="17.25" customHeight="1" x14ac:dyDescent="0.2">
      <c r="A372" s="338" t="s">
        <v>189</v>
      </c>
      <c r="B372" s="322">
        <v>359</v>
      </c>
      <c r="C372" s="149"/>
      <c r="D372" s="149"/>
      <c r="E372" s="149"/>
      <c r="F372" s="182"/>
      <c r="G372" s="182"/>
    </row>
    <row r="373" spans="1:7" ht="17.25" customHeight="1" x14ac:dyDescent="0.2">
      <c r="A373" s="338" t="s">
        <v>189</v>
      </c>
      <c r="B373" s="322">
        <v>360</v>
      </c>
      <c r="C373" s="149"/>
      <c r="D373" s="149"/>
      <c r="E373" s="149"/>
      <c r="F373" s="182"/>
      <c r="G373" s="182"/>
    </row>
    <row r="374" spans="1:7" ht="17.25" customHeight="1" x14ac:dyDescent="0.2">
      <c r="A374" s="338" t="s">
        <v>189</v>
      </c>
      <c r="B374" s="322">
        <v>361</v>
      </c>
      <c r="C374" s="149"/>
      <c r="D374" s="149"/>
      <c r="E374" s="149"/>
      <c r="F374" s="182"/>
      <c r="G374" s="182"/>
    </row>
    <row r="375" spans="1:7" ht="17.25" customHeight="1" x14ac:dyDescent="0.2">
      <c r="A375" s="338" t="s">
        <v>189</v>
      </c>
      <c r="B375" s="322">
        <v>362</v>
      </c>
      <c r="C375" s="149"/>
      <c r="D375" s="149"/>
      <c r="E375" s="149"/>
      <c r="F375" s="182"/>
      <c r="G375" s="182"/>
    </row>
    <row r="376" spans="1:7" ht="17.25" customHeight="1" x14ac:dyDescent="0.2">
      <c r="A376" s="338" t="s">
        <v>189</v>
      </c>
      <c r="B376" s="322">
        <v>363</v>
      </c>
      <c r="C376" s="149"/>
      <c r="D376" s="149"/>
      <c r="E376" s="149"/>
      <c r="F376" s="182"/>
      <c r="G376" s="182"/>
    </row>
    <row r="377" spans="1:7" ht="17.25" customHeight="1" x14ac:dyDescent="0.2">
      <c r="A377" s="338" t="s">
        <v>189</v>
      </c>
      <c r="B377" s="322">
        <v>364</v>
      </c>
      <c r="C377" s="149"/>
      <c r="D377" s="149"/>
      <c r="E377" s="149"/>
      <c r="F377" s="182"/>
      <c r="G377" s="182"/>
    </row>
    <row r="378" spans="1:7" ht="17.25" customHeight="1" x14ac:dyDescent="0.2">
      <c r="A378" s="338" t="s">
        <v>189</v>
      </c>
      <c r="B378" s="322">
        <v>365</v>
      </c>
      <c r="C378" s="149"/>
      <c r="D378" s="149"/>
      <c r="E378" s="149"/>
      <c r="F378" s="182"/>
      <c r="G378" s="182"/>
    </row>
    <row r="379" spans="1:7" ht="17.25" customHeight="1" x14ac:dyDescent="0.2">
      <c r="A379" s="338" t="s">
        <v>189</v>
      </c>
      <c r="B379" s="322">
        <v>366</v>
      </c>
      <c r="C379" s="149"/>
      <c r="D379" s="149"/>
      <c r="E379" s="149"/>
      <c r="F379" s="182"/>
      <c r="G379" s="182"/>
    </row>
    <row r="380" spans="1:7" ht="17.25" customHeight="1" x14ac:dyDescent="0.2">
      <c r="A380" s="338" t="s">
        <v>189</v>
      </c>
      <c r="B380" s="322">
        <v>367</v>
      </c>
      <c r="C380" s="149"/>
      <c r="D380" s="149"/>
      <c r="E380" s="149"/>
      <c r="F380" s="182"/>
      <c r="G380" s="182"/>
    </row>
    <row r="381" spans="1:7" ht="17.25" customHeight="1" x14ac:dyDescent="0.2">
      <c r="A381" s="338" t="s">
        <v>189</v>
      </c>
      <c r="B381" s="322">
        <v>368</v>
      </c>
      <c r="C381" s="149"/>
      <c r="D381" s="149"/>
      <c r="E381" s="149"/>
      <c r="F381" s="149"/>
      <c r="G381" s="149"/>
    </row>
    <row r="382" spans="1:7" ht="17.25" customHeight="1" x14ac:dyDescent="0.2">
      <c r="A382" s="338" t="s">
        <v>189</v>
      </c>
      <c r="B382" s="322">
        <v>369</v>
      </c>
      <c r="C382" s="149"/>
      <c r="D382" s="149"/>
      <c r="E382" s="149"/>
      <c r="F382" s="149"/>
      <c r="G382" s="149"/>
    </row>
    <row r="383" spans="1:7" ht="17.25" customHeight="1" x14ac:dyDescent="0.2">
      <c r="A383" s="338" t="s">
        <v>189</v>
      </c>
      <c r="B383" s="322">
        <v>370</v>
      </c>
      <c r="C383" s="149"/>
      <c r="D383" s="149"/>
      <c r="E383" s="149"/>
      <c r="F383" s="149"/>
      <c r="G383" s="149"/>
    </row>
    <row r="384" spans="1:7" ht="17.25" customHeight="1" x14ac:dyDescent="0.2">
      <c r="A384" s="338" t="s">
        <v>189</v>
      </c>
      <c r="B384" s="322">
        <v>371</v>
      </c>
      <c r="C384" s="149"/>
      <c r="D384" s="149"/>
      <c r="E384" s="149"/>
      <c r="F384" s="149"/>
      <c r="G384" s="149"/>
    </row>
    <row r="385" spans="1:7" ht="17.25" customHeight="1" x14ac:dyDescent="0.2">
      <c r="A385" s="338" t="s">
        <v>189</v>
      </c>
      <c r="B385" s="322">
        <v>372</v>
      </c>
      <c r="C385" s="149"/>
      <c r="D385" s="149"/>
      <c r="E385" s="149"/>
      <c r="F385" s="149"/>
      <c r="G385" s="149"/>
    </row>
    <row r="386" spans="1:7" ht="17.25" customHeight="1" x14ac:dyDescent="0.2">
      <c r="A386" s="338" t="s">
        <v>189</v>
      </c>
      <c r="B386" s="322">
        <v>373</v>
      </c>
      <c r="C386" s="149"/>
      <c r="D386" s="149"/>
      <c r="E386" s="149"/>
      <c r="F386" s="149"/>
      <c r="G386" s="149"/>
    </row>
    <row r="387" spans="1:7" ht="17.25" customHeight="1" thickBot="1" x14ac:dyDescent="0.25">
      <c r="A387" s="727" t="s">
        <v>189</v>
      </c>
      <c r="B387" s="713">
        <v>374</v>
      </c>
      <c r="C387" s="715"/>
      <c r="D387" s="715"/>
      <c r="E387" s="715"/>
      <c r="F387" s="715"/>
      <c r="G387" s="715"/>
    </row>
    <row r="388" spans="1:7" ht="17.25" customHeight="1" x14ac:dyDescent="0.2">
      <c r="A388" s="338" t="s">
        <v>200</v>
      </c>
      <c r="B388" s="322">
        <v>375</v>
      </c>
      <c r="C388" s="149"/>
      <c r="D388" s="149"/>
      <c r="E388" s="149"/>
      <c r="F388" s="149"/>
      <c r="G388" s="149"/>
    </row>
    <row r="389" spans="1:7" ht="17.25" customHeight="1" x14ac:dyDescent="0.2">
      <c r="A389" s="338" t="s">
        <v>200</v>
      </c>
      <c r="B389" s="322">
        <v>376</v>
      </c>
      <c r="C389" s="149"/>
      <c r="D389" s="149"/>
      <c r="E389" s="149"/>
      <c r="F389" s="149"/>
      <c r="G389" s="149"/>
    </row>
    <row r="390" spans="1:7" ht="17.25" customHeight="1" x14ac:dyDescent="0.2">
      <c r="A390" s="338" t="s">
        <v>200</v>
      </c>
      <c r="B390" s="322">
        <v>377</v>
      </c>
      <c r="C390" s="149"/>
      <c r="D390" s="149"/>
      <c r="E390" s="149"/>
      <c r="F390" s="149"/>
      <c r="G390" s="149"/>
    </row>
    <row r="391" spans="1:7" ht="17.25" customHeight="1" x14ac:dyDescent="0.2">
      <c r="A391" s="338" t="s">
        <v>200</v>
      </c>
      <c r="B391" s="322">
        <v>378</v>
      </c>
      <c r="C391" s="149"/>
      <c r="D391" s="149"/>
      <c r="E391" s="149"/>
      <c r="F391" s="149"/>
      <c r="G391" s="149"/>
    </row>
    <row r="392" spans="1:7" ht="17.25" customHeight="1" x14ac:dyDescent="0.2">
      <c r="A392" s="338" t="s">
        <v>200</v>
      </c>
      <c r="B392" s="322">
        <v>379</v>
      </c>
      <c r="C392" s="149"/>
      <c r="D392" s="149"/>
      <c r="E392" s="149"/>
      <c r="F392" s="149"/>
      <c r="G392" s="149"/>
    </row>
    <row r="393" spans="1:7" ht="17.25" customHeight="1" x14ac:dyDescent="0.2">
      <c r="A393" s="338" t="s">
        <v>200</v>
      </c>
      <c r="B393" s="322">
        <v>380</v>
      </c>
      <c r="C393" s="149"/>
      <c r="D393" s="149"/>
      <c r="E393" s="149"/>
      <c r="F393" s="149"/>
      <c r="G393" s="149"/>
    </row>
    <row r="394" spans="1:7" ht="17.25" customHeight="1" x14ac:dyDescent="0.2">
      <c r="A394" s="338" t="s">
        <v>200</v>
      </c>
      <c r="B394" s="322">
        <v>381</v>
      </c>
      <c r="C394" s="149"/>
      <c r="D394" s="149"/>
      <c r="E394" s="149"/>
      <c r="F394" s="149"/>
      <c r="G394" s="149"/>
    </row>
    <row r="395" spans="1:7" ht="17.25" customHeight="1" x14ac:dyDescent="0.2">
      <c r="A395" s="338" t="s">
        <v>200</v>
      </c>
      <c r="B395" s="322">
        <v>382</v>
      </c>
      <c r="C395" s="149"/>
      <c r="D395" s="149"/>
      <c r="E395" s="149"/>
      <c r="F395" s="149"/>
      <c r="G395" s="149"/>
    </row>
    <row r="396" spans="1:7" ht="17.25" customHeight="1" x14ac:dyDescent="0.2">
      <c r="A396" s="338" t="s">
        <v>200</v>
      </c>
      <c r="B396" s="322">
        <v>383</v>
      </c>
      <c r="C396" s="149"/>
      <c r="D396" s="149"/>
      <c r="E396" s="149"/>
      <c r="F396" s="149"/>
      <c r="G396" s="149"/>
    </row>
    <row r="397" spans="1:7" ht="17.25" customHeight="1" x14ac:dyDescent="0.2">
      <c r="A397" s="338" t="s">
        <v>200</v>
      </c>
      <c r="B397" s="322">
        <v>384</v>
      </c>
      <c r="C397" s="149"/>
      <c r="D397" s="149"/>
      <c r="E397" s="149"/>
      <c r="F397" s="149"/>
      <c r="G397" s="149"/>
    </row>
    <row r="398" spans="1:7" ht="17.25" customHeight="1" x14ac:dyDescent="0.2">
      <c r="A398" s="338" t="s">
        <v>200</v>
      </c>
      <c r="B398" s="322">
        <v>385</v>
      </c>
      <c r="C398" s="149"/>
      <c r="D398" s="149"/>
      <c r="E398" s="149"/>
      <c r="F398" s="149"/>
      <c r="G398" s="149"/>
    </row>
    <row r="399" spans="1:7" ht="17.25" customHeight="1" x14ac:dyDescent="0.2">
      <c r="A399" s="338" t="s">
        <v>200</v>
      </c>
      <c r="B399" s="337">
        <v>386</v>
      </c>
      <c r="C399" s="698" t="s">
        <v>201</v>
      </c>
      <c r="D399" s="698" t="s">
        <v>202</v>
      </c>
      <c r="E399" s="698"/>
      <c r="F399" s="698"/>
      <c r="G399" s="698"/>
    </row>
    <row r="400" spans="1:7" ht="32.25" customHeight="1" x14ac:dyDescent="0.2">
      <c r="A400" s="338" t="s">
        <v>200</v>
      </c>
      <c r="B400" s="337">
        <v>387</v>
      </c>
      <c r="C400" s="149" t="s">
        <v>203</v>
      </c>
      <c r="D400" s="149" t="s">
        <v>204</v>
      </c>
      <c r="E400" s="149"/>
      <c r="F400" s="149"/>
      <c r="G400" s="149"/>
    </row>
    <row r="401" spans="1:7" ht="17.25" customHeight="1" x14ac:dyDescent="0.2">
      <c r="A401" s="338" t="s">
        <v>200</v>
      </c>
      <c r="B401" s="322">
        <v>388</v>
      </c>
      <c r="C401" s="149"/>
      <c r="D401" s="149"/>
      <c r="E401" s="149"/>
      <c r="F401" s="149"/>
      <c r="G401" s="149"/>
    </row>
    <row r="402" spans="1:7" ht="17.25" customHeight="1" x14ac:dyDescent="0.2">
      <c r="A402" s="338" t="s">
        <v>200</v>
      </c>
      <c r="B402" s="322">
        <v>389</v>
      </c>
      <c r="C402" s="149"/>
      <c r="D402" s="149"/>
      <c r="E402" s="149"/>
      <c r="F402" s="149"/>
      <c r="G402" s="149"/>
    </row>
    <row r="403" spans="1:7" ht="17.25" customHeight="1" x14ac:dyDescent="0.2">
      <c r="A403" s="338" t="s">
        <v>200</v>
      </c>
      <c r="B403" s="322">
        <v>390</v>
      </c>
      <c r="C403" s="149"/>
      <c r="D403" s="149"/>
      <c r="E403" s="149"/>
      <c r="F403" s="149"/>
      <c r="G403" s="149"/>
    </row>
    <row r="404" spans="1:7" ht="17.25" customHeight="1" x14ac:dyDescent="0.2">
      <c r="A404" s="338" t="s">
        <v>200</v>
      </c>
      <c r="B404" s="322">
        <v>391</v>
      </c>
      <c r="C404" s="698"/>
      <c r="D404" s="698"/>
      <c r="E404" s="149"/>
      <c r="F404" s="149"/>
      <c r="G404" s="149"/>
    </row>
    <row r="405" spans="1:7" ht="17.25" customHeight="1" x14ac:dyDescent="0.2">
      <c r="A405" s="338" t="s">
        <v>200</v>
      </c>
      <c r="B405" s="322">
        <v>392</v>
      </c>
      <c r="C405" s="698"/>
      <c r="D405" s="698"/>
      <c r="E405" s="149"/>
      <c r="F405" s="149"/>
      <c r="G405" s="149"/>
    </row>
    <row r="406" spans="1:7" ht="17.25" customHeight="1" x14ac:dyDescent="0.2">
      <c r="A406" s="338" t="s">
        <v>200</v>
      </c>
      <c r="B406" s="322">
        <v>393</v>
      </c>
      <c r="C406" s="698"/>
      <c r="D406" s="698"/>
      <c r="E406" s="149"/>
      <c r="F406" s="149"/>
      <c r="G406" s="149"/>
    </row>
    <row r="407" spans="1:7" ht="17.25" customHeight="1" x14ac:dyDescent="0.2">
      <c r="A407" s="338" t="s">
        <v>200</v>
      </c>
      <c r="B407" s="322">
        <v>394</v>
      </c>
      <c r="C407" s="698"/>
      <c r="D407" s="698"/>
      <c r="E407" s="149"/>
      <c r="F407" s="149"/>
      <c r="G407" s="149"/>
    </row>
    <row r="408" spans="1:7" ht="17.25" customHeight="1" x14ac:dyDescent="0.2">
      <c r="A408" s="338" t="s">
        <v>200</v>
      </c>
      <c r="B408" s="322">
        <v>395</v>
      </c>
      <c r="C408" s="698"/>
      <c r="D408" s="698"/>
      <c r="E408" s="149"/>
      <c r="F408" s="149"/>
      <c r="G408" s="149"/>
    </row>
    <row r="409" spans="1:7" ht="17.25" customHeight="1" x14ac:dyDescent="0.2">
      <c r="A409" s="338" t="s">
        <v>200</v>
      </c>
      <c r="B409" s="322">
        <v>396</v>
      </c>
      <c r="C409" s="698"/>
      <c r="D409" s="698"/>
      <c r="E409" s="149"/>
      <c r="F409" s="149"/>
      <c r="G409" s="149"/>
    </row>
    <row r="410" spans="1:7" ht="17.25" customHeight="1" x14ac:dyDescent="0.2">
      <c r="A410" s="338" t="s">
        <v>200</v>
      </c>
      <c r="B410" s="322">
        <v>397</v>
      </c>
      <c r="C410" s="698"/>
      <c r="D410" s="698"/>
      <c r="E410" s="698"/>
      <c r="F410" s="698"/>
      <c r="G410" s="698"/>
    </row>
    <row r="411" spans="1:7" ht="25.55" customHeight="1" x14ac:dyDescent="0.2">
      <c r="A411" s="338" t="s">
        <v>200</v>
      </c>
      <c r="B411" s="337">
        <v>398</v>
      </c>
      <c r="C411" s="698" t="s">
        <v>205</v>
      </c>
      <c r="D411" s="698" t="s">
        <v>206</v>
      </c>
      <c r="E411" s="698"/>
      <c r="F411" s="698"/>
      <c r="G411" s="698"/>
    </row>
    <row r="412" spans="1:7" ht="17.25" customHeight="1" x14ac:dyDescent="0.2">
      <c r="A412" s="338" t="s">
        <v>200</v>
      </c>
      <c r="B412" s="322">
        <v>399</v>
      </c>
      <c r="C412" s="698"/>
      <c r="D412" s="698"/>
      <c r="E412" s="698"/>
      <c r="F412" s="698"/>
      <c r="G412" s="698"/>
    </row>
    <row r="413" spans="1:7" ht="17.25" customHeight="1" x14ac:dyDescent="0.2">
      <c r="A413" s="338" t="s">
        <v>200</v>
      </c>
      <c r="B413" s="322">
        <v>400</v>
      </c>
      <c r="C413" s="698"/>
      <c r="D413" s="698"/>
      <c r="E413" s="698"/>
      <c r="F413" s="698"/>
      <c r="G413" s="698"/>
    </row>
    <row r="414" spans="1:7" ht="17.25" customHeight="1" x14ac:dyDescent="0.2">
      <c r="A414" s="338" t="s">
        <v>200</v>
      </c>
      <c r="B414" s="322">
        <v>401</v>
      </c>
      <c r="C414" s="698"/>
      <c r="D414" s="698"/>
      <c r="E414" s="698"/>
      <c r="F414" s="698"/>
      <c r="G414" s="698"/>
    </row>
    <row r="415" spans="1:7" ht="17.25" customHeight="1" x14ac:dyDescent="0.2">
      <c r="A415" s="338" t="s">
        <v>200</v>
      </c>
      <c r="B415" s="322">
        <v>402</v>
      </c>
      <c r="C415" s="698"/>
      <c r="D415" s="698"/>
      <c r="E415" s="698"/>
      <c r="F415" s="698"/>
      <c r="G415" s="698"/>
    </row>
    <row r="416" spans="1:7" ht="17.25" customHeight="1" x14ac:dyDescent="0.2">
      <c r="A416" s="338" t="s">
        <v>200</v>
      </c>
      <c r="B416" s="322">
        <v>403</v>
      </c>
      <c r="C416" s="698"/>
      <c r="D416" s="698"/>
      <c r="E416" s="698"/>
      <c r="F416" s="698"/>
      <c r="G416" s="698"/>
    </row>
    <row r="417" spans="1:7" ht="17.25" customHeight="1" x14ac:dyDescent="0.2">
      <c r="A417" s="338" t="s">
        <v>200</v>
      </c>
      <c r="B417" s="322">
        <v>404</v>
      </c>
      <c r="C417" s="698"/>
      <c r="D417" s="698"/>
      <c r="E417" s="698"/>
      <c r="F417" s="698"/>
      <c r="G417" s="698"/>
    </row>
    <row r="418" spans="1:7" ht="17.25" customHeight="1" x14ac:dyDescent="0.2">
      <c r="A418" s="338" t="s">
        <v>200</v>
      </c>
      <c r="B418" s="322">
        <v>405</v>
      </c>
      <c r="C418" s="698"/>
      <c r="D418" s="698"/>
      <c r="E418" s="698"/>
      <c r="F418" s="698"/>
      <c r="G418" s="698"/>
    </row>
    <row r="419" spans="1:7" ht="17.25" customHeight="1" x14ac:dyDescent="0.2">
      <c r="A419" s="338" t="s">
        <v>200</v>
      </c>
      <c r="B419" s="322">
        <v>406</v>
      </c>
      <c r="C419" s="698"/>
      <c r="D419" s="698"/>
      <c r="E419" s="698"/>
      <c r="F419" s="698"/>
      <c r="G419" s="698"/>
    </row>
    <row r="420" spans="1:7" ht="17.25" customHeight="1" x14ac:dyDescent="0.2">
      <c r="A420" s="338" t="s">
        <v>200</v>
      </c>
      <c r="B420" s="322">
        <v>407</v>
      </c>
      <c r="C420" s="698"/>
      <c r="D420" s="698"/>
      <c r="E420" s="698"/>
      <c r="F420" s="698"/>
      <c r="G420" s="698"/>
    </row>
    <row r="421" spans="1:7" ht="17.25" customHeight="1" x14ac:dyDescent="0.2">
      <c r="A421" s="338" t="s">
        <v>200</v>
      </c>
      <c r="B421" s="322">
        <v>408</v>
      </c>
      <c r="C421" s="698"/>
      <c r="D421" s="698"/>
      <c r="E421" s="698"/>
      <c r="F421" s="698"/>
      <c r="G421" s="698"/>
    </row>
    <row r="422" spans="1:7" ht="17.25" customHeight="1" x14ac:dyDescent="0.2">
      <c r="A422" s="338" t="s">
        <v>200</v>
      </c>
      <c r="B422" s="322">
        <v>409</v>
      </c>
      <c r="C422" s="698"/>
      <c r="D422" s="698"/>
      <c r="E422" s="698"/>
      <c r="F422" s="698"/>
      <c r="G422" s="698"/>
    </row>
    <row r="423" spans="1:7" ht="17.25" customHeight="1" x14ac:dyDescent="0.2">
      <c r="A423" s="338" t="s">
        <v>200</v>
      </c>
      <c r="B423" s="322">
        <v>410</v>
      </c>
      <c r="C423" s="698"/>
      <c r="D423" s="698"/>
      <c r="E423" s="698"/>
      <c r="F423" s="698"/>
      <c r="G423" s="698"/>
    </row>
    <row r="424" spans="1:7" ht="17.25" customHeight="1" x14ac:dyDescent="0.2">
      <c r="A424" s="338" t="s">
        <v>200</v>
      </c>
      <c r="B424" s="322">
        <v>411</v>
      </c>
      <c r="C424" s="698"/>
      <c r="D424" s="698"/>
      <c r="E424" s="698"/>
      <c r="F424" s="698"/>
      <c r="G424" s="698"/>
    </row>
    <row r="425" spans="1:7" ht="17.25" customHeight="1" x14ac:dyDescent="0.2">
      <c r="A425" s="338" t="s">
        <v>200</v>
      </c>
      <c r="B425" s="322">
        <v>412</v>
      </c>
      <c r="C425" s="698"/>
      <c r="D425" s="698"/>
      <c r="E425" s="698"/>
      <c r="F425" s="698"/>
      <c r="G425" s="698"/>
    </row>
    <row r="426" spans="1:7" ht="17.25" customHeight="1" x14ac:dyDescent="0.2">
      <c r="A426" s="338" t="s">
        <v>200</v>
      </c>
      <c r="B426" s="322">
        <v>413</v>
      </c>
      <c r="C426" s="698"/>
      <c r="D426" s="698"/>
      <c r="E426" s="698"/>
      <c r="F426" s="698"/>
      <c r="G426" s="698"/>
    </row>
    <row r="427" spans="1:7" ht="17.25" customHeight="1" x14ac:dyDescent="0.2">
      <c r="A427" s="338" t="s">
        <v>200</v>
      </c>
      <c r="B427" s="322">
        <v>414</v>
      </c>
      <c r="C427" s="698"/>
      <c r="D427" s="698"/>
      <c r="E427" s="698"/>
      <c r="F427" s="698"/>
      <c r="G427" s="698"/>
    </row>
    <row r="428" spans="1:7" ht="17.25" customHeight="1" x14ac:dyDescent="0.2">
      <c r="A428" s="338" t="s">
        <v>200</v>
      </c>
      <c r="B428" s="322">
        <v>415</v>
      </c>
      <c r="C428" s="698"/>
      <c r="D428" s="698"/>
      <c r="E428" s="698"/>
      <c r="F428" s="698"/>
      <c r="G428" s="698"/>
    </row>
    <row r="429" spans="1:7" ht="17.25" customHeight="1" x14ac:dyDescent="0.2">
      <c r="A429" s="338" t="s">
        <v>200</v>
      </c>
      <c r="B429" s="322">
        <v>416</v>
      </c>
      <c r="C429" s="698"/>
      <c r="D429" s="698"/>
      <c r="E429" s="698"/>
      <c r="F429" s="698"/>
      <c r="G429" s="698"/>
    </row>
    <row r="430" spans="1:7" ht="17.25" customHeight="1" x14ac:dyDescent="0.2">
      <c r="A430" s="338" t="s">
        <v>200</v>
      </c>
      <c r="B430" s="322">
        <v>417</v>
      </c>
      <c r="C430" s="721"/>
      <c r="D430" s="722"/>
      <c r="E430" s="698"/>
      <c r="F430" s="698"/>
      <c r="G430" s="698"/>
    </row>
    <row r="431" spans="1:7" ht="17.25" customHeight="1" x14ac:dyDescent="0.2">
      <c r="A431" s="338" t="s">
        <v>200</v>
      </c>
      <c r="B431" s="322">
        <v>418</v>
      </c>
      <c r="C431" s="721"/>
      <c r="D431" s="722"/>
      <c r="E431" s="698"/>
      <c r="F431" s="698"/>
      <c r="G431" s="698"/>
    </row>
    <row r="432" spans="1:7" ht="17.25" customHeight="1" x14ac:dyDescent="0.2">
      <c r="A432" s="338" t="s">
        <v>200</v>
      </c>
      <c r="B432" s="322">
        <v>419</v>
      </c>
      <c r="C432" s="721"/>
      <c r="D432" s="722"/>
      <c r="E432" s="698"/>
      <c r="F432" s="698"/>
      <c r="G432" s="698"/>
    </row>
    <row r="433" spans="1:7" ht="17.25" customHeight="1" x14ac:dyDescent="0.2">
      <c r="A433" s="338" t="s">
        <v>200</v>
      </c>
      <c r="B433" s="337">
        <v>420</v>
      </c>
      <c r="C433" s="696" t="s">
        <v>207</v>
      </c>
      <c r="D433" s="696" t="s">
        <v>81</v>
      </c>
      <c r="E433" s="698"/>
      <c r="F433" s="698"/>
      <c r="G433" s="698"/>
    </row>
    <row r="434" spans="1:7" ht="20.2" customHeight="1" x14ac:dyDescent="0.2">
      <c r="A434" s="338" t="s">
        <v>200</v>
      </c>
      <c r="B434" s="337">
        <v>421</v>
      </c>
      <c r="C434" s="698" t="s">
        <v>208</v>
      </c>
      <c r="D434" s="698" t="s">
        <v>209</v>
      </c>
      <c r="E434" s="698"/>
      <c r="F434" s="698"/>
      <c r="G434" s="698"/>
    </row>
    <row r="435" spans="1:7" ht="17.25" customHeight="1" x14ac:dyDescent="0.2">
      <c r="A435" s="338" t="s">
        <v>200</v>
      </c>
      <c r="B435" s="337">
        <v>422</v>
      </c>
      <c r="C435" s="698" t="s">
        <v>210</v>
      </c>
      <c r="D435" s="698" t="s">
        <v>211</v>
      </c>
      <c r="E435" s="698"/>
      <c r="F435" s="698"/>
      <c r="G435" s="698"/>
    </row>
    <row r="436" spans="1:7" ht="17.25" customHeight="1" x14ac:dyDescent="0.2">
      <c r="A436" s="338" t="s">
        <v>200</v>
      </c>
      <c r="B436" s="322">
        <v>423</v>
      </c>
      <c r="C436" s="698"/>
      <c r="D436" s="698"/>
      <c r="E436" s="698"/>
      <c r="F436" s="698"/>
      <c r="G436" s="698"/>
    </row>
    <row r="437" spans="1:7" ht="17.25" customHeight="1" x14ac:dyDescent="0.2">
      <c r="A437" s="338" t="s">
        <v>200</v>
      </c>
      <c r="B437" s="322">
        <v>424</v>
      </c>
      <c r="C437" s="698"/>
      <c r="D437" s="698"/>
      <c r="E437" s="698"/>
      <c r="F437" s="698"/>
      <c r="G437" s="698"/>
    </row>
    <row r="438" spans="1:7" ht="17.25" customHeight="1" x14ac:dyDescent="0.2">
      <c r="A438" s="338" t="s">
        <v>200</v>
      </c>
      <c r="B438" s="322">
        <v>425</v>
      </c>
      <c r="C438" s="698"/>
      <c r="D438" s="698"/>
      <c r="E438" s="698"/>
      <c r="F438" s="698"/>
      <c r="G438" s="698"/>
    </row>
    <row r="439" spans="1:7" ht="17.25" customHeight="1" x14ac:dyDescent="0.2">
      <c r="A439" s="338" t="s">
        <v>200</v>
      </c>
      <c r="B439" s="322">
        <v>426</v>
      </c>
      <c r="C439" s="698"/>
      <c r="D439" s="698"/>
      <c r="E439" s="698"/>
      <c r="F439" s="698"/>
      <c r="G439" s="698"/>
    </row>
    <row r="440" spans="1:7" ht="12.55" x14ac:dyDescent="0.2">
      <c r="A440" s="338" t="s">
        <v>200</v>
      </c>
      <c r="B440" s="322">
        <v>427</v>
      </c>
      <c r="C440" s="721"/>
      <c r="D440" s="722"/>
      <c r="E440" s="698"/>
      <c r="F440" s="698"/>
      <c r="G440" s="698"/>
    </row>
    <row r="441" spans="1:7" ht="17.25" customHeight="1" x14ac:dyDescent="0.2">
      <c r="A441" s="338" t="s">
        <v>200</v>
      </c>
      <c r="B441" s="322">
        <v>428</v>
      </c>
      <c r="C441" s="721"/>
      <c r="D441" s="722"/>
      <c r="E441" s="149"/>
      <c r="F441" s="149"/>
      <c r="G441" s="149"/>
    </row>
    <row r="442" spans="1:7" ht="17.25" customHeight="1" x14ac:dyDescent="0.2">
      <c r="A442" s="338" t="s">
        <v>200</v>
      </c>
      <c r="B442" s="322">
        <v>429</v>
      </c>
      <c r="C442" s="721"/>
      <c r="D442" s="722"/>
      <c r="E442" s="698"/>
      <c r="F442" s="698"/>
      <c r="G442" s="698"/>
    </row>
    <row r="443" spans="1:7" ht="17.25" customHeight="1" x14ac:dyDescent="0.2">
      <c r="A443" s="338" t="s">
        <v>200</v>
      </c>
      <c r="B443" s="337">
        <v>430</v>
      </c>
      <c r="C443" s="696" t="s">
        <v>212</v>
      </c>
      <c r="D443" s="696" t="s">
        <v>213</v>
      </c>
      <c r="E443" s="698"/>
      <c r="F443" s="698"/>
      <c r="G443" s="698"/>
    </row>
    <row r="444" spans="1:7" ht="66.05" customHeight="1" x14ac:dyDescent="0.2">
      <c r="A444" s="338" t="s">
        <v>200</v>
      </c>
      <c r="B444" s="337">
        <v>431</v>
      </c>
      <c r="C444" s="698" t="s">
        <v>214</v>
      </c>
      <c r="D444" s="698" t="s">
        <v>215</v>
      </c>
      <c r="E444" s="698"/>
      <c r="F444" s="698"/>
      <c r="G444" s="698"/>
    </row>
    <row r="445" spans="1:7" ht="101.3" customHeight="1" x14ac:dyDescent="0.2">
      <c r="A445" s="338" t="s">
        <v>200</v>
      </c>
      <c r="B445" s="337">
        <v>432</v>
      </c>
      <c r="C445" s="698" t="s">
        <v>216</v>
      </c>
      <c r="D445" s="698" t="s">
        <v>217</v>
      </c>
      <c r="E445" s="698"/>
      <c r="F445" s="698"/>
      <c r="G445" s="698"/>
    </row>
    <row r="446" spans="1:7" ht="17.25" customHeight="1" x14ac:dyDescent="0.2">
      <c r="A446" s="338" t="s">
        <v>200</v>
      </c>
      <c r="B446" s="322">
        <v>433</v>
      </c>
      <c r="C446" s="698"/>
      <c r="D446" s="698"/>
      <c r="E446" s="698"/>
      <c r="F446" s="698"/>
      <c r="G446" s="698"/>
    </row>
    <row r="447" spans="1:7" ht="17.25" customHeight="1" x14ac:dyDescent="0.2">
      <c r="A447" s="338" t="s">
        <v>200</v>
      </c>
      <c r="B447" s="322">
        <v>434</v>
      </c>
      <c r="C447" s="698"/>
      <c r="D447" s="698"/>
      <c r="E447" s="698"/>
      <c r="F447" s="698"/>
      <c r="G447" s="698"/>
    </row>
    <row r="448" spans="1:7" ht="17.25" customHeight="1" x14ac:dyDescent="0.2">
      <c r="A448" s="338" t="s">
        <v>200</v>
      </c>
      <c r="B448" s="322">
        <v>435</v>
      </c>
      <c r="C448" s="698"/>
      <c r="D448" s="698"/>
      <c r="E448" s="698"/>
      <c r="F448" s="698"/>
      <c r="G448" s="698"/>
    </row>
    <row r="449" spans="1:7" ht="17.25" customHeight="1" x14ac:dyDescent="0.2">
      <c r="A449" s="338" t="s">
        <v>200</v>
      </c>
      <c r="B449" s="322">
        <v>436</v>
      </c>
      <c r="C449" s="698"/>
      <c r="D449" s="698"/>
      <c r="E449" s="698"/>
      <c r="F449" s="698"/>
      <c r="G449" s="698"/>
    </row>
    <row r="450" spans="1:7" ht="17.25" customHeight="1" x14ac:dyDescent="0.2">
      <c r="A450" s="338" t="s">
        <v>200</v>
      </c>
      <c r="B450" s="322">
        <v>437</v>
      </c>
      <c r="C450" s="721"/>
      <c r="D450" s="722"/>
      <c r="E450" s="698"/>
      <c r="F450" s="698"/>
      <c r="G450" s="698"/>
    </row>
    <row r="451" spans="1:7" ht="17.25" customHeight="1" x14ac:dyDescent="0.2">
      <c r="A451" s="338" t="s">
        <v>200</v>
      </c>
      <c r="B451" s="322">
        <v>438</v>
      </c>
      <c r="C451" s="721"/>
      <c r="D451" s="722"/>
      <c r="E451" s="698"/>
      <c r="F451" s="698"/>
      <c r="G451" s="698"/>
    </row>
    <row r="452" spans="1:7" ht="12.55" x14ac:dyDescent="0.2">
      <c r="A452" s="338" t="s">
        <v>200</v>
      </c>
      <c r="B452" s="322">
        <v>439</v>
      </c>
      <c r="C452" s="721"/>
      <c r="D452" s="722"/>
      <c r="E452" s="728"/>
      <c r="F452" s="698"/>
      <c r="G452" s="698"/>
    </row>
    <row r="453" spans="1:7" ht="12.55" x14ac:dyDescent="0.2">
      <c r="A453" s="338" t="s">
        <v>200</v>
      </c>
      <c r="B453" s="337">
        <v>440</v>
      </c>
      <c r="C453" s="696" t="s">
        <v>218</v>
      </c>
      <c r="D453" s="696" t="s">
        <v>219</v>
      </c>
      <c r="E453" s="728"/>
      <c r="F453" s="698"/>
      <c r="G453" s="698"/>
    </row>
    <row r="454" spans="1:7" ht="25.05" x14ac:dyDescent="0.2">
      <c r="A454" s="338" t="s">
        <v>200</v>
      </c>
      <c r="B454" s="337">
        <v>441</v>
      </c>
      <c r="C454" s="698" t="s">
        <v>220</v>
      </c>
      <c r="D454" s="698" t="s">
        <v>221</v>
      </c>
      <c r="E454" s="728"/>
      <c r="F454" s="698"/>
      <c r="G454" s="698"/>
    </row>
    <row r="455" spans="1:7" ht="25.05" x14ac:dyDescent="0.2">
      <c r="A455" s="338" t="s">
        <v>200</v>
      </c>
      <c r="B455" s="337">
        <v>442</v>
      </c>
      <c r="C455" s="698" t="s">
        <v>222</v>
      </c>
      <c r="D455" s="698" t="s">
        <v>223</v>
      </c>
      <c r="E455" s="728"/>
      <c r="F455" s="698"/>
      <c r="G455" s="698"/>
    </row>
    <row r="456" spans="1:7" ht="12.55" x14ac:dyDescent="0.2">
      <c r="A456" s="338" t="s">
        <v>200</v>
      </c>
      <c r="B456" s="322">
        <v>443</v>
      </c>
      <c r="C456" s="698"/>
      <c r="D456" s="698"/>
      <c r="E456" s="728"/>
      <c r="F456" s="698"/>
      <c r="G456" s="698"/>
    </row>
    <row r="457" spans="1:7" ht="12.55" x14ac:dyDescent="0.2">
      <c r="A457" s="338" t="s">
        <v>200</v>
      </c>
      <c r="B457" s="322">
        <v>444</v>
      </c>
      <c r="C457" s="698"/>
      <c r="D457" s="698"/>
      <c r="E457" s="728"/>
      <c r="F457" s="698"/>
      <c r="G457" s="698"/>
    </row>
    <row r="458" spans="1:7" ht="12.55" x14ac:dyDescent="0.2">
      <c r="A458" s="338" t="s">
        <v>200</v>
      </c>
      <c r="B458" s="322">
        <v>445</v>
      </c>
      <c r="C458" s="698"/>
      <c r="D458" s="698"/>
      <c r="E458" s="728"/>
      <c r="F458" s="698"/>
      <c r="G458" s="698"/>
    </row>
    <row r="459" spans="1:7" ht="17.25" customHeight="1" x14ac:dyDescent="0.2">
      <c r="A459" s="338" t="s">
        <v>200</v>
      </c>
      <c r="B459" s="322">
        <v>446</v>
      </c>
      <c r="C459" s="698"/>
      <c r="D459" s="698"/>
      <c r="E459" s="698"/>
      <c r="F459" s="698"/>
      <c r="G459" s="698"/>
    </row>
    <row r="460" spans="1:7" ht="17.25" customHeight="1" x14ac:dyDescent="0.2">
      <c r="A460" s="338" t="s">
        <v>200</v>
      </c>
      <c r="B460" s="322">
        <v>447</v>
      </c>
      <c r="C460" s="721"/>
      <c r="D460" s="722"/>
      <c r="E460" s="698"/>
      <c r="F460" s="698"/>
      <c r="G460" s="698"/>
    </row>
    <row r="461" spans="1:7" ht="17.25" customHeight="1" x14ac:dyDescent="0.2">
      <c r="A461" s="338" t="s">
        <v>200</v>
      </c>
      <c r="B461" s="322">
        <v>448</v>
      </c>
      <c r="C461" s="721"/>
      <c r="D461" s="722"/>
      <c r="E461" s="698"/>
      <c r="F461" s="698"/>
      <c r="G461" s="698"/>
    </row>
    <row r="462" spans="1:7" ht="17.25" customHeight="1" x14ac:dyDescent="0.2">
      <c r="A462" s="338" t="s">
        <v>200</v>
      </c>
      <c r="B462" s="322">
        <v>449</v>
      </c>
      <c r="C462" s="721"/>
      <c r="D462" s="722"/>
      <c r="E462" s="698"/>
      <c r="F462" s="698"/>
      <c r="G462" s="698"/>
    </row>
    <row r="463" spans="1:7" ht="17.25" customHeight="1" x14ac:dyDescent="0.2">
      <c r="A463" s="338" t="s">
        <v>200</v>
      </c>
      <c r="B463" s="337">
        <v>450</v>
      </c>
      <c r="C463" s="696" t="s">
        <v>224</v>
      </c>
      <c r="D463" s="696" t="s">
        <v>225</v>
      </c>
      <c r="E463" s="698"/>
      <c r="F463" s="698"/>
      <c r="G463" s="698"/>
    </row>
    <row r="464" spans="1:7" ht="44.3" customHeight="1" x14ac:dyDescent="0.2">
      <c r="A464" s="338" t="s">
        <v>200</v>
      </c>
      <c r="B464" s="337">
        <v>451</v>
      </c>
      <c r="C464" s="698" t="s">
        <v>226</v>
      </c>
      <c r="D464" s="698" t="s">
        <v>227</v>
      </c>
      <c r="E464" s="698"/>
      <c r="F464" s="698"/>
      <c r="G464" s="698"/>
    </row>
    <row r="465" spans="1:7" ht="100.2" x14ac:dyDescent="0.2">
      <c r="A465" s="338" t="s">
        <v>200</v>
      </c>
      <c r="B465" s="337">
        <v>452</v>
      </c>
      <c r="C465" s="698" t="s">
        <v>228</v>
      </c>
      <c r="D465" s="698" t="s">
        <v>229</v>
      </c>
      <c r="E465" s="698"/>
      <c r="F465" s="698"/>
      <c r="G465" s="698"/>
    </row>
    <row r="466" spans="1:7" ht="17.25" customHeight="1" x14ac:dyDescent="0.2">
      <c r="A466" s="338" t="s">
        <v>200</v>
      </c>
      <c r="B466" s="322">
        <v>453</v>
      </c>
      <c r="C466" s="699"/>
      <c r="D466" s="700"/>
      <c r="E466" s="698"/>
      <c r="F466" s="698"/>
      <c r="G466" s="698"/>
    </row>
    <row r="467" spans="1:7" ht="17.25" customHeight="1" x14ac:dyDescent="0.2">
      <c r="A467" s="338" t="s">
        <v>200</v>
      </c>
      <c r="B467" s="322">
        <v>454</v>
      </c>
      <c r="C467" s="699"/>
      <c r="D467" s="700"/>
      <c r="E467" s="698"/>
      <c r="F467" s="698"/>
      <c r="G467" s="698"/>
    </row>
    <row r="468" spans="1:7" ht="17.25" customHeight="1" x14ac:dyDescent="0.2">
      <c r="A468" s="338" t="s">
        <v>200</v>
      </c>
      <c r="B468" s="322">
        <v>455</v>
      </c>
      <c r="C468" s="699"/>
      <c r="D468" s="700"/>
      <c r="E468" s="698"/>
      <c r="F468" s="698"/>
      <c r="G468" s="698"/>
    </row>
    <row r="469" spans="1:7" ht="17.25" customHeight="1" x14ac:dyDescent="0.2">
      <c r="A469" s="338" t="s">
        <v>200</v>
      </c>
      <c r="B469" s="322">
        <v>456</v>
      </c>
      <c r="C469" s="721"/>
      <c r="D469" s="722"/>
      <c r="E469" s="698"/>
      <c r="F469" s="698"/>
      <c r="G469" s="698"/>
    </row>
    <row r="470" spans="1:7" ht="17.25" customHeight="1" x14ac:dyDescent="0.2">
      <c r="A470" s="338" t="s">
        <v>200</v>
      </c>
      <c r="B470" s="322">
        <v>457</v>
      </c>
      <c r="C470" s="721"/>
      <c r="D470" s="722"/>
      <c r="E470" s="698"/>
      <c r="F470" s="698"/>
      <c r="G470" s="698"/>
    </row>
    <row r="471" spans="1:7" ht="17.25" customHeight="1" x14ac:dyDescent="0.2">
      <c r="A471" s="338" t="s">
        <v>200</v>
      </c>
      <c r="B471" s="322">
        <v>458</v>
      </c>
      <c r="C471" s="721"/>
      <c r="D471" s="722"/>
      <c r="E471" s="698"/>
      <c r="F471" s="698"/>
      <c r="G471" s="698"/>
    </row>
    <row r="472" spans="1:7" ht="17.25" customHeight="1" x14ac:dyDescent="0.2">
      <c r="A472" s="338" t="s">
        <v>200</v>
      </c>
      <c r="B472" s="322">
        <v>459</v>
      </c>
      <c r="C472" s="721"/>
      <c r="D472" s="722"/>
      <c r="E472" s="698"/>
      <c r="F472" s="698"/>
      <c r="G472" s="698"/>
    </row>
    <row r="473" spans="1:7" ht="17.25" customHeight="1" x14ac:dyDescent="0.2">
      <c r="A473" s="338" t="s">
        <v>200</v>
      </c>
      <c r="B473" s="337">
        <v>460</v>
      </c>
      <c r="C473" s="696" t="s">
        <v>230</v>
      </c>
      <c r="D473" s="696" t="s">
        <v>231</v>
      </c>
      <c r="E473" s="698"/>
      <c r="F473" s="698"/>
      <c r="G473" s="698"/>
    </row>
    <row r="474" spans="1:7" ht="25.05" x14ac:dyDescent="0.2">
      <c r="A474" s="338" t="s">
        <v>200</v>
      </c>
      <c r="B474" s="337">
        <v>461</v>
      </c>
      <c r="C474" s="698" t="s">
        <v>232</v>
      </c>
      <c r="D474" s="698" t="s">
        <v>233</v>
      </c>
      <c r="E474" s="698"/>
      <c r="F474" s="698"/>
      <c r="G474" s="698"/>
    </row>
    <row r="475" spans="1:7" ht="37.6" x14ac:dyDescent="0.2">
      <c r="A475" s="338" t="s">
        <v>200</v>
      </c>
      <c r="B475" s="337">
        <v>462</v>
      </c>
      <c r="C475" s="698" t="s">
        <v>234</v>
      </c>
      <c r="D475" s="698" t="s">
        <v>235</v>
      </c>
      <c r="E475" s="698"/>
      <c r="F475" s="698"/>
      <c r="G475" s="698"/>
    </row>
    <row r="476" spans="1:7" ht="17.25" customHeight="1" x14ac:dyDescent="0.2">
      <c r="A476" s="338" t="s">
        <v>200</v>
      </c>
      <c r="B476" s="322">
        <v>463</v>
      </c>
      <c r="C476" s="698"/>
      <c r="D476" s="698"/>
      <c r="E476" s="698"/>
      <c r="F476" s="698"/>
      <c r="G476" s="698"/>
    </row>
    <row r="477" spans="1:7" ht="17.25" customHeight="1" x14ac:dyDescent="0.2">
      <c r="A477" s="338" t="s">
        <v>200</v>
      </c>
      <c r="B477" s="322">
        <v>464</v>
      </c>
      <c r="C477" s="698"/>
      <c r="D477" s="698"/>
      <c r="E477" s="698"/>
      <c r="F477" s="698"/>
      <c r="G477" s="698"/>
    </row>
    <row r="478" spans="1:7" ht="17.25" customHeight="1" x14ac:dyDescent="0.2">
      <c r="A478" s="338" t="s">
        <v>200</v>
      </c>
      <c r="B478" s="322">
        <v>465</v>
      </c>
      <c r="C478" s="698"/>
      <c r="D478" s="698"/>
      <c r="E478" s="698"/>
      <c r="F478" s="698"/>
      <c r="G478" s="698"/>
    </row>
    <row r="479" spans="1:7" ht="17.25" customHeight="1" x14ac:dyDescent="0.2">
      <c r="A479" s="338" t="s">
        <v>200</v>
      </c>
      <c r="B479" s="322">
        <v>466</v>
      </c>
      <c r="C479" s="698"/>
      <c r="D479" s="698"/>
      <c r="E479" s="698"/>
      <c r="F479" s="698"/>
      <c r="G479" s="698"/>
    </row>
    <row r="480" spans="1:7" ht="17.25" customHeight="1" x14ac:dyDescent="0.2">
      <c r="A480" s="338" t="s">
        <v>200</v>
      </c>
      <c r="B480" s="322">
        <v>467</v>
      </c>
      <c r="C480" s="721"/>
      <c r="D480" s="722"/>
      <c r="E480" s="698"/>
      <c r="F480" s="698"/>
      <c r="G480" s="698"/>
    </row>
    <row r="481" spans="1:7" ht="17.25" customHeight="1" x14ac:dyDescent="0.2">
      <c r="A481" s="338" t="s">
        <v>200</v>
      </c>
      <c r="B481" s="322">
        <v>468</v>
      </c>
      <c r="C481" s="721"/>
      <c r="D481" s="722"/>
      <c r="E481" s="698"/>
      <c r="F481" s="698"/>
      <c r="G481" s="698"/>
    </row>
    <row r="482" spans="1:7" ht="17.25" customHeight="1" x14ac:dyDescent="0.2">
      <c r="A482" s="338" t="s">
        <v>200</v>
      </c>
      <c r="B482" s="322">
        <v>469</v>
      </c>
      <c r="C482" s="721"/>
      <c r="D482" s="722"/>
      <c r="E482" s="698"/>
      <c r="F482" s="698"/>
      <c r="G482" s="698"/>
    </row>
    <row r="483" spans="1:7" ht="17.25" customHeight="1" x14ac:dyDescent="0.2">
      <c r="A483" s="338" t="s">
        <v>200</v>
      </c>
      <c r="B483" s="337">
        <v>470</v>
      </c>
      <c r="C483" s="696" t="s">
        <v>236</v>
      </c>
      <c r="D483" s="696" t="s">
        <v>237</v>
      </c>
      <c r="E483" s="698"/>
      <c r="F483" s="698"/>
      <c r="G483" s="698"/>
    </row>
    <row r="484" spans="1:7" ht="17.25" customHeight="1" x14ac:dyDescent="0.2">
      <c r="A484" s="338" t="s">
        <v>200</v>
      </c>
      <c r="B484" s="337">
        <v>471</v>
      </c>
      <c r="C484" s="698" t="s">
        <v>238</v>
      </c>
      <c r="D484" s="698" t="s">
        <v>239</v>
      </c>
      <c r="E484" s="698"/>
      <c r="F484" s="698"/>
      <c r="G484" s="698"/>
    </row>
    <row r="485" spans="1:7" ht="17.25" customHeight="1" x14ac:dyDescent="0.2">
      <c r="A485" s="338" t="s">
        <v>200</v>
      </c>
      <c r="B485" s="337">
        <v>472</v>
      </c>
      <c r="C485" s="698" t="s">
        <v>240</v>
      </c>
      <c r="D485" s="698" t="s">
        <v>241</v>
      </c>
      <c r="E485" s="698"/>
      <c r="F485" s="698"/>
      <c r="G485" s="698"/>
    </row>
    <row r="486" spans="1:7" ht="17.25" customHeight="1" x14ac:dyDescent="0.2">
      <c r="A486" s="338" t="s">
        <v>200</v>
      </c>
      <c r="B486" s="322">
        <v>473</v>
      </c>
      <c r="C486" s="698"/>
      <c r="D486" s="698"/>
      <c r="E486" s="698"/>
      <c r="F486" s="698"/>
      <c r="G486" s="698"/>
    </row>
    <row r="487" spans="1:7" ht="17.25" customHeight="1" x14ac:dyDescent="0.2">
      <c r="A487" s="338" t="s">
        <v>200</v>
      </c>
      <c r="B487" s="322">
        <v>474</v>
      </c>
      <c r="C487" s="698"/>
      <c r="D487" s="698"/>
      <c r="E487" s="698"/>
      <c r="F487" s="698"/>
      <c r="G487" s="698"/>
    </row>
    <row r="488" spans="1:7" ht="17.25" customHeight="1" x14ac:dyDescent="0.2">
      <c r="A488" s="338" t="s">
        <v>200</v>
      </c>
      <c r="B488" s="322">
        <v>475</v>
      </c>
      <c r="C488" s="698"/>
      <c r="D488" s="698"/>
      <c r="E488" s="698"/>
      <c r="F488" s="698"/>
      <c r="G488" s="698"/>
    </row>
    <row r="489" spans="1:7" ht="17.25" customHeight="1" x14ac:dyDescent="0.2">
      <c r="A489" s="338" t="s">
        <v>200</v>
      </c>
      <c r="B489" s="322">
        <v>476</v>
      </c>
      <c r="C489" s="698"/>
      <c r="D489" s="698"/>
      <c r="E489" s="698"/>
      <c r="F489" s="698"/>
      <c r="G489" s="698"/>
    </row>
    <row r="490" spans="1:7" ht="17.25" customHeight="1" x14ac:dyDescent="0.2">
      <c r="A490" s="338" t="s">
        <v>200</v>
      </c>
      <c r="B490" s="322">
        <v>477</v>
      </c>
      <c r="C490" s="721"/>
      <c r="D490" s="722"/>
      <c r="E490" s="698"/>
      <c r="F490" s="698"/>
      <c r="G490" s="698"/>
    </row>
    <row r="491" spans="1:7" ht="17.25" customHeight="1" x14ac:dyDescent="0.2">
      <c r="A491" s="338" t="s">
        <v>200</v>
      </c>
      <c r="B491" s="322">
        <v>478</v>
      </c>
      <c r="C491" s="721"/>
      <c r="D491" s="722"/>
      <c r="E491" s="698"/>
      <c r="F491" s="698"/>
      <c r="G491" s="698"/>
    </row>
    <row r="492" spans="1:7" ht="17.25" customHeight="1" x14ac:dyDescent="0.2">
      <c r="A492" s="338" t="s">
        <v>200</v>
      </c>
      <c r="B492" s="322">
        <v>479</v>
      </c>
      <c r="C492" s="721"/>
      <c r="D492" s="722"/>
      <c r="E492" s="698"/>
      <c r="F492" s="698"/>
      <c r="G492" s="698"/>
    </row>
    <row r="493" spans="1:7" ht="17.25" customHeight="1" x14ac:dyDescent="0.2">
      <c r="A493" s="338" t="s">
        <v>200</v>
      </c>
      <c r="B493" s="337">
        <v>480</v>
      </c>
      <c r="C493" s="696" t="s">
        <v>242</v>
      </c>
      <c r="D493" s="696" t="s">
        <v>243</v>
      </c>
      <c r="E493" s="698"/>
      <c r="F493" s="698"/>
      <c r="G493" s="698"/>
    </row>
    <row r="494" spans="1:7" ht="37.6" x14ac:dyDescent="0.2">
      <c r="A494" s="338" t="s">
        <v>200</v>
      </c>
      <c r="B494" s="337">
        <v>481</v>
      </c>
      <c r="C494" s="698" t="s">
        <v>244</v>
      </c>
      <c r="D494" s="698" t="s">
        <v>245</v>
      </c>
      <c r="E494" s="698"/>
      <c r="F494" s="698"/>
      <c r="G494" s="698"/>
    </row>
    <row r="495" spans="1:7" ht="37.6" x14ac:dyDescent="0.2">
      <c r="A495" s="338" t="s">
        <v>200</v>
      </c>
      <c r="B495" s="337">
        <v>482</v>
      </c>
      <c r="C495" s="698" t="s">
        <v>246</v>
      </c>
      <c r="D495" s="698" t="s">
        <v>247</v>
      </c>
      <c r="E495" s="698"/>
      <c r="F495" s="698"/>
      <c r="G495" s="698"/>
    </row>
    <row r="496" spans="1:7" ht="17.25" customHeight="1" x14ac:dyDescent="0.2">
      <c r="A496" s="338" t="s">
        <v>200</v>
      </c>
      <c r="B496" s="322">
        <v>483</v>
      </c>
      <c r="C496" s="698"/>
      <c r="D496" s="698"/>
      <c r="E496" s="698"/>
      <c r="F496" s="698"/>
      <c r="G496" s="698"/>
    </row>
    <row r="497" spans="1:7" ht="17.25" customHeight="1" x14ac:dyDescent="0.2">
      <c r="A497" s="338" t="s">
        <v>200</v>
      </c>
      <c r="B497" s="322">
        <v>484</v>
      </c>
      <c r="C497" s="698"/>
      <c r="D497" s="698"/>
      <c r="E497" s="698"/>
      <c r="F497" s="698"/>
      <c r="G497" s="698"/>
    </row>
    <row r="498" spans="1:7" ht="17.25" customHeight="1" x14ac:dyDescent="0.2">
      <c r="A498" s="338" t="s">
        <v>200</v>
      </c>
      <c r="B498" s="322">
        <v>485</v>
      </c>
      <c r="C498" s="698"/>
      <c r="D498" s="698"/>
      <c r="E498" s="698"/>
      <c r="F498" s="698"/>
      <c r="G498" s="698"/>
    </row>
    <row r="499" spans="1:7" ht="17.25" customHeight="1" x14ac:dyDescent="0.2">
      <c r="A499" s="338" t="s">
        <v>200</v>
      </c>
      <c r="B499" s="322">
        <v>486</v>
      </c>
      <c r="C499" s="698"/>
      <c r="D499" s="698"/>
      <c r="E499" s="698"/>
      <c r="F499" s="698"/>
      <c r="G499" s="698"/>
    </row>
    <row r="500" spans="1:7" ht="17.25" customHeight="1" x14ac:dyDescent="0.2">
      <c r="A500" s="338" t="s">
        <v>200</v>
      </c>
      <c r="B500" s="322">
        <v>487</v>
      </c>
      <c r="C500" s="721"/>
      <c r="D500" s="722"/>
      <c r="E500" s="698"/>
      <c r="F500" s="698"/>
      <c r="G500" s="698"/>
    </row>
    <row r="501" spans="1:7" ht="17.25" customHeight="1" x14ac:dyDescent="0.2">
      <c r="A501" s="338" t="s">
        <v>200</v>
      </c>
      <c r="B501" s="322">
        <v>488</v>
      </c>
      <c r="C501" s="721"/>
      <c r="D501" s="722"/>
      <c r="E501" s="698"/>
      <c r="F501" s="698"/>
      <c r="G501" s="698"/>
    </row>
    <row r="502" spans="1:7" ht="17.25" customHeight="1" x14ac:dyDescent="0.2">
      <c r="A502" s="338" t="s">
        <v>200</v>
      </c>
      <c r="B502" s="322">
        <v>489</v>
      </c>
      <c r="C502" s="721"/>
      <c r="D502" s="722"/>
      <c r="E502" s="149"/>
      <c r="F502" s="149"/>
      <c r="G502" s="149"/>
    </row>
    <row r="503" spans="1:7" ht="17.25" customHeight="1" x14ac:dyDescent="0.2">
      <c r="A503" s="338" t="s">
        <v>200</v>
      </c>
      <c r="B503" s="337">
        <v>490</v>
      </c>
      <c r="C503" s="696" t="s">
        <v>248</v>
      </c>
      <c r="D503" s="696" t="s">
        <v>249</v>
      </c>
      <c r="E503" s="149"/>
      <c r="F503" s="149"/>
      <c r="G503" s="149"/>
    </row>
    <row r="504" spans="1:7" ht="25.05" x14ac:dyDescent="0.2">
      <c r="A504" s="338" t="s">
        <v>200</v>
      </c>
      <c r="B504" s="337">
        <v>491</v>
      </c>
      <c r="C504" s="698" t="s">
        <v>250</v>
      </c>
      <c r="D504" s="698" t="s">
        <v>251</v>
      </c>
      <c r="E504" s="149"/>
      <c r="F504" s="149"/>
      <c r="G504" s="149"/>
    </row>
    <row r="505" spans="1:7" ht="25.05" x14ac:dyDescent="0.2">
      <c r="A505" s="338" t="s">
        <v>200</v>
      </c>
      <c r="B505" s="337">
        <v>492</v>
      </c>
      <c r="C505" s="698" t="s">
        <v>252</v>
      </c>
      <c r="D505" s="698" t="s">
        <v>253</v>
      </c>
      <c r="E505" s="149"/>
      <c r="F505" s="149"/>
      <c r="G505" s="149"/>
    </row>
    <row r="506" spans="1:7" ht="17.25" customHeight="1" x14ac:dyDescent="0.2">
      <c r="A506" s="338" t="s">
        <v>200</v>
      </c>
      <c r="B506" s="322">
        <v>493</v>
      </c>
      <c r="C506" s="698"/>
      <c r="D506" s="698"/>
      <c r="E506" s="149"/>
      <c r="F506" s="149"/>
      <c r="G506" s="149"/>
    </row>
    <row r="507" spans="1:7" ht="17.25" customHeight="1" x14ac:dyDescent="0.2">
      <c r="A507" s="338" t="s">
        <v>200</v>
      </c>
      <c r="B507" s="322">
        <v>494</v>
      </c>
      <c r="C507" s="698"/>
      <c r="D507" s="698"/>
      <c r="E507" s="149"/>
      <c r="F507" s="149"/>
      <c r="G507" s="149"/>
    </row>
    <row r="508" spans="1:7" ht="17.25" customHeight="1" x14ac:dyDescent="0.2">
      <c r="A508" s="338" t="s">
        <v>200</v>
      </c>
      <c r="B508" s="322">
        <v>495</v>
      </c>
      <c r="C508" s="698"/>
      <c r="D508" s="698"/>
      <c r="E508" s="149"/>
      <c r="F508" s="149"/>
      <c r="G508" s="149"/>
    </row>
    <row r="509" spans="1:7" ht="17.25" customHeight="1" x14ac:dyDescent="0.2">
      <c r="A509" s="338" t="s">
        <v>200</v>
      </c>
      <c r="B509" s="322">
        <v>496</v>
      </c>
      <c r="C509" s="698"/>
      <c r="D509" s="698"/>
      <c r="E509" s="698"/>
      <c r="F509" s="698"/>
      <c r="G509" s="698"/>
    </row>
    <row r="510" spans="1:7" ht="17.25" customHeight="1" x14ac:dyDescent="0.2">
      <c r="A510" s="338" t="s">
        <v>200</v>
      </c>
      <c r="B510" s="322">
        <v>497</v>
      </c>
      <c r="C510" s="721"/>
      <c r="D510" s="722"/>
      <c r="E510" s="698"/>
      <c r="F510" s="698"/>
      <c r="G510" s="698"/>
    </row>
    <row r="511" spans="1:7" ht="17.25" customHeight="1" x14ac:dyDescent="0.2">
      <c r="A511" s="338" t="s">
        <v>200</v>
      </c>
      <c r="B511" s="322">
        <v>498</v>
      </c>
      <c r="C511" s="721"/>
      <c r="D511" s="722"/>
      <c r="E511" s="698"/>
      <c r="F511" s="698"/>
      <c r="G511" s="698"/>
    </row>
    <row r="512" spans="1:7" ht="17.25" customHeight="1" x14ac:dyDescent="0.2">
      <c r="A512" s="338" t="s">
        <v>200</v>
      </c>
      <c r="B512" s="322">
        <v>499</v>
      </c>
      <c r="C512" s="721"/>
      <c r="D512" s="722"/>
      <c r="E512" s="698"/>
      <c r="F512" s="698"/>
      <c r="G512" s="698"/>
    </row>
    <row r="513" spans="1:7" ht="17.25" customHeight="1" x14ac:dyDescent="0.2">
      <c r="A513" s="338" t="s">
        <v>200</v>
      </c>
      <c r="B513" s="337">
        <v>500</v>
      </c>
      <c r="C513" s="696" t="s">
        <v>254</v>
      </c>
      <c r="D513" s="696" t="s">
        <v>255</v>
      </c>
      <c r="E513" s="698"/>
      <c r="F513" s="698"/>
      <c r="G513" s="698"/>
    </row>
    <row r="514" spans="1:7" ht="50.1" x14ac:dyDescent="0.2">
      <c r="A514" s="338" t="s">
        <v>200</v>
      </c>
      <c r="B514" s="337">
        <v>501</v>
      </c>
      <c r="C514" s="729" t="s">
        <v>256</v>
      </c>
      <c r="D514" s="729" t="s">
        <v>257</v>
      </c>
      <c r="E514" s="710"/>
      <c r="F514" s="698"/>
      <c r="G514" s="698"/>
    </row>
    <row r="515" spans="1:7" ht="87.85" customHeight="1" x14ac:dyDescent="0.2">
      <c r="A515" s="338" t="s">
        <v>200</v>
      </c>
      <c r="B515" s="337">
        <v>502</v>
      </c>
      <c r="C515" s="730" t="s">
        <v>258</v>
      </c>
      <c r="D515" s="731" t="s">
        <v>259</v>
      </c>
      <c r="E515" s="698"/>
      <c r="F515" s="698"/>
      <c r="G515" s="698"/>
    </row>
    <row r="516" spans="1:7" ht="17.25" customHeight="1" x14ac:dyDescent="0.2">
      <c r="A516" s="338" t="s">
        <v>200</v>
      </c>
      <c r="B516" s="322">
        <v>503</v>
      </c>
      <c r="C516" s="730"/>
      <c r="D516" s="730"/>
      <c r="E516" s="698"/>
      <c r="F516" s="698"/>
      <c r="G516" s="698"/>
    </row>
    <row r="517" spans="1:7" ht="17.25" customHeight="1" x14ac:dyDescent="0.2">
      <c r="A517" s="338" t="s">
        <v>200</v>
      </c>
      <c r="B517" s="322">
        <v>504</v>
      </c>
      <c r="C517" s="730"/>
      <c r="D517" s="730"/>
      <c r="E517" s="698"/>
      <c r="F517" s="698"/>
      <c r="G517" s="698"/>
    </row>
    <row r="518" spans="1:7" ht="17.25" customHeight="1" x14ac:dyDescent="0.2">
      <c r="A518" s="338" t="s">
        <v>200</v>
      </c>
      <c r="B518" s="322">
        <v>505</v>
      </c>
      <c r="C518" s="730"/>
      <c r="D518" s="730"/>
      <c r="E518" s="698"/>
      <c r="F518" s="698"/>
      <c r="G518" s="698"/>
    </row>
    <row r="519" spans="1:7" ht="17.25" customHeight="1" x14ac:dyDescent="0.2">
      <c r="A519" s="338" t="s">
        <v>200</v>
      </c>
      <c r="B519" s="322">
        <v>506</v>
      </c>
      <c r="C519" s="698"/>
      <c r="D519" s="698"/>
      <c r="E519" s="698"/>
      <c r="F519" s="698"/>
      <c r="G519" s="698"/>
    </row>
    <row r="520" spans="1:7" ht="17.25" customHeight="1" x14ac:dyDescent="0.2">
      <c r="A520" s="338" t="s">
        <v>200</v>
      </c>
      <c r="B520" s="322">
        <v>507</v>
      </c>
      <c r="C520" s="721"/>
      <c r="D520" s="722"/>
      <c r="E520" s="698"/>
      <c r="F520" s="698"/>
      <c r="G520" s="698"/>
    </row>
    <row r="521" spans="1:7" ht="17.25" customHeight="1" x14ac:dyDescent="0.2">
      <c r="A521" s="338" t="s">
        <v>200</v>
      </c>
      <c r="B521" s="322">
        <v>508</v>
      </c>
      <c r="C521" s="721"/>
      <c r="D521" s="722"/>
      <c r="E521" s="698"/>
      <c r="F521" s="698"/>
      <c r="G521" s="698"/>
    </row>
    <row r="522" spans="1:7" ht="17.25" customHeight="1" x14ac:dyDescent="0.2">
      <c r="A522" s="338" t="s">
        <v>200</v>
      </c>
      <c r="B522" s="322">
        <v>509</v>
      </c>
      <c r="C522" s="721"/>
      <c r="D522" s="722"/>
      <c r="E522" s="698"/>
      <c r="F522" s="698"/>
      <c r="G522" s="698"/>
    </row>
    <row r="523" spans="1:7" ht="17.25" customHeight="1" x14ac:dyDescent="0.2">
      <c r="A523" s="338" t="s">
        <v>200</v>
      </c>
      <c r="B523" s="337">
        <v>510</v>
      </c>
      <c r="C523" s="696" t="s">
        <v>260</v>
      </c>
      <c r="D523" s="696" t="s">
        <v>261</v>
      </c>
      <c r="E523" s="698"/>
      <c r="F523" s="698"/>
      <c r="G523" s="698"/>
    </row>
    <row r="524" spans="1:7" ht="12.55" x14ac:dyDescent="0.2">
      <c r="A524" s="338" t="s">
        <v>200</v>
      </c>
      <c r="B524" s="337">
        <v>511</v>
      </c>
      <c r="C524" s="698" t="s">
        <v>262</v>
      </c>
      <c r="D524" s="698" t="s">
        <v>263</v>
      </c>
      <c r="E524" s="698"/>
      <c r="F524" s="698"/>
      <c r="G524" s="698"/>
    </row>
    <row r="525" spans="1:7" ht="112.7" x14ac:dyDescent="0.2">
      <c r="A525" s="338" t="s">
        <v>200</v>
      </c>
      <c r="B525" s="337">
        <v>512</v>
      </c>
      <c r="C525" s="698" t="s">
        <v>264</v>
      </c>
      <c r="D525" s="698" t="s">
        <v>265</v>
      </c>
      <c r="E525" s="698"/>
      <c r="F525" s="698"/>
      <c r="G525" s="698"/>
    </row>
    <row r="526" spans="1:7" ht="12.55" x14ac:dyDescent="0.2">
      <c r="A526" s="338" t="s">
        <v>200</v>
      </c>
      <c r="B526" s="322">
        <v>513</v>
      </c>
      <c r="C526" s="698"/>
      <c r="D526" s="698"/>
      <c r="E526" s="698"/>
      <c r="F526" s="698"/>
      <c r="G526" s="698"/>
    </row>
    <row r="527" spans="1:7" ht="17.25" customHeight="1" x14ac:dyDescent="0.2">
      <c r="A527" s="338" t="s">
        <v>200</v>
      </c>
      <c r="B527" s="322">
        <v>514</v>
      </c>
      <c r="C527" s="698"/>
      <c r="D527" s="698"/>
      <c r="E527" s="698"/>
      <c r="F527" s="698"/>
      <c r="G527" s="698"/>
    </row>
    <row r="528" spans="1:7" ht="17.25" customHeight="1" x14ac:dyDescent="0.2">
      <c r="A528" s="338" t="s">
        <v>200</v>
      </c>
      <c r="B528" s="322">
        <v>515</v>
      </c>
      <c r="C528" s="698"/>
      <c r="D528" s="698"/>
      <c r="E528" s="698"/>
      <c r="F528" s="698"/>
      <c r="G528" s="698"/>
    </row>
    <row r="529" spans="1:7" ht="17.25" customHeight="1" x14ac:dyDescent="0.2">
      <c r="A529" s="338" t="s">
        <v>200</v>
      </c>
      <c r="B529" s="322">
        <v>516</v>
      </c>
      <c r="C529" s="698"/>
      <c r="D529" s="698"/>
      <c r="E529" s="698"/>
      <c r="F529" s="698"/>
      <c r="G529" s="698"/>
    </row>
    <row r="530" spans="1:7" ht="17.25" customHeight="1" x14ac:dyDescent="0.2">
      <c r="A530" s="338" t="s">
        <v>200</v>
      </c>
      <c r="B530" s="322">
        <v>517</v>
      </c>
      <c r="C530" s="721"/>
      <c r="D530" s="722"/>
      <c r="E530" s="698"/>
      <c r="F530" s="698"/>
      <c r="G530" s="698"/>
    </row>
    <row r="531" spans="1:7" ht="17.25" customHeight="1" x14ac:dyDescent="0.2">
      <c r="A531" s="338" t="s">
        <v>200</v>
      </c>
      <c r="B531" s="322">
        <v>518</v>
      </c>
      <c r="C531" s="721"/>
      <c r="D531" s="722"/>
      <c r="E531" s="698"/>
      <c r="F531" s="698"/>
      <c r="G531" s="698"/>
    </row>
    <row r="532" spans="1:7" ht="17.25" customHeight="1" x14ac:dyDescent="0.2">
      <c r="A532" s="338" t="s">
        <v>200</v>
      </c>
      <c r="B532" s="322">
        <v>519</v>
      </c>
      <c r="C532" s="721"/>
      <c r="D532" s="722"/>
      <c r="E532" s="698"/>
      <c r="F532" s="698"/>
      <c r="G532" s="698"/>
    </row>
    <row r="533" spans="1:7" ht="17.25" customHeight="1" x14ac:dyDescent="0.2">
      <c r="A533" s="338" t="s">
        <v>200</v>
      </c>
      <c r="B533" s="337">
        <v>520</v>
      </c>
      <c r="C533" s="696" t="s">
        <v>266</v>
      </c>
      <c r="D533" s="696" t="s">
        <v>266</v>
      </c>
      <c r="E533" s="698"/>
      <c r="F533" s="698"/>
      <c r="G533" s="698"/>
    </row>
    <row r="534" spans="1:7" ht="37.6" x14ac:dyDescent="0.2">
      <c r="A534" s="338" t="s">
        <v>200</v>
      </c>
      <c r="B534" s="337">
        <v>521</v>
      </c>
      <c r="C534" s="698" t="s">
        <v>267</v>
      </c>
      <c r="D534" s="698" t="s">
        <v>268</v>
      </c>
      <c r="E534" s="698"/>
      <c r="F534" s="698"/>
      <c r="G534" s="698"/>
    </row>
    <row r="535" spans="1:7" ht="50.1" x14ac:dyDescent="0.2">
      <c r="A535" s="338" t="s">
        <v>200</v>
      </c>
      <c r="B535" s="337">
        <v>522</v>
      </c>
      <c r="C535" s="698" t="s">
        <v>269</v>
      </c>
      <c r="D535" s="698" t="s">
        <v>270</v>
      </c>
      <c r="E535" s="698"/>
      <c r="F535" s="698"/>
      <c r="G535" s="698"/>
    </row>
    <row r="536" spans="1:7" ht="17.25" customHeight="1" x14ac:dyDescent="0.2">
      <c r="A536" s="338" t="s">
        <v>200</v>
      </c>
      <c r="B536" s="322">
        <v>523</v>
      </c>
      <c r="C536" s="698"/>
      <c r="D536" s="698"/>
      <c r="E536" s="698"/>
      <c r="F536" s="698"/>
      <c r="G536" s="698"/>
    </row>
    <row r="537" spans="1:7" ht="17.25" customHeight="1" x14ac:dyDescent="0.2">
      <c r="A537" s="338" t="s">
        <v>200</v>
      </c>
      <c r="B537" s="322">
        <v>524</v>
      </c>
      <c r="C537" s="698"/>
      <c r="D537" s="698"/>
      <c r="E537" s="698"/>
      <c r="F537" s="698"/>
      <c r="G537" s="698"/>
    </row>
    <row r="538" spans="1:7" ht="17.25" customHeight="1" x14ac:dyDescent="0.2">
      <c r="A538" s="338" t="s">
        <v>200</v>
      </c>
      <c r="B538" s="322">
        <v>525</v>
      </c>
      <c r="C538" s="698"/>
      <c r="D538" s="698"/>
      <c r="E538" s="698"/>
      <c r="F538" s="698"/>
      <c r="G538" s="698"/>
    </row>
    <row r="539" spans="1:7" ht="17.25" customHeight="1" x14ac:dyDescent="0.2">
      <c r="A539" s="338" t="s">
        <v>200</v>
      </c>
      <c r="B539" s="322">
        <v>526</v>
      </c>
      <c r="C539" s="698"/>
      <c r="D539" s="698"/>
      <c r="E539" s="698"/>
      <c r="F539" s="698"/>
      <c r="G539" s="698"/>
    </row>
    <row r="540" spans="1:7" ht="17.25" customHeight="1" x14ac:dyDescent="0.2">
      <c r="A540" s="338" t="s">
        <v>200</v>
      </c>
      <c r="B540" s="322">
        <v>527</v>
      </c>
      <c r="C540" s="721"/>
      <c r="D540" s="722"/>
      <c r="E540" s="698"/>
      <c r="F540" s="698"/>
      <c r="G540" s="698"/>
    </row>
    <row r="541" spans="1:7" ht="17.25" customHeight="1" x14ac:dyDescent="0.2">
      <c r="A541" s="338" t="s">
        <v>200</v>
      </c>
      <c r="B541" s="322">
        <v>528</v>
      </c>
      <c r="C541" s="721"/>
      <c r="D541" s="722"/>
      <c r="E541" s="698"/>
      <c r="F541" s="698"/>
      <c r="G541" s="698"/>
    </row>
    <row r="542" spans="1:7" ht="17.25" customHeight="1" x14ac:dyDescent="0.2">
      <c r="A542" s="338" t="s">
        <v>200</v>
      </c>
      <c r="B542" s="322">
        <v>529</v>
      </c>
      <c r="C542" s="721"/>
      <c r="D542" s="722"/>
      <c r="E542" s="698"/>
      <c r="F542" s="698"/>
      <c r="G542" s="698"/>
    </row>
    <row r="543" spans="1:7" ht="17.25" customHeight="1" x14ac:dyDescent="0.2">
      <c r="A543" s="338" t="s">
        <v>200</v>
      </c>
      <c r="B543" s="337">
        <v>530</v>
      </c>
      <c r="C543" s="696" t="s">
        <v>271</v>
      </c>
      <c r="D543" s="696" t="s">
        <v>272</v>
      </c>
      <c r="E543" s="698"/>
      <c r="F543" s="698"/>
      <c r="G543" s="698"/>
    </row>
    <row r="544" spans="1:7" ht="50.1" x14ac:dyDescent="0.2">
      <c r="A544" s="338" t="s">
        <v>200</v>
      </c>
      <c r="B544" s="337">
        <v>531</v>
      </c>
      <c r="C544" s="698" t="s">
        <v>273</v>
      </c>
      <c r="D544" s="698" t="s">
        <v>274</v>
      </c>
      <c r="E544" s="698"/>
      <c r="F544" s="698"/>
      <c r="G544" s="698"/>
    </row>
    <row r="545" spans="1:7" ht="25.05" x14ac:dyDescent="0.2">
      <c r="A545" s="338" t="s">
        <v>200</v>
      </c>
      <c r="B545" s="337">
        <v>532</v>
      </c>
      <c r="C545" s="698" t="s">
        <v>275</v>
      </c>
      <c r="D545" s="698" t="s">
        <v>276</v>
      </c>
      <c r="E545" s="698"/>
      <c r="F545" s="698"/>
      <c r="G545" s="698"/>
    </row>
    <row r="546" spans="1:7" ht="17.25" customHeight="1" x14ac:dyDescent="0.2">
      <c r="A546" s="338" t="s">
        <v>200</v>
      </c>
      <c r="B546" s="322">
        <v>533</v>
      </c>
      <c r="C546" s="698"/>
      <c r="D546" s="698"/>
      <c r="E546" s="698"/>
      <c r="F546" s="698"/>
      <c r="G546" s="698"/>
    </row>
    <row r="547" spans="1:7" ht="17.25" customHeight="1" x14ac:dyDescent="0.2">
      <c r="A547" s="338" t="s">
        <v>200</v>
      </c>
      <c r="B547" s="322">
        <v>534</v>
      </c>
      <c r="C547" s="698"/>
      <c r="D547" s="698"/>
      <c r="E547" s="698"/>
      <c r="F547" s="698"/>
      <c r="G547" s="698"/>
    </row>
    <row r="548" spans="1:7" ht="17.25" customHeight="1" x14ac:dyDescent="0.2">
      <c r="A548" s="338" t="s">
        <v>200</v>
      </c>
      <c r="B548" s="322">
        <v>535</v>
      </c>
      <c r="C548" s="698"/>
      <c r="D548" s="698"/>
      <c r="E548" s="698"/>
      <c r="F548" s="698"/>
      <c r="G548" s="698"/>
    </row>
    <row r="549" spans="1:7" ht="17.25" customHeight="1" x14ac:dyDescent="0.2">
      <c r="A549" s="338" t="s">
        <v>200</v>
      </c>
      <c r="B549" s="322">
        <v>536</v>
      </c>
      <c r="C549" s="698"/>
      <c r="D549" s="698"/>
      <c r="E549" s="698"/>
      <c r="F549" s="698"/>
      <c r="G549" s="698"/>
    </row>
    <row r="550" spans="1:7" ht="17.25" customHeight="1" x14ac:dyDescent="0.2">
      <c r="A550" s="338" t="s">
        <v>200</v>
      </c>
      <c r="B550" s="322">
        <v>537</v>
      </c>
      <c r="C550" s="721"/>
      <c r="D550" s="722"/>
      <c r="E550" s="698"/>
      <c r="F550" s="698"/>
      <c r="G550" s="698"/>
    </row>
    <row r="551" spans="1:7" ht="17.25" customHeight="1" x14ac:dyDescent="0.2">
      <c r="A551" s="338" t="s">
        <v>200</v>
      </c>
      <c r="B551" s="322">
        <v>538</v>
      </c>
      <c r="C551" s="721"/>
      <c r="D551" s="722"/>
      <c r="E551" s="698"/>
      <c r="F551" s="698"/>
      <c r="G551" s="698"/>
    </row>
    <row r="552" spans="1:7" ht="17.25" customHeight="1" x14ac:dyDescent="0.2">
      <c r="A552" s="338" t="s">
        <v>200</v>
      </c>
      <c r="B552" s="322">
        <v>539</v>
      </c>
      <c r="C552" s="721"/>
      <c r="D552" s="722"/>
      <c r="E552" s="698"/>
      <c r="F552" s="698"/>
      <c r="G552" s="698"/>
    </row>
    <row r="553" spans="1:7" ht="15.05" customHeight="1" x14ac:dyDescent="0.2">
      <c r="A553" s="338" t="s">
        <v>200</v>
      </c>
      <c r="B553" s="337">
        <v>540</v>
      </c>
      <c r="C553" s="696" t="s">
        <v>277</v>
      </c>
      <c r="D553" s="696" t="s">
        <v>278</v>
      </c>
      <c r="E553" s="698"/>
      <c r="F553" s="698"/>
      <c r="G553" s="698"/>
    </row>
    <row r="554" spans="1:7" ht="25.05" x14ac:dyDescent="0.2">
      <c r="A554" s="338" t="s">
        <v>200</v>
      </c>
      <c r="B554" s="337">
        <v>541</v>
      </c>
      <c r="C554" s="698" t="s">
        <v>279</v>
      </c>
      <c r="D554" s="698" t="s">
        <v>280</v>
      </c>
      <c r="E554" s="698"/>
      <c r="F554" s="698"/>
      <c r="G554" s="698"/>
    </row>
    <row r="555" spans="1:7" ht="137.75" x14ac:dyDescent="0.2">
      <c r="A555" s="338" t="s">
        <v>200</v>
      </c>
      <c r="B555" s="337">
        <v>542</v>
      </c>
      <c r="C555" s="698" t="s">
        <v>281</v>
      </c>
      <c r="D555" s="698" t="s">
        <v>282</v>
      </c>
      <c r="E555" s="698"/>
      <c r="F555" s="698"/>
      <c r="G555" s="698"/>
    </row>
    <row r="556" spans="1:7" ht="17.25" customHeight="1" x14ac:dyDescent="0.2">
      <c r="A556" s="338" t="s">
        <v>200</v>
      </c>
      <c r="B556" s="322">
        <v>543</v>
      </c>
      <c r="C556" s="698"/>
      <c r="D556" s="698"/>
      <c r="E556" s="698"/>
      <c r="F556" s="698"/>
      <c r="G556" s="698"/>
    </row>
    <row r="557" spans="1:7" ht="17.25" customHeight="1" x14ac:dyDescent="0.2">
      <c r="A557" s="338" t="s">
        <v>200</v>
      </c>
      <c r="B557" s="322">
        <v>544</v>
      </c>
      <c r="C557" s="698"/>
      <c r="D557" s="698"/>
      <c r="E557" s="698"/>
      <c r="F557" s="698"/>
      <c r="G557" s="698"/>
    </row>
    <row r="558" spans="1:7" ht="17.25" customHeight="1" x14ac:dyDescent="0.2">
      <c r="A558" s="338" t="s">
        <v>200</v>
      </c>
      <c r="B558" s="322">
        <v>545</v>
      </c>
      <c r="C558" s="698"/>
      <c r="D558" s="698"/>
      <c r="E558" s="698"/>
      <c r="F558" s="698"/>
      <c r="G558" s="698"/>
    </row>
    <row r="559" spans="1:7" ht="17.25" customHeight="1" x14ac:dyDescent="0.2">
      <c r="A559" s="338" t="s">
        <v>200</v>
      </c>
      <c r="B559" s="322">
        <v>546</v>
      </c>
      <c r="C559" s="698"/>
      <c r="D559" s="698"/>
      <c r="E559" s="698"/>
      <c r="F559" s="698"/>
      <c r="G559" s="698"/>
    </row>
    <row r="560" spans="1:7" ht="17.25" customHeight="1" x14ac:dyDescent="0.2">
      <c r="A560" s="338" t="s">
        <v>200</v>
      </c>
      <c r="B560" s="322">
        <v>547</v>
      </c>
      <c r="C560" s="721"/>
      <c r="D560" s="722"/>
      <c r="E560" s="698"/>
      <c r="F560" s="698"/>
      <c r="G560" s="698"/>
    </row>
    <row r="561" spans="1:7" ht="17.25" customHeight="1" x14ac:dyDescent="0.2">
      <c r="A561" s="338" t="s">
        <v>200</v>
      </c>
      <c r="B561" s="322">
        <v>548</v>
      </c>
      <c r="C561" s="721"/>
      <c r="D561" s="722"/>
      <c r="E561" s="698"/>
      <c r="F561" s="698"/>
      <c r="G561" s="698"/>
    </row>
    <row r="562" spans="1:7" ht="17.25" customHeight="1" x14ac:dyDescent="0.2">
      <c r="A562" s="338" t="s">
        <v>200</v>
      </c>
      <c r="B562" s="322">
        <v>549</v>
      </c>
      <c r="C562" s="721"/>
      <c r="D562" s="722"/>
      <c r="E562" s="698"/>
      <c r="F562" s="698"/>
      <c r="G562" s="698"/>
    </row>
    <row r="563" spans="1:7" ht="17.25" customHeight="1" x14ac:dyDescent="0.2">
      <c r="A563" s="338" t="s">
        <v>200</v>
      </c>
      <c r="B563" s="337">
        <v>550</v>
      </c>
      <c r="C563" s="696" t="s">
        <v>283</v>
      </c>
      <c r="D563" s="696" t="s">
        <v>284</v>
      </c>
      <c r="E563" s="698"/>
      <c r="F563" s="698"/>
      <c r="G563" s="698"/>
    </row>
    <row r="564" spans="1:7" ht="37.6" x14ac:dyDescent="0.2">
      <c r="A564" s="338" t="s">
        <v>200</v>
      </c>
      <c r="B564" s="337">
        <v>551</v>
      </c>
      <c r="C564" s="698" t="s">
        <v>285</v>
      </c>
      <c r="D564" s="698" t="s">
        <v>286</v>
      </c>
      <c r="E564" s="698"/>
      <c r="F564" s="698"/>
      <c r="G564" s="698"/>
    </row>
    <row r="565" spans="1:7" ht="17.25" customHeight="1" x14ac:dyDescent="0.2">
      <c r="A565" s="338" t="s">
        <v>200</v>
      </c>
      <c r="B565" s="337">
        <v>552</v>
      </c>
      <c r="C565" s="698" t="s">
        <v>287</v>
      </c>
      <c r="D565" s="698" t="s">
        <v>288</v>
      </c>
      <c r="E565" s="698"/>
      <c r="F565" s="698"/>
      <c r="G565" s="698"/>
    </row>
    <row r="566" spans="1:7" ht="17.25" customHeight="1" x14ac:dyDescent="0.2">
      <c r="A566" s="338" t="s">
        <v>200</v>
      </c>
      <c r="B566" s="322">
        <v>553</v>
      </c>
      <c r="C566" s="698"/>
      <c r="D566" s="698"/>
      <c r="E566" s="698"/>
      <c r="F566" s="698"/>
      <c r="G566" s="698"/>
    </row>
    <row r="567" spans="1:7" ht="17.25" customHeight="1" x14ac:dyDescent="0.2">
      <c r="A567" s="338" t="s">
        <v>200</v>
      </c>
      <c r="B567" s="322">
        <v>554</v>
      </c>
      <c r="C567" s="698"/>
      <c r="D567" s="698"/>
      <c r="E567" s="698"/>
      <c r="F567" s="698"/>
      <c r="G567" s="698"/>
    </row>
    <row r="568" spans="1:7" ht="17.25" customHeight="1" x14ac:dyDescent="0.2">
      <c r="A568" s="338" t="s">
        <v>200</v>
      </c>
      <c r="B568" s="322">
        <v>555</v>
      </c>
      <c r="C568" s="698"/>
      <c r="D568" s="698"/>
      <c r="E568" s="698"/>
      <c r="F568" s="698"/>
      <c r="G568" s="698"/>
    </row>
    <row r="569" spans="1:7" ht="17.25" customHeight="1" x14ac:dyDescent="0.2">
      <c r="A569" s="338" t="s">
        <v>200</v>
      </c>
      <c r="B569" s="322">
        <v>556</v>
      </c>
      <c r="C569" s="698"/>
      <c r="D569" s="698"/>
      <c r="E569" s="698"/>
      <c r="F569" s="698"/>
      <c r="G569" s="698"/>
    </row>
    <row r="570" spans="1:7" ht="17.25" customHeight="1" x14ac:dyDescent="0.2">
      <c r="A570" s="338" t="s">
        <v>200</v>
      </c>
      <c r="B570" s="322">
        <v>557</v>
      </c>
      <c r="C570" s="721"/>
      <c r="D570" s="722"/>
      <c r="E570" s="698"/>
      <c r="F570" s="698"/>
      <c r="G570" s="698"/>
    </row>
    <row r="571" spans="1:7" ht="17.25" customHeight="1" x14ac:dyDescent="0.2">
      <c r="A571" s="338" t="s">
        <v>200</v>
      </c>
      <c r="B571" s="322">
        <v>558</v>
      </c>
      <c r="C571" s="721"/>
      <c r="D571" s="722"/>
      <c r="E571" s="698"/>
      <c r="F571" s="698"/>
      <c r="G571" s="698"/>
    </row>
    <row r="572" spans="1:7" ht="17.25" customHeight="1" x14ac:dyDescent="0.2">
      <c r="A572" s="338" t="s">
        <v>200</v>
      </c>
      <c r="B572" s="322">
        <v>559</v>
      </c>
      <c r="C572" s="698"/>
      <c r="D572" s="698"/>
      <c r="E572" s="698"/>
      <c r="F572" s="698"/>
      <c r="G572" s="698"/>
    </row>
    <row r="573" spans="1:7" ht="17.25" customHeight="1" x14ac:dyDescent="0.2">
      <c r="A573" s="338" t="s">
        <v>200</v>
      </c>
      <c r="B573" s="337">
        <v>560</v>
      </c>
      <c r="C573" s="696" t="s">
        <v>289</v>
      </c>
      <c r="D573" s="696" t="s">
        <v>290</v>
      </c>
      <c r="E573" s="698"/>
      <c r="F573" s="698"/>
      <c r="G573" s="698"/>
    </row>
    <row r="574" spans="1:7" ht="17.25" customHeight="1" x14ac:dyDescent="0.2">
      <c r="A574" s="338" t="s">
        <v>200</v>
      </c>
      <c r="B574" s="337">
        <v>561</v>
      </c>
      <c r="C574" s="698" t="s">
        <v>291</v>
      </c>
      <c r="D574" s="698" t="s">
        <v>292</v>
      </c>
      <c r="E574" s="698"/>
      <c r="F574" s="698"/>
      <c r="G574" s="698"/>
    </row>
    <row r="575" spans="1:7" ht="27.7" customHeight="1" x14ac:dyDescent="0.2">
      <c r="A575" s="338" t="s">
        <v>200</v>
      </c>
      <c r="B575" s="337">
        <v>562</v>
      </c>
      <c r="C575" s="698" t="s">
        <v>293</v>
      </c>
      <c r="D575" s="698" t="s">
        <v>294</v>
      </c>
      <c r="E575" s="698"/>
      <c r="F575" s="698"/>
      <c r="G575" s="698"/>
    </row>
    <row r="576" spans="1:7" ht="17.25" customHeight="1" x14ac:dyDescent="0.2">
      <c r="A576" s="338" t="s">
        <v>200</v>
      </c>
      <c r="B576" s="322">
        <v>563</v>
      </c>
      <c r="C576" s="698"/>
      <c r="D576" s="698"/>
      <c r="E576" s="698"/>
      <c r="F576" s="698"/>
      <c r="G576" s="698"/>
    </row>
    <row r="577" spans="1:7" ht="17.25" customHeight="1" x14ac:dyDescent="0.2">
      <c r="A577" s="338" t="s">
        <v>200</v>
      </c>
      <c r="B577" s="322">
        <v>564</v>
      </c>
      <c r="C577" s="698"/>
      <c r="D577" s="698"/>
      <c r="E577" s="698"/>
      <c r="F577" s="698"/>
      <c r="G577" s="698"/>
    </row>
    <row r="578" spans="1:7" ht="17.25" customHeight="1" x14ac:dyDescent="0.2">
      <c r="A578" s="338" t="s">
        <v>200</v>
      </c>
      <c r="B578" s="322">
        <v>565</v>
      </c>
      <c r="C578" s="698"/>
      <c r="D578" s="698"/>
      <c r="E578" s="698"/>
      <c r="F578" s="698"/>
      <c r="G578" s="698"/>
    </row>
    <row r="579" spans="1:7" ht="17.25" customHeight="1" x14ac:dyDescent="0.2">
      <c r="A579" s="338" t="s">
        <v>200</v>
      </c>
      <c r="B579" s="322">
        <v>566</v>
      </c>
      <c r="C579" s="698"/>
      <c r="D579" s="698"/>
      <c r="E579" s="698"/>
      <c r="F579" s="698"/>
      <c r="G579" s="698"/>
    </row>
    <row r="580" spans="1:7" ht="17.25" customHeight="1" x14ac:dyDescent="0.2">
      <c r="A580" s="338" t="s">
        <v>200</v>
      </c>
      <c r="B580" s="322">
        <v>567</v>
      </c>
      <c r="C580" s="721"/>
      <c r="D580" s="722"/>
      <c r="E580" s="698"/>
      <c r="F580" s="698"/>
      <c r="G580" s="698"/>
    </row>
    <row r="581" spans="1:7" ht="17.25" customHeight="1" x14ac:dyDescent="0.2">
      <c r="A581" s="338" t="s">
        <v>200</v>
      </c>
      <c r="B581" s="322">
        <v>568</v>
      </c>
      <c r="C581" s="721"/>
      <c r="D581" s="722"/>
      <c r="E581" s="698"/>
      <c r="F581" s="698"/>
      <c r="G581" s="698"/>
    </row>
    <row r="582" spans="1:7" ht="17.25" customHeight="1" x14ac:dyDescent="0.2">
      <c r="A582" s="338" t="s">
        <v>200</v>
      </c>
      <c r="B582" s="322">
        <v>569</v>
      </c>
      <c r="C582" s="721"/>
      <c r="D582" s="722"/>
      <c r="E582" s="698"/>
      <c r="F582" s="698"/>
      <c r="G582" s="698"/>
    </row>
    <row r="583" spans="1:7" ht="17.25" customHeight="1" x14ac:dyDescent="0.2">
      <c r="A583" s="338" t="s">
        <v>200</v>
      </c>
      <c r="B583" s="337">
        <v>570</v>
      </c>
      <c r="C583" s="696" t="s">
        <v>295</v>
      </c>
      <c r="D583" s="696" t="s">
        <v>296</v>
      </c>
      <c r="E583" s="698"/>
      <c r="F583" s="698"/>
      <c r="G583" s="698"/>
    </row>
    <row r="584" spans="1:7" ht="37.6" x14ac:dyDescent="0.2">
      <c r="A584" s="338" t="s">
        <v>200</v>
      </c>
      <c r="B584" s="337">
        <v>571</v>
      </c>
      <c r="C584" s="698" t="s">
        <v>297</v>
      </c>
      <c r="D584" s="698" t="s">
        <v>298</v>
      </c>
      <c r="E584" s="698"/>
      <c r="F584" s="698"/>
      <c r="G584" s="698"/>
    </row>
    <row r="585" spans="1:7" ht="25.05" x14ac:dyDescent="0.2">
      <c r="A585" s="338" t="s">
        <v>200</v>
      </c>
      <c r="B585" s="337">
        <v>572</v>
      </c>
      <c r="C585" s="698" t="s">
        <v>299</v>
      </c>
      <c r="D585" s="698" t="s">
        <v>300</v>
      </c>
      <c r="E585" s="698"/>
      <c r="F585" s="698"/>
      <c r="G585" s="698"/>
    </row>
    <row r="586" spans="1:7" ht="17.25" customHeight="1" x14ac:dyDescent="0.2">
      <c r="A586" s="338" t="s">
        <v>200</v>
      </c>
      <c r="B586" s="322">
        <v>573</v>
      </c>
      <c r="C586" s="698"/>
      <c r="D586" s="698"/>
      <c r="E586" s="698"/>
      <c r="F586" s="698"/>
      <c r="G586" s="698"/>
    </row>
    <row r="587" spans="1:7" ht="17.25" customHeight="1" x14ac:dyDescent="0.2">
      <c r="A587" s="338" t="s">
        <v>200</v>
      </c>
      <c r="B587" s="337">
        <v>574</v>
      </c>
      <c r="C587" s="696" t="s">
        <v>301</v>
      </c>
      <c r="D587" s="696" t="s">
        <v>302</v>
      </c>
      <c r="E587" s="698"/>
      <c r="F587" s="698"/>
      <c r="G587" s="698"/>
    </row>
    <row r="588" spans="1:7" ht="62.65" x14ac:dyDescent="0.2">
      <c r="A588" s="338" t="s">
        <v>200</v>
      </c>
      <c r="B588" s="322">
        <v>575</v>
      </c>
      <c r="C588" s="698" t="s">
        <v>303</v>
      </c>
      <c r="D588" s="698" t="s">
        <v>304</v>
      </c>
      <c r="E588" s="698"/>
      <c r="F588" s="698"/>
      <c r="G588" s="698"/>
    </row>
    <row r="589" spans="1:7" ht="75.150000000000006" x14ac:dyDescent="0.2">
      <c r="A589" s="338" t="s">
        <v>200</v>
      </c>
      <c r="B589" s="322">
        <v>576</v>
      </c>
      <c r="C589" s="698" t="s">
        <v>305</v>
      </c>
      <c r="D589" s="698" t="s">
        <v>306</v>
      </c>
      <c r="E589" s="698"/>
      <c r="F589" s="698"/>
      <c r="G589" s="698"/>
    </row>
    <row r="590" spans="1:7" ht="17.25" customHeight="1" x14ac:dyDescent="0.2">
      <c r="A590" s="338" t="s">
        <v>200</v>
      </c>
      <c r="B590" s="322">
        <v>577</v>
      </c>
      <c r="C590" s="721"/>
      <c r="D590" s="722"/>
      <c r="E590" s="698"/>
      <c r="F590" s="698"/>
      <c r="G590" s="698"/>
    </row>
    <row r="591" spans="1:7" ht="17.25" customHeight="1" x14ac:dyDescent="0.2">
      <c r="A591" s="338" t="s">
        <v>200</v>
      </c>
      <c r="B591" s="322">
        <v>578</v>
      </c>
      <c r="C591" s="721"/>
      <c r="D591" s="722"/>
      <c r="E591" s="698"/>
      <c r="F591" s="698"/>
      <c r="G591" s="698"/>
    </row>
    <row r="592" spans="1:7" ht="17.25" customHeight="1" x14ac:dyDescent="0.2">
      <c r="A592" s="338" t="s">
        <v>200</v>
      </c>
      <c r="B592" s="322">
        <v>579</v>
      </c>
      <c r="C592" s="721"/>
      <c r="D592" s="722"/>
      <c r="E592" s="698"/>
      <c r="F592" s="698"/>
      <c r="G592" s="698"/>
    </row>
    <row r="593" spans="1:7" ht="17.25" customHeight="1" x14ac:dyDescent="0.2">
      <c r="A593" s="338" t="s">
        <v>200</v>
      </c>
      <c r="B593" s="337">
        <v>580</v>
      </c>
      <c r="C593" s="696" t="s">
        <v>307</v>
      </c>
      <c r="D593" s="696" t="s">
        <v>308</v>
      </c>
      <c r="E593" s="698"/>
      <c r="F593" s="698"/>
      <c r="G593" s="698"/>
    </row>
    <row r="594" spans="1:7" ht="75.150000000000006" x14ac:dyDescent="0.2">
      <c r="A594" s="338" t="s">
        <v>200</v>
      </c>
      <c r="B594" s="337">
        <v>581</v>
      </c>
      <c r="C594" s="698" t="s">
        <v>309</v>
      </c>
      <c r="D594" s="698" t="s">
        <v>310</v>
      </c>
      <c r="E594" s="698"/>
      <c r="F594" s="698"/>
      <c r="G594" s="698"/>
    </row>
    <row r="595" spans="1:7" ht="27.7" customHeight="1" x14ac:dyDescent="0.2">
      <c r="A595" s="338" t="s">
        <v>200</v>
      </c>
      <c r="B595" s="337">
        <v>582</v>
      </c>
      <c r="C595" s="698" t="s">
        <v>311</v>
      </c>
      <c r="D595" s="698" t="s">
        <v>312</v>
      </c>
      <c r="E595" s="698"/>
      <c r="F595" s="698"/>
      <c r="G595" s="698"/>
    </row>
    <row r="596" spans="1:7" ht="17.25" customHeight="1" x14ac:dyDescent="0.2">
      <c r="A596" s="338" t="s">
        <v>200</v>
      </c>
      <c r="B596" s="322">
        <v>583</v>
      </c>
      <c r="C596" s="698"/>
      <c r="D596" s="698"/>
      <c r="E596" s="698"/>
      <c r="F596" s="698"/>
      <c r="G596" s="698"/>
    </row>
    <row r="597" spans="1:7" ht="17.25" customHeight="1" x14ac:dyDescent="0.2">
      <c r="A597" s="338" t="s">
        <v>200</v>
      </c>
      <c r="B597" s="322">
        <v>584</v>
      </c>
      <c r="C597" s="698"/>
      <c r="D597" s="698"/>
      <c r="E597" s="698"/>
      <c r="F597" s="698"/>
      <c r="G597" s="698"/>
    </row>
    <row r="598" spans="1:7" ht="17.25" customHeight="1" x14ac:dyDescent="0.2">
      <c r="A598" s="338" t="s">
        <v>200</v>
      </c>
      <c r="B598" s="322">
        <v>585</v>
      </c>
      <c r="C598" s="698"/>
      <c r="D598" s="698"/>
      <c r="E598" s="698"/>
      <c r="F598" s="698"/>
      <c r="G598" s="698"/>
    </row>
    <row r="599" spans="1:7" ht="17.25" customHeight="1" x14ac:dyDescent="0.2">
      <c r="A599" s="338" t="s">
        <v>200</v>
      </c>
      <c r="B599" s="322">
        <v>586</v>
      </c>
      <c r="C599" s="698"/>
      <c r="D599" s="698"/>
      <c r="E599" s="698"/>
      <c r="F599" s="698"/>
      <c r="G599" s="698"/>
    </row>
    <row r="600" spans="1:7" ht="17.25" customHeight="1" x14ac:dyDescent="0.2">
      <c r="A600" s="338" t="s">
        <v>200</v>
      </c>
      <c r="B600" s="322">
        <v>587</v>
      </c>
      <c r="C600" s="698"/>
      <c r="D600" s="698"/>
      <c r="E600" s="698"/>
      <c r="F600" s="698"/>
      <c r="G600" s="698"/>
    </row>
    <row r="601" spans="1:7" ht="17.25" customHeight="1" x14ac:dyDescent="0.2">
      <c r="A601" s="338" t="s">
        <v>200</v>
      </c>
      <c r="B601" s="322">
        <v>588</v>
      </c>
      <c r="C601" s="698"/>
      <c r="D601" s="698"/>
      <c r="E601" s="698"/>
      <c r="F601" s="698"/>
      <c r="G601" s="698"/>
    </row>
    <row r="602" spans="1:7" ht="17.25" customHeight="1" x14ac:dyDescent="0.2">
      <c r="A602" s="338" t="s">
        <v>200</v>
      </c>
      <c r="B602" s="322">
        <v>589</v>
      </c>
      <c r="C602" s="698"/>
      <c r="D602" s="698"/>
      <c r="E602" s="698"/>
      <c r="F602" s="698"/>
      <c r="G602" s="698"/>
    </row>
    <row r="603" spans="1:7" ht="17.25" customHeight="1" x14ac:dyDescent="0.2">
      <c r="A603" s="338" t="s">
        <v>200</v>
      </c>
      <c r="B603" s="322">
        <v>590</v>
      </c>
      <c r="C603" s="698"/>
      <c r="D603" s="698"/>
      <c r="E603" s="698"/>
      <c r="F603" s="698"/>
      <c r="G603" s="698"/>
    </row>
    <row r="604" spans="1:7" ht="17.25" customHeight="1" x14ac:dyDescent="0.2">
      <c r="A604" s="338" t="s">
        <v>200</v>
      </c>
      <c r="B604" s="322">
        <v>591</v>
      </c>
      <c r="C604" s="698"/>
      <c r="D604" s="698"/>
      <c r="E604" s="698"/>
      <c r="F604" s="698"/>
      <c r="G604" s="698"/>
    </row>
    <row r="605" spans="1:7" ht="17.25" customHeight="1" x14ac:dyDescent="0.2">
      <c r="A605" s="338" t="s">
        <v>200</v>
      </c>
      <c r="B605" s="322">
        <v>592</v>
      </c>
      <c r="C605" s="698"/>
      <c r="D605" s="698"/>
      <c r="E605" s="698"/>
      <c r="F605" s="698"/>
      <c r="G605" s="698"/>
    </row>
    <row r="606" spans="1:7" ht="17.25" customHeight="1" x14ac:dyDescent="0.2">
      <c r="A606" s="338" t="s">
        <v>200</v>
      </c>
      <c r="B606" s="322">
        <v>593</v>
      </c>
      <c r="C606" s="698"/>
      <c r="D606" s="698"/>
      <c r="E606" s="698"/>
      <c r="F606" s="698"/>
      <c r="G606" s="698"/>
    </row>
    <row r="607" spans="1:7" ht="17.25" customHeight="1" x14ac:dyDescent="0.2">
      <c r="A607" s="338" t="s">
        <v>200</v>
      </c>
      <c r="B607" s="322">
        <v>594</v>
      </c>
      <c r="C607" s="698"/>
      <c r="D607" s="698"/>
      <c r="E607" s="698"/>
      <c r="F607" s="698"/>
      <c r="G607" s="698"/>
    </row>
    <row r="608" spans="1:7" ht="17.25" customHeight="1" x14ac:dyDescent="0.2">
      <c r="A608" s="338" t="s">
        <v>200</v>
      </c>
      <c r="B608" s="322">
        <v>595</v>
      </c>
      <c r="C608" s="698"/>
      <c r="D608" s="698"/>
      <c r="E608" s="698"/>
      <c r="F608" s="698"/>
      <c r="G608" s="698"/>
    </row>
    <row r="609" spans="1:7" ht="17.25" customHeight="1" x14ac:dyDescent="0.2">
      <c r="A609" s="338" t="s">
        <v>200</v>
      </c>
      <c r="B609" s="322">
        <v>596</v>
      </c>
      <c r="C609" s="698"/>
      <c r="D609" s="698"/>
      <c r="E609" s="698"/>
      <c r="F609" s="698"/>
      <c r="G609" s="698"/>
    </row>
    <row r="610" spans="1:7" ht="17.25" customHeight="1" x14ac:dyDescent="0.2">
      <c r="A610" s="338" t="s">
        <v>200</v>
      </c>
      <c r="B610" s="322">
        <v>597</v>
      </c>
      <c r="C610" s="698"/>
      <c r="D610" s="698"/>
      <c r="E610" s="698"/>
      <c r="F610" s="698"/>
      <c r="G610" s="698"/>
    </row>
    <row r="611" spans="1:7" ht="17.25" customHeight="1" x14ac:dyDescent="0.2">
      <c r="A611" s="338" t="s">
        <v>200</v>
      </c>
      <c r="B611" s="322">
        <v>598</v>
      </c>
      <c r="C611" s="698"/>
      <c r="D611" s="698"/>
      <c r="E611" s="698"/>
      <c r="F611" s="698"/>
      <c r="G611" s="698"/>
    </row>
    <row r="612" spans="1:7" ht="17.25" customHeight="1" x14ac:dyDescent="0.2">
      <c r="A612" s="338" t="s">
        <v>200</v>
      </c>
      <c r="B612" s="322">
        <v>599</v>
      </c>
      <c r="C612" s="698"/>
      <c r="D612" s="698"/>
      <c r="E612" s="698"/>
      <c r="F612" s="698"/>
      <c r="G612" s="698"/>
    </row>
    <row r="613" spans="1:7" ht="17.25" customHeight="1" x14ac:dyDescent="0.2">
      <c r="A613" s="338" t="s">
        <v>200</v>
      </c>
      <c r="B613" s="322">
        <v>600</v>
      </c>
      <c r="C613" s="698"/>
      <c r="D613" s="698"/>
      <c r="E613" s="698"/>
      <c r="F613" s="698"/>
      <c r="G613" s="698"/>
    </row>
    <row r="614" spans="1:7" ht="17.25" customHeight="1" x14ac:dyDescent="0.2">
      <c r="A614" s="338" t="s">
        <v>200</v>
      </c>
      <c r="B614" s="322">
        <v>601</v>
      </c>
      <c r="C614" s="698"/>
      <c r="D614" s="698"/>
      <c r="E614" s="698"/>
      <c r="F614" s="698"/>
      <c r="G614" s="698"/>
    </row>
    <row r="615" spans="1:7" ht="17.25" customHeight="1" x14ac:dyDescent="0.2">
      <c r="A615" s="338" t="s">
        <v>200</v>
      </c>
      <c r="B615" s="322">
        <v>602</v>
      </c>
      <c r="C615" s="698"/>
      <c r="D615" s="698"/>
      <c r="E615" s="698"/>
      <c r="F615" s="698"/>
      <c r="G615" s="698"/>
    </row>
    <row r="616" spans="1:7" ht="17.25" customHeight="1" thickBot="1" x14ac:dyDescent="0.25">
      <c r="A616" s="727" t="s">
        <v>200</v>
      </c>
      <c r="B616" s="713">
        <v>603</v>
      </c>
      <c r="C616" s="715"/>
      <c r="D616" s="715"/>
      <c r="E616" s="715"/>
      <c r="F616" s="715"/>
      <c r="G616" s="715"/>
    </row>
    <row r="617" spans="1:7" ht="17.25" customHeight="1" x14ac:dyDescent="0.2">
      <c r="A617" s="167" t="s">
        <v>313</v>
      </c>
      <c r="B617" s="322">
        <v>604</v>
      </c>
      <c r="C617" s="149"/>
      <c r="D617" s="149"/>
      <c r="E617" s="149"/>
      <c r="F617" s="149"/>
      <c r="G617" s="149"/>
    </row>
    <row r="618" spans="1:7" ht="17.25" customHeight="1" x14ac:dyDescent="0.2">
      <c r="A618" s="167" t="s">
        <v>313</v>
      </c>
      <c r="B618" s="322">
        <v>605</v>
      </c>
      <c r="C618" s="149"/>
      <c r="D618" s="149"/>
      <c r="E618" s="149"/>
      <c r="F618" s="149"/>
      <c r="G618" s="149"/>
    </row>
    <row r="619" spans="1:7" ht="17.25" customHeight="1" x14ac:dyDescent="0.2">
      <c r="A619" s="167" t="s">
        <v>313</v>
      </c>
      <c r="B619" s="322">
        <v>606</v>
      </c>
      <c r="C619" s="149"/>
      <c r="D619" s="149"/>
      <c r="E619" s="149"/>
      <c r="F619" s="149"/>
      <c r="G619" s="149"/>
    </row>
    <row r="620" spans="1:7" ht="17.25" customHeight="1" x14ac:dyDescent="0.2">
      <c r="A620" s="167" t="s">
        <v>313</v>
      </c>
      <c r="B620" s="322">
        <v>607</v>
      </c>
      <c r="C620" s="149"/>
      <c r="D620" s="149"/>
      <c r="E620" s="149"/>
      <c r="F620" s="149"/>
      <c r="G620" s="149"/>
    </row>
    <row r="621" spans="1:7" ht="17.25" customHeight="1" x14ac:dyDescent="0.2">
      <c r="A621" s="167" t="s">
        <v>313</v>
      </c>
      <c r="B621" s="322">
        <v>608</v>
      </c>
      <c r="C621" s="149"/>
      <c r="D621" s="149"/>
      <c r="E621" s="149"/>
      <c r="F621" s="149"/>
      <c r="G621" s="149"/>
    </row>
    <row r="622" spans="1:7" ht="17.25" customHeight="1" x14ac:dyDescent="0.2">
      <c r="A622" s="167" t="s">
        <v>313</v>
      </c>
      <c r="B622" s="322">
        <v>609</v>
      </c>
      <c r="C622" s="149"/>
      <c r="D622" s="149"/>
      <c r="E622" s="149"/>
      <c r="F622" s="149"/>
      <c r="G622" s="149"/>
    </row>
    <row r="623" spans="1:7" ht="17.25" customHeight="1" x14ac:dyDescent="0.2">
      <c r="A623" s="167" t="s">
        <v>313</v>
      </c>
      <c r="B623" s="322">
        <v>610</v>
      </c>
      <c r="C623" s="149"/>
      <c r="D623" s="149"/>
      <c r="E623" s="149"/>
      <c r="F623" s="149"/>
      <c r="G623" s="149"/>
    </row>
    <row r="624" spans="1:7" ht="17.25" customHeight="1" x14ac:dyDescent="0.2">
      <c r="A624" s="167" t="s">
        <v>313</v>
      </c>
      <c r="B624" s="322">
        <v>611</v>
      </c>
      <c r="C624" s="149"/>
      <c r="D624" s="149"/>
      <c r="E624" s="149"/>
      <c r="F624" s="149"/>
      <c r="G624" s="149"/>
    </row>
    <row r="625" spans="1:7" ht="17.25" customHeight="1" x14ac:dyDescent="0.2">
      <c r="A625" s="167" t="s">
        <v>313</v>
      </c>
      <c r="B625" s="322">
        <v>612</v>
      </c>
      <c r="C625" s="149"/>
      <c r="D625" s="149"/>
      <c r="E625" s="149"/>
      <c r="F625" s="149"/>
      <c r="G625" s="149"/>
    </row>
    <row r="626" spans="1:7" ht="17.25" customHeight="1" x14ac:dyDescent="0.2">
      <c r="A626" s="167" t="s">
        <v>313</v>
      </c>
      <c r="B626" s="322">
        <v>613</v>
      </c>
      <c r="C626" s="149"/>
      <c r="D626" s="149"/>
      <c r="E626" s="149"/>
      <c r="F626" s="149"/>
      <c r="G626" s="149"/>
    </row>
    <row r="627" spans="1:7" ht="17.25" customHeight="1" x14ac:dyDescent="0.2">
      <c r="A627" s="167" t="s">
        <v>313</v>
      </c>
      <c r="B627" s="322">
        <v>614</v>
      </c>
      <c r="C627" s="149"/>
      <c r="D627" s="149"/>
      <c r="E627" s="149"/>
      <c r="F627" s="149"/>
      <c r="G627" s="149"/>
    </row>
    <row r="628" spans="1:7" ht="17.25" customHeight="1" x14ac:dyDescent="0.2">
      <c r="A628" s="167" t="s">
        <v>313</v>
      </c>
      <c r="B628" s="337">
        <v>615</v>
      </c>
      <c r="C628" s="698" t="s">
        <v>314</v>
      </c>
      <c r="D628" s="698" t="s">
        <v>315</v>
      </c>
      <c r="E628" s="698"/>
      <c r="F628" s="698"/>
      <c r="G628" s="698"/>
    </row>
    <row r="629" spans="1:7" ht="34.450000000000003" customHeight="1" x14ac:dyDescent="0.2">
      <c r="A629" s="167" t="s">
        <v>313</v>
      </c>
      <c r="B629" s="337">
        <v>616</v>
      </c>
      <c r="C629" s="698" t="s">
        <v>316</v>
      </c>
      <c r="D629" s="698" t="s">
        <v>317</v>
      </c>
      <c r="E629" s="698"/>
      <c r="F629" s="698"/>
      <c r="G629" s="698"/>
    </row>
    <row r="630" spans="1:7" ht="17.25" customHeight="1" x14ac:dyDescent="0.2">
      <c r="A630" s="167" t="s">
        <v>313</v>
      </c>
      <c r="B630" s="322">
        <v>617</v>
      </c>
      <c r="C630" s="698"/>
      <c r="D630" s="698"/>
      <c r="E630" s="698"/>
      <c r="F630" s="698"/>
      <c r="G630" s="698"/>
    </row>
    <row r="631" spans="1:7" ht="17.25" customHeight="1" x14ac:dyDescent="0.2">
      <c r="A631" s="167" t="s">
        <v>313</v>
      </c>
      <c r="B631" s="322">
        <v>618</v>
      </c>
      <c r="C631" s="698"/>
      <c r="D631" s="698"/>
      <c r="E631" s="698"/>
      <c r="F631" s="698"/>
      <c r="G631" s="698"/>
    </row>
    <row r="632" spans="1:7" ht="17.25" customHeight="1" x14ac:dyDescent="0.2">
      <c r="A632" s="167" t="s">
        <v>313</v>
      </c>
      <c r="B632" s="322">
        <v>619</v>
      </c>
      <c r="C632" s="698"/>
      <c r="D632" s="698"/>
      <c r="E632" s="698"/>
      <c r="F632" s="698"/>
      <c r="G632" s="698"/>
    </row>
    <row r="633" spans="1:7" ht="25.55" customHeight="1" x14ac:dyDescent="0.2">
      <c r="A633" s="167" t="s">
        <v>313</v>
      </c>
      <c r="B633" s="337">
        <v>620</v>
      </c>
      <c r="C633" s="698" t="s">
        <v>318</v>
      </c>
      <c r="D633" s="698" t="s">
        <v>319</v>
      </c>
      <c r="E633" s="698"/>
      <c r="F633" s="698"/>
      <c r="G633" s="698"/>
    </row>
    <row r="634" spans="1:7" ht="17.25" customHeight="1" x14ac:dyDescent="0.2">
      <c r="A634" s="167" t="s">
        <v>313</v>
      </c>
      <c r="B634" s="322">
        <v>621</v>
      </c>
      <c r="C634" s="698"/>
      <c r="D634" s="698"/>
      <c r="E634" s="698"/>
      <c r="F634" s="698"/>
      <c r="G634" s="698"/>
    </row>
    <row r="635" spans="1:7" ht="17.25" customHeight="1" x14ac:dyDescent="0.2">
      <c r="A635" s="167" t="s">
        <v>313</v>
      </c>
      <c r="B635" s="322">
        <v>622</v>
      </c>
      <c r="C635" s="698"/>
      <c r="D635" s="698"/>
      <c r="E635" s="698"/>
      <c r="F635" s="698"/>
      <c r="G635" s="698"/>
    </row>
    <row r="636" spans="1:7" ht="17.25" customHeight="1" x14ac:dyDescent="0.2">
      <c r="A636" s="167" t="s">
        <v>313</v>
      </c>
      <c r="B636" s="322">
        <v>623</v>
      </c>
      <c r="C636" s="698"/>
      <c r="D636" s="698"/>
      <c r="E636" s="698"/>
      <c r="F636" s="698"/>
      <c r="G636" s="698"/>
    </row>
    <row r="637" spans="1:7" ht="17.25" customHeight="1" x14ac:dyDescent="0.2">
      <c r="A637" s="167" t="s">
        <v>313</v>
      </c>
      <c r="B637" s="322">
        <v>624</v>
      </c>
      <c r="C637" s="698"/>
      <c r="D637" s="698"/>
      <c r="E637" s="698"/>
      <c r="F637" s="698"/>
      <c r="G637" s="698"/>
    </row>
    <row r="638" spans="1:7" ht="17.25" customHeight="1" x14ac:dyDescent="0.2">
      <c r="A638" s="167" t="s">
        <v>313</v>
      </c>
      <c r="B638" s="322">
        <v>625</v>
      </c>
      <c r="C638" s="698"/>
      <c r="D638" s="698"/>
      <c r="E638" s="698"/>
      <c r="F638" s="698"/>
      <c r="G638" s="698"/>
    </row>
    <row r="639" spans="1:7" ht="17.25" customHeight="1" x14ac:dyDescent="0.2">
      <c r="A639" s="167" t="s">
        <v>313</v>
      </c>
      <c r="B639" s="322">
        <v>626</v>
      </c>
      <c r="C639" s="698"/>
      <c r="D639" s="698"/>
      <c r="E639" s="698"/>
      <c r="F639" s="698"/>
      <c r="G639" s="698"/>
    </row>
    <row r="640" spans="1:7" ht="17.25" customHeight="1" x14ac:dyDescent="0.2">
      <c r="A640" s="732" t="s">
        <v>313</v>
      </c>
      <c r="B640" s="322">
        <v>627</v>
      </c>
      <c r="C640" s="721"/>
      <c r="D640" s="722"/>
      <c r="E640" s="698"/>
      <c r="F640" s="698"/>
      <c r="G640" s="698"/>
    </row>
    <row r="641" spans="1:7" ht="17.25" customHeight="1" x14ac:dyDescent="0.2">
      <c r="A641" s="732" t="s">
        <v>313</v>
      </c>
      <c r="B641" s="322">
        <v>628</v>
      </c>
      <c r="C641" s="721"/>
      <c r="D641" s="722"/>
      <c r="E641" s="698"/>
      <c r="F641" s="698"/>
      <c r="G641" s="698"/>
    </row>
    <row r="642" spans="1:7" ht="17.25" customHeight="1" x14ac:dyDescent="0.2">
      <c r="A642" s="732" t="s">
        <v>313</v>
      </c>
      <c r="B642" s="322">
        <v>629</v>
      </c>
      <c r="C642" s="698"/>
      <c r="D642" s="698"/>
      <c r="E642" s="698"/>
      <c r="F642" s="698"/>
      <c r="G642" s="698"/>
    </row>
    <row r="643" spans="1:7" ht="17.25" customHeight="1" x14ac:dyDescent="0.2">
      <c r="A643" s="732" t="s">
        <v>313</v>
      </c>
      <c r="B643" s="337">
        <v>630</v>
      </c>
      <c r="C643" s="696" t="s">
        <v>320</v>
      </c>
      <c r="D643" s="696" t="s">
        <v>321</v>
      </c>
      <c r="E643" s="698"/>
      <c r="F643" s="698"/>
      <c r="G643" s="698"/>
    </row>
    <row r="644" spans="1:7" ht="37.6" x14ac:dyDescent="0.2">
      <c r="A644" s="732" t="s">
        <v>313</v>
      </c>
      <c r="B644" s="337">
        <v>631</v>
      </c>
      <c r="C644" s="698" t="s">
        <v>322</v>
      </c>
      <c r="D644" s="698" t="s">
        <v>323</v>
      </c>
      <c r="E644" s="698"/>
      <c r="F644" s="698"/>
      <c r="G644" s="698"/>
    </row>
    <row r="645" spans="1:7" ht="25.05" x14ac:dyDescent="0.2">
      <c r="A645" s="732" t="s">
        <v>313</v>
      </c>
      <c r="B645" s="337">
        <v>632</v>
      </c>
      <c r="C645" s="698" t="s">
        <v>324</v>
      </c>
      <c r="D645" s="698" t="s">
        <v>325</v>
      </c>
      <c r="E645" s="698"/>
      <c r="F645" s="698"/>
      <c r="G645" s="698"/>
    </row>
    <row r="646" spans="1:7" ht="17.25" customHeight="1" x14ac:dyDescent="0.2">
      <c r="A646" s="732" t="s">
        <v>313</v>
      </c>
      <c r="B646" s="322">
        <v>633</v>
      </c>
      <c r="C646" s="698"/>
      <c r="D646" s="698"/>
      <c r="E646" s="698"/>
      <c r="F646" s="698"/>
      <c r="G646" s="698"/>
    </row>
    <row r="647" spans="1:7" ht="17.25" customHeight="1" x14ac:dyDescent="0.2">
      <c r="A647" s="732" t="s">
        <v>313</v>
      </c>
      <c r="B647" s="322">
        <v>634</v>
      </c>
      <c r="C647" s="698"/>
      <c r="D647" s="698"/>
      <c r="E647" s="698"/>
      <c r="F647" s="698"/>
      <c r="G647" s="698"/>
    </row>
    <row r="648" spans="1:7" ht="17.25" customHeight="1" x14ac:dyDescent="0.2">
      <c r="A648" s="732" t="s">
        <v>313</v>
      </c>
      <c r="B648" s="322">
        <v>635</v>
      </c>
      <c r="C648" s="698"/>
      <c r="D648" s="698"/>
      <c r="E648" s="698"/>
      <c r="F648" s="698"/>
      <c r="G648" s="698"/>
    </row>
    <row r="649" spans="1:7" ht="17.25" customHeight="1" x14ac:dyDescent="0.2">
      <c r="A649" s="732" t="s">
        <v>313</v>
      </c>
      <c r="B649" s="322">
        <v>636</v>
      </c>
      <c r="C649" s="698"/>
      <c r="D649" s="698"/>
      <c r="E649" s="698"/>
      <c r="F649" s="698"/>
      <c r="G649" s="698"/>
    </row>
    <row r="650" spans="1:7" ht="17.25" customHeight="1" x14ac:dyDescent="0.2">
      <c r="A650" s="732" t="s">
        <v>313</v>
      </c>
      <c r="B650" s="322">
        <v>637</v>
      </c>
      <c r="C650" s="721"/>
      <c r="D650" s="722"/>
      <c r="E650" s="698"/>
      <c r="F650" s="698"/>
      <c r="G650" s="698"/>
    </row>
    <row r="651" spans="1:7" ht="17.25" customHeight="1" x14ac:dyDescent="0.2">
      <c r="A651" s="732" t="s">
        <v>313</v>
      </c>
      <c r="B651" s="322">
        <v>638</v>
      </c>
      <c r="C651" s="721"/>
      <c r="D651" s="722"/>
      <c r="E651" s="698"/>
      <c r="F651" s="698"/>
      <c r="G651" s="698"/>
    </row>
    <row r="652" spans="1:7" ht="17.25" customHeight="1" x14ac:dyDescent="0.2">
      <c r="A652" s="732" t="s">
        <v>313</v>
      </c>
      <c r="B652" s="322">
        <v>639</v>
      </c>
      <c r="C652" s="721"/>
      <c r="D652" s="722"/>
      <c r="E652" s="698"/>
      <c r="F652" s="698"/>
      <c r="G652" s="698"/>
    </row>
    <row r="653" spans="1:7" ht="17.25" customHeight="1" x14ac:dyDescent="0.2">
      <c r="A653" s="732" t="s">
        <v>313</v>
      </c>
      <c r="B653" s="337">
        <v>640</v>
      </c>
      <c r="C653" s="696" t="s">
        <v>212</v>
      </c>
      <c r="D653" s="696" t="s">
        <v>326</v>
      </c>
      <c r="E653" s="698"/>
      <c r="F653" s="698"/>
      <c r="G653" s="698"/>
    </row>
    <row r="654" spans="1:7" ht="37.6" x14ac:dyDescent="0.2">
      <c r="A654" s="732" t="s">
        <v>313</v>
      </c>
      <c r="B654" s="337">
        <v>641</v>
      </c>
      <c r="C654" s="698" t="s">
        <v>327</v>
      </c>
      <c r="D654" s="698" t="s">
        <v>328</v>
      </c>
      <c r="E654" s="698"/>
      <c r="F654" s="698"/>
      <c r="G654" s="698"/>
    </row>
    <row r="655" spans="1:7" ht="62.65" x14ac:dyDescent="0.2">
      <c r="A655" s="732" t="s">
        <v>313</v>
      </c>
      <c r="B655" s="337">
        <v>642</v>
      </c>
      <c r="C655" s="698" t="s">
        <v>329</v>
      </c>
      <c r="D655" s="698" t="s">
        <v>330</v>
      </c>
      <c r="E655" s="698"/>
      <c r="F655" s="698"/>
      <c r="G655" s="698"/>
    </row>
    <row r="656" spans="1:7" ht="17.25" customHeight="1" x14ac:dyDescent="0.2">
      <c r="A656" s="732" t="s">
        <v>313</v>
      </c>
      <c r="B656" s="322">
        <v>643</v>
      </c>
      <c r="C656" s="698"/>
      <c r="D656" s="698"/>
      <c r="E656" s="698"/>
      <c r="F656" s="698"/>
      <c r="G656" s="698"/>
    </row>
    <row r="657" spans="1:7" ht="12.55" x14ac:dyDescent="0.2">
      <c r="A657" s="732" t="s">
        <v>313</v>
      </c>
      <c r="B657" s="322">
        <v>644</v>
      </c>
      <c r="C657" s="698"/>
      <c r="D657" s="698"/>
      <c r="E657" s="698"/>
      <c r="F657" s="698"/>
      <c r="G657" s="698"/>
    </row>
    <row r="658" spans="1:7" ht="17.25" customHeight="1" x14ac:dyDescent="0.2">
      <c r="A658" s="732" t="s">
        <v>313</v>
      </c>
      <c r="B658" s="322">
        <v>645</v>
      </c>
      <c r="C658" s="698"/>
      <c r="D658" s="698"/>
      <c r="E658" s="698"/>
      <c r="F658" s="698"/>
      <c r="G658" s="698"/>
    </row>
    <row r="659" spans="1:7" ht="17.25" customHeight="1" x14ac:dyDescent="0.2">
      <c r="A659" s="732" t="s">
        <v>313</v>
      </c>
      <c r="B659" s="322">
        <v>646</v>
      </c>
      <c r="C659" s="698"/>
      <c r="D659" s="698"/>
      <c r="E659" s="698"/>
      <c r="F659" s="698"/>
      <c r="G659" s="698"/>
    </row>
    <row r="660" spans="1:7" ht="17.25" customHeight="1" x14ac:dyDescent="0.2">
      <c r="A660" s="732" t="s">
        <v>313</v>
      </c>
      <c r="B660" s="322">
        <v>647</v>
      </c>
      <c r="C660" s="698"/>
      <c r="D660" s="698"/>
      <c r="E660" s="698"/>
      <c r="F660" s="698"/>
      <c r="G660" s="698"/>
    </row>
    <row r="661" spans="1:7" ht="17.25" customHeight="1" x14ac:dyDescent="0.2">
      <c r="A661" s="732" t="s">
        <v>313</v>
      </c>
      <c r="B661" s="322">
        <v>648</v>
      </c>
      <c r="C661" s="698"/>
      <c r="D661" s="698"/>
      <c r="E661" s="698"/>
      <c r="F661" s="698"/>
      <c r="G661" s="698"/>
    </row>
    <row r="662" spans="1:7" ht="17.25" customHeight="1" x14ac:dyDescent="0.2">
      <c r="A662" s="732" t="s">
        <v>313</v>
      </c>
      <c r="B662" s="322">
        <v>649</v>
      </c>
      <c r="C662" s="698"/>
      <c r="D662" s="698"/>
      <c r="E662" s="698"/>
      <c r="F662" s="698"/>
      <c r="G662" s="698"/>
    </row>
    <row r="663" spans="1:7" ht="17.25" customHeight="1" x14ac:dyDescent="0.2">
      <c r="A663" s="732" t="s">
        <v>313</v>
      </c>
      <c r="B663" s="337">
        <v>650</v>
      </c>
      <c r="C663" s="696" t="s">
        <v>331</v>
      </c>
      <c r="D663" s="696" t="s">
        <v>332</v>
      </c>
      <c r="E663" s="698"/>
      <c r="F663" s="698"/>
      <c r="G663" s="698"/>
    </row>
    <row r="664" spans="1:7" ht="17.25" customHeight="1" x14ac:dyDescent="0.2">
      <c r="A664" s="732" t="s">
        <v>313</v>
      </c>
      <c r="B664" s="337">
        <v>651</v>
      </c>
      <c r="C664" s="698" t="s">
        <v>333</v>
      </c>
      <c r="D664" s="698" t="s">
        <v>334</v>
      </c>
      <c r="E664" s="698"/>
      <c r="F664" s="698"/>
      <c r="G664" s="698"/>
    </row>
    <row r="665" spans="1:7" ht="25.05" x14ac:dyDescent="0.2">
      <c r="A665" s="732" t="s">
        <v>313</v>
      </c>
      <c r="B665" s="337">
        <v>652</v>
      </c>
      <c r="C665" s="698" t="s">
        <v>335</v>
      </c>
      <c r="D665" s="698" t="s">
        <v>336</v>
      </c>
      <c r="E665" s="698"/>
      <c r="F665" s="698"/>
      <c r="G665" s="698"/>
    </row>
    <row r="666" spans="1:7" ht="17.25" customHeight="1" x14ac:dyDescent="0.2">
      <c r="A666" s="732" t="s">
        <v>313</v>
      </c>
      <c r="B666" s="322">
        <v>653</v>
      </c>
      <c r="C666" s="698"/>
      <c r="D666" s="698"/>
      <c r="E666" s="698"/>
      <c r="F666" s="698"/>
      <c r="G666" s="698"/>
    </row>
    <row r="667" spans="1:7" ht="17.25" customHeight="1" x14ac:dyDescent="0.2">
      <c r="A667" s="732" t="s">
        <v>313</v>
      </c>
      <c r="B667" s="322">
        <v>654</v>
      </c>
      <c r="C667" s="698"/>
      <c r="D667" s="698"/>
      <c r="E667" s="698"/>
      <c r="F667" s="698"/>
      <c r="G667" s="698"/>
    </row>
    <row r="668" spans="1:7" ht="17.25" customHeight="1" x14ac:dyDescent="0.2">
      <c r="A668" s="732" t="s">
        <v>313</v>
      </c>
      <c r="B668" s="322">
        <v>655</v>
      </c>
      <c r="C668" s="698"/>
      <c r="D668" s="698"/>
      <c r="E668" s="698"/>
      <c r="F668" s="698"/>
      <c r="G668" s="698"/>
    </row>
    <row r="669" spans="1:7" ht="17.25" customHeight="1" x14ac:dyDescent="0.2">
      <c r="A669" s="732" t="s">
        <v>313</v>
      </c>
      <c r="B669" s="322">
        <v>656</v>
      </c>
      <c r="C669" s="698"/>
      <c r="D669" s="698"/>
      <c r="E669" s="698"/>
      <c r="F669" s="698"/>
      <c r="G669" s="698"/>
    </row>
    <row r="670" spans="1:7" ht="17.25" customHeight="1" x14ac:dyDescent="0.2">
      <c r="A670" s="732" t="s">
        <v>313</v>
      </c>
      <c r="B670" s="322">
        <v>657</v>
      </c>
      <c r="C670" s="698"/>
      <c r="D670" s="698"/>
      <c r="E670" s="698"/>
      <c r="F670" s="698"/>
      <c r="G670" s="698"/>
    </row>
    <row r="671" spans="1:7" ht="17.25" customHeight="1" x14ac:dyDescent="0.2">
      <c r="A671" s="732" t="s">
        <v>313</v>
      </c>
      <c r="B671" s="322">
        <v>658</v>
      </c>
      <c r="C671" s="698"/>
      <c r="D671" s="698"/>
      <c r="E671" s="698"/>
      <c r="F671" s="698"/>
      <c r="G671" s="698"/>
    </row>
    <row r="672" spans="1:7" ht="17.25" customHeight="1" x14ac:dyDescent="0.2">
      <c r="A672" s="732" t="s">
        <v>313</v>
      </c>
      <c r="B672" s="322">
        <v>659</v>
      </c>
      <c r="C672" s="698"/>
      <c r="D672" s="698"/>
      <c r="E672" s="698"/>
      <c r="F672" s="698"/>
      <c r="G672" s="698"/>
    </row>
    <row r="673" spans="1:7" ht="17.25" customHeight="1" x14ac:dyDescent="0.2">
      <c r="A673" s="732" t="s">
        <v>313</v>
      </c>
      <c r="B673" s="337">
        <v>660</v>
      </c>
      <c r="C673" s="696" t="s">
        <v>337</v>
      </c>
      <c r="D673" s="696" t="s">
        <v>338</v>
      </c>
      <c r="E673" s="698"/>
      <c r="F673" s="698"/>
      <c r="G673" s="698"/>
    </row>
    <row r="674" spans="1:7" ht="25.05" x14ac:dyDescent="0.2">
      <c r="A674" s="732" t="s">
        <v>313</v>
      </c>
      <c r="B674" s="337">
        <v>661</v>
      </c>
      <c r="C674" s="698" t="s">
        <v>339</v>
      </c>
      <c r="D674" s="698" t="s">
        <v>340</v>
      </c>
      <c r="E674" s="698"/>
      <c r="F674" s="698"/>
      <c r="G674" s="698"/>
    </row>
    <row r="675" spans="1:7" ht="75.150000000000006" x14ac:dyDescent="0.2">
      <c r="A675" s="732" t="s">
        <v>313</v>
      </c>
      <c r="B675" s="337">
        <v>662</v>
      </c>
      <c r="C675" s="730" t="s">
        <v>2298</v>
      </c>
      <c r="D675" s="730" t="s">
        <v>2297</v>
      </c>
      <c r="E675" s="698"/>
      <c r="F675" s="698"/>
      <c r="G675" s="698"/>
    </row>
    <row r="676" spans="1:7" ht="17.25" customHeight="1" x14ac:dyDescent="0.2">
      <c r="A676" s="732" t="s">
        <v>313</v>
      </c>
      <c r="B676" s="322">
        <v>663</v>
      </c>
      <c r="C676" s="698"/>
      <c r="D676" s="698"/>
      <c r="E676" s="698"/>
      <c r="F676" s="698"/>
      <c r="G676" s="698"/>
    </row>
    <row r="677" spans="1:7" ht="17.25" customHeight="1" x14ac:dyDescent="0.2">
      <c r="A677" s="732" t="s">
        <v>313</v>
      </c>
      <c r="B677" s="322">
        <v>664</v>
      </c>
      <c r="C677" s="698"/>
      <c r="D677" s="698"/>
      <c r="E677" s="698"/>
      <c r="F677" s="698"/>
      <c r="G677" s="698"/>
    </row>
    <row r="678" spans="1:7" ht="17.25" customHeight="1" x14ac:dyDescent="0.2">
      <c r="A678" s="732" t="s">
        <v>313</v>
      </c>
      <c r="B678" s="322">
        <v>665</v>
      </c>
      <c r="C678" s="698"/>
      <c r="D678" s="698"/>
      <c r="E678" s="698"/>
      <c r="F678" s="698"/>
      <c r="G678" s="698"/>
    </row>
    <row r="679" spans="1:7" ht="17.25" customHeight="1" x14ac:dyDescent="0.2">
      <c r="A679" s="732" t="s">
        <v>313</v>
      </c>
      <c r="B679" s="322">
        <v>666</v>
      </c>
      <c r="C679" s="698"/>
      <c r="D679" s="698"/>
      <c r="E679" s="698"/>
      <c r="F679" s="698"/>
      <c r="G679" s="698"/>
    </row>
    <row r="680" spans="1:7" ht="17.25" customHeight="1" x14ac:dyDescent="0.2">
      <c r="A680" s="732" t="s">
        <v>313</v>
      </c>
      <c r="B680" s="322">
        <v>667</v>
      </c>
      <c r="C680" s="733"/>
      <c r="D680" s="722"/>
      <c r="E680" s="698"/>
      <c r="F680" s="698"/>
      <c r="G680" s="698"/>
    </row>
    <row r="681" spans="1:7" ht="17.25" customHeight="1" x14ac:dyDescent="0.2">
      <c r="A681" s="732" t="s">
        <v>313</v>
      </c>
      <c r="B681" s="322">
        <v>668</v>
      </c>
      <c r="C681" s="733"/>
      <c r="D681" s="722"/>
      <c r="E681" s="698"/>
      <c r="F681" s="698"/>
      <c r="G681" s="698"/>
    </row>
    <row r="682" spans="1:7" ht="17.25" customHeight="1" x14ac:dyDescent="0.2">
      <c r="A682" s="732" t="s">
        <v>313</v>
      </c>
      <c r="B682" s="322">
        <v>669</v>
      </c>
      <c r="C682" s="733"/>
      <c r="D682" s="722"/>
      <c r="E682" s="698"/>
      <c r="F682" s="698"/>
      <c r="G682" s="698"/>
    </row>
    <row r="683" spans="1:7" ht="17.25" customHeight="1" x14ac:dyDescent="0.2">
      <c r="A683" s="732" t="s">
        <v>313</v>
      </c>
      <c r="B683" s="337">
        <v>670</v>
      </c>
      <c r="C683" s="696" t="s">
        <v>254</v>
      </c>
      <c r="D683" s="696" t="s">
        <v>255</v>
      </c>
      <c r="E683" s="698"/>
      <c r="F683" s="698"/>
      <c r="G683" s="698"/>
    </row>
    <row r="684" spans="1:7" ht="25.05" x14ac:dyDescent="0.2">
      <c r="A684" s="732" t="s">
        <v>313</v>
      </c>
      <c r="B684" s="337">
        <v>671</v>
      </c>
      <c r="C684" s="734" t="s">
        <v>343</v>
      </c>
      <c r="D684" s="728" t="s">
        <v>344</v>
      </c>
      <c r="E684" s="698"/>
      <c r="F684" s="698"/>
      <c r="G684" s="698"/>
    </row>
    <row r="685" spans="1:7" ht="75.150000000000006" x14ac:dyDescent="0.2">
      <c r="A685" s="732" t="s">
        <v>313</v>
      </c>
      <c r="B685" s="337">
        <v>672</v>
      </c>
      <c r="C685" s="730" t="s">
        <v>258</v>
      </c>
      <c r="D685" s="731" t="s">
        <v>259</v>
      </c>
      <c r="E685" s="698"/>
      <c r="F685" s="698"/>
      <c r="G685" s="698"/>
    </row>
    <row r="686" spans="1:7" ht="17.25" customHeight="1" x14ac:dyDescent="0.2">
      <c r="A686" s="732" t="s">
        <v>313</v>
      </c>
      <c r="B686" s="322">
        <v>673</v>
      </c>
      <c r="C686" s="733"/>
      <c r="D686" s="722"/>
      <c r="E686" s="698"/>
      <c r="F686" s="698"/>
      <c r="G686" s="698"/>
    </row>
    <row r="687" spans="1:7" ht="17.25" customHeight="1" x14ac:dyDescent="0.2">
      <c r="A687" s="732" t="s">
        <v>313</v>
      </c>
      <c r="B687" s="322">
        <v>674</v>
      </c>
      <c r="C687" s="706" t="s">
        <v>345</v>
      </c>
      <c r="D687" s="698" t="s">
        <v>346</v>
      </c>
      <c r="E687" s="698"/>
      <c r="F687" s="698"/>
      <c r="G687" s="698"/>
    </row>
    <row r="688" spans="1:7" ht="17.25" customHeight="1" x14ac:dyDescent="0.2">
      <c r="A688" s="732" t="s">
        <v>313</v>
      </c>
      <c r="B688" s="322">
        <v>675</v>
      </c>
      <c r="C688" s="735" t="s">
        <v>347</v>
      </c>
      <c r="D688" s="730" t="s">
        <v>348</v>
      </c>
      <c r="E688" s="698"/>
      <c r="F688" s="698"/>
      <c r="G688" s="698"/>
    </row>
    <row r="689" spans="1:7" ht="58.55" customHeight="1" x14ac:dyDescent="0.2">
      <c r="A689" s="732" t="s">
        <v>313</v>
      </c>
      <c r="B689" s="322">
        <v>676</v>
      </c>
      <c r="C689" s="736" t="s">
        <v>349</v>
      </c>
      <c r="D689" s="737" t="s">
        <v>350</v>
      </c>
      <c r="E689" s="698"/>
      <c r="F689" s="698"/>
      <c r="G689" s="698"/>
    </row>
    <row r="690" spans="1:7" ht="17.25" customHeight="1" x14ac:dyDescent="0.2">
      <c r="A690" s="732" t="s">
        <v>313</v>
      </c>
      <c r="B690" s="322">
        <v>677</v>
      </c>
      <c r="C690" s="733"/>
      <c r="D690" s="722"/>
      <c r="E690" s="698"/>
      <c r="F690" s="698"/>
      <c r="G690" s="698"/>
    </row>
    <row r="691" spans="1:7" ht="17.25" customHeight="1" x14ac:dyDescent="0.2">
      <c r="A691" s="732" t="s">
        <v>313</v>
      </c>
      <c r="B691" s="322">
        <v>678</v>
      </c>
      <c r="C691" s="733"/>
      <c r="D691" s="722"/>
      <c r="E691" s="698"/>
      <c r="F691" s="698"/>
      <c r="G691" s="698"/>
    </row>
    <row r="692" spans="1:7" ht="17.25" customHeight="1" x14ac:dyDescent="0.2">
      <c r="A692" s="732" t="s">
        <v>313</v>
      </c>
      <c r="B692" s="322">
        <v>679</v>
      </c>
      <c r="C692" s="733"/>
      <c r="D692" s="722"/>
      <c r="E692" s="698"/>
      <c r="F692" s="698"/>
      <c r="G692" s="698"/>
    </row>
    <row r="693" spans="1:7" ht="17.25" customHeight="1" x14ac:dyDescent="0.2">
      <c r="A693" s="732" t="s">
        <v>313</v>
      </c>
      <c r="B693" s="337">
        <v>680</v>
      </c>
      <c r="C693" s="696" t="s">
        <v>266</v>
      </c>
      <c r="D693" s="696" t="s">
        <v>266</v>
      </c>
      <c r="E693" s="698"/>
      <c r="F693" s="698"/>
      <c r="G693" s="698"/>
    </row>
    <row r="694" spans="1:7" ht="12.55" x14ac:dyDescent="0.2">
      <c r="A694" s="732" t="s">
        <v>313</v>
      </c>
      <c r="B694" s="337">
        <v>681</v>
      </c>
      <c r="C694" s="698" t="s">
        <v>351</v>
      </c>
      <c r="D694" s="698" t="s">
        <v>352</v>
      </c>
      <c r="E694" s="698"/>
      <c r="F694" s="698"/>
      <c r="G694" s="698"/>
    </row>
    <row r="695" spans="1:7" ht="137.75" x14ac:dyDescent="0.2">
      <c r="A695" s="732" t="s">
        <v>313</v>
      </c>
      <c r="B695" s="337">
        <v>682</v>
      </c>
      <c r="C695" s="735" t="s">
        <v>353</v>
      </c>
      <c r="D695" s="730" t="s">
        <v>354</v>
      </c>
      <c r="E695" s="698"/>
      <c r="F695" s="698"/>
      <c r="G695" s="698"/>
    </row>
    <row r="696" spans="1:7" ht="9.4" customHeight="1" x14ac:dyDescent="0.2">
      <c r="A696" s="732" t="s">
        <v>313</v>
      </c>
      <c r="B696" s="322">
        <v>683</v>
      </c>
      <c r="C696" s="698"/>
      <c r="D696" s="698"/>
      <c r="E696" s="698"/>
      <c r="F696" s="698"/>
      <c r="G696" s="698"/>
    </row>
    <row r="697" spans="1:7" ht="17.25" customHeight="1" x14ac:dyDescent="0.2">
      <c r="A697" s="732" t="s">
        <v>313</v>
      </c>
      <c r="B697" s="322">
        <v>684</v>
      </c>
      <c r="C697" s="733"/>
      <c r="D697" s="722"/>
      <c r="E697" s="698"/>
      <c r="F697" s="698"/>
      <c r="G697" s="698"/>
    </row>
    <row r="698" spans="1:7" ht="17.25" customHeight="1" x14ac:dyDescent="0.2">
      <c r="A698" s="732" t="s">
        <v>313</v>
      </c>
      <c r="B698" s="322">
        <v>685</v>
      </c>
      <c r="C698" s="733"/>
      <c r="D698" s="722"/>
      <c r="E698" s="698"/>
      <c r="F698" s="698"/>
      <c r="G698" s="698"/>
    </row>
    <row r="699" spans="1:7" ht="17.25" customHeight="1" x14ac:dyDescent="0.2">
      <c r="A699" s="732" t="s">
        <v>313</v>
      </c>
      <c r="B699" s="322">
        <v>686</v>
      </c>
      <c r="C699" s="733"/>
      <c r="D699" s="722"/>
      <c r="E699" s="698"/>
      <c r="F699" s="698"/>
      <c r="G699" s="698"/>
    </row>
    <row r="700" spans="1:7" ht="17.25" customHeight="1" x14ac:dyDescent="0.2">
      <c r="A700" s="732" t="s">
        <v>313</v>
      </c>
      <c r="B700" s="322">
        <v>687</v>
      </c>
      <c r="C700" s="733"/>
      <c r="D700" s="722"/>
      <c r="E700" s="698"/>
      <c r="F700" s="698"/>
      <c r="G700" s="698"/>
    </row>
    <row r="701" spans="1:7" ht="17.25" customHeight="1" x14ac:dyDescent="0.2">
      <c r="A701" s="732" t="s">
        <v>313</v>
      </c>
      <c r="B701" s="322">
        <v>688</v>
      </c>
      <c r="C701" s="733"/>
      <c r="D701" s="722"/>
      <c r="E701" s="698"/>
      <c r="F701" s="698"/>
      <c r="G701" s="698"/>
    </row>
    <row r="702" spans="1:7" ht="17.25" customHeight="1" x14ac:dyDescent="0.2">
      <c r="A702" s="732" t="s">
        <v>313</v>
      </c>
      <c r="B702" s="322">
        <v>689</v>
      </c>
      <c r="C702" s="733"/>
      <c r="D702" s="722"/>
      <c r="E702" s="698"/>
      <c r="F702" s="698"/>
      <c r="G702" s="698"/>
    </row>
    <row r="703" spans="1:7" ht="17.25" customHeight="1" x14ac:dyDescent="0.2">
      <c r="A703" s="732" t="s">
        <v>313</v>
      </c>
      <c r="B703" s="337">
        <v>690</v>
      </c>
      <c r="C703" s="696" t="s">
        <v>277</v>
      </c>
      <c r="D703" s="696" t="s">
        <v>278</v>
      </c>
      <c r="E703" s="698"/>
      <c r="F703" s="698"/>
      <c r="G703" s="698"/>
    </row>
    <row r="704" spans="1:7" ht="69.05" customHeight="1" x14ac:dyDescent="0.2">
      <c r="A704" s="732" t="s">
        <v>313</v>
      </c>
      <c r="B704" s="337">
        <v>691</v>
      </c>
      <c r="C704" s="698" t="s">
        <v>355</v>
      </c>
      <c r="D704" s="698" t="s">
        <v>356</v>
      </c>
      <c r="E704" s="698"/>
      <c r="F704" s="698"/>
      <c r="G704" s="698"/>
    </row>
    <row r="705" spans="1:7" ht="141.85" customHeight="1" x14ac:dyDescent="0.2">
      <c r="A705" s="732" t="s">
        <v>313</v>
      </c>
      <c r="B705" s="337">
        <v>692</v>
      </c>
      <c r="C705" s="730" t="s">
        <v>357</v>
      </c>
      <c r="D705" s="730" t="s">
        <v>358</v>
      </c>
      <c r="E705" s="698"/>
      <c r="F705" s="698"/>
      <c r="G705" s="698"/>
    </row>
    <row r="706" spans="1:7" ht="17.25" customHeight="1" x14ac:dyDescent="0.2">
      <c r="A706" s="732" t="s">
        <v>313</v>
      </c>
      <c r="B706" s="322">
        <v>693</v>
      </c>
      <c r="C706" s="733"/>
      <c r="D706" s="722"/>
      <c r="E706" s="698"/>
      <c r="F706" s="698"/>
      <c r="G706" s="698"/>
    </row>
    <row r="707" spans="1:7" ht="17.25" customHeight="1" x14ac:dyDescent="0.2">
      <c r="A707" s="732" t="s">
        <v>313</v>
      </c>
      <c r="B707" s="322">
        <v>694</v>
      </c>
      <c r="C707" s="733"/>
      <c r="D707" s="722"/>
      <c r="E707" s="698"/>
      <c r="F707" s="698"/>
      <c r="G707" s="698"/>
    </row>
    <row r="708" spans="1:7" ht="17.25" customHeight="1" x14ac:dyDescent="0.2">
      <c r="A708" s="732" t="s">
        <v>313</v>
      </c>
      <c r="B708" s="322">
        <v>695</v>
      </c>
      <c r="C708" s="733"/>
      <c r="D708" s="722"/>
      <c r="E708" s="698"/>
      <c r="F708" s="698"/>
      <c r="G708" s="698"/>
    </row>
    <row r="709" spans="1:7" ht="17.25" customHeight="1" x14ac:dyDescent="0.2">
      <c r="A709" s="732" t="s">
        <v>313</v>
      </c>
      <c r="B709" s="322">
        <v>696</v>
      </c>
      <c r="C709" s="733"/>
      <c r="D709" s="722"/>
      <c r="E709" s="698"/>
      <c r="F709" s="698"/>
      <c r="G709" s="698"/>
    </row>
    <row r="710" spans="1:7" ht="17.25" customHeight="1" x14ac:dyDescent="0.2">
      <c r="A710" s="732" t="s">
        <v>313</v>
      </c>
      <c r="B710" s="322">
        <v>697</v>
      </c>
      <c r="C710" s="733"/>
      <c r="D710" s="722"/>
      <c r="E710" s="698"/>
      <c r="F710" s="698"/>
      <c r="G710" s="698"/>
    </row>
    <row r="711" spans="1:7" ht="17.25" customHeight="1" x14ac:dyDescent="0.2">
      <c r="A711" s="732" t="s">
        <v>313</v>
      </c>
      <c r="B711" s="322">
        <v>698</v>
      </c>
      <c r="C711" s="733"/>
      <c r="D711" s="722"/>
      <c r="E711" s="698"/>
      <c r="F711" s="698"/>
      <c r="G711" s="698"/>
    </row>
    <row r="712" spans="1:7" ht="17.25" customHeight="1" x14ac:dyDescent="0.2">
      <c r="A712" s="732" t="s">
        <v>313</v>
      </c>
      <c r="B712" s="322">
        <v>699</v>
      </c>
      <c r="C712" s="733"/>
      <c r="D712" s="722"/>
      <c r="E712" s="698"/>
      <c r="F712" s="698"/>
      <c r="G712" s="698"/>
    </row>
    <row r="713" spans="1:7" ht="17.25" customHeight="1" x14ac:dyDescent="0.2">
      <c r="A713" s="732" t="s">
        <v>313</v>
      </c>
      <c r="B713" s="337">
        <v>700</v>
      </c>
      <c r="C713" s="696" t="s">
        <v>359</v>
      </c>
      <c r="D713" s="696" t="s">
        <v>360</v>
      </c>
      <c r="E713" s="698"/>
      <c r="F713" s="698"/>
      <c r="G713" s="698"/>
    </row>
    <row r="714" spans="1:7" ht="48.05" customHeight="1" x14ac:dyDescent="0.2">
      <c r="A714" s="732" t="s">
        <v>313</v>
      </c>
      <c r="B714" s="337">
        <v>701</v>
      </c>
      <c r="C714" s="698" t="s">
        <v>361</v>
      </c>
      <c r="D714" s="698" t="s">
        <v>362</v>
      </c>
      <c r="E714" s="698"/>
      <c r="F714" s="698"/>
      <c r="G714" s="698"/>
    </row>
    <row r="715" spans="1:7" ht="17.25" customHeight="1" x14ac:dyDescent="0.2">
      <c r="A715" s="732" t="s">
        <v>313</v>
      </c>
      <c r="B715" s="337">
        <v>702</v>
      </c>
      <c r="C715" s="698" t="s">
        <v>363</v>
      </c>
      <c r="D715" s="698" t="s">
        <v>364</v>
      </c>
      <c r="E715" s="698"/>
      <c r="F715" s="698"/>
      <c r="G715" s="698"/>
    </row>
    <row r="716" spans="1:7" ht="17.25" customHeight="1" x14ac:dyDescent="0.2">
      <c r="A716" s="732" t="s">
        <v>313</v>
      </c>
      <c r="B716" s="322">
        <v>703</v>
      </c>
      <c r="C716" s="699"/>
      <c r="D716" s="700"/>
      <c r="E716" s="698"/>
      <c r="F716" s="698"/>
      <c r="G716" s="698"/>
    </row>
    <row r="717" spans="1:7" ht="17.25" customHeight="1" x14ac:dyDescent="0.2">
      <c r="A717" s="732" t="s">
        <v>313</v>
      </c>
      <c r="B717" s="322">
        <v>704</v>
      </c>
      <c r="C717" s="699"/>
      <c r="D717" s="700"/>
      <c r="E717" s="698"/>
      <c r="F717" s="698"/>
      <c r="G717" s="698"/>
    </row>
    <row r="718" spans="1:7" ht="17.25" customHeight="1" x14ac:dyDescent="0.2">
      <c r="A718" s="732" t="s">
        <v>313</v>
      </c>
      <c r="B718" s="322">
        <v>705</v>
      </c>
      <c r="C718" s="699"/>
      <c r="D718" s="700"/>
      <c r="E718" s="698"/>
      <c r="F718" s="698"/>
      <c r="G718" s="698"/>
    </row>
    <row r="719" spans="1:7" ht="17.25" customHeight="1" x14ac:dyDescent="0.2">
      <c r="A719" s="732" t="s">
        <v>313</v>
      </c>
      <c r="B719" s="322">
        <v>706</v>
      </c>
      <c r="C719" s="699"/>
      <c r="D719" s="700"/>
      <c r="E719" s="698"/>
      <c r="F719" s="698"/>
      <c r="G719" s="698"/>
    </row>
    <row r="720" spans="1:7" ht="17.25" customHeight="1" x14ac:dyDescent="0.2">
      <c r="A720" s="732" t="s">
        <v>313</v>
      </c>
      <c r="B720" s="322">
        <v>707</v>
      </c>
      <c r="C720" s="699"/>
      <c r="D720" s="700"/>
      <c r="E720" s="698"/>
      <c r="F720" s="698"/>
      <c r="G720" s="698"/>
    </row>
    <row r="721" spans="1:7" ht="17.25" customHeight="1" x14ac:dyDescent="0.2">
      <c r="A721" s="732" t="s">
        <v>313</v>
      </c>
      <c r="B721" s="322">
        <v>708</v>
      </c>
      <c r="C721" s="699"/>
      <c r="D721" s="700"/>
      <c r="E721" s="698"/>
      <c r="F721" s="698"/>
      <c r="G721" s="698"/>
    </row>
    <row r="722" spans="1:7" ht="17.25" customHeight="1" x14ac:dyDescent="0.2">
      <c r="A722" s="732" t="s">
        <v>313</v>
      </c>
      <c r="B722" s="322">
        <v>709</v>
      </c>
      <c r="C722" s="699"/>
      <c r="D722" s="700"/>
      <c r="E722" s="698"/>
      <c r="F722" s="698"/>
      <c r="G722" s="698"/>
    </row>
    <row r="723" spans="1:7" ht="17.25" customHeight="1" x14ac:dyDescent="0.2">
      <c r="A723" s="732" t="s">
        <v>313</v>
      </c>
      <c r="B723" s="337">
        <v>710</v>
      </c>
      <c r="C723" s="696" t="s">
        <v>365</v>
      </c>
      <c r="D723" s="696" t="s">
        <v>366</v>
      </c>
      <c r="E723" s="698"/>
      <c r="F723" s="698"/>
      <c r="G723" s="698"/>
    </row>
    <row r="724" spans="1:7" ht="24.75" customHeight="1" x14ac:dyDescent="0.2">
      <c r="A724" s="732" t="s">
        <v>313</v>
      </c>
      <c r="B724" s="337">
        <v>711</v>
      </c>
      <c r="C724" s="698" t="s">
        <v>367</v>
      </c>
      <c r="D724" s="698" t="s">
        <v>368</v>
      </c>
      <c r="E724" s="698"/>
      <c r="F724" s="698"/>
      <c r="G724" s="698"/>
    </row>
    <row r="725" spans="1:7" ht="19.600000000000001" customHeight="1" x14ac:dyDescent="0.2">
      <c r="A725" s="732" t="s">
        <v>313</v>
      </c>
      <c r="B725" s="337">
        <v>712</v>
      </c>
      <c r="C725" s="733" t="s">
        <v>369</v>
      </c>
      <c r="D725" s="722" t="s">
        <v>370</v>
      </c>
      <c r="E725" s="698"/>
      <c r="F725" s="698"/>
      <c r="G725" s="698"/>
    </row>
    <row r="726" spans="1:7" ht="17.25" customHeight="1" x14ac:dyDescent="0.2">
      <c r="A726" s="732" t="s">
        <v>313</v>
      </c>
      <c r="B726" s="322">
        <v>713</v>
      </c>
      <c r="C726" s="698"/>
      <c r="D726" s="698"/>
      <c r="E726" s="698"/>
      <c r="F726" s="698"/>
      <c r="G726" s="698"/>
    </row>
    <row r="727" spans="1:7" ht="17.25" customHeight="1" x14ac:dyDescent="0.2">
      <c r="A727" s="732" t="s">
        <v>313</v>
      </c>
      <c r="B727" s="322">
        <v>714</v>
      </c>
      <c r="C727" s="733"/>
      <c r="D727" s="722"/>
      <c r="E727" s="698"/>
      <c r="F727" s="698"/>
      <c r="G727" s="698"/>
    </row>
    <row r="728" spans="1:7" ht="17.25" customHeight="1" x14ac:dyDescent="0.2">
      <c r="A728" s="732" t="s">
        <v>313</v>
      </c>
      <c r="B728" s="322">
        <v>715</v>
      </c>
      <c r="C728" s="733"/>
      <c r="D728" s="722"/>
      <c r="E728" s="698"/>
      <c r="F728" s="698"/>
      <c r="G728" s="698"/>
    </row>
    <row r="729" spans="1:7" ht="17.25" customHeight="1" x14ac:dyDescent="0.2">
      <c r="A729" s="732" t="s">
        <v>313</v>
      </c>
      <c r="B729" s="322">
        <v>716</v>
      </c>
      <c r="C729" s="698"/>
      <c r="D729" s="698"/>
      <c r="E729" s="698"/>
      <c r="F729" s="698"/>
      <c r="G729" s="698"/>
    </row>
    <row r="730" spans="1:7" ht="17.25" customHeight="1" x14ac:dyDescent="0.2">
      <c r="A730" s="732" t="s">
        <v>313</v>
      </c>
      <c r="B730" s="322">
        <v>717</v>
      </c>
      <c r="C730" s="698"/>
      <c r="D730" s="698"/>
      <c r="E730" s="698"/>
      <c r="F730" s="698"/>
      <c r="G730" s="698"/>
    </row>
    <row r="731" spans="1:7" ht="17.25" customHeight="1" x14ac:dyDescent="0.2">
      <c r="A731" s="732" t="s">
        <v>313</v>
      </c>
      <c r="B731" s="322">
        <v>718</v>
      </c>
      <c r="C731" s="733"/>
      <c r="D731" s="722"/>
      <c r="E731" s="698"/>
      <c r="F731" s="698"/>
      <c r="G731" s="698"/>
    </row>
    <row r="732" spans="1:7" ht="17.25" customHeight="1" x14ac:dyDescent="0.2">
      <c r="A732" s="732" t="s">
        <v>313</v>
      </c>
      <c r="B732" s="322">
        <v>719</v>
      </c>
      <c r="C732" s="733"/>
      <c r="D732" s="722"/>
      <c r="E732" s="698"/>
      <c r="F732" s="698"/>
      <c r="G732" s="698"/>
    </row>
    <row r="733" spans="1:7" ht="17.25" customHeight="1" x14ac:dyDescent="0.2">
      <c r="A733" s="732" t="s">
        <v>313</v>
      </c>
      <c r="B733" s="337">
        <v>720</v>
      </c>
      <c r="C733" s="696" t="s">
        <v>295</v>
      </c>
      <c r="D733" s="696" t="s">
        <v>371</v>
      </c>
      <c r="E733" s="698"/>
      <c r="F733" s="698"/>
      <c r="G733" s="698"/>
    </row>
    <row r="734" spans="1:7" ht="37.6" x14ac:dyDescent="0.2">
      <c r="A734" s="732" t="s">
        <v>313</v>
      </c>
      <c r="B734" s="337">
        <v>721</v>
      </c>
      <c r="C734" s="698" t="s">
        <v>372</v>
      </c>
      <c r="D734" s="698" t="s">
        <v>373</v>
      </c>
      <c r="E734" s="698"/>
      <c r="F734" s="698"/>
      <c r="G734" s="698"/>
    </row>
    <row r="735" spans="1:7" ht="25.05" x14ac:dyDescent="0.2">
      <c r="A735" s="732" t="s">
        <v>313</v>
      </c>
      <c r="B735" s="337">
        <v>722</v>
      </c>
      <c r="C735" s="698" t="s">
        <v>299</v>
      </c>
      <c r="D735" s="698" t="s">
        <v>300</v>
      </c>
      <c r="E735" s="698"/>
      <c r="F735" s="698"/>
      <c r="G735" s="698"/>
    </row>
    <row r="736" spans="1:7" ht="17.25" customHeight="1" x14ac:dyDescent="0.2">
      <c r="A736" s="732" t="s">
        <v>313</v>
      </c>
      <c r="B736" s="322">
        <v>723</v>
      </c>
      <c r="C736" s="698"/>
      <c r="D736" s="698"/>
      <c r="E736" s="698"/>
      <c r="F736" s="698"/>
      <c r="G736" s="698"/>
    </row>
    <row r="737" spans="1:7" ht="17.25" customHeight="1" x14ac:dyDescent="0.2">
      <c r="A737" s="732" t="s">
        <v>313</v>
      </c>
      <c r="B737" s="322">
        <v>724</v>
      </c>
      <c r="C737" s="698"/>
      <c r="D737" s="698"/>
      <c r="E737" s="698"/>
      <c r="F737" s="698"/>
      <c r="G737" s="698"/>
    </row>
    <row r="738" spans="1:7" ht="17.25" customHeight="1" x14ac:dyDescent="0.2">
      <c r="A738" s="732" t="s">
        <v>313</v>
      </c>
      <c r="B738" s="337">
        <v>725</v>
      </c>
      <c r="C738" s="696" t="s">
        <v>301</v>
      </c>
      <c r="D738" s="696" t="s">
        <v>302</v>
      </c>
      <c r="E738" s="698"/>
      <c r="F738" s="698"/>
      <c r="G738" s="698"/>
    </row>
    <row r="739" spans="1:7" ht="62.65" x14ac:dyDescent="0.2">
      <c r="A739" s="732" t="s">
        <v>313</v>
      </c>
      <c r="B739" s="322">
        <v>726</v>
      </c>
      <c r="C739" s="698" t="s">
        <v>374</v>
      </c>
      <c r="D739" s="698" t="s">
        <v>375</v>
      </c>
      <c r="E739" s="698"/>
      <c r="F739" s="698"/>
      <c r="G739" s="698"/>
    </row>
    <row r="740" spans="1:7" ht="75.150000000000006" x14ac:dyDescent="0.2">
      <c r="A740" s="732" t="s">
        <v>313</v>
      </c>
      <c r="B740" s="322">
        <v>727</v>
      </c>
      <c r="C740" s="698" t="s">
        <v>376</v>
      </c>
      <c r="D740" s="698" t="s">
        <v>377</v>
      </c>
      <c r="E740" s="698"/>
      <c r="F740" s="698"/>
      <c r="G740" s="698"/>
    </row>
    <row r="741" spans="1:7" ht="17.25" customHeight="1" x14ac:dyDescent="0.2">
      <c r="A741" s="732" t="s">
        <v>313</v>
      </c>
      <c r="B741" s="322">
        <v>728</v>
      </c>
      <c r="C741" s="698"/>
      <c r="D741" s="698"/>
      <c r="E741" s="698"/>
      <c r="F741" s="698"/>
      <c r="G741" s="698"/>
    </row>
    <row r="742" spans="1:7" ht="17.25" customHeight="1" x14ac:dyDescent="0.2">
      <c r="A742" s="732" t="s">
        <v>313</v>
      </c>
      <c r="B742" s="322">
        <v>729</v>
      </c>
      <c r="C742" s="698"/>
      <c r="D742" s="698"/>
      <c r="E742" s="698"/>
      <c r="F742" s="698"/>
      <c r="G742" s="698"/>
    </row>
    <row r="743" spans="1:7" ht="17.25" customHeight="1" x14ac:dyDescent="0.2">
      <c r="A743" s="732" t="s">
        <v>313</v>
      </c>
      <c r="B743" s="337">
        <v>730</v>
      </c>
      <c r="C743" s="696" t="s">
        <v>378</v>
      </c>
      <c r="D743" s="696" t="s">
        <v>378</v>
      </c>
      <c r="E743" s="698"/>
      <c r="F743" s="698"/>
      <c r="G743" s="698"/>
    </row>
    <row r="744" spans="1:7" ht="27.1" customHeight="1" x14ac:dyDescent="0.2">
      <c r="A744" s="732" t="s">
        <v>313</v>
      </c>
      <c r="B744" s="322">
        <v>731</v>
      </c>
      <c r="C744" s="698" t="s">
        <v>379</v>
      </c>
      <c r="D744" s="698" t="s">
        <v>380</v>
      </c>
      <c r="E744" s="698"/>
      <c r="F744" s="698"/>
      <c r="G744" s="698"/>
    </row>
    <row r="745" spans="1:7" ht="155.30000000000001" customHeight="1" x14ac:dyDescent="0.2">
      <c r="A745" s="732" t="s">
        <v>313</v>
      </c>
      <c r="B745" s="322">
        <v>732</v>
      </c>
      <c r="C745" s="730" t="s">
        <v>381</v>
      </c>
      <c r="D745" s="730" t="s">
        <v>382</v>
      </c>
      <c r="E745" s="698"/>
      <c r="F745" s="698"/>
      <c r="G745" s="698"/>
    </row>
    <row r="746" spans="1:7" ht="17.25" customHeight="1" x14ac:dyDescent="0.2">
      <c r="A746" s="732" t="s">
        <v>313</v>
      </c>
      <c r="B746" s="322">
        <v>733</v>
      </c>
      <c r="C746" s="698"/>
      <c r="D746" s="698"/>
      <c r="E746" s="698"/>
      <c r="F746" s="698"/>
      <c r="G746" s="698"/>
    </row>
    <row r="747" spans="1:7" ht="17.25" customHeight="1" x14ac:dyDescent="0.2">
      <c r="A747" s="732" t="s">
        <v>313</v>
      </c>
      <c r="B747" s="322">
        <v>734</v>
      </c>
      <c r="C747" s="698"/>
      <c r="D747" s="698"/>
      <c r="E747" s="698"/>
      <c r="F747" s="698"/>
      <c r="G747" s="698"/>
    </row>
    <row r="748" spans="1:7" ht="17.25" customHeight="1" x14ac:dyDescent="0.2">
      <c r="A748" s="732" t="s">
        <v>313</v>
      </c>
      <c r="B748" s="337">
        <v>735</v>
      </c>
      <c r="C748" s="696" t="s">
        <v>378</v>
      </c>
      <c r="D748" s="696" t="s">
        <v>378</v>
      </c>
      <c r="E748" s="698"/>
      <c r="F748" s="698"/>
      <c r="G748" s="698"/>
    </row>
    <row r="749" spans="1:7" ht="27.7" customHeight="1" x14ac:dyDescent="0.2">
      <c r="A749" s="732" t="s">
        <v>313</v>
      </c>
      <c r="B749" s="322">
        <v>736</v>
      </c>
      <c r="C749" s="698" t="s">
        <v>383</v>
      </c>
      <c r="D749" s="698" t="s">
        <v>384</v>
      </c>
      <c r="E749" s="698"/>
      <c r="F749" s="698"/>
      <c r="G749" s="698"/>
    </row>
    <row r="750" spans="1:7" ht="69.849999999999994" customHeight="1" x14ac:dyDescent="0.2">
      <c r="A750" s="732" t="s">
        <v>313</v>
      </c>
      <c r="B750" s="322">
        <v>737</v>
      </c>
      <c r="C750" s="730" t="s">
        <v>385</v>
      </c>
      <c r="D750" s="730" t="s">
        <v>386</v>
      </c>
      <c r="E750" s="698"/>
      <c r="F750" s="698"/>
      <c r="G750" s="698"/>
    </row>
    <row r="751" spans="1:7" ht="12.55" x14ac:dyDescent="0.2">
      <c r="A751" s="732" t="s">
        <v>313</v>
      </c>
      <c r="B751" s="322">
        <v>738</v>
      </c>
      <c r="C751" s="698"/>
      <c r="D751" s="698"/>
      <c r="E751" s="698"/>
      <c r="F751" s="698"/>
      <c r="G751" s="698"/>
    </row>
    <row r="752" spans="1:7" ht="17.25" customHeight="1" x14ac:dyDescent="0.2">
      <c r="A752" s="732" t="s">
        <v>313</v>
      </c>
      <c r="B752" s="322">
        <v>739</v>
      </c>
      <c r="C752" s="698"/>
      <c r="D752" s="698"/>
      <c r="E752" s="698"/>
      <c r="F752" s="698"/>
      <c r="G752" s="698"/>
    </row>
    <row r="753" spans="1:7" ht="17.25" customHeight="1" x14ac:dyDescent="0.2">
      <c r="A753" s="732" t="s">
        <v>313</v>
      </c>
      <c r="B753" s="322">
        <v>740</v>
      </c>
      <c r="C753" s="698"/>
      <c r="D753" s="698"/>
      <c r="E753" s="698"/>
      <c r="F753" s="698"/>
      <c r="G753" s="698"/>
    </row>
    <row r="754" spans="1:7" ht="17.25" customHeight="1" x14ac:dyDescent="0.2">
      <c r="A754" s="732" t="s">
        <v>313</v>
      </c>
      <c r="B754" s="322">
        <v>741</v>
      </c>
      <c r="C754" s="698"/>
      <c r="D754" s="698"/>
      <c r="E754" s="698"/>
      <c r="F754" s="698"/>
      <c r="G754" s="698"/>
    </row>
    <row r="755" spans="1:7" ht="17.25" customHeight="1" x14ac:dyDescent="0.2">
      <c r="A755" s="732" t="s">
        <v>313</v>
      </c>
      <c r="B755" s="322">
        <v>742</v>
      </c>
      <c r="C755" s="698"/>
      <c r="D755" s="698"/>
      <c r="E755" s="698"/>
      <c r="F755" s="698"/>
      <c r="G755" s="698"/>
    </row>
    <row r="756" spans="1:7" ht="17.25" customHeight="1" x14ac:dyDescent="0.2">
      <c r="A756" s="732" t="s">
        <v>313</v>
      </c>
      <c r="B756" s="322">
        <v>743</v>
      </c>
      <c r="C756" s="698"/>
      <c r="D756" s="698"/>
      <c r="E756" s="698"/>
      <c r="F756" s="698"/>
      <c r="G756" s="698"/>
    </row>
    <row r="757" spans="1:7" ht="17.25" customHeight="1" x14ac:dyDescent="0.2">
      <c r="A757" s="732" t="s">
        <v>313</v>
      </c>
      <c r="B757" s="322">
        <v>744</v>
      </c>
      <c r="C757" s="698"/>
      <c r="D757" s="698"/>
      <c r="E757" s="698"/>
      <c r="F757" s="698"/>
      <c r="G757" s="698"/>
    </row>
    <row r="758" spans="1:7" ht="17.25" customHeight="1" x14ac:dyDescent="0.2">
      <c r="A758" s="732" t="s">
        <v>313</v>
      </c>
      <c r="B758" s="322">
        <v>745</v>
      </c>
      <c r="C758" s="698"/>
      <c r="D758" s="698"/>
      <c r="E758" s="698"/>
      <c r="F758" s="698"/>
      <c r="G758" s="698"/>
    </row>
    <row r="759" spans="1:7" ht="17.25" customHeight="1" x14ac:dyDescent="0.2">
      <c r="A759" s="732" t="s">
        <v>313</v>
      </c>
      <c r="B759" s="322">
        <v>746</v>
      </c>
      <c r="C759" s="698"/>
      <c r="D759" s="698"/>
      <c r="E759" s="698"/>
      <c r="F759" s="698"/>
      <c r="G759" s="698"/>
    </row>
    <row r="760" spans="1:7" ht="17.25" customHeight="1" x14ac:dyDescent="0.2">
      <c r="A760" s="732" t="s">
        <v>313</v>
      </c>
      <c r="B760" s="322">
        <v>747</v>
      </c>
      <c r="C760" s="698"/>
      <c r="D760" s="698"/>
      <c r="E760" s="698"/>
      <c r="F760" s="698"/>
      <c r="G760" s="698"/>
    </row>
    <row r="761" spans="1:7" ht="17.25" customHeight="1" x14ac:dyDescent="0.2">
      <c r="A761" s="732" t="s">
        <v>313</v>
      </c>
      <c r="B761" s="322">
        <v>748</v>
      </c>
      <c r="C761" s="698"/>
      <c r="D761" s="698"/>
      <c r="E761" s="698"/>
      <c r="F761" s="698"/>
      <c r="G761" s="698"/>
    </row>
    <row r="762" spans="1:7" ht="17.25" customHeight="1" x14ac:dyDescent="0.2">
      <c r="A762" s="732" t="s">
        <v>313</v>
      </c>
      <c r="B762" s="322">
        <v>749</v>
      </c>
      <c r="C762" s="698"/>
      <c r="D762" s="698"/>
      <c r="E762" s="698"/>
      <c r="F762" s="698"/>
      <c r="G762" s="698"/>
    </row>
    <row r="763" spans="1:7" ht="17.25" customHeight="1" x14ac:dyDescent="0.2">
      <c r="A763" s="732" t="s">
        <v>313</v>
      </c>
      <c r="B763" s="322">
        <v>750</v>
      </c>
      <c r="C763" s="698"/>
      <c r="D763" s="698"/>
      <c r="E763" s="698"/>
      <c r="F763" s="698"/>
      <c r="G763" s="698"/>
    </row>
    <row r="764" spans="1:7" ht="17.25" customHeight="1" x14ac:dyDescent="0.2">
      <c r="A764" s="732" t="s">
        <v>313</v>
      </c>
      <c r="B764" s="322">
        <v>751</v>
      </c>
      <c r="C764" s="698"/>
      <c r="D764" s="698"/>
      <c r="E764" s="698"/>
      <c r="F764" s="698"/>
      <c r="G764" s="698"/>
    </row>
    <row r="765" spans="1:7" ht="17.25" customHeight="1" x14ac:dyDescent="0.2">
      <c r="A765" s="732" t="s">
        <v>313</v>
      </c>
      <c r="B765" s="322">
        <v>752</v>
      </c>
      <c r="C765" s="698"/>
      <c r="D765" s="698"/>
      <c r="E765" s="698"/>
      <c r="F765" s="698"/>
      <c r="G765" s="698"/>
    </row>
    <row r="766" spans="1:7" ht="17.25" customHeight="1" x14ac:dyDescent="0.2">
      <c r="A766" s="732" t="s">
        <v>313</v>
      </c>
      <c r="B766" s="322">
        <v>753</v>
      </c>
      <c r="C766" s="698"/>
      <c r="D766" s="698"/>
      <c r="E766" s="698"/>
      <c r="F766" s="698"/>
      <c r="G766" s="698"/>
    </row>
    <row r="767" spans="1:7" ht="17.25" customHeight="1" x14ac:dyDescent="0.2">
      <c r="A767" s="732" t="s">
        <v>313</v>
      </c>
      <c r="B767" s="322">
        <v>754</v>
      </c>
      <c r="C767" s="698"/>
      <c r="D767" s="698"/>
      <c r="E767" s="698"/>
      <c r="F767" s="698"/>
      <c r="G767" s="698"/>
    </row>
    <row r="768" spans="1:7" ht="17.25" customHeight="1" x14ac:dyDescent="0.2">
      <c r="A768" s="732" t="s">
        <v>313</v>
      </c>
      <c r="B768" s="322">
        <v>755</v>
      </c>
      <c r="C768" s="698"/>
      <c r="D768" s="698"/>
      <c r="E768" s="698"/>
      <c r="F768" s="698"/>
      <c r="G768" s="698"/>
    </row>
    <row r="769" spans="1:7" ht="17.25" customHeight="1" x14ac:dyDescent="0.2">
      <c r="A769" s="732" t="s">
        <v>313</v>
      </c>
      <c r="B769" s="322">
        <v>756</v>
      </c>
      <c r="C769" s="698"/>
      <c r="D769" s="698"/>
      <c r="E769" s="698"/>
      <c r="F769" s="698"/>
      <c r="G769" s="698"/>
    </row>
    <row r="770" spans="1:7" ht="17.25" customHeight="1" x14ac:dyDescent="0.2">
      <c r="A770" s="732" t="s">
        <v>313</v>
      </c>
      <c r="B770" s="322">
        <v>757</v>
      </c>
      <c r="C770" s="698"/>
      <c r="D770" s="698"/>
      <c r="E770" s="698"/>
      <c r="F770" s="698"/>
      <c r="G770" s="698"/>
    </row>
    <row r="771" spans="1:7" ht="17.25" customHeight="1" x14ac:dyDescent="0.2">
      <c r="A771" s="732" t="s">
        <v>313</v>
      </c>
      <c r="B771" s="322">
        <v>758</v>
      </c>
      <c r="C771" s="698"/>
      <c r="D771" s="698"/>
      <c r="E771" s="698"/>
      <c r="F771" s="698"/>
      <c r="G771" s="698"/>
    </row>
    <row r="772" spans="1:7" ht="17.25" customHeight="1" x14ac:dyDescent="0.2">
      <c r="A772" s="732" t="s">
        <v>313</v>
      </c>
      <c r="B772" s="322">
        <v>759</v>
      </c>
      <c r="C772" s="698"/>
      <c r="D772" s="698"/>
      <c r="E772" s="698"/>
      <c r="F772" s="698"/>
      <c r="G772" s="698"/>
    </row>
    <row r="773" spans="1:7" ht="17.25" customHeight="1" x14ac:dyDescent="0.2">
      <c r="A773" s="732" t="s">
        <v>313</v>
      </c>
      <c r="B773" s="322">
        <v>760</v>
      </c>
      <c r="C773" s="698"/>
      <c r="D773" s="698"/>
      <c r="E773" s="698"/>
      <c r="F773" s="698"/>
      <c r="G773" s="698"/>
    </row>
    <row r="774" spans="1:7" ht="17.25" customHeight="1" x14ac:dyDescent="0.2">
      <c r="A774" s="732" t="s">
        <v>313</v>
      </c>
      <c r="B774" s="322">
        <v>761</v>
      </c>
      <c r="C774" s="698"/>
      <c r="D774" s="698"/>
      <c r="E774" s="698"/>
      <c r="F774" s="698"/>
      <c r="G774" s="698"/>
    </row>
    <row r="775" spans="1:7" ht="17.25" customHeight="1" x14ac:dyDescent="0.2">
      <c r="A775" s="732" t="s">
        <v>313</v>
      </c>
      <c r="B775" s="322">
        <v>762</v>
      </c>
      <c r="C775" s="698"/>
      <c r="D775" s="698"/>
      <c r="E775" s="698"/>
      <c r="F775" s="698"/>
      <c r="G775" s="698"/>
    </row>
    <row r="776" spans="1:7" ht="17.25" customHeight="1" thickBot="1" x14ac:dyDescent="0.25">
      <c r="A776" s="738" t="s">
        <v>313</v>
      </c>
      <c r="B776" s="713">
        <v>763</v>
      </c>
      <c r="C776" s="715"/>
      <c r="D776" s="715"/>
      <c r="E776" s="715"/>
      <c r="F776" s="715"/>
      <c r="G776" s="715"/>
    </row>
    <row r="777" spans="1:7" ht="17.25" customHeight="1" x14ac:dyDescent="0.2">
      <c r="A777" s="167" t="s">
        <v>387</v>
      </c>
      <c r="B777" s="322">
        <v>764</v>
      </c>
      <c r="C777" s="149"/>
      <c r="D777" s="149"/>
      <c r="E777" s="149"/>
      <c r="F777" s="149"/>
      <c r="G777" s="149"/>
    </row>
    <row r="778" spans="1:7" ht="17.25" customHeight="1" x14ac:dyDescent="0.2">
      <c r="A778" s="732" t="s">
        <v>387</v>
      </c>
      <c r="B778" s="322">
        <v>765</v>
      </c>
      <c r="C778" s="149"/>
      <c r="D778" s="149"/>
      <c r="E778" s="149"/>
      <c r="F778" s="149"/>
      <c r="G778" s="149"/>
    </row>
    <row r="779" spans="1:7" ht="17.25" customHeight="1" x14ac:dyDescent="0.2">
      <c r="A779" s="732" t="s">
        <v>387</v>
      </c>
      <c r="B779" s="322">
        <v>766</v>
      </c>
      <c r="C779" s="149"/>
      <c r="D779" s="149"/>
      <c r="E779" s="149"/>
      <c r="F779" s="149"/>
      <c r="G779" s="149"/>
    </row>
    <row r="780" spans="1:7" ht="17.25" customHeight="1" x14ac:dyDescent="0.2">
      <c r="A780" s="732" t="s">
        <v>387</v>
      </c>
      <c r="B780" s="322">
        <v>767</v>
      </c>
      <c r="C780" s="149"/>
      <c r="D780" s="149"/>
      <c r="E780" s="149"/>
      <c r="F780" s="149"/>
      <c r="G780" s="149"/>
    </row>
    <row r="781" spans="1:7" ht="17.25" customHeight="1" x14ac:dyDescent="0.2">
      <c r="A781" s="732" t="s">
        <v>387</v>
      </c>
      <c r="B781" s="322">
        <v>768</v>
      </c>
      <c r="C781" s="698"/>
      <c r="D781" s="698"/>
      <c r="E781" s="149"/>
      <c r="F781" s="149"/>
      <c r="G781" s="149"/>
    </row>
    <row r="782" spans="1:7" ht="17.25" customHeight="1" x14ac:dyDescent="0.2">
      <c r="A782" s="732" t="s">
        <v>387</v>
      </c>
      <c r="B782" s="322">
        <v>769</v>
      </c>
      <c r="C782" s="698"/>
      <c r="D782" s="698"/>
      <c r="E782" s="149"/>
      <c r="F782" s="149"/>
      <c r="G782" s="149"/>
    </row>
    <row r="783" spans="1:7" ht="17.25" customHeight="1" x14ac:dyDescent="0.2">
      <c r="A783" s="732" t="s">
        <v>387</v>
      </c>
      <c r="B783" s="322">
        <v>770</v>
      </c>
      <c r="C783" s="698"/>
      <c r="D783" s="698"/>
      <c r="E783" s="149"/>
      <c r="F783" s="149"/>
      <c r="G783" s="149"/>
    </row>
    <row r="784" spans="1:7" ht="17.25" customHeight="1" x14ac:dyDescent="0.2">
      <c r="A784" s="732" t="s">
        <v>387</v>
      </c>
      <c r="B784" s="322">
        <v>771</v>
      </c>
      <c r="C784" s="698"/>
      <c r="D784" s="698"/>
      <c r="E784" s="149"/>
      <c r="F784" s="149"/>
      <c r="G784" s="149"/>
    </row>
    <row r="785" spans="1:7" ht="17.25" customHeight="1" x14ac:dyDescent="0.2">
      <c r="A785" s="732" t="s">
        <v>387</v>
      </c>
      <c r="B785" s="322">
        <v>772</v>
      </c>
      <c r="C785" s="698"/>
      <c r="D785" s="698"/>
      <c r="E785" s="149"/>
      <c r="F785" s="149"/>
      <c r="G785" s="149"/>
    </row>
    <row r="786" spans="1:7" ht="17.25" customHeight="1" x14ac:dyDescent="0.2">
      <c r="A786" s="732" t="s">
        <v>387</v>
      </c>
      <c r="B786" s="322">
        <v>773</v>
      </c>
      <c r="C786" s="698"/>
      <c r="D786" s="698"/>
      <c r="E786" s="149"/>
      <c r="F786" s="149"/>
      <c r="G786" s="149"/>
    </row>
    <row r="787" spans="1:7" ht="17.25" customHeight="1" x14ac:dyDescent="0.2">
      <c r="A787" s="732" t="s">
        <v>387</v>
      </c>
      <c r="B787" s="322">
        <v>774</v>
      </c>
      <c r="C787" s="698"/>
      <c r="D787" s="698"/>
      <c r="E787" s="149"/>
      <c r="F787" s="149"/>
      <c r="G787" s="149"/>
    </row>
    <row r="788" spans="1:7" ht="17.25" customHeight="1" x14ac:dyDescent="0.2">
      <c r="A788" s="732" t="s">
        <v>387</v>
      </c>
      <c r="B788" s="322">
        <v>775</v>
      </c>
      <c r="C788" s="698"/>
      <c r="D788" s="698"/>
      <c r="E788" s="149"/>
      <c r="F788" s="149"/>
      <c r="G788" s="149"/>
    </row>
    <row r="789" spans="1:7" ht="17.25" customHeight="1" x14ac:dyDescent="0.2">
      <c r="A789" s="732" t="s">
        <v>387</v>
      </c>
      <c r="B789" s="337">
        <v>776</v>
      </c>
      <c r="C789" s="698" t="s">
        <v>388</v>
      </c>
      <c r="D789" s="698" t="s">
        <v>389</v>
      </c>
      <c r="E789" s="698"/>
      <c r="F789" s="698"/>
      <c r="G789" s="698"/>
    </row>
    <row r="790" spans="1:7" ht="31.5" customHeight="1" x14ac:dyDescent="0.2">
      <c r="A790" s="732" t="s">
        <v>387</v>
      </c>
      <c r="B790" s="337">
        <v>777</v>
      </c>
      <c r="C790" s="698" t="s">
        <v>390</v>
      </c>
      <c r="D790" s="728" t="s">
        <v>391</v>
      </c>
      <c r="E790" s="698"/>
      <c r="F790" s="698"/>
      <c r="G790" s="698"/>
    </row>
    <row r="791" spans="1:7" ht="17.25" customHeight="1" x14ac:dyDescent="0.2">
      <c r="A791" s="732" t="s">
        <v>387</v>
      </c>
      <c r="B791" s="322">
        <v>778</v>
      </c>
      <c r="C791" s="698"/>
      <c r="D791" s="698"/>
      <c r="E791" s="698"/>
      <c r="F791" s="698"/>
      <c r="G791" s="698"/>
    </row>
    <row r="792" spans="1:7" ht="17.25" customHeight="1" x14ac:dyDescent="0.2">
      <c r="A792" s="732" t="s">
        <v>387</v>
      </c>
      <c r="B792" s="322">
        <v>779</v>
      </c>
      <c r="C792" s="698"/>
      <c r="D792" s="698"/>
      <c r="E792" s="698"/>
      <c r="F792" s="698"/>
      <c r="G792" s="698"/>
    </row>
    <row r="793" spans="1:7" ht="17.25" customHeight="1" x14ac:dyDescent="0.2">
      <c r="A793" s="732" t="s">
        <v>387</v>
      </c>
      <c r="B793" s="322">
        <v>780</v>
      </c>
      <c r="C793" s="698"/>
      <c r="D793" s="698"/>
      <c r="E793" s="698"/>
      <c r="F793" s="698"/>
      <c r="G793" s="698"/>
    </row>
    <row r="794" spans="1:7" ht="17.25" customHeight="1" x14ac:dyDescent="0.2">
      <c r="A794" s="732" t="s">
        <v>387</v>
      </c>
      <c r="B794" s="322">
        <v>781</v>
      </c>
      <c r="C794" s="698"/>
      <c r="D794" s="698"/>
      <c r="E794" s="698"/>
      <c r="F794" s="698"/>
      <c r="G794" s="698"/>
    </row>
    <row r="795" spans="1:7" ht="23.95" customHeight="1" x14ac:dyDescent="0.2">
      <c r="A795" s="732" t="s">
        <v>387</v>
      </c>
      <c r="B795" s="337">
        <v>782</v>
      </c>
      <c r="C795" s="698" t="s">
        <v>392</v>
      </c>
      <c r="D795" s="698" t="s">
        <v>393</v>
      </c>
      <c r="E795" s="698"/>
      <c r="F795" s="698"/>
      <c r="G795" s="698"/>
    </row>
    <row r="796" spans="1:7" ht="17.25" customHeight="1" x14ac:dyDescent="0.2">
      <c r="A796" s="732" t="s">
        <v>387</v>
      </c>
      <c r="B796" s="322">
        <v>783</v>
      </c>
      <c r="C796" s="698"/>
      <c r="D796" s="698"/>
      <c r="E796" s="698"/>
      <c r="F796" s="698"/>
      <c r="G796" s="698"/>
    </row>
    <row r="797" spans="1:7" ht="17.25" customHeight="1" x14ac:dyDescent="0.2">
      <c r="A797" s="732" t="s">
        <v>387</v>
      </c>
      <c r="B797" s="322">
        <v>784</v>
      </c>
      <c r="C797" s="698"/>
      <c r="D797" s="698"/>
      <c r="E797" s="698"/>
      <c r="F797" s="698"/>
      <c r="G797" s="698"/>
    </row>
    <row r="798" spans="1:7" ht="17.25" customHeight="1" x14ac:dyDescent="0.2">
      <c r="A798" s="732" t="s">
        <v>387</v>
      </c>
      <c r="B798" s="322">
        <v>785</v>
      </c>
      <c r="C798" s="698"/>
      <c r="D798" s="698"/>
      <c r="E798" s="698"/>
      <c r="F798" s="698"/>
      <c r="G798" s="698"/>
    </row>
    <row r="799" spans="1:7" ht="17.25" customHeight="1" x14ac:dyDescent="0.2">
      <c r="A799" s="732" t="s">
        <v>387</v>
      </c>
      <c r="B799" s="322">
        <v>786</v>
      </c>
      <c r="C799" s="698"/>
      <c r="D799" s="698"/>
      <c r="E799" s="698"/>
      <c r="F799" s="698"/>
      <c r="G799" s="698"/>
    </row>
    <row r="800" spans="1:7" ht="17.25" customHeight="1" x14ac:dyDescent="0.2">
      <c r="A800" s="732" t="s">
        <v>387</v>
      </c>
      <c r="B800" s="322">
        <v>787</v>
      </c>
      <c r="C800" s="698"/>
      <c r="D800" s="698"/>
      <c r="E800" s="698"/>
      <c r="F800" s="698"/>
      <c r="G800" s="698"/>
    </row>
    <row r="801" spans="1:7" ht="17.25" customHeight="1" x14ac:dyDescent="0.2">
      <c r="A801" s="732" t="s">
        <v>387</v>
      </c>
      <c r="B801" s="322">
        <v>788</v>
      </c>
      <c r="C801" s="698"/>
      <c r="D801" s="698"/>
      <c r="E801" s="698"/>
      <c r="F801" s="698"/>
      <c r="G801" s="698"/>
    </row>
    <row r="802" spans="1:7" ht="17.25" customHeight="1" x14ac:dyDescent="0.2">
      <c r="A802" s="732" t="s">
        <v>387</v>
      </c>
      <c r="B802" s="322">
        <v>789</v>
      </c>
      <c r="C802" s="698"/>
      <c r="D802" s="698"/>
      <c r="E802" s="698"/>
      <c r="F802" s="698"/>
      <c r="G802" s="698"/>
    </row>
    <row r="803" spans="1:7" ht="17.25" customHeight="1" x14ac:dyDescent="0.2">
      <c r="A803" s="732" t="s">
        <v>387</v>
      </c>
      <c r="B803" s="337">
        <v>790</v>
      </c>
      <c r="C803" s="696" t="s">
        <v>320</v>
      </c>
      <c r="D803" s="696" t="s">
        <v>321</v>
      </c>
      <c r="E803" s="698"/>
      <c r="F803" s="698"/>
      <c r="G803" s="698"/>
    </row>
    <row r="804" spans="1:7" ht="37.6" x14ac:dyDescent="0.2">
      <c r="A804" s="732" t="s">
        <v>387</v>
      </c>
      <c r="B804" s="337">
        <v>791</v>
      </c>
      <c r="C804" s="698" t="s">
        <v>394</v>
      </c>
      <c r="D804" s="698" t="s">
        <v>395</v>
      </c>
      <c r="E804" s="698"/>
      <c r="F804" s="698"/>
      <c r="G804" s="698"/>
    </row>
    <row r="805" spans="1:7" ht="50.25" customHeight="1" x14ac:dyDescent="0.2">
      <c r="A805" s="732" t="s">
        <v>387</v>
      </c>
      <c r="B805" s="337">
        <v>792</v>
      </c>
      <c r="C805" s="698" t="s">
        <v>396</v>
      </c>
      <c r="D805" s="698" t="s">
        <v>397</v>
      </c>
      <c r="E805" s="698"/>
      <c r="F805" s="698"/>
      <c r="G805" s="698"/>
    </row>
    <row r="806" spans="1:7" ht="17.25" customHeight="1" x14ac:dyDescent="0.2">
      <c r="A806" s="732" t="s">
        <v>387</v>
      </c>
      <c r="B806" s="322">
        <v>793</v>
      </c>
      <c r="C806" s="721"/>
      <c r="D806" s="722"/>
      <c r="E806" s="698"/>
      <c r="F806" s="698"/>
      <c r="G806" s="698"/>
    </row>
    <row r="807" spans="1:7" ht="12.55" x14ac:dyDescent="0.2">
      <c r="A807" s="732" t="s">
        <v>387</v>
      </c>
      <c r="B807" s="322">
        <v>794</v>
      </c>
      <c r="C807" s="698"/>
      <c r="D807" s="698"/>
      <c r="E807" s="698"/>
      <c r="F807" s="698"/>
      <c r="G807" s="698"/>
    </row>
    <row r="808" spans="1:7" ht="48.7" customHeight="1" x14ac:dyDescent="0.2">
      <c r="A808" s="732" t="s">
        <v>387</v>
      </c>
      <c r="B808" s="322">
        <v>795</v>
      </c>
      <c r="C808" s="698"/>
      <c r="D808" s="698"/>
      <c r="E808" s="698"/>
      <c r="F808" s="698"/>
      <c r="G808" s="698"/>
    </row>
    <row r="809" spans="1:7" ht="17.25" customHeight="1" x14ac:dyDescent="0.2">
      <c r="A809" s="732" t="s">
        <v>387</v>
      </c>
      <c r="B809" s="322">
        <v>796</v>
      </c>
      <c r="C809" s="721"/>
      <c r="D809" s="722"/>
      <c r="E809" s="698"/>
      <c r="F809" s="698"/>
      <c r="G809" s="698"/>
    </row>
    <row r="810" spans="1:7" ht="17.25" customHeight="1" x14ac:dyDescent="0.2">
      <c r="A810" s="732" t="s">
        <v>387</v>
      </c>
      <c r="B810" s="322">
        <v>797</v>
      </c>
      <c r="C810" s="721"/>
      <c r="D810" s="722"/>
      <c r="E810" s="698"/>
      <c r="F810" s="698"/>
      <c r="G810" s="698"/>
    </row>
    <row r="811" spans="1:7" ht="17.25" customHeight="1" x14ac:dyDescent="0.2">
      <c r="A811" s="732" t="s">
        <v>387</v>
      </c>
      <c r="B811" s="322">
        <v>798</v>
      </c>
      <c r="C811" s="721"/>
      <c r="D811" s="722"/>
      <c r="E811" s="698"/>
      <c r="F811" s="698"/>
      <c r="G811" s="698"/>
    </row>
    <row r="812" spans="1:7" ht="17.25" customHeight="1" x14ac:dyDescent="0.2">
      <c r="A812" s="732" t="s">
        <v>387</v>
      </c>
      <c r="B812" s="322">
        <v>799</v>
      </c>
      <c r="C812" s="721"/>
      <c r="D812" s="722"/>
      <c r="E812" s="698"/>
      <c r="F812" s="698"/>
      <c r="G812" s="698"/>
    </row>
    <row r="813" spans="1:7" ht="17.25" customHeight="1" x14ac:dyDescent="0.2">
      <c r="A813" s="732" t="s">
        <v>387</v>
      </c>
      <c r="B813" s="337">
        <v>800</v>
      </c>
      <c r="C813" s="696" t="s">
        <v>212</v>
      </c>
      <c r="D813" s="696" t="s">
        <v>326</v>
      </c>
      <c r="E813" s="698"/>
      <c r="F813" s="698"/>
      <c r="G813" s="698"/>
    </row>
    <row r="814" spans="1:7" ht="37.6" x14ac:dyDescent="0.2">
      <c r="A814" s="732" t="s">
        <v>387</v>
      </c>
      <c r="B814" s="337">
        <v>801</v>
      </c>
      <c r="C814" s="698" t="s">
        <v>327</v>
      </c>
      <c r="D814" s="698" t="s">
        <v>328</v>
      </c>
      <c r="E814" s="698"/>
      <c r="F814" s="698"/>
      <c r="G814" s="698"/>
    </row>
    <row r="815" spans="1:7" ht="87.65" x14ac:dyDescent="0.2">
      <c r="A815" s="732" t="s">
        <v>387</v>
      </c>
      <c r="B815" s="337">
        <v>802</v>
      </c>
      <c r="C815" s="698" t="s">
        <v>398</v>
      </c>
      <c r="D815" s="698" t="s">
        <v>399</v>
      </c>
      <c r="E815" s="698"/>
      <c r="F815" s="698"/>
      <c r="G815" s="698"/>
    </row>
    <row r="816" spans="1:7" ht="17.25" customHeight="1" x14ac:dyDescent="0.2">
      <c r="A816" s="732" t="s">
        <v>387</v>
      </c>
      <c r="B816" s="322">
        <v>803</v>
      </c>
      <c r="C816" s="721"/>
      <c r="D816" s="722"/>
      <c r="E816" s="698"/>
      <c r="F816" s="698"/>
      <c r="G816" s="698"/>
    </row>
    <row r="817" spans="1:7" ht="17.25" customHeight="1" x14ac:dyDescent="0.2">
      <c r="A817" s="732" t="s">
        <v>387</v>
      </c>
      <c r="B817" s="322">
        <v>804</v>
      </c>
      <c r="C817" s="698"/>
      <c r="D817" s="698"/>
      <c r="E817" s="698"/>
      <c r="F817" s="698"/>
      <c r="G817" s="698"/>
    </row>
    <row r="818" spans="1:7" ht="55.6" customHeight="1" x14ac:dyDescent="0.2">
      <c r="A818" s="732" t="s">
        <v>387</v>
      </c>
      <c r="B818" s="322">
        <v>805</v>
      </c>
      <c r="C818" s="698"/>
      <c r="D818" s="698"/>
      <c r="E818" s="698"/>
      <c r="F818" s="698"/>
      <c r="G818" s="698"/>
    </row>
    <row r="819" spans="1:7" ht="17.25" customHeight="1" x14ac:dyDescent="0.2">
      <c r="A819" s="732" t="s">
        <v>387</v>
      </c>
      <c r="B819" s="322">
        <v>806</v>
      </c>
      <c r="C819" s="721"/>
      <c r="D819" s="722"/>
      <c r="E819" s="698"/>
      <c r="F819" s="698"/>
      <c r="G819" s="698"/>
    </row>
    <row r="820" spans="1:7" ht="21" customHeight="1" x14ac:dyDescent="0.2">
      <c r="A820" s="732" t="s">
        <v>387</v>
      </c>
      <c r="B820" s="322">
        <v>807</v>
      </c>
      <c r="C820" s="721"/>
      <c r="D820" s="722"/>
      <c r="E820" s="698"/>
      <c r="F820" s="698"/>
      <c r="G820" s="698"/>
    </row>
    <row r="821" spans="1:7" ht="17.25" customHeight="1" x14ac:dyDescent="0.2">
      <c r="A821" s="732" t="s">
        <v>387</v>
      </c>
      <c r="B821" s="322">
        <v>808</v>
      </c>
      <c r="C821" s="698"/>
      <c r="D821" s="698"/>
      <c r="E821" s="698"/>
      <c r="F821" s="698"/>
      <c r="G821" s="698"/>
    </row>
    <row r="822" spans="1:7" ht="17.25" customHeight="1" x14ac:dyDescent="0.2">
      <c r="A822" s="732" t="s">
        <v>387</v>
      </c>
      <c r="B822" s="322">
        <v>809</v>
      </c>
      <c r="C822" s="733"/>
      <c r="D822" s="722"/>
      <c r="E822" s="698"/>
      <c r="F822" s="698"/>
      <c r="G822" s="698"/>
    </row>
    <row r="823" spans="1:7" ht="17.25" customHeight="1" x14ac:dyDescent="0.2">
      <c r="A823" s="732" t="s">
        <v>387</v>
      </c>
      <c r="B823" s="337">
        <v>810</v>
      </c>
      <c r="C823" s="696" t="s">
        <v>400</v>
      </c>
      <c r="D823" s="696" t="s">
        <v>401</v>
      </c>
      <c r="E823" s="698"/>
      <c r="F823" s="698"/>
      <c r="G823" s="698"/>
    </row>
    <row r="824" spans="1:7" ht="37.6" x14ac:dyDescent="0.2">
      <c r="A824" s="732" t="s">
        <v>387</v>
      </c>
      <c r="B824" s="337">
        <v>811</v>
      </c>
      <c r="C824" s="698" t="s">
        <v>402</v>
      </c>
      <c r="D824" s="698" t="s">
        <v>403</v>
      </c>
      <c r="E824" s="698"/>
      <c r="F824" s="698"/>
      <c r="G824" s="698"/>
    </row>
    <row r="825" spans="1:7" ht="37.6" x14ac:dyDescent="0.2">
      <c r="A825" s="732" t="s">
        <v>387</v>
      </c>
      <c r="B825" s="337">
        <v>812</v>
      </c>
      <c r="C825" s="698" t="s">
        <v>404</v>
      </c>
      <c r="D825" s="698" t="s">
        <v>405</v>
      </c>
      <c r="E825" s="698"/>
      <c r="F825" s="698"/>
      <c r="G825" s="698"/>
    </row>
    <row r="826" spans="1:7" ht="17.25" customHeight="1" x14ac:dyDescent="0.2">
      <c r="A826" s="732" t="s">
        <v>387</v>
      </c>
      <c r="B826" s="322">
        <v>813</v>
      </c>
      <c r="C826" s="698"/>
      <c r="D826" s="698"/>
      <c r="E826" s="698"/>
      <c r="F826" s="698"/>
      <c r="G826" s="698"/>
    </row>
    <row r="827" spans="1:7" ht="17.25" customHeight="1" x14ac:dyDescent="0.2">
      <c r="A827" s="732" t="s">
        <v>387</v>
      </c>
      <c r="B827" s="322">
        <v>814</v>
      </c>
      <c r="C827" s="733"/>
      <c r="D827" s="722"/>
      <c r="E827" s="698"/>
      <c r="F827" s="698"/>
      <c r="G827" s="698"/>
    </row>
    <row r="828" spans="1:7" ht="17.25" customHeight="1" x14ac:dyDescent="0.2">
      <c r="A828" s="732" t="s">
        <v>387</v>
      </c>
      <c r="B828" s="322">
        <v>815</v>
      </c>
      <c r="C828" s="733"/>
      <c r="D828" s="722"/>
      <c r="E828" s="698"/>
      <c r="F828" s="698"/>
      <c r="G828" s="698"/>
    </row>
    <row r="829" spans="1:7" ht="17.25" customHeight="1" x14ac:dyDescent="0.2">
      <c r="A829" s="732" t="s">
        <v>387</v>
      </c>
      <c r="B829" s="322">
        <v>816</v>
      </c>
      <c r="C829" s="733"/>
      <c r="D829" s="722"/>
      <c r="E829" s="698"/>
      <c r="F829" s="698"/>
      <c r="G829" s="698"/>
    </row>
    <row r="830" spans="1:7" ht="17.25" customHeight="1" x14ac:dyDescent="0.2">
      <c r="A830" s="732" t="s">
        <v>387</v>
      </c>
      <c r="B830" s="322">
        <v>817</v>
      </c>
      <c r="C830" s="733"/>
      <c r="D830" s="722"/>
      <c r="E830" s="698"/>
      <c r="F830" s="698"/>
      <c r="G830" s="698"/>
    </row>
    <row r="831" spans="1:7" ht="17.25" customHeight="1" x14ac:dyDescent="0.2">
      <c r="A831" s="732" t="s">
        <v>387</v>
      </c>
      <c r="B831" s="322">
        <v>818</v>
      </c>
      <c r="C831" s="733"/>
      <c r="D831" s="722"/>
      <c r="E831" s="698"/>
      <c r="F831" s="698"/>
      <c r="G831" s="698"/>
    </row>
    <row r="832" spans="1:7" ht="17.25" customHeight="1" x14ac:dyDescent="0.2">
      <c r="A832" s="732" t="s">
        <v>387</v>
      </c>
      <c r="B832" s="322">
        <v>819</v>
      </c>
      <c r="C832" s="733"/>
      <c r="D832" s="722"/>
      <c r="E832" s="698"/>
      <c r="F832" s="698"/>
      <c r="G832" s="698"/>
    </row>
    <row r="833" spans="1:7" ht="17.25" customHeight="1" x14ac:dyDescent="0.2">
      <c r="A833" s="732" t="s">
        <v>387</v>
      </c>
      <c r="B833" s="337">
        <v>820</v>
      </c>
      <c r="C833" s="696" t="s">
        <v>254</v>
      </c>
      <c r="D833" s="696" t="s">
        <v>255</v>
      </c>
      <c r="E833" s="698"/>
      <c r="F833" s="698"/>
      <c r="G833" s="698"/>
    </row>
    <row r="834" spans="1:7" ht="25.05" x14ac:dyDescent="0.2">
      <c r="A834" s="732" t="s">
        <v>387</v>
      </c>
      <c r="B834" s="337">
        <v>821</v>
      </c>
      <c r="C834" s="734" t="s">
        <v>406</v>
      </c>
      <c r="D834" s="728" t="s">
        <v>344</v>
      </c>
      <c r="E834" s="698"/>
      <c r="F834" s="698"/>
      <c r="G834" s="698"/>
    </row>
    <row r="835" spans="1:7" ht="75.150000000000006" x14ac:dyDescent="0.2">
      <c r="A835" s="732" t="s">
        <v>387</v>
      </c>
      <c r="B835" s="337">
        <v>822</v>
      </c>
      <c r="C835" s="730" t="s">
        <v>258</v>
      </c>
      <c r="D835" s="731" t="s">
        <v>259</v>
      </c>
      <c r="E835" s="698"/>
      <c r="F835" s="698"/>
      <c r="G835" s="698"/>
    </row>
    <row r="836" spans="1:7" ht="17.25" customHeight="1" x14ac:dyDescent="0.2">
      <c r="A836" s="732" t="s">
        <v>387</v>
      </c>
      <c r="B836" s="322">
        <v>823</v>
      </c>
      <c r="C836" s="733"/>
      <c r="D836" s="722"/>
      <c r="E836" s="698"/>
      <c r="F836" s="698"/>
      <c r="G836" s="698"/>
    </row>
    <row r="837" spans="1:7" ht="12.55" x14ac:dyDescent="0.2">
      <c r="A837" s="732" t="s">
        <v>387</v>
      </c>
      <c r="B837" s="322">
        <v>824</v>
      </c>
      <c r="C837" s="734"/>
      <c r="D837" s="728"/>
      <c r="E837" s="698"/>
      <c r="F837" s="698"/>
      <c r="G837" s="698"/>
    </row>
    <row r="838" spans="1:7" ht="12.55" x14ac:dyDescent="0.2">
      <c r="A838" s="732" t="s">
        <v>387</v>
      </c>
      <c r="B838" s="322">
        <v>825</v>
      </c>
      <c r="C838" s="730"/>
      <c r="D838" s="730"/>
      <c r="E838" s="698"/>
      <c r="F838" s="698"/>
      <c r="G838" s="698"/>
    </row>
    <row r="839" spans="1:7" ht="17.25" customHeight="1" x14ac:dyDescent="0.2">
      <c r="A839" s="732" t="s">
        <v>387</v>
      </c>
      <c r="B839" s="322">
        <v>826</v>
      </c>
      <c r="C839" s="733"/>
      <c r="D839" s="722"/>
      <c r="E839" s="698"/>
      <c r="F839" s="698"/>
      <c r="G839" s="698"/>
    </row>
    <row r="840" spans="1:7" ht="17.25" customHeight="1" x14ac:dyDescent="0.2">
      <c r="A840" s="732" t="s">
        <v>387</v>
      </c>
      <c r="B840" s="322">
        <v>827</v>
      </c>
      <c r="C840" s="733"/>
      <c r="D840" s="722"/>
      <c r="E840" s="698"/>
      <c r="F840" s="698"/>
      <c r="G840" s="698"/>
    </row>
    <row r="841" spans="1:7" ht="17.25" customHeight="1" x14ac:dyDescent="0.2">
      <c r="A841" s="732" t="s">
        <v>387</v>
      </c>
      <c r="B841" s="322">
        <v>828</v>
      </c>
      <c r="C841" s="733"/>
      <c r="D841" s="722"/>
      <c r="E841" s="698"/>
      <c r="F841" s="698"/>
      <c r="G841" s="698"/>
    </row>
    <row r="842" spans="1:7" ht="17.25" customHeight="1" x14ac:dyDescent="0.2">
      <c r="A842" s="732" t="s">
        <v>387</v>
      </c>
      <c r="B842" s="322">
        <v>829</v>
      </c>
      <c r="C842" s="733"/>
      <c r="D842" s="722"/>
      <c r="E842" s="698"/>
      <c r="F842" s="698"/>
      <c r="G842" s="698"/>
    </row>
    <row r="843" spans="1:7" ht="17.25" customHeight="1" x14ac:dyDescent="0.2">
      <c r="A843" s="732" t="s">
        <v>387</v>
      </c>
      <c r="B843" s="337">
        <v>830</v>
      </c>
      <c r="C843" s="696" t="s">
        <v>248</v>
      </c>
      <c r="D843" s="696" t="s">
        <v>407</v>
      </c>
      <c r="E843" s="698"/>
      <c r="F843" s="698"/>
      <c r="G843" s="698"/>
    </row>
    <row r="844" spans="1:7" ht="25.05" x14ac:dyDescent="0.2">
      <c r="A844" s="732" t="s">
        <v>387</v>
      </c>
      <c r="B844" s="337">
        <v>831</v>
      </c>
      <c r="C844" s="698" t="s">
        <v>408</v>
      </c>
      <c r="D844" s="698" t="s">
        <v>409</v>
      </c>
      <c r="E844" s="698"/>
      <c r="F844" s="698"/>
      <c r="G844" s="698"/>
    </row>
    <row r="845" spans="1:7" ht="25.05" x14ac:dyDescent="0.2">
      <c r="A845" s="732" t="s">
        <v>387</v>
      </c>
      <c r="B845" s="337">
        <v>832</v>
      </c>
      <c r="C845" s="698" t="s">
        <v>252</v>
      </c>
      <c r="D845" s="698" t="s">
        <v>253</v>
      </c>
      <c r="E845" s="698"/>
      <c r="F845" s="698"/>
      <c r="G845" s="698"/>
    </row>
    <row r="846" spans="1:7" ht="17.25" customHeight="1" x14ac:dyDescent="0.2">
      <c r="A846" s="732" t="s">
        <v>387</v>
      </c>
      <c r="B846" s="322">
        <v>833</v>
      </c>
      <c r="C846" s="733"/>
      <c r="D846" s="722"/>
      <c r="E846" s="698"/>
      <c r="F846" s="698"/>
      <c r="G846" s="698"/>
    </row>
    <row r="847" spans="1:7" ht="12.55" x14ac:dyDescent="0.2">
      <c r="A847" s="732" t="s">
        <v>387</v>
      </c>
      <c r="B847" s="493">
        <v>834</v>
      </c>
      <c r="C847" s="739" t="s">
        <v>410</v>
      </c>
      <c r="D847" s="739" t="s">
        <v>411</v>
      </c>
      <c r="E847" s="698"/>
      <c r="F847" s="698"/>
      <c r="G847" s="698"/>
    </row>
    <row r="848" spans="1:7" ht="50.1" x14ac:dyDescent="0.2">
      <c r="A848" s="732" t="s">
        <v>387</v>
      </c>
      <c r="B848" s="322">
        <v>835</v>
      </c>
      <c r="C848" s="698" t="s">
        <v>412</v>
      </c>
      <c r="D848" s="698" t="s">
        <v>413</v>
      </c>
      <c r="E848" s="698"/>
      <c r="F848" s="698"/>
      <c r="G848" s="698"/>
    </row>
    <row r="849" spans="1:7" ht="147" customHeight="1" x14ac:dyDescent="0.2">
      <c r="A849" s="732" t="s">
        <v>387</v>
      </c>
      <c r="B849" s="322">
        <v>836</v>
      </c>
      <c r="C849" s="733" t="s">
        <v>414</v>
      </c>
      <c r="D849" s="722" t="s">
        <v>415</v>
      </c>
      <c r="E849" s="698"/>
      <c r="F849" s="698"/>
      <c r="G849" s="698"/>
    </row>
    <row r="850" spans="1:7" ht="17.25" customHeight="1" x14ac:dyDescent="0.2">
      <c r="A850" s="732" t="s">
        <v>387</v>
      </c>
      <c r="B850" s="322">
        <v>837</v>
      </c>
      <c r="C850" s="733"/>
      <c r="D850" s="722"/>
      <c r="E850" s="698"/>
      <c r="F850" s="698"/>
      <c r="G850" s="698"/>
    </row>
    <row r="851" spans="1:7" ht="17.25" customHeight="1" x14ac:dyDescent="0.2">
      <c r="A851" s="732" t="s">
        <v>387</v>
      </c>
      <c r="B851" s="322">
        <v>838</v>
      </c>
      <c r="C851" s="733"/>
      <c r="D851" s="722"/>
      <c r="E851" s="698"/>
      <c r="F851" s="698"/>
      <c r="G851" s="698"/>
    </row>
    <row r="852" spans="1:7" ht="17.25" customHeight="1" x14ac:dyDescent="0.2">
      <c r="A852" s="732" t="s">
        <v>387</v>
      </c>
      <c r="B852" s="322">
        <v>839</v>
      </c>
      <c r="C852" s="733"/>
      <c r="D852" s="722"/>
      <c r="E852" s="698"/>
      <c r="F852" s="698"/>
      <c r="G852" s="698"/>
    </row>
    <row r="853" spans="1:7" ht="17.25" customHeight="1" x14ac:dyDescent="0.2">
      <c r="A853" s="732" t="s">
        <v>387</v>
      </c>
      <c r="B853" s="337">
        <v>840</v>
      </c>
      <c r="C853" s="696" t="s">
        <v>266</v>
      </c>
      <c r="D853" s="696" t="s">
        <v>266</v>
      </c>
      <c r="E853" s="698"/>
      <c r="F853" s="698"/>
      <c r="G853" s="698"/>
    </row>
    <row r="854" spans="1:7" ht="20.2" customHeight="1" x14ac:dyDescent="0.2">
      <c r="A854" s="732" t="s">
        <v>387</v>
      </c>
      <c r="B854" s="337">
        <v>841</v>
      </c>
      <c r="C854" s="698" t="s">
        <v>351</v>
      </c>
      <c r="D854" s="698" t="s">
        <v>352</v>
      </c>
      <c r="E854" s="698"/>
      <c r="F854" s="698"/>
      <c r="G854" s="698"/>
    </row>
    <row r="855" spans="1:7" ht="154.5" customHeight="1" x14ac:dyDescent="0.2">
      <c r="A855" s="732" t="s">
        <v>387</v>
      </c>
      <c r="B855" s="337">
        <v>842</v>
      </c>
      <c r="C855" s="730" t="s">
        <v>353</v>
      </c>
      <c r="D855" s="730" t="s">
        <v>354</v>
      </c>
      <c r="E855" s="698"/>
      <c r="F855" s="698"/>
      <c r="G855" s="698"/>
    </row>
    <row r="856" spans="1:7" ht="17.25" customHeight="1" x14ac:dyDescent="0.2">
      <c r="A856" s="732" t="s">
        <v>387</v>
      </c>
      <c r="B856" s="322">
        <v>843</v>
      </c>
      <c r="C856" s="698"/>
      <c r="D856" s="698"/>
      <c r="E856" s="698"/>
      <c r="F856" s="698"/>
      <c r="G856" s="698"/>
    </row>
    <row r="857" spans="1:7" ht="12.55" x14ac:dyDescent="0.2">
      <c r="A857" s="732" t="s">
        <v>387</v>
      </c>
      <c r="B857" s="322">
        <v>844</v>
      </c>
      <c r="C857" s="735"/>
      <c r="D857" s="730"/>
      <c r="E857" s="698"/>
      <c r="F857" s="698"/>
      <c r="G857" s="698"/>
    </row>
    <row r="858" spans="1:7" ht="17.25" customHeight="1" x14ac:dyDescent="0.2">
      <c r="A858" s="732" t="s">
        <v>387</v>
      </c>
      <c r="B858" s="322">
        <v>845</v>
      </c>
      <c r="C858" s="698"/>
      <c r="D858" s="722"/>
      <c r="E858" s="698"/>
      <c r="F858" s="698"/>
      <c r="G858" s="698"/>
    </row>
    <row r="859" spans="1:7" ht="17.25" customHeight="1" x14ac:dyDescent="0.2">
      <c r="A859" s="732" t="s">
        <v>387</v>
      </c>
      <c r="B859" s="322">
        <v>846</v>
      </c>
      <c r="C859" s="735"/>
      <c r="D859" s="722"/>
      <c r="E859" s="698"/>
      <c r="F859" s="698"/>
      <c r="G859" s="698"/>
    </row>
    <row r="860" spans="1:7" ht="17.25" customHeight="1" x14ac:dyDescent="0.2">
      <c r="A860" s="732" t="s">
        <v>387</v>
      </c>
      <c r="B860" s="322">
        <v>847</v>
      </c>
      <c r="C860" s="733"/>
      <c r="D860" s="722"/>
      <c r="E860" s="698"/>
      <c r="F860" s="698"/>
      <c r="G860" s="698"/>
    </row>
    <row r="861" spans="1:7" ht="17.25" customHeight="1" x14ac:dyDescent="0.2">
      <c r="A861" s="732" t="s">
        <v>387</v>
      </c>
      <c r="B861" s="322">
        <v>848</v>
      </c>
      <c r="C861" s="733"/>
      <c r="D861" s="722"/>
      <c r="E861" s="698"/>
      <c r="F861" s="698"/>
      <c r="G861" s="698"/>
    </row>
    <row r="862" spans="1:7" ht="17.25" customHeight="1" x14ac:dyDescent="0.2">
      <c r="A862" s="732" t="s">
        <v>387</v>
      </c>
      <c r="B862" s="322">
        <v>849</v>
      </c>
      <c r="C862" s="733"/>
      <c r="D862" s="722"/>
      <c r="E862" s="698"/>
      <c r="F862" s="698"/>
      <c r="G862" s="698"/>
    </row>
    <row r="863" spans="1:7" ht="17.25" customHeight="1" x14ac:dyDescent="0.2">
      <c r="A863" s="732" t="s">
        <v>387</v>
      </c>
      <c r="B863" s="337">
        <v>850</v>
      </c>
      <c r="C863" s="696" t="s">
        <v>416</v>
      </c>
      <c r="D863" s="696" t="s">
        <v>417</v>
      </c>
      <c r="E863" s="698"/>
      <c r="F863" s="698"/>
      <c r="G863" s="698"/>
    </row>
    <row r="864" spans="1:7" ht="50.1" x14ac:dyDescent="0.2">
      <c r="A864" s="732" t="s">
        <v>387</v>
      </c>
      <c r="B864" s="337">
        <v>851</v>
      </c>
      <c r="C864" s="698" t="s">
        <v>418</v>
      </c>
      <c r="D864" s="698" t="s">
        <v>419</v>
      </c>
      <c r="E864" s="698"/>
      <c r="F864" s="698"/>
      <c r="G864" s="698"/>
    </row>
    <row r="865" spans="1:7" ht="100.2" x14ac:dyDescent="0.2">
      <c r="A865" s="732" t="s">
        <v>387</v>
      </c>
      <c r="B865" s="337">
        <v>852</v>
      </c>
      <c r="C865" s="698" t="s">
        <v>420</v>
      </c>
      <c r="D865" s="698" t="s">
        <v>421</v>
      </c>
      <c r="E865" s="698"/>
      <c r="F865" s="698"/>
      <c r="G865" s="698"/>
    </row>
    <row r="866" spans="1:7" ht="17.25" customHeight="1" x14ac:dyDescent="0.2">
      <c r="A866" s="732" t="s">
        <v>387</v>
      </c>
      <c r="B866" s="322">
        <v>853</v>
      </c>
      <c r="C866" s="698"/>
      <c r="D866" s="698"/>
      <c r="E866" s="698"/>
      <c r="F866" s="698"/>
      <c r="G866" s="698"/>
    </row>
    <row r="867" spans="1:7" ht="17.25" customHeight="1" x14ac:dyDescent="0.2">
      <c r="A867" s="732" t="s">
        <v>387</v>
      </c>
      <c r="B867" s="322">
        <v>854</v>
      </c>
      <c r="C867" s="698"/>
      <c r="D867" s="698"/>
      <c r="E867" s="698"/>
      <c r="F867" s="698"/>
      <c r="G867" s="698"/>
    </row>
    <row r="868" spans="1:7" ht="17.25" customHeight="1" x14ac:dyDescent="0.2">
      <c r="A868" s="732" t="s">
        <v>387</v>
      </c>
      <c r="B868" s="322">
        <v>855</v>
      </c>
      <c r="C868" s="698"/>
      <c r="D868" s="722"/>
      <c r="E868" s="698"/>
      <c r="F868" s="698"/>
      <c r="G868" s="698"/>
    </row>
    <row r="869" spans="1:7" ht="17.25" customHeight="1" x14ac:dyDescent="0.2">
      <c r="A869" s="732" t="s">
        <v>387</v>
      </c>
      <c r="B869" s="322">
        <v>856</v>
      </c>
      <c r="C869" s="698"/>
      <c r="D869" s="698"/>
      <c r="E869" s="698"/>
      <c r="F869" s="698"/>
      <c r="G869" s="698"/>
    </row>
    <row r="870" spans="1:7" ht="17.25" customHeight="1" x14ac:dyDescent="0.2">
      <c r="A870" s="732" t="s">
        <v>387</v>
      </c>
      <c r="B870" s="322">
        <v>857</v>
      </c>
      <c r="C870" s="721"/>
      <c r="D870" s="722"/>
      <c r="E870" s="698"/>
      <c r="F870" s="698"/>
      <c r="G870" s="698"/>
    </row>
    <row r="871" spans="1:7" ht="17.25" customHeight="1" x14ac:dyDescent="0.2">
      <c r="A871" s="732" t="s">
        <v>387</v>
      </c>
      <c r="B871" s="322">
        <v>858</v>
      </c>
      <c r="C871" s="721"/>
      <c r="D871" s="722"/>
      <c r="E871" s="698"/>
      <c r="F871" s="698"/>
      <c r="G871" s="698"/>
    </row>
    <row r="872" spans="1:7" ht="17.25" customHeight="1" x14ac:dyDescent="0.2">
      <c r="A872" s="732" t="s">
        <v>387</v>
      </c>
      <c r="B872" s="322">
        <v>859</v>
      </c>
      <c r="C872" s="721"/>
      <c r="D872" s="722"/>
      <c r="E872" s="698"/>
      <c r="F872" s="698"/>
      <c r="G872" s="698"/>
    </row>
    <row r="873" spans="1:7" ht="17.25" customHeight="1" x14ac:dyDescent="0.2">
      <c r="A873" s="732" t="s">
        <v>387</v>
      </c>
      <c r="B873" s="337">
        <v>860</v>
      </c>
      <c r="C873" s="696" t="s">
        <v>422</v>
      </c>
      <c r="D873" s="696" t="s">
        <v>423</v>
      </c>
      <c r="E873" s="698"/>
      <c r="F873" s="698"/>
      <c r="G873" s="698"/>
    </row>
    <row r="874" spans="1:7" ht="77.349999999999994" customHeight="1" x14ac:dyDescent="0.2">
      <c r="A874" s="732" t="s">
        <v>387</v>
      </c>
      <c r="B874" s="337">
        <v>861</v>
      </c>
      <c r="C874" s="698" t="s">
        <v>424</v>
      </c>
      <c r="D874" s="698" t="s">
        <v>425</v>
      </c>
      <c r="E874" s="698"/>
      <c r="F874" s="698"/>
      <c r="G874" s="698"/>
    </row>
    <row r="875" spans="1:7" ht="50.1" x14ac:dyDescent="0.2">
      <c r="A875" s="732" t="s">
        <v>387</v>
      </c>
      <c r="B875" s="337">
        <v>862</v>
      </c>
      <c r="C875" s="740" t="s">
        <v>426</v>
      </c>
      <c r="D875" s="722" t="s">
        <v>427</v>
      </c>
      <c r="E875" s="698"/>
      <c r="F875" s="698"/>
      <c r="G875" s="698"/>
    </row>
    <row r="876" spans="1:7" ht="17.25" customHeight="1" x14ac:dyDescent="0.2">
      <c r="A876" s="732" t="s">
        <v>387</v>
      </c>
      <c r="B876" s="322">
        <v>863</v>
      </c>
      <c r="C876" s="721"/>
      <c r="D876" s="722"/>
      <c r="E876" s="698"/>
      <c r="F876" s="698"/>
      <c r="G876" s="698"/>
    </row>
    <row r="877" spans="1:7" ht="17.25" customHeight="1" x14ac:dyDescent="0.2">
      <c r="A877" s="732" t="s">
        <v>387</v>
      </c>
      <c r="B877" s="322">
        <v>864</v>
      </c>
      <c r="C877" s="698"/>
      <c r="D877" s="698"/>
      <c r="E877" s="698"/>
      <c r="F877" s="698"/>
      <c r="G877" s="698"/>
    </row>
    <row r="878" spans="1:7" ht="17.25" customHeight="1" x14ac:dyDescent="0.2">
      <c r="A878" s="732" t="s">
        <v>387</v>
      </c>
      <c r="B878" s="322">
        <v>865</v>
      </c>
      <c r="C878" s="698"/>
      <c r="D878" s="698"/>
      <c r="E878" s="698"/>
      <c r="F878" s="698"/>
      <c r="G878" s="698"/>
    </row>
    <row r="879" spans="1:7" ht="17.25" customHeight="1" x14ac:dyDescent="0.2">
      <c r="A879" s="732" t="s">
        <v>387</v>
      </c>
      <c r="B879" s="322">
        <v>866</v>
      </c>
      <c r="C879" s="721"/>
      <c r="D879" s="722"/>
      <c r="E879" s="698"/>
      <c r="F879" s="698"/>
      <c r="G879" s="698"/>
    </row>
    <row r="880" spans="1:7" ht="17.25" customHeight="1" x14ac:dyDescent="0.2">
      <c r="A880" s="732" t="s">
        <v>387</v>
      </c>
      <c r="B880" s="322">
        <v>867</v>
      </c>
      <c r="C880" s="698"/>
      <c r="D880" s="698"/>
      <c r="E880" s="698"/>
      <c r="F880" s="698"/>
      <c r="G880" s="698"/>
    </row>
    <row r="881" spans="1:7" ht="17.25" customHeight="1" x14ac:dyDescent="0.2">
      <c r="A881" s="732" t="s">
        <v>387</v>
      </c>
      <c r="B881" s="322">
        <v>868</v>
      </c>
      <c r="C881" s="698"/>
      <c r="D881" s="698"/>
      <c r="E881" s="698"/>
      <c r="F881" s="698"/>
      <c r="G881" s="698"/>
    </row>
    <row r="882" spans="1:7" ht="17.25" customHeight="1" x14ac:dyDescent="0.2">
      <c r="A882" s="732" t="s">
        <v>387</v>
      </c>
      <c r="B882" s="322">
        <v>869</v>
      </c>
      <c r="C882" s="721"/>
      <c r="D882" s="722"/>
      <c r="E882" s="698"/>
      <c r="F882" s="698"/>
      <c r="G882" s="698"/>
    </row>
    <row r="883" spans="1:7" ht="17.25" customHeight="1" x14ac:dyDescent="0.2">
      <c r="A883" s="732" t="s">
        <v>387</v>
      </c>
      <c r="B883" s="337">
        <v>870</v>
      </c>
      <c r="C883" s="696" t="s">
        <v>428</v>
      </c>
      <c r="D883" s="696" t="s">
        <v>429</v>
      </c>
      <c r="E883" s="698"/>
      <c r="F883" s="698"/>
      <c r="G883" s="698"/>
    </row>
    <row r="884" spans="1:7" ht="50.1" x14ac:dyDescent="0.2">
      <c r="A884" s="732" t="s">
        <v>387</v>
      </c>
      <c r="B884" s="337">
        <v>871</v>
      </c>
      <c r="C884" s="698" t="s">
        <v>430</v>
      </c>
      <c r="D884" s="698" t="s">
        <v>431</v>
      </c>
      <c r="E884" s="698"/>
      <c r="F884" s="698"/>
      <c r="G884" s="698"/>
    </row>
    <row r="885" spans="1:7" ht="25.05" x14ac:dyDescent="0.2">
      <c r="A885" s="732" t="s">
        <v>387</v>
      </c>
      <c r="B885" s="337">
        <v>872</v>
      </c>
      <c r="C885" s="698" t="s">
        <v>432</v>
      </c>
      <c r="D885" s="698" t="s">
        <v>433</v>
      </c>
      <c r="E885" s="698"/>
      <c r="F885" s="698"/>
      <c r="G885" s="698"/>
    </row>
    <row r="886" spans="1:7" ht="17.25" customHeight="1" x14ac:dyDescent="0.2">
      <c r="A886" s="732" t="s">
        <v>387</v>
      </c>
      <c r="B886" s="322">
        <v>873</v>
      </c>
      <c r="C886" s="698"/>
      <c r="D886" s="698"/>
      <c r="E886" s="698"/>
      <c r="F886" s="698"/>
      <c r="G886" s="698"/>
    </row>
    <row r="887" spans="1:7" ht="17.25" customHeight="1" x14ac:dyDescent="0.2">
      <c r="A887" s="732" t="s">
        <v>387</v>
      </c>
      <c r="B887" s="322">
        <v>874</v>
      </c>
      <c r="C887" s="698"/>
      <c r="D887" s="698"/>
      <c r="E887" s="698"/>
      <c r="F887" s="698"/>
      <c r="G887" s="698"/>
    </row>
    <row r="888" spans="1:7" ht="17.25" customHeight="1" x14ac:dyDescent="0.2">
      <c r="A888" s="732" t="s">
        <v>387</v>
      </c>
      <c r="B888" s="322">
        <v>875</v>
      </c>
      <c r="C888" s="698"/>
      <c r="D888" s="698"/>
      <c r="E888" s="698"/>
      <c r="F888" s="698"/>
      <c r="G888" s="698"/>
    </row>
    <row r="889" spans="1:7" ht="17.25" customHeight="1" x14ac:dyDescent="0.2">
      <c r="A889" s="732" t="s">
        <v>387</v>
      </c>
      <c r="B889" s="322">
        <v>876</v>
      </c>
      <c r="C889" s="698"/>
      <c r="D889" s="698"/>
      <c r="E889" s="698"/>
      <c r="F889" s="698"/>
      <c r="G889" s="698"/>
    </row>
    <row r="890" spans="1:7" ht="17.25" customHeight="1" x14ac:dyDescent="0.2">
      <c r="A890" s="732" t="s">
        <v>387</v>
      </c>
      <c r="B890" s="322">
        <v>877</v>
      </c>
      <c r="C890" s="698"/>
      <c r="D890" s="698"/>
      <c r="E890" s="698"/>
      <c r="F890" s="698"/>
      <c r="G890" s="698"/>
    </row>
    <row r="891" spans="1:7" ht="17.25" customHeight="1" x14ac:dyDescent="0.2">
      <c r="A891" s="732" t="s">
        <v>387</v>
      </c>
      <c r="B891" s="322">
        <v>878</v>
      </c>
      <c r="C891" s="698"/>
      <c r="D891" s="698"/>
      <c r="E891" s="698"/>
      <c r="F891" s="698"/>
      <c r="G891" s="698"/>
    </row>
    <row r="892" spans="1:7" ht="17.25" customHeight="1" x14ac:dyDescent="0.2">
      <c r="A892" s="732" t="s">
        <v>387</v>
      </c>
      <c r="B892" s="322">
        <v>879</v>
      </c>
      <c r="C892" s="698"/>
      <c r="D892" s="698"/>
      <c r="E892" s="698"/>
      <c r="F892" s="698"/>
      <c r="G892" s="698"/>
    </row>
    <row r="893" spans="1:7" ht="17.25" customHeight="1" x14ac:dyDescent="0.2">
      <c r="A893" s="732" t="s">
        <v>387</v>
      </c>
      <c r="B893" s="337">
        <v>880</v>
      </c>
      <c r="C893" s="696" t="s">
        <v>359</v>
      </c>
      <c r="D893" s="696" t="s">
        <v>360</v>
      </c>
      <c r="E893" s="698"/>
      <c r="F893" s="698"/>
      <c r="G893" s="698"/>
    </row>
    <row r="894" spans="1:7" ht="50.25" customHeight="1" x14ac:dyDescent="0.2">
      <c r="A894" s="732" t="s">
        <v>387</v>
      </c>
      <c r="B894" s="337">
        <v>881</v>
      </c>
      <c r="C894" s="698" t="s">
        <v>434</v>
      </c>
      <c r="D894" s="698" t="s">
        <v>435</v>
      </c>
      <c r="E894" s="698"/>
      <c r="F894" s="698"/>
      <c r="G894" s="698"/>
    </row>
    <row r="895" spans="1:7" ht="69.05" customHeight="1" x14ac:dyDescent="0.2">
      <c r="A895" s="732" t="s">
        <v>387</v>
      </c>
      <c r="B895" s="337">
        <v>882</v>
      </c>
      <c r="C895" s="730" t="s">
        <v>436</v>
      </c>
      <c r="D895" s="730" t="s">
        <v>437</v>
      </c>
      <c r="E895" s="698"/>
      <c r="F895" s="698"/>
      <c r="G895" s="698"/>
    </row>
    <row r="896" spans="1:7" ht="17.25" customHeight="1" x14ac:dyDescent="0.2">
      <c r="A896" s="732" t="s">
        <v>387</v>
      </c>
      <c r="B896" s="322">
        <v>883</v>
      </c>
      <c r="C896" s="698"/>
      <c r="D896" s="698"/>
      <c r="E896" s="698"/>
      <c r="F896" s="698"/>
      <c r="G896" s="698"/>
    </row>
    <row r="897" spans="1:7" ht="17.25" customHeight="1" x14ac:dyDescent="0.2">
      <c r="A897" s="732" t="s">
        <v>387</v>
      </c>
      <c r="B897" s="322">
        <v>884</v>
      </c>
      <c r="C897" s="698"/>
      <c r="D897" s="698"/>
      <c r="E897" s="698"/>
      <c r="F897" s="698"/>
      <c r="G897" s="698"/>
    </row>
    <row r="898" spans="1:7" ht="17.25" customHeight="1" x14ac:dyDescent="0.2">
      <c r="A898" s="732" t="s">
        <v>387</v>
      </c>
      <c r="B898" s="322">
        <v>885</v>
      </c>
      <c r="C898" s="698"/>
      <c r="D898" s="698"/>
      <c r="E898" s="698"/>
      <c r="F898" s="698"/>
      <c r="G898" s="698"/>
    </row>
    <row r="899" spans="1:7" ht="17.25" customHeight="1" x14ac:dyDescent="0.2">
      <c r="A899" s="732" t="s">
        <v>387</v>
      </c>
      <c r="B899" s="322">
        <v>886</v>
      </c>
      <c r="C899" s="698"/>
      <c r="D899" s="698"/>
      <c r="E899" s="698"/>
      <c r="F899" s="698"/>
      <c r="G899" s="698"/>
    </row>
    <row r="900" spans="1:7" ht="17.25" customHeight="1" x14ac:dyDescent="0.2">
      <c r="A900" s="732" t="s">
        <v>387</v>
      </c>
      <c r="B900" s="322">
        <v>887</v>
      </c>
      <c r="C900" s="698"/>
      <c r="D900" s="698"/>
      <c r="E900" s="698"/>
      <c r="F900" s="698"/>
      <c r="G900" s="698"/>
    </row>
    <row r="901" spans="1:7" ht="17.25" customHeight="1" x14ac:dyDescent="0.2">
      <c r="A901" s="732" t="s">
        <v>387</v>
      </c>
      <c r="B901" s="322">
        <v>888</v>
      </c>
      <c r="C901" s="698"/>
      <c r="D901" s="698"/>
      <c r="E901" s="698"/>
      <c r="F901" s="698"/>
      <c r="G901" s="698"/>
    </row>
    <row r="902" spans="1:7" ht="17.25" customHeight="1" x14ac:dyDescent="0.2">
      <c r="A902" s="732" t="s">
        <v>387</v>
      </c>
      <c r="B902" s="322">
        <v>889</v>
      </c>
      <c r="C902" s="698"/>
      <c r="D902" s="698"/>
      <c r="E902" s="698"/>
      <c r="F902" s="698"/>
      <c r="G902" s="698"/>
    </row>
    <row r="903" spans="1:7" ht="17.25" customHeight="1" x14ac:dyDescent="0.2">
      <c r="A903" s="732" t="s">
        <v>387</v>
      </c>
      <c r="B903" s="337">
        <v>890</v>
      </c>
      <c r="C903" s="696" t="s">
        <v>365</v>
      </c>
      <c r="D903" s="696" t="s">
        <v>366</v>
      </c>
      <c r="E903" s="698"/>
      <c r="F903" s="698"/>
      <c r="G903" s="698"/>
    </row>
    <row r="904" spans="1:7" ht="25.05" x14ac:dyDescent="0.2">
      <c r="A904" s="732" t="s">
        <v>387</v>
      </c>
      <c r="B904" s="337">
        <v>891</v>
      </c>
      <c r="C904" s="698" t="s">
        <v>438</v>
      </c>
      <c r="D904" s="698" t="s">
        <v>439</v>
      </c>
      <c r="E904" s="698"/>
      <c r="F904" s="698"/>
      <c r="G904" s="698"/>
    </row>
    <row r="905" spans="1:7" ht="25.05" x14ac:dyDescent="0.2">
      <c r="A905" s="732" t="s">
        <v>387</v>
      </c>
      <c r="B905" s="337">
        <v>892</v>
      </c>
      <c r="C905" s="733" t="s">
        <v>440</v>
      </c>
      <c r="D905" s="722" t="s">
        <v>441</v>
      </c>
      <c r="E905" s="698"/>
      <c r="F905" s="698"/>
      <c r="G905" s="698"/>
    </row>
    <row r="906" spans="1:7" ht="17.25" customHeight="1" x14ac:dyDescent="0.2">
      <c r="A906" s="732" t="s">
        <v>387</v>
      </c>
      <c r="B906" s="322">
        <v>893</v>
      </c>
      <c r="C906" s="698"/>
      <c r="D906" s="698"/>
      <c r="E906" s="698"/>
      <c r="F906" s="698"/>
      <c r="G906" s="698"/>
    </row>
    <row r="907" spans="1:7" ht="17.25" customHeight="1" x14ac:dyDescent="0.2">
      <c r="A907" s="732" t="s">
        <v>387</v>
      </c>
      <c r="B907" s="322">
        <v>894</v>
      </c>
      <c r="C907" s="698"/>
      <c r="D907" s="698"/>
      <c r="E907" s="698"/>
      <c r="F907" s="698"/>
      <c r="G907" s="698"/>
    </row>
    <row r="908" spans="1:7" ht="17.25" customHeight="1" x14ac:dyDescent="0.2">
      <c r="A908" s="732" t="s">
        <v>387</v>
      </c>
      <c r="B908" s="322">
        <v>895</v>
      </c>
      <c r="C908" s="733"/>
      <c r="D908" s="722"/>
      <c r="E908" s="698"/>
      <c r="F908" s="698"/>
      <c r="G908" s="698"/>
    </row>
    <row r="909" spans="1:7" ht="17.25" customHeight="1" x14ac:dyDescent="0.2">
      <c r="A909" s="732" t="s">
        <v>387</v>
      </c>
      <c r="B909" s="322">
        <v>896</v>
      </c>
      <c r="C909" s="698"/>
      <c r="D909" s="698"/>
      <c r="E909" s="698"/>
      <c r="F909" s="698"/>
      <c r="G909" s="698"/>
    </row>
    <row r="910" spans="1:7" ht="17.25" customHeight="1" x14ac:dyDescent="0.2">
      <c r="A910" s="732" t="s">
        <v>387</v>
      </c>
      <c r="B910" s="322">
        <v>897</v>
      </c>
      <c r="C910" s="698"/>
      <c r="D910" s="698"/>
      <c r="E910" s="698"/>
      <c r="F910" s="698"/>
      <c r="G910" s="698"/>
    </row>
    <row r="911" spans="1:7" ht="17.25" customHeight="1" x14ac:dyDescent="0.2">
      <c r="A911" s="732" t="s">
        <v>387</v>
      </c>
      <c r="B911" s="322">
        <v>898</v>
      </c>
      <c r="C911" s="733"/>
      <c r="D911" s="722"/>
      <c r="E911" s="698"/>
      <c r="F911" s="698"/>
      <c r="G911" s="698"/>
    </row>
    <row r="912" spans="1:7" ht="17.25" customHeight="1" x14ac:dyDescent="0.2">
      <c r="A912" s="732" t="s">
        <v>387</v>
      </c>
      <c r="B912" s="322">
        <v>899</v>
      </c>
      <c r="C912" s="733"/>
      <c r="D912" s="722"/>
      <c r="E912" s="698"/>
      <c r="F912" s="698"/>
      <c r="G912" s="698"/>
    </row>
    <row r="913" spans="1:7" ht="17.25" customHeight="1" x14ac:dyDescent="0.2">
      <c r="A913" s="732" t="s">
        <v>387</v>
      </c>
      <c r="B913" s="337">
        <v>900</v>
      </c>
      <c r="C913" s="696" t="s">
        <v>442</v>
      </c>
      <c r="D913" s="696" t="s">
        <v>442</v>
      </c>
      <c r="E913" s="698"/>
      <c r="F913" s="698"/>
      <c r="G913" s="698"/>
    </row>
    <row r="914" spans="1:7" ht="25.05" x14ac:dyDescent="0.2">
      <c r="A914" s="732" t="s">
        <v>387</v>
      </c>
      <c r="B914" s="337">
        <v>901</v>
      </c>
      <c r="C914" s="698" t="s">
        <v>443</v>
      </c>
      <c r="D914" s="698" t="s">
        <v>444</v>
      </c>
      <c r="E914" s="698"/>
      <c r="F914" s="698"/>
      <c r="G914" s="698"/>
    </row>
    <row r="915" spans="1:7" ht="12.55" x14ac:dyDescent="0.2">
      <c r="A915" s="732" t="s">
        <v>387</v>
      </c>
      <c r="B915" s="337">
        <v>902</v>
      </c>
      <c r="C915" s="698" t="s">
        <v>445</v>
      </c>
      <c r="D915" s="698" t="s">
        <v>446</v>
      </c>
      <c r="E915" s="698"/>
      <c r="F915" s="698"/>
      <c r="G915" s="698"/>
    </row>
    <row r="916" spans="1:7" ht="17.25" customHeight="1" x14ac:dyDescent="0.2">
      <c r="A916" s="732" t="s">
        <v>387</v>
      </c>
      <c r="B916" s="322">
        <v>903</v>
      </c>
      <c r="C916" s="698"/>
      <c r="D916" s="698"/>
      <c r="E916" s="698"/>
      <c r="F916" s="698"/>
      <c r="G916" s="698"/>
    </row>
    <row r="917" spans="1:7" ht="17.25" customHeight="1" x14ac:dyDescent="0.2">
      <c r="A917" s="732" t="s">
        <v>387</v>
      </c>
      <c r="B917" s="322">
        <v>904</v>
      </c>
      <c r="C917" s="698"/>
      <c r="D917" s="698"/>
      <c r="E917" s="698"/>
      <c r="F917" s="698"/>
      <c r="G917" s="698"/>
    </row>
    <row r="918" spans="1:7" ht="17.25" customHeight="1" x14ac:dyDescent="0.2">
      <c r="A918" s="732" t="s">
        <v>387</v>
      </c>
      <c r="B918" s="322">
        <v>905</v>
      </c>
      <c r="C918" s="698"/>
      <c r="D918" s="698"/>
      <c r="E918" s="698"/>
      <c r="F918" s="698"/>
      <c r="G918" s="698"/>
    </row>
    <row r="919" spans="1:7" ht="17.25" customHeight="1" x14ac:dyDescent="0.2">
      <c r="A919" s="732" t="s">
        <v>387</v>
      </c>
      <c r="B919" s="322">
        <v>906</v>
      </c>
      <c r="C919" s="698"/>
      <c r="D919" s="698"/>
      <c r="E919" s="698"/>
      <c r="F919" s="698"/>
      <c r="G919" s="698"/>
    </row>
    <row r="920" spans="1:7" ht="17.25" customHeight="1" x14ac:dyDescent="0.2">
      <c r="A920" s="732" t="s">
        <v>387</v>
      </c>
      <c r="B920" s="322">
        <v>907</v>
      </c>
      <c r="C920" s="698"/>
      <c r="D920" s="698"/>
      <c r="E920" s="698"/>
      <c r="F920" s="698"/>
      <c r="G920" s="698"/>
    </row>
    <row r="921" spans="1:7" ht="17.25" customHeight="1" x14ac:dyDescent="0.2">
      <c r="A921" s="732" t="s">
        <v>387</v>
      </c>
      <c r="B921" s="322">
        <v>908</v>
      </c>
      <c r="C921" s="698"/>
      <c r="D921" s="698"/>
      <c r="E921" s="698"/>
      <c r="F921" s="698"/>
      <c r="G921" s="698"/>
    </row>
    <row r="922" spans="1:7" ht="17.25" customHeight="1" x14ac:dyDescent="0.2">
      <c r="A922" s="732" t="s">
        <v>387</v>
      </c>
      <c r="B922" s="322">
        <v>909</v>
      </c>
      <c r="C922" s="698"/>
      <c r="D922" s="698"/>
      <c r="E922" s="698"/>
      <c r="F922" s="698"/>
      <c r="G922" s="698"/>
    </row>
    <row r="923" spans="1:7" ht="17.25" customHeight="1" x14ac:dyDescent="0.2">
      <c r="A923" s="732" t="s">
        <v>387</v>
      </c>
      <c r="B923" s="337">
        <v>910</v>
      </c>
      <c r="C923" s="696" t="s">
        <v>447</v>
      </c>
      <c r="D923" s="696" t="s">
        <v>448</v>
      </c>
      <c r="E923" s="698"/>
      <c r="F923" s="698"/>
      <c r="G923" s="698"/>
    </row>
    <row r="924" spans="1:7" ht="25.05" x14ac:dyDescent="0.2">
      <c r="A924" s="732" t="s">
        <v>387</v>
      </c>
      <c r="B924" s="337">
        <v>911</v>
      </c>
      <c r="C924" s="698" t="s">
        <v>449</v>
      </c>
      <c r="D924" s="698" t="s">
        <v>450</v>
      </c>
      <c r="E924" s="698"/>
      <c r="F924" s="698"/>
      <c r="G924" s="698"/>
    </row>
    <row r="925" spans="1:7" ht="17.25" customHeight="1" x14ac:dyDescent="0.2">
      <c r="A925" s="732" t="s">
        <v>387</v>
      </c>
      <c r="B925" s="337">
        <v>912</v>
      </c>
      <c r="C925" s="733" t="s">
        <v>451</v>
      </c>
      <c r="D925" s="722" t="s">
        <v>452</v>
      </c>
      <c r="E925" s="698"/>
      <c r="F925" s="698"/>
      <c r="G925" s="698"/>
    </row>
    <row r="926" spans="1:7" ht="17.25" customHeight="1" x14ac:dyDescent="0.2">
      <c r="A926" s="732" t="s">
        <v>387</v>
      </c>
      <c r="B926" s="322">
        <v>913</v>
      </c>
      <c r="C926" s="698"/>
      <c r="D926" s="698"/>
      <c r="E926" s="698"/>
      <c r="F926" s="698"/>
      <c r="G926" s="698"/>
    </row>
    <row r="927" spans="1:7" ht="17.25" customHeight="1" x14ac:dyDescent="0.2">
      <c r="A927" s="732" t="s">
        <v>387</v>
      </c>
      <c r="B927" s="322">
        <v>914</v>
      </c>
      <c r="C927" s="698"/>
      <c r="D927" s="698"/>
      <c r="E927" s="698"/>
      <c r="F927" s="698"/>
      <c r="G927" s="698"/>
    </row>
    <row r="928" spans="1:7" ht="17.25" customHeight="1" x14ac:dyDescent="0.2">
      <c r="A928" s="732" t="s">
        <v>387</v>
      </c>
      <c r="B928" s="322">
        <v>915</v>
      </c>
      <c r="C928" s="733"/>
      <c r="D928" s="722"/>
      <c r="E928" s="698"/>
      <c r="F928" s="698"/>
      <c r="G928" s="698"/>
    </row>
    <row r="929" spans="1:7" ht="17.25" customHeight="1" x14ac:dyDescent="0.2">
      <c r="A929" s="732" t="s">
        <v>387</v>
      </c>
      <c r="B929" s="322">
        <v>916</v>
      </c>
      <c r="C929" s="733"/>
      <c r="D929" s="722"/>
      <c r="E929" s="698"/>
      <c r="F929" s="698"/>
      <c r="G929" s="698"/>
    </row>
    <row r="930" spans="1:7" ht="17.25" customHeight="1" x14ac:dyDescent="0.2">
      <c r="A930" s="732" t="s">
        <v>387</v>
      </c>
      <c r="B930" s="322">
        <v>917</v>
      </c>
      <c r="C930" s="733"/>
      <c r="D930" s="722"/>
      <c r="E930" s="698"/>
      <c r="F930" s="698"/>
      <c r="G930" s="698"/>
    </row>
    <row r="931" spans="1:7" ht="17.25" customHeight="1" x14ac:dyDescent="0.2">
      <c r="A931" s="732" t="s">
        <v>387</v>
      </c>
      <c r="B931" s="322">
        <v>918</v>
      </c>
      <c r="C931" s="698"/>
      <c r="D931" s="698"/>
      <c r="E931" s="698"/>
      <c r="F931" s="698"/>
      <c r="G931" s="698"/>
    </row>
    <row r="932" spans="1:7" ht="17.25" customHeight="1" x14ac:dyDescent="0.2">
      <c r="A932" s="732" t="s">
        <v>387</v>
      </c>
      <c r="B932" s="322">
        <v>919</v>
      </c>
      <c r="C932" s="698"/>
      <c r="D932" s="698"/>
      <c r="E932" s="698"/>
      <c r="F932" s="698"/>
      <c r="G932" s="698"/>
    </row>
    <row r="933" spans="1:7" ht="17.25" customHeight="1" x14ac:dyDescent="0.2">
      <c r="A933" s="732" t="s">
        <v>387</v>
      </c>
      <c r="B933" s="337">
        <v>920</v>
      </c>
      <c r="C933" s="741" t="s">
        <v>453</v>
      </c>
      <c r="D933" s="742" t="s">
        <v>454</v>
      </c>
      <c r="E933" s="698"/>
      <c r="F933" s="698"/>
      <c r="G933" s="698"/>
    </row>
    <row r="934" spans="1:7" ht="25.05" x14ac:dyDescent="0.2">
      <c r="A934" s="732" t="s">
        <v>387</v>
      </c>
      <c r="B934" s="337">
        <v>921</v>
      </c>
      <c r="C934" s="733" t="s">
        <v>455</v>
      </c>
      <c r="D934" s="722" t="s">
        <v>456</v>
      </c>
      <c r="E934" s="698"/>
      <c r="F934" s="698"/>
      <c r="G934" s="698"/>
    </row>
    <row r="935" spans="1:7" ht="17.25" customHeight="1" x14ac:dyDescent="0.2">
      <c r="A935" s="732" t="s">
        <v>387</v>
      </c>
      <c r="B935" s="337">
        <v>922</v>
      </c>
      <c r="C935" s="733" t="s">
        <v>457</v>
      </c>
      <c r="D935" s="722" t="s">
        <v>458</v>
      </c>
      <c r="E935" s="698"/>
      <c r="F935" s="698"/>
      <c r="G935" s="698"/>
    </row>
    <row r="936" spans="1:7" ht="17.25" customHeight="1" x14ac:dyDescent="0.2">
      <c r="A936" s="732" t="s">
        <v>387</v>
      </c>
      <c r="B936" s="322">
        <v>923</v>
      </c>
      <c r="C936" s="698"/>
      <c r="D936" s="698"/>
      <c r="E936" s="698"/>
      <c r="F936" s="698"/>
      <c r="G936" s="698"/>
    </row>
    <row r="937" spans="1:7" ht="17.25" customHeight="1" x14ac:dyDescent="0.2">
      <c r="A937" s="732" t="s">
        <v>387</v>
      </c>
      <c r="B937" s="322">
        <v>924</v>
      </c>
      <c r="C937" s="698"/>
      <c r="D937" s="698"/>
      <c r="E937" s="698"/>
      <c r="F937" s="698"/>
      <c r="G937" s="698"/>
    </row>
    <row r="938" spans="1:7" ht="17.25" customHeight="1" x14ac:dyDescent="0.2">
      <c r="A938" s="732" t="s">
        <v>387</v>
      </c>
      <c r="B938" s="322">
        <v>925</v>
      </c>
      <c r="C938" s="698"/>
      <c r="D938" s="698"/>
      <c r="E938" s="698"/>
      <c r="F938" s="698"/>
      <c r="G938" s="698"/>
    </row>
    <row r="939" spans="1:7" ht="17.25" customHeight="1" x14ac:dyDescent="0.2">
      <c r="A939" s="732" t="s">
        <v>387</v>
      </c>
      <c r="B939" s="322">
        <v>926</v>
      </c>
      <c r="C939" s="698"/>
      <c r="D939" s="698"/>
      <c r="E939" s="698"/>
      <c r="F939" s="698"/>
      <c r="G939" s="698"/>
    </row>
    <row r="940" spans="1:7" ht="17.25" customHeight="1" x14ac:dyDescent="0.2">
      <c r="A940" s="732" t="s">
        <v>387</v>
      </c>
      <c r="B940" s="322">
        <v>927</v>
      </c>
      <c r="C940" s="698"/>
      <c r="D940" s="698"/>
      <c r="E940" s="698"/>
      <c r="F940" s="698"/>
      <c r="G940" s="698"/>
    </row>
    <row r="941" spans="1:7" ht="17.25" customHeight="1" x14ac:dyDescent="0.2">
      <c r="A941" s="732" t="s">
        <v>387</v>
      </c>
      <c r="B941" s="322">
        <v>928</v>
      </c>
      <c r="C941" s="698"/>
      <c r="D941" s="698"/>
      <c r="E941" s="698"/>
      <c r="F941" s="698"/>
      <c r="G941" s="698"/>
    </row>
    <row r="942" spans="1:7" ht="17.25" customHeight="1" x14ac:dyDescent="0.2">
      <c r="A942" s="732" t="s">
        <v>387</v>
      </c>
      <c r="B942" s="322">
        <v>929</v>
      </c>
      <c r="C942" s="698"/>
      <c r="D942" s="698"/>
      <c r="E942" s="698"/>
      <c r="F942" s="698"/>
      <c r="G942" s="698"/>
    </row>
    <row r="943" spans="1:7" ht="17.25" customHeight="1" x14ac:dyDescent="0.2">
      <c r="A943" s="732" t="s">
        <v>387</v>
      </c>
      <c r="B943" s="337">
        <v>930</v>
      </c>
      <c r="C943" s="696" t="s">
        <v>295</v>
      </c>
      <c r="D943" s="696" t="s">
        <v>371</v>
      </c>
      <c r="E943" s="698"/>
      <c r="F943" s="698"/>
      <c r="G943" s="698"/>
    </row>
    <row r="944" spans="1:7" ht="50.1" x14ac:dyDescent="0.2">
      <c r="A944" s="732" t="s">
        <v>387</v>
      </c>
      <c r="B944" s="337">
        <v>931</v>
      </c>
      <c r="C944" s="698" t="s">
        <v>459</v>
      </c>
      <c r="D944" s="698" t="s">
        <v>460</v>
      </c>
      <c r="E944" s="698"/>
      <c r="F944" s="698"/>
      <c r="G944" s="698"/>
    </row>
    <row r="945" spans="1:7" ht="12.55" x14ac:dyDescent="0.2">
      <c r="A945" s="732" t="s">
        <v>387</v>
      </c>
      <c r="B945" s="337">
        <v>932</v>
      </c>
      <c r="C945" s="733" t="s">
        <v>451</v>
      </c>
      <c r="D945" s="722" t="s">
        <v>461</v>
      </c>
      <c r="E945" s="698"/>
      <c r="F945" s="698"/>
      <c r="G945" s="698"/>
    </row>
    <row r="946" spans="1:7" ht="17.25" customHeight="1" x14ac:dyDescent="0.2">
      <c r="A946" s="732" t="s">
        <v>387</v>
      </c>
      <c r="B946" s="322">
        <v>933</v>
      </c>
      <c r="C946" s="698"/>
      <c r="D946" s="698"/>
      <c r="E946" s="698"/>
      <c r="F946" s="698"/>
      <c r="G946" s="698"/>
    </row>
    <row r="947" spans="1:7" ht="12.55" x14ac:dyDescent="0.2">
      <c r="A947" s="732" t="s">
        <v>387</v>
      </c>
      <c r="B947" s="322">
        <v>934</v>
      </c>
      <c r="C947" s="698"/>
      <c r="D947" s="698"/>
      <c r="E947" s="698"/>
      <c r="F947" s="698"/>
      <c r="G947" s="698"/>
    </row>
    <row r="948" spans="1:7" ht="17.25" customHeight="1" x14ac:dyDescent="0.2">
      <c r="A948" s="732" t="s">
        <v>387</v>
      </c>
      <c r="B948" s="337">
        <v>935</v>
      </c>
      <c r="C948" s="696" t="s">
        <v>301</v>
      </c>
      <c r="D948" s="696" t="s">
        <v>302</v>
      </c>
      <c r="E948" s="698"/>
      <c r="F948" s="698"/>
      <c r="G948" s="698"/>
    </row>
    <row r="949" spans="1:7" ht="37.6" x14ac:dyDescent="0.2">
      <c r="A949" s="732" t="s">
        <v>387</v>
      </c>
      <c r="B949" s="322">
        <v>936</v>
      </c>
      <c r="C949" s="698" t="s">
        <v>462</v>
      </c>
      <c r="D949" s="698" t="s">
        <v>463</v>
      </c>
      <c r="E949" s="698"/>
      <c r="F949" s="698"/>
      <c r="G949" s="698"/>
    </row>
    <row r="950" spans="1:7" ht="150.30000000000001" x14ac:dyDescent="0.2">
      <c r="A950" s="732" t="s">
        <v>387</v>
      </c>
      <c r="B950" s="322">
        <v>937</v>
      </c>
      <c r="C950" s="698" t="s">
        <v>464</v>
      </c>
      <c r="D950" s="698" t="s">
        <v>465</v>
      </c>
      <c r="E950" s="698"/>
      <c r="F950" s="698"/>
      <c r="G950" s="698"/>
    </row>
    <row r="951" spans="1:7" ht="17.25" customHeight="1" x14ac:dyDescent="0.2">
      <c r="A951" s="732" t="s">
        <v>387</v>
      </c>
      <c r="B951" s="322">
        <v>938</v>
      </c>
      <c r="C951" s="698"/>
      <c r="D951" s="698"/>
      <c r="E951" s="698"/>
      <c r="F951" s="698"/>
      <c r="G951" s="698"/>
    </row>
    <row r="952" spans="1:7" ht="17.25" customHeight="1" x14ac:dyDescent="0.2">
      <c r="A952" s="732" t="s">
        <v>387</v>
      </c>
      <c r="B952" s="322">
        <v>939</v>
      </c>
      <c r="C952" s="698"/>
      <c r="D952" s="698"/>
      <c r="E952" s="698"/>
      <c r="F952" s="698"/>
      <c r="G952" s="698"/>
    </row>
    <row r="953" spans="1:7" ht="17.25" customHeight="1" x14ac:dyDescent="0.2">
      <c r="A953" s="732" t="s">
        <v>387</v>
      </c>
      <c r="B953" s="322">
        <v>940</v>
      </c>
      <c r="C953" s="698"/>
      <c r="D953" s="698"/>
      <c r="E953" s="698"/>
      <c r="F953" s="698"/>
      <c r="G953" s="698"/>
    </row>
    <row r="954" spans="1:7" ht="17.25" customHeight="1" x14ac:dyDescent="0.2">
      <c r="A954" s="732" t="s">
        <v>387</v>
      </c>
      <c r="B954" s="322">
        <v>941</v>
      </c>
      <c r="C954" s="698"/>
      <c r="D954" s="698"/>
      <c r="E954" s="698"/>
      <c r="F954" s="698"/>
      <c r="G954" s="698"/>
    </row>
    <row r="955" spans="1:7" ht="17.25" customHeight="1" x14ac:dyDescent="0.2">
      <c r="A955" s="732" t="s">
        <v>387</v>
      </c>
      <c r="B955" s="322">
        <v>942</v>
      </c>
      <c r="C955" s="698"/>
      <c r="D955" s="698"/>
      <c r="E955" s="698"/>
      <c r="F955" s="698"/>
      <c r="G955" s="698"/>
    </row>
    <row r="956" spans="1:7" ht="17.25" customHeight="1" x14ac:dyDescent="0.2">
      <c r="A956" s="732" t="s">
        <v>387</v>
      </c>
      <c r="B956" s="322">
        <v>943</v>
      </c>
      <c r="C956" s="698"/>
      <c r="D956" s="698"/>
      <c r="E956" s="698"/>
      <c r="F956" s="698"/>
      <c r="G956" s="698"/>
    </row>
    <row r="957" spans="1:7" ht="17.25" customHeight="1" x14ac:dyDescent="0.2">
      <c r="A957" s="732" t="s">
        <v>387</v>
      </c>
      <c r="B957" s="322">
        <v>944</v>
      </c>
      <c r="C957" s="698"/>
      <c r="D957" s="698"/>
      <c r="E957" s="698"/>
      <c r="F957" s="698"/>
      <c r="G957" s="698"/>
    </row>
    <row r="958" spans="1:7" ht="17.25" customHeight="1" x14ac:dyDescent="0.2">
      <c r="A958" s="732" t="s">
        <v>387</v>
      </c>
      <c r="B958" s="322">
        <v>945</v>
      </c>
      <c r="C958" s="698"/>
      <c r="D958" s="698"/>
      <c r="E958" s="698"/>
      <c r="F958" s="698"/>
      <c r="G958" s="698"/>
    </row>
    <row r="959" spans="1:7" ht="17.25" customHeight="1" x14ac:dyDescent="0.2">
      <c r="A959" s="732" t="s">
        <v>387</v>
      </c>
      <c r="B959" s="322">
        <v>946</v>
      </c>
      <c r="C959" s="698"/>
      <c r="D959" s="698"/>
      <c r="E959" s="698"/>
      <c r="F959" s="698"/>
      <c r="G959" s="698"/>
    </row>
    <row r="960" spans="1:7" ht="17.25" customHeight="1" x14ac:dyDescent="0.2">
      <c r="A960" s="732" t="s">
        <v>387</v>
      </c>
      <c r="B960" s="322">
        <v>947</v>
      </c>
      <c r="C960" s="698"/>
      <c r="D960" s="698"/>
      <c r="E960" s="698"/>
      <c r="F960" s="698"/>
      <c r="G960" s="698"/>
    </row>
    <row r="961" spans="1:7" ht="17.25" customHeight="1" x14ac:dyDescent="0.2">
      <c r="A961" s="732" t="s">
        <v>387</v>
      </c>
      <c r="B961" s="322">
        <v>948</v>
      </c>
      <c r="C961" s="698"/>
      <c r="D961" s="698"/>
      <c r="E961" s="698"/>
      <c r="F961" s="698"/>
      <c r="G961" s="698"/>
    </row>
    <row r="962" spans="1:7" ht="17.25" customHeight="1" x14ac:dyDescent="0.2">
      <c r="A962" s="732" t="s">
        <v>387</v>
      </c>
      <c r="B962" s="322">
        <v>949</v>
      </c>
      <c r="C962" s="698"/>
      <c r="D962" s="698"/>
      <c r="E962" s="698"/>
      <c r="F962" s="698"/>
      <c r="G962" s="698"/>
    </row>
    <row r="963" spans="1:7" ht="17.25" customHeight="1" x14ac:dyDescent="0.2">
      <c r="A963" s="732" t="s">
        <v>387</v>
      </c>
      <c r="B963" s="322">
        <v>950</v>
      </c>
      <c r="C963" s="698"/>
      <c r="D963" s="698"/>
      <c r="E963" s="698"/>
      <c r="F963" s="698"/>
      <c r="G963" s="698"/>
    </row>
    <row r="964" spans="1:7" ht="17.25" customHeight="1" x14ac:dyDescent="0.2">
      <c r="A964" s="732" t="s">
        <v>387</v>
      </c>
      <c r="B964" s="322">
        <v>951</v>
      </c>
      <c r="C964" s="698"/>
      <c r="D964" s="698"/>
      <c r="E964" s="698"/>
      <c r="F964" s="698"/>
      <c r="G964" s="698"/>
    </row>
    <row r="965" spans="1:7" ht="17.25" customHeight="1" x14ac:dyDescent="0.2">
      <c r="A965" s="732" t="s">
        <v>387</v>
      </c>
      <c r="B965" s="322">
        <v>952</v>
      </c>
      <c r="C965" s="698"/>
      <c r="D965" s="698"/>
      <c r="E965" s="698"/>
      <c r="F965" s="698"/>
      <c r="G965" s="698"/>
    </row>
    <row r="966" spans="1:7" ht="17.25" customHeight="1" x14ac:dyDescent="0.2">
      <c r="A966" s="732" t="s">
        <v>387</v>
      </c>
      <c r="B966" s="322">
        <v>953</v>
      </c>
      <c r="C966" s="698"/>
      <c r="D966" s="698"/>
      <c r="E966" s="698"/>
      <c r="F966" s="698"/>
      <c r="G966" s="698"/>
    </row>
    <row r="967" spans="1:7" ht="17.25" customHeight="1" x14ac:dyDescent="0.2">
      <c r="A967" s="732" t="s">
        <v>387</v>
      </c>
      <c r="B967" s="322">
        <v>954</v>
      </c>
      <c r="C967" s="698"/>
      <c r="D967" s="698"/>
      <c r="E967" s="698"/>
      <c r="F967" s="698"/>
      <c r="G967" s="698"/>
    </row>
    <row r="968" spans="1:7" ht="17.25" customHeight="1" x14ac:dyDescent="0.2">
      <c r="A968" s="732" t="s">
        <v>387</v>
      </c>
      <c r="B968" s="322">
        <v>955</v>
      </c>
      <c r="C968" s="698"/>
      <c r="D968" s="698"/>
      <c r="E968" s="698"/>
      <c r="F968" s="698"/>
      <c r="G968" s="698"/>
    </row>
    <row r="969" spans="1:7" ht="17.25" customHeight="1" x14ac:dyDescent="0.2">
      <c r="A969" s="732" t="s">
        <v>387</v>
      </c>
      <c r="B969" s="322">
        <v>956</v>
      </c>
      <c r="C969" s="698"/>
      <c r="D969" s="698"/>
      <c r="E969" s="698"/>
      <c r="F969" s="698"/>
      <c r="G969" s="698"/>
    </row>
    <row r="970" spans="1:7" ht="17.25" customHeight="1" x14ac:dyDescent="0.2">
      <c r="A970" s="732" t="s">
        <v>387</v>
      </c>
      <c r="B970" s="322">
        <v>957</v>
      </c>
      <c r="C970" s="698"/>
      <c r="D970" s="698"/>
      <c r="E970" s="698"/>
      <c r="F970" s="698"/>
      <c r="G970" s="698"/>
    </row>
    <row r="971" spans="1:7" ht="17.25" customHeight="1" x14ac:dyDescent="0.2">
      <c r="A971" s="732" t="s">
        <v>387</v>
      </c>
      <c r="B971" s="322">
        <v>958</v>
      </c>
      <c r="C971" s="698"/>
      <c r="D971" s="698"/>
      <c r="E971" s="698"/>
      <c r="F971" s="698"/>
      <c r="G971" s="698"/>
    </row>
    <row r="972" spans="1:7" ht="17.25" customHeight="1" x14ac:dyDescent="0.2">
      <c r="A972" s="732" t="s">
        <v>387</v>
      </c>
      <c r="B972" s="322">
        <v>959</v>
      </c>
      <c r="C972" s="698"/>
      <c r="D972" s="698"/>
      <c r="E972" s="698"/>
      <c r="F972" s="698"/>
      <c r="G972" s="698"/>
    </row>
    <row r="973" spans="1:7" ht="17.25" customHeight="1" x14ac:dyDescent="0.2">
      <c r="A973" s="732" t="s">
        <v>387</v>
      </c>
      <c r="B973" s="322">
        <v>960</v>
      </c>
      <c r="C973" s="698"/>
      <c r="D973" s="698"/>
      <c r="E973" s="698"/>
      <c r="F973" s="698"/>
      <c r="G973" s="698"/>
    </row>
    <row r="974" spans="1:7" ht="17.25" customHeight="1" x14ac:dyDescent="0.2">
      <c r="A974" s="732" t="s">
        <v>387</v>
      </c>
      <c r="B974" s="322">
        <v>961</v>
      </c>
      <c r="C974" s="698"/>
      <c r="D974" s="698"/>
      <c r="E974" s="698"/>
      <c r="F974" s="698"/>
      <c r="G974" s="698"/>
    </row>
    <row r="975" spans="1:7" ht="17.25" customHeight="1" x14ac:dyDescent="0.2">
      <c r="A975" s="732" t="s">
        <v>387</v>
      </c>
      <c r="B975" s="322">
        <v>962</v>
      </c>
      <c r="C975" s="698"/>
      <c r="D975" s="698"/>
      <c r="E975" s="698"/>
      <c r="F975" s="698"/>
      <c r="G975" s="698"/>
    </row>
    <row r="976" spans="1:7" ht="17.25" customHeight="1" x14ac:dyDescent="0.2">
      <c r="A976" s="732" t="s">
        <v>387</v>
      </c>
      <c r="B976" s="322">
        <v>963</v>
      </c>
      <c r="C976" s="698"/>
      <c r="D976" s="698"/>
      <c r="E976" s="698"/>
      <c r="F976" s="698"/>
      <c r="G976" s="698"/>
    </row>
    <row r="977" spans="1:7" ht="17.25" customHeight="1" x14ac:dyDescent="0.2">
      <c r="A977" s="732" t="s">
        <v>387</v>
      </c>
      <c r="B977" s="322">
        <v>964</v>
      </c>
      <c r="C977" s="698"/>
      <c r="D977" s="698"/>
      <c r="E977" s="698"/>
      <c r="F977" s="698"/>
      <c r="G977" s="698"/>
    </row>
    <row r="978" spans="1:7" ht="17.25" customHeight="1" x14ac:dyDescent="0.2">
      <c r="A978" s="732" t="s">
        <v>387</v>
      </c>
      <c r="B978" s="322">
        <v>965</v>
      </c>
      <c r="C978" s="698"/>
      <c r="D978" s="698"/>
      <c r="E978" s="698"/>
      <c r="F978" s="698"/>
      <c r="G978" s="698"/>
    </row>
    <row r="979" spans="1:7" ht="17.25" customHeight="1" thickBot="1" x14ac:dyDescent="0.25">
      <c r="A979" s="738" t="s">
        <v>387</v>
      </c>
      <c r="B979" s="713">
        <v>966</v>
      </c>
      <c r="C979" s="715"/>
      <c r="D979" s="715"/>
      <c r="E979" s="715"/>
      <c r="F979" s="715"/>
      <c r="G979" s="715"/>
    </row>
    <row r="980" spans="1:7" ht="17.25" customHeight="1" x14ac:dyDescent="0.2">
      <c r="A980" s="743" t="s">
        <v>466</v>
      </c>
      <c r="B980" s="322">
        <v>967</v>
      </c>
      <c r="D980" s="149"/>
      <c r="E980" s="149"/>
      <c r="F980" s="149"/>
      <c r="G980" s="149"/>
    </row>
    <row r="981" spans="1:7" ht="17.25" customHeight="1" x14ac:dyDescent="0.2">
      <c r="A981" s="743" t="s">
        <v>466</v>
      </c>
      <c r="B981" s="322">
        <v>968</v>
      </c>
      <c r="C981" s="744"/>
      <c r="D981" s="149"/>
      <c r="E981" s="149"/>
      <c r="F981" s="149"/>
      <c r="G981" s="149"/>
    </row>
    <row r="982" spans="1:7" ht="17.25" customHeight="1" x14ac:dyDescent="0.2">
      <c r="A982" s="743" t="s">
        <v>466</v>
      </c>
      <c r="B982" s="322">
        <v>969</v>
      </c>
      <c r="C982" s="744"/>
      <c r="D982" s="149"/>
      <c r="E982" s="149"/>
      <c r="F982" s="149"/>
      <c r="G982" s="149"/>
    </row>
    <row r="983" spans="1:7" ht="17.25" customHeight="1" x14ac:dyDescent="0.2">
      <c r="A983" s="743" t="s">
        <v>466</v>
      </c>
      <c r="B983" s="322">
        <v>970</v>
      </c>
      <c r="C983" s="744"/>
      <c r="D983" s="149"/>
      <c r="E983" s="149"/>
      <c r="F983" s="149"/>
      <c r="G983" s="149"/>
    </row>
    <row r="984" spans="1:7" ht="17.25" customHeight="1" x14ac:dyDescent="0.2">
      <c r="A984" s="743" t="s">
        <v>466</v>
      </c>
      <c r="B984" s="322">
        <v>971</v>
      </c>
      <c r="C984" s="744"/>
      <c r="D984" s="149"/>
      <c r="E984" s="149"/>
      <c r="F984" s="149"/>
      <c r="G984" s="149"/>
    </row>
    <row r="985" spans="1:7" ht="17.25" customHeight="1" x14ac:dyDescent="0.2">
      <c r="A985" s="743" t="s">
        <v>466</v>
      </c>
      <c r="B985" s="322">
        <v>972</v>
      </c>
      <c r="C985" s="744"/>
      <c r="D985" s="149"/>
      <c r="E985" s="149"/>
      <c r="F985" s="149"/>
      <c r="G985" s="149"/>
    </row>
    <row r="986" spans="1:7" ht="17.25" customHeight="1" x14ac:dyDescent="0.2">
      <c r="A986" s="743" t="s">
        <v>466</v>
      </c>
      <c r="B986" s="322">
        <v>973</v>
      </c>
      <c r="C986" s="744"/>
      <c r="D986" s="149"/>
      <c r="E986" s="149"/>
      <c r="F986" s="149"/>
      <c r="G986" s="149"/>
    </row>
    <row r="987" spans="1:7" ht="17.25" customHeight="1" x14ac:dyDescent="0.2">
      <c r="A987" s="743" t="s">
        <v>466</v>
      </c>
      <c r="B987" s="322">
        <v>974</v>
      </c>
      <c r="C987" s="744"/>
      <c r="D987" s="149"/>
      <c r="E987" s="149"/>
      <c r="F987" s="149"/>
      <c r="G987" s="149"/>
    </row>
    <row r="988" spans="1:7" ht="17.25" customHeight="1" x14ac:dyDescent="0.2">
      <c r="A988" s="743" t="s">
        <v>466</v>
      </c>
      <c r="B988" s="322">
        <v>975</v>
      </c>
      <c r="C988" s="744"/>
      <c r="D988" s="149"/>
      <c r="E988" s="149"/>
      <c r="F988" s="149"/>
      <c r="G988" s="149"/>
    </row>
    <row r="989" spans="1:7" ht="17.25" customHeight="1" x14ac:dyDescent="0.2">
      <c r="A989" s="743" t="s">
        <v>466</v>
      </c>
      <c r="B989" s="322">
        <v>976</v>
      </c>
      <c r="C989" s="744"/>
      <c r="D989" s="149"/>
      <c r="E989" s="149"/>
      <c r="F989" s="149"/>
      <c r="G989" s="149"/>
    </row>
    <row r="990" spans="1:7" ht="17.25" customHeight="1" x14ac:dyDescent="0.2">
      <c r="A990" s="743" t="s">
        <v>466</v>
      </c>
      <c r="B990" s="322">
        <v>977</v>
      </c>
      <c r="C990" s="744"/>
      <c r="D990" s="149"/>
      <c r="E990" s="149"/>
      <c r="F990" s="149"/>
      <c r="G990" s="149"/>
    </row>
    <row r="991" spans="1:7" ht="17.25" customHeight="1" x14ac:dyDescent="0.2">
      <c r="A991" s="743" t="s">
        <v>466</v>
      </c>
      <c r="B991" s="322">
        <v>978</v>
      </c>
      <c r="C991" s="744"/>
      <c r="D991" s="149"/>
      <c r="E991" s="149"/>
      <c r="F991" s="149"/>
      <c r="G991" s="149"/>
    </row>
    <row r="992" spans="1:7" ht="17.25" customHeight="1" x14ac:dyDescent="0.2">
      <c r="A992" s="743" t="s">
        <v>466</v>
      </c>
      <c r="B992" s="322">
        <v>979</v>
      </c>
      <c r="C992" s="744"/>
      <c r="D992" s="149"/>
      <c r="E992" s="149"/>
      <c r="F992" s="149"/>
      <c r="G992" s="149"/>
    </row>
    <row r="993" spans="1:7" ht="17.25" customHeight="1" x14ac:dyDescent="0.2">
      <c r="A993" s="743" t="s">
        <v>466</v>
      </c>
      <c r="B993" s="322">
        <v>980</v>
      </c>
      <c r="C993" s="744"/>
      <c r="D993" s="149"/>
      <c r="E993" s="149"/>
      <c r="F993" s="149"/>
      <c r="G993" s="149"/>
    </row>
    <row r="994" spans="1:7" ht="17.25" customHeight="1" x14ac:dyDescent="0.2">
      <c r="A994" s="743" t="s">
        <v>466</v>
      </c>
      <c r="B994" s="337">
        <v>981</v>
      </c>
      <c r="C994" s="698" t="s">
        <v>467</v>
      </c>
      <c r="D994" s="698" t="s">
        <v>468</v>
      </c>
      <c r="E994" s="698"/>
      <c r="F994" s="698"/>
      <c r="G994" s="698"/>
    </row>
    <row r="995" spans="1:7" ht="17.25" customHeight="1" x14ac:dyDescent="0.2">
      <c r="A995" s="743" t="s">
        <v>466</v>
      </c>
      <c r="B995" s="322">
        <v>982</v>
      </c>
      <c r="C995" s="698"/>
      <c r="D995" s="698"/>
      <c r="E995" s="698"/>
      <c r="F995" s="698"/>
      <c r="G995" s="698"/>
    </row>
    <row r="996" spans="1:7" ht="17.25" customHeight="1" x14ac:dyDescent="0.2">
      <c r="A996" s="743" t="s">
        <v>466</v>
      </c>
      <c r="B996" s="322">
        <v>983</v>
      </c>
      <c r="C996" s="698"/>
      <c r="D996" s="698"/>
      <c r="E996" s="698"/>
      <c r="F996" s="698"/>
      <c r="G996" s="698"/>
    </row>
    <row r="997" spans="1:7" ht="17.25" customHeight="1" x14ac:dyDescent="0.2">
      <c r="A997" s="743" t="s">
        <v>466</v>
      </c>
      <c r="B997" s="322">
        <v>984</v>
      </c>
      <c r="C997" s="698"/>
      <c r="D997" s="698"/>
      <c r="E997" s="698"/>
      <c r="F997" s="698"/>
      <c r="G997" s="698"/>
    </row>
    <row r="998" spans="1:7" ht="17.25" customHeight="1" x14ac:dyDescent="0.2">
      <c r="A998" s="743" t="s">
        <v>466</v>
      </c>
      <c r="B998" s="322">
        <v>985</v>
      </c>
      <c r="C998" s="698"/>
      <c r="D998" s="698"/>
      <c r="E998" s="698"/>
      <c r="F998" s="698"/>
      <c r="G998" s="698"/>
    </row>
    <row r="999" spans="1:7" ht="17.25" customHeight="1" x14ac:dyDescent="0.2">
      <c r="A999" s="743" t="s">
        <v>466</v>
      </c>
      <c r="B999" s="322">
        <v>986</v>
      </c>
      <c r="C999" s="698"/>
      <c r="D999" s="698"/>
      <c r="E999" s="698"/>
      <c r="F999" s="698"/>
      <c r="G999" s="698"/>
    </row>
    <row r="1000" spans="1:7" ht="17.25" customHeight="1" x14ac:dyDescent="0.2">
      <c r="A1000" s="743" t="s">
        <v>466</v>
      </c>
      <c r="B1000" s="322">
        <v>987</v>
      </c>
      <c r="C1000" s="698"/>
      <c r="D1000" s="698"/>
      <c r="E1000" s="698"/>
      <c r="F1000" s="698"/>
      <c r="G1000" s="698"/>
    </row>
    <row r="1001" spans="1:7" ht="17.25" customHeight="1" x14ac:dyDescent="0.2">
      <c r="A1001" s="743" t="s">
        <v>466</v>
      </c>
      <c r="B1001" s="322">
        <v>988</v>
      </c>
      <c r="C1001" s="698"/>
      <c r="D1001" s="698"/>
      <c r="E1001" s="698"/>
      <c r="F1001" s="698"/>
      <c r="G1001" s="698"/>
    </row>
    <row r="1002" spans="1:7" ht="17.25" customHeight="1" x14ac:dyDescent="0.2">
      <c r="A1002" s="743" t="s">
        <v>466</v>
      </c>
      <c r="B1002" s="322">
        <v>989</v>
      </c>
      <c r="C1002" s="705"/>
      <c r="D1002" s="705"/>
      <c r="E1002" s="698"/>
      <c r="F1002" s="698"/>
      <c r="G1002" s="698"/>
    </row>
    <row r="1003" spans="1:7" ht="17.25" customHeight="1" x14ac:dyDescent="0.2">
      <c r="A1003" s="743" t="s">
        <v>466</v>
      </c>
      <c r="B1003" s="322">
        <v>990</v>
      </c>
      <c r="C1003" s="705"/>
      <c r="D1003" s="705"/>
      <c r="E1003" s="698"/>
      <c r="F1003" s="698"/>
      <c r="G1003" s="698"/>
    </row>
    <row r="1004" spans="1:7" ht="17.25" customHeight="1" x14ac:dyDescent="0.2">
      <c r="A1004" s="743" t="s">
        <v>466</v>
      </c>
      <c r="B1004" s="337">
        <v>991</v>
      </c>
      <c r="C1004" s="707" t="s">
        <v>469</v>
      </c>
      <c r="D1004" s="705" t="s">
        <v>470</v>
      </c>
      <c r="E1004" s="698"/>
      <c r="F1004" s="698"/>
      <c r="G1004" s="698"/>
    </row>
    <row r="1005" spans="1:7" ht="17.25" customHeight="1" x14ac:dyDescent="0.2">
      <c r="A1005" s="743" t="s">
        <v>466</v>
      </c>
      <c r="B1005" s="322">
        <v>992</v>
      </c>
      <c r="C1005" s="707"/>
      <c r="D1005" s="705"/>
      <c r="E1005" s="698"/>
      <c r="F1005" s="698"/>
      <c r="G1005" s="698"/>
    </row>
    <row r="1006" spans="1:7" ht="17.25" customHeight="1" x14ac:dyDescent="0.2">
      <c r="A1006" s="743" t="s">
        <v>466</v>
      </c>
      <c r="B1006" s="322">
        <v>993</v>
      </c>
      <c r="C1006" s="707"/>
      <c r="D1006" s="705"/>
      <c r="E1006" s="698"/>
      <c r="F1006" s="698"/>
      <c r="G1006" s="698"/>
    </row>
    <row r="1007" spans="1:7" ht="17.25" customHeight="1" x14ac:dyDescent="0.2">
      <c r="A1007" s="743" t="s">
        <v>466</v>
      </c>
      <c r="B1007" s="322">
        <v>994</v>
      </c>
      <c r="C1007" s="707"/>
      <c r="D1007" s="705"/>
      <c r="E1007" s="698"/>
      <c r="F1007" s="698"/>
      <c r="G1007" s="698"/>
    </row>
    <row r="1008" spans="1:7" ht="17.25" customHeight="1" x14ac:dyDescent="0.2">
      <c r="A1008" s="743" t="s">
        <v>466</v>
      </c>
      <c r="B1008" s="322">
        <v>995</v>
      </c>
      <c r="C1008" s="707"/>
      <c r="D1008" s="705"/>
      <c r="E1008" s="698"/>
      <c r="F1008" s="698"/>
      <c r="G1008" s="698"/>
    </row>
    <row r="1009" spans="1:7" ht="17.25" customHeight="1" x14ac:dyDescent="0.2">
      <c r="A1009" s="743" t="s">
        <v>466</v>
      </c>
      <c r="B1009" s="337">
        <v>996</v>
      </c>
      <c r="C1009" s="707" t="s">
        <v>471</v>
      </c>
      <c r="D1009" s="705" t="s">
        <v>472</v>
      </c>
      <c r="E1009" s="698"/>
      <c r="F1009" s="698"/>
      <c r="G1009" s="698"/>
    </row>
    <row r="1010" spans="1:7" ht="17.25" customHeight="1" x14ac:dyDescent="0.2">
      <c r="A1010" s="743" t="s">
        <v>466</v>
      </c>
      <c r="B1010" s="322">
        <v>997</v>
      </c>
      <c r="C1010" s="707"/>
      <c r="D1010" s="705"/>
      <c r="E1010" s="698"/>
      <c r="F1010" s="698"/>
      <c r="G1010" s="698"/>
    </row>
    <row r="1011" spans="1:7" ht="17.25" customHeight="1" x14ac:dyDescent="0.2">
      <c r="A1011" s="743" t="s">
        <v>466</v>
      </c>
      <c r="B1011" s="322">
        <v>998</v>
      </c>
      <c r="C1011" s="707"/>
      <c r="D1011" s="705"/>
      <c r="E1011" s="698"/>
      <c r="F1011" s="698"/>
      <c r="G1011" s="698"/>
    </row>
    <row r="1012" spans="1:7" ht="25.05" x14ac:dyDescent="0.2">
      <c r="A1012" s="743" t="s">
        <v>466</v>
      </c>
      <c r="B1012" s="337">
        <v>999</v>
      </c>
      <c r="C1012" s="707" t="s">
        <v>473</v>
      </c>
      <c r="D1012" s="705" t="s">
        <v>474</v>
      </c>
      <c r="E1012" s="698"/>
      <c r="F1012" s="698"/>
      <c r="G1012" s="698"/>
    </row>
    <row r="1013" spans="1:7" ht="17.25" customHeight="1" x14ac:dyDescent="0.2">
      <c r="A1013" s="743" t="s">
        <v>466</v>
      </c>
      <c r="B1013" s="322">
        <v>1000</v>
      </c>
      <c r="C1013" s="707"/>
      <c r="D1013" s="705"/>
      <c r="E1013" s="698"/>
      <c r="F1013" s="698"/>
      <c r="G1013" s="698"/>
    </row>
    <row r="1014" spans="1:7" ht="17.25" customHeight="1" x14ac:dyDescent="0.2">
      <c r="A1014" s="743" t="s">
        <v>466</v>
      </c>
      <c r="B1014" s="322">
        <v>1001</v>
      </c>
      <c r="C1014" s="707"/>
      <c r="D1014" s="705"/>
      <c r="E1014" s="698"/>
      <c r="F1014" s="698"/>
      <c r="G1014" s="698"/>
    </row>
    <row r="1015" spans="1:7" ht="17.25" customHeight="1" x14ac:dyDescent="0.2">
      <c r="A1015" s="743" t="s">
        <v>466</v>
      </c>
      <c r="B1015" s="337">
        <v>1002</v>
      </c>
      <c r="C1015" s="707" t="str">
        <f>CONCATENATE("Selbstbewertung ",Basic_Data!R6)</f>
        <v xml:space="preserve">Selbstbewertung </v>
      </c>
      <c r="D1015" s="705" t="str">
        <f>CONCATENATE("Self-assessment ",Basic_Data!R6)</f>
        <v xml:space="preserve">Self-assessment </v>
      </c>
      <c r="E1015" s="698"/>
      <c r="F1015" s="698"/>
      <c r="G1015" s="698"/>
    </row>
    <row r="1016" spans="1:7" ht="17.25" customHeight="1" x14ac:dyDescent="0.2">
      <c r="A1016" s="743" t="s">
        <v>466</v>
      </c>
      <c r="B1016" s="322">
        <v>1003</v>
      </c>
      <c r="C1016" s="707"/>
      <c r="D1016" s="705"/>
      <c r="E1016" s="698"/>
      <c r="F1016" s="698"/>
      <c r="G1016" s="698"/>
    </row>
    <row r="1017" spans="1:7" ht="17.25" customHeight="1" x14ac:dyDescent="0.2">
      <c r="A1017" s="743" t="s">
        <v>466</v>
      </c>
      <c r="B1017" s="322">
        <v>1004</v>
      </c>
      <c r="C1017" s="707"/>
      <c r="D1017" s="705"/>
      <c r="E1017" s="698"/>
      <c r="F1017" s="698"/>
      <c r="G1017" s="698"/>
    </row>
    <row r="1018" spans="1:7" ht="17.25" customHeight="1" x14ac:dyDescent="0.2">
      <c r="A1018" s="743" t="s">
        <v>466</v>
      </c>
      <c r="B1018" s="322">
        <v>1005</v>
      </c>
      <c r="C1018" s="707"/>
      <c r="D1018" s="705"/>
      <c r="E1018" s="698"/>
      <c r="F1018" s="698"/>
      <c r="G1018" s="698"/>
    </row>
    <row r="1019" spans="1:7" ht="17.25" customHeight="1" x14ac:dyDescent="0.2">
      <c r="A1019" s="743" t="s">
        <v>466</v>
      </c>
      <c r="B1019" s="322">
        <v>1006</v>
      </c>
      <c r="C1019" s="707"/>
      <c r="D1019" s="705"/>
      <c r="E1019" s="698"/>
      <c r="F1019" s="698"/>
      <c r="G1019" s="698"/>
    </row>
    <row r="1020" spans="1:7" ht="17.25" customHeight="1" x14ac:dyDescent="0.2">
      <c r="A1020" s="743" t="s">
        <v>466</v>
      </c>
      <c r="B1020" s="322">
        <v>1007</v>
      </c>
      <c r="C1020" s="707"/>
      <c r="D1020" s="705"/>
      <c r="E1020" s="698"/>
      <c r="F1020" s="698"/>
      <c r="G1020" s="698"/>
    </row>
    <row r="1021" spans="1:7" ht="17.25" customHeight="1" x14ac:dyDescent="0.2">
      <c r="A1021" s="743" t="s">
        <v>466</v>
      </c>
      <c r="B1021" s="337">
        <v>1008</v>
      </c>
      <c r="C1021" s="705" t="s">
        <v>475</v>
      </c>
      <c r="D1021" s="705" t="s">
        <v>475</v>
      </c>
      <c r="E1021" s="698"/>
      <c r="F1021" s="698"/>
      <c r="G1021" s="698"/>
    </row>
    <row r="1022" spans="1:7" ht="17.25" customHeight="1" x14ac:dyDescent="0.2">
      <c r="A1022" s="743" t="s">
        <v>466</v>
      </c>
      <c r="B1022" s="322">
        <v>1009</v>
      </c>
      <c r="C1022" s="705"/>
      <c r="D1022" s="705"/>
      <c r="E1022" s="698"/>
      <c r="F1022" s="698"/>
      <c r="G1022" s="698"/>
    </row>
    <row r="1023" spans="1:7" ht="17.25" customHeight="1" x14ac:dyDescent="0.2">
      <c r="A1023" s="743" t="s">
        <v>466</v>
      </c>
      <c r="B1023" s="322">
        <v>1010</v>
      </c>
      <c r="C1023" s="705"/>
      <c r="D1023" s="705"/>
      <c r="E1023" s="698"/>
      <c r="F1023" s="698"/>
      <c r="G1023" s="698"/>
    </row>
    <row r="1024" spans="1:7" ht="17.25" customHeight="1" x14ac:dyDescent="0.2">
      <c r="A1024" s="743" t="s">
        <v>466</v>
      </c>
      <c r="B1024" s="322">
        <v>1011</v>
      </c>
      <c r="C1024" s="705"/>
      <c r="D1024" s="705"/>
      <c r="E1024" s="698"/>
      <c r="F1024" s="698"/>
      <c r="G1024" s="698"/>
    </row>
    <row r="1025" spans="1:7" ht="17.25" customHeight="1" x14ac:dyDescent="0.2">
      <c r="A1025" s="743" t="s">
        <v>466</v>
      </c>
      <c r="B1025" s="322">
        <v>1012</v>
      </c>
      <c r="C1025" s="705"/>
      <c r="D1025" s="705"/>
      <c r="E1025" s="698"/>
      <c r="F1025" s="698"/>
      <c r="G1025" s="698"/>
    </row>
    <row r="1026" spans="1:7" ht="17.25" customHeight="1" x14ac:dyDescent="0.2">
      <c r="A1026" s="743" t="s">
        <v>466</v>
      </c>
      <c r="B1026" s="322">
        <v>1013</v>
      </c>
      <c r="C1026" s="705"/>
      <c r="D1026" s="705"/>
      <c r="E1026" s="698"/>
      <c r="F1026" s="698"/>
      <c r="G1026" s="698"/>
    </row>
    <row r="1027" spans="1:7" ht="17.25" customHeight="1" x14ac:dyDescent="0.2">
      <c r="A1027" s="743" t="s">
        <v>466</v>
      </c>
      <c r="B1027" s="337">
        <v>1014</v>
      </c>
      <c r="C1027" s="705" t="str">
        <f>CONCATENATE(Basic_Data!$R$6," (",Basic_Data!$R$7,")")</f>
        <v xml:space="preserve"> ()</v>
      </c>
      <c r="D1027" s="705" t="str">
        <f>CONCATENATE(Basic_Data!$R$6," (",Basic_Data!$R$7,")")</f>
        <v xml:space="preserve"> ()</v>
      </c>
      <c r="E1027" s="698"/>
      <c r="F1027" s="698"/>
      <c r="G1027" s="698"/>
    </row>
    <row r="1028" spans="1:7" ht="17.25" customHeight="1" x14ac:dyDescent="0.2">
      <c r="A1028" s="743" t="s">
        <v>466</v>
      </c>
      <c r="B1028" s="322">
        <v>1015</v>
      </c>
      <c r="C1028" s="705"/>
      <c r="D1028" s="705"/>
      <c r="E1028" s="698"/>
      <c r="F1028" s="698"/>
      <c r="G1028" s="698"/>
    </row>
    <row r="1029" spans="1:7" ht="17.25" customHeight="1" x14ac:dyDescent="0.2">
      <c r="A1029" s="743" t="s">
        <v>466</v>
      </c>
      <c r="B1029" s="322">
        <v>1016</v>
      </c>
      <c r="C1029" s="705"/>
      <c r="D1029" s="705"/>
      <c r="E1029" s="698"/>
      <c r="F1029" s="698"/>
      <c r="G1029" s="698"/>
    </row>
    <row r="1030" spans="1:7" ht="17.25" customHeight="1" x14ac:dyDescent="0.2">
      <c r="A1030" s="743" t="s">
        <v>466</v>
      </c>
      <c r="B1030" s="322">
        <v>1017</v>
      </c>
      <c r="C1030" s="705"/>
      <c r="D1030" s="705"/>
      <c r="E1030" s="698"/>
      <c r="F1030" s="698"/>
      <c r="G1030" s="698"/>
    </row>
    <row r="1031" spans="1:7" ht="17.25" customHeight="1" x14ac:dyDescent="0.2">
      <c r="A1031" s="743" t="s">
        <v>466</v>
      </c>
      <c r="B1031" s="322">
        <v>1018</v>
      </c>
      <c r="C1031" s="705"/>
      <c r="D1031" s="705"/>
      <c r="E1031" s="698"/>
      <c r="F1031" s="698"/>
      <c r="G1031" s="698"/>
    </row>
    <row r="1032" spans="1:7" ht="17.25" customHeight="1" x14ac:dyDescent="0.2">
      <c r="A1032" s="743" t="s">
        <v>466</v>
      </c>
      <c r="B1032" s="322">
        <v>1019</v>
      </c>
      <c r="C1032" s="705"/>
      <c r="D1032" s="705"/>
      <c r="E1032" s="698"/>
      <c r="F1032" s="698"/>
      <c r="G1032" s="698"/>
    </row>
    <row r="1033" spans="1:7" ht="17.25" customHeight="1" x14ac:dyDescent="0.2">
      <c r="A1033" s="743" t="s">
        <v>466</v>
      </c>
      <c r="B1033" s="322">
        <v>1020</v>
      </c>
      <c r="C1033" s="705"/>
      <c r="D1033" s="705"/>
      <c r="E1033" s="698"/>
      <c r="F1033" s="698"/>
      <c r="G1033" s="698"/>
    </row>
    <row r="1034" spans="1:7" ht="17.25" customHeight="1" x14ac:dyDescent="0.2">
      <c r="A1034" s="743" t="s">
        <v>466</v>
      </c>
      <c r="B1034" s="337">
        <v>1021</v>
      </c>
      <c r="C1034" s="707" t="s">
        <v>476</v>
      </c>
      <c r="D1034" s="705" t="s">
        <v>477</v>
      </c>
      <c r="E1034" s="698"/>
      <c r="F1034" s="698"/>
      <c r="G1034" s="698"/>
    </row>
    <row r="1035" spans="1:7" ht="17.25" customHeight="1" x14ac:dyDescent="0.2">
      <c r="A1035" s="743" t="s">
        <v>466</v>
      </c>
      <c r="B1035" s="337">
        <v>1022</v>
      </c>
      <c r="C1035" s="707" t="s">
        <v>478</v>
      </c>
      <c r="D1035" s="728" t="s">
        <v>479</v>
      </c>
      <c r="E1035" s="698"/>
      <c r="F1035" s="698"/>
      <c r="G1035" s="698"/>
    </row>
    <row r="1036" spans="1:7" ht="17.25" customHeight="1" x14ac:dyDescent="0.2">
      <c r="A1036" s="743" t="s">
        <v>466</v>
      </c>
      <c r="B1036" s="322">
        <v>1023</v>
      </c>
      <c r="C1036" s="707"/>
      <c r="D1036" s="705"/>
      <c r="E1036" s="698"/>
      <c r="F1036" s="698"/>
      <c r="G1036" s="698"/>
    </row>
    <row r="1037" spans="1:7" ht="17.25" customHeight="1" x14ac:dyDescent="0.2">
      <c r="A1037" s="743" t="s">
        <v>466</v>
      </c>
      <c r="B1037" s="322">
        <v>1024</v>
      </c>
      <c r="C1037" s="707"/>
      <c r="D1037" s="705"/>
      <c r="E1037" s="698"/>
      <c r="F1037" s="698"/>
      <c r="G1037" s="698"/>
    </row>
    <row r="1038" spans="1:7" ht="17.25" customHeight="1" x14ac:dyDescent="0.2">
      <c r="A1038" s="743" t="s">
        <v>466</v>
      </c>
      <c r="B1038" s="322">
        <v>1025</v>
      </c>
      <c r="C1038" s="707"/>
      <c r="D1038" s="705"/>
      <c r="E1038" s="698"/>
      <c r="F1038" s="698"/>
      <c r="G1038" s="698"/>
    </row>
    <row r="1039" spans="1:7" ht="17.25" customHeight="1" x14ac:dyDescent="0.2">
      <c r="A1039" s="743" t="s">
        <v>466</v>
      </c>
      <c r="B1039" s="322">
        <v>1026</v>
      </c>
      <c r="C1039" s="707"/>
      <c r="D1039" s="705"/>
      <c r="E1039" s="698"/>
      <c r="F1039" s="698"/>
      <c r="G1039" s="698"/>
    </row>
    <row r="1040" spans="1:7" ht="17.25" customHeight="1" x14ac:dyDescent="0.2">
      <c r="A1040" s="743" t="s">
        <v>466</v>
      </c>
      <c r="B1040" s="337">
        <v>1027</v>
      </c>
      <c r="C1040" s="707" t="s">
        <v>480</v>
      </c>
      <c r="D1040" s="705" t="s">
        <v>481</v>
      </c>
      <c r="E1040" s="698"/>
      <c r="F1040" s="698"/>
      <c r="G1040" s="698"/>
    </row>
    <row r="1041" spans="1:7" ht="17.25" customHeight="1" x14ac:dyDescent="0.2">
      <c r="A1041" s="743" t="s">
        <v>466</v>
      </c>
      <c r="B1041" s="322">
        <v>1028</v>
      </c>
      <c r="C1041" s="707"/>
      <c r="D1041" s="705"/>
      <c r="E1041" s="698"/>
      <c r="F1041" s="698"/>
      <c r="G1041" s="698"/>
    </row>
    <row r="1042" spans="1:7" ht="17.25" customHeight="1" x14ac:dyDescent="0.2">
      <c r="A1042" s="743" t="s">
        <v>466</v>
      </c>
      <c r="B1042" s="322">
        <v>1029</v>
      </c>
      <c r="C1042" s="707"/>
      <c r="D1042" s="705"/>
      <c r="E1042" s="698"/>
      <c r="F1042" s="698"/>
      <c r="G1042" s="698"/>
    </row>
    <row r="1043" spans="1:7" ht="17.25" customHeight="1" x14ac:dyDescent="0.2">
      <c r="A1043" s="743" t="s">
        <v>466</v>
      </c>
      <c r="B1043" s="322">
        <v>1030</v>
      </c>
      <c r="C1043" s="707"/>
      <c r="D1043" s="705"/>
      <c r="E1043" s="698"/>
      <c r="F1043" s="698"/>
      <c r="G1043" s="698"/>
    </row>
    <row r="1044" spans="1:7" ht="17.25" customHeight="1" x14ac:dyDescent="0.2">
      <c r="A1044" s="743" t="s">
        <v>466</v>
      </c>
      <c r="B1044" s="322">
        <v>1031</v>
      </c>
      <c r="C1044" s="745"/>
      <c r="D1044" s="698"/>
      <c r="E1044" s="698"/>
      <c r="F1044" s="698"/>
      <c r="G1044" s="698"/>
    </row>
    <row r="1045" spans="1:7" ht="17.25" customHeight="1" x14ac:dyDescent="0.2">
      <c r="A1045" s="743" t="s">
        <v>466</v>
      </c>
      <c r="B1045" s="322">
        <v>1032</v>
      </c>
      <c r="C1045" s="745"/>
      <c r="D1045" s="698"/>
      <c r="E1045" s="698"/>
      <c r="F1045" s="698"/>
      <c r="G1045" s="698"/>
    </row>
    <row r="1046" spans="1:7" ht="17.25" customHeight="1" x14ac:dyDescent="0.2">
      <c r="A1046" s="743" t="s">
        <v>466</v>
      </c>
      <c r="B1046" s="337">
        <v>1033</v>
      </c>
      <c r="C1046" s="698" t="s">
        <v>482</v>
      </c>
      <c r="D1046" s="698" t="s">
        <v>483</v>
      </c>
      <c r="E1046" s="698"/>
      <c r="F1046" s="698"/>
      <c r="G1046" s="698"/>
    </row>
    <row r="1047" spans="1:7" ht="17.25" customHeight="1" x14ac:dyDescent="0.2">
      <c r="A1047" s="743" t="s">
        <v>466</v>
      </c>
      <c r="B1047" s="337">
        <v>1034</v>
      </c>
      <c r="C1047" s="698" t="s">
        <v>484</v>
      </c>
      <c r="D1047" s="698" t="s">
        <v>485</v>
      </c>
      <c r="E1047" s="698"/>
      <c r="F1047" s="698"/>
      <c r="G1047" s="698"/>
    </row>
    <row r="1048" spans="1:7" ht="17.25" customHeight="1" x14ac:dyDescent="0.2">
      <c r="A1048" s="743" t="s">
        <v>466</v>
      </c>
      <c r="B1048" s="322">
        <v>1035</v>
      </c>
      <c r="C1048" s="698"/>
      <c r="D1048" s="698"/>
      <c r="E1048" s="698"/>
      <c r="F1048" s="698"/>
      <c r="G1048" s="698"/>
    </row>
    <row r="1049" spans="1:7" ht="17.25" customHeight="1" x14ac:dyDescent="0.2">
      <c r="A1049" s="743" t="s">
        <v>466</v>
      </c>
      <c r="B1049" s="322">
        <v>1036</v>
      </c>
      <c r="C1049" s="698"/>
      <c r="D1049" s="698"/>
      <c r="E1049" s="698"/>
      <c r="F1049" s="698"/>
      <c r="G1049" s="698"/>
    </row>
    <row r="1050" spans="1:7" ht="17.25" customHeight="1" x14ac:dyDescent="0.2">
      <c r="A1050" s="743" t="s">
        <v>466</v>
      </c>
      <c r="B1050" s="322">
        <v>1037</v>
      </c>
      <c r="C1050" s="698"/>
      <c r="D1050" s="698"/>
      <c r="E1050" s="698"/>
      <c r="F1050" s="698"/>
      <c r="G1050" s="698"/>
    </row>
    <row r="1051" spans="1:7" ht="17.25" customHeight="1" x14ac:dyDescent="0.2">
      <c r="A1051" s="743" t="s">
        <v>466</v>
      </c>
      <c r="B1051" s="322">
        <v>1038</v>
      </c>
      <c r="C1051" s="698"/>
      <c r="D1051" s="698"/>
      <c r="E1051" s="698"/>
      <c r="F1051" s="698"/>
      <c r="G1051" s="698"/>
    </row>
    <row r="1052" spans="1:7" ht="17.25" customHeight="1" x14ac:dyDescent="0.2">
      <c r="A1052" s="743" t="s">
        <v>466</v>
      </c>
      <c r="B1052" s="322">
        <v>1039</v>
      </c>
      <c r="C1052" s="698"/>
      <c r="D1052" s="698"/>
      <c r="E1052" s="698"/>
      <c r="F1052" s="698"/>
      <c r="G1052" s="698"/>
    </row>
    <row r="1053" spans="1:7" ht="25.05" x14ac:dyDescent="0.2">
      <c r="A1053" s="743" t="s">
        <v>466</v>
      </c>
      <c r="B1053" s="337">
        <v>1040</v>
      </c>
      <c r="C1053" s="698" t="s">
        <v>486</v>
      </c>
      <c r="D1053" s="698" t="s">
        <v>487</v>
      </c>
      <c r="E1053" s="698"/>
      <c r="F1053" s="698"/>
      <c r="G1053" s="698"/>
    </row>
    <row r="1054" spans="1:7" ht="17.25" customHeight="1" x14ac:dyDescent="0.2">
      <c r="A1054" s="743" t="s">
        <v>466</v>
      </c>
      <c r="B1054" s="322">
        <v>1041</v>
      </c>
      <c r="C1054" s="746"/>
      <c r="D1054" s="747"/>
      <c r="E1054" s="698"/>
      <c r="F1054" s="698"/>
      <c r="G1054" s="698"/>
    </row>
    <row r="1055" spans="1:7" ht="17.25" customHeight="1" x14ac:dyDescent="0.2">
      <c r="A1055" s="743" t="s">
        <v>466</v>
      </c>
      <c r="B1055" s="322">
        <v>1042</v>
      </c>
      <c r="C1055" s="746"/>
      <c r="D1055" s="747"/>
      <c r="E1055" s="698"/>
      <c r="F1055" s="698"/>
      <c r="G1055" s="698"/>
    </row>
    <row r="1056" spans="1:7" ht="17.25" customHeight="1" x14ac:dyDescent="0.2">
      <c r="A1056" s="743" t="s">
        <v>466</v>
      </c>
      <c r="B1056" s="322">
        <v>1043</v>
      </c>
      <c r="C1056" s="746"/>
      <c r="D1056" s="747"/>
      <c r="E1056" s="698"/>
      <c r="F1056" s="698"/>
      <c r="G1056" s="698"/>
    </row>
    <row r="1057" spans="1:7" ht="17.25" customHeight="1" x14ac:dyDescent="0.2">
      <c r="A1057" s="743" t="s">
        <v>466</v>
      </c>
      <c r="B1057" s="322">
        <v>1044</v>
      </c>
      <c r="C1057" s="746"/>
      <c r="D1057" s="747"/>
      <c r="E1057" s="698"/>
      <c r="F1057" s="698"/>
      <c r="G1057" s="698"/>
    </row>
    <row r="1058" spans="1:7" ht="17.25" customHeight="1" x14ac:dyDescent="0.2">
      <c r="A1058" s="743" t="s">
        <v>466</v>
      </c>
      <c r="B1058" s="322">
        <v>1045</v>
      </c>
      <c r="C1058" s="721"/>
      <c r="E1058" s="698"/>
      <c r="F1058" s="698"/>
      <c r="G1058" s="698"/>
    </row>
    <row r="1059" spans="1:7" ht="17.25" customHeight="1" x14ac:dyDescent="0.2">
      <c r="A1059" s="743" t="s">
        <v>466</v>
      </c>
      <c r="B1059" s="337">
        <v>1046</v>
      </c>
      <c r="C1059" s="698" t="s">
        <v>488</v>
      </c>
      <c r="D1059" s="698" t="s">
        <v>489</v>
      </c>
      <c r="E1059" s="698"/>
      <c r="F1059" s="698"/>
      <c r="G1059" s="698"/>
    </row>
    <row r="1060" spans="1:7" ht="17.25" customHeight="1" x14ac:dyDescent="0.2">
      <c r="A1060" s="743" t="s">
        <v>466</v>
      </c>
      <c r="B1060" s="337">
        <v>1047</v>
      </c>
      <c r="C1060" s="698" t="s">
        <v>490</v>
      </c>
      <c r="D1060" s="698" t="s">
        <v>491</v>
      </c>
      <c r="E1060" s="698"/>
      <c r="F1060" s="698"/>
      <c r="G1060" s="698"/>
    </row>
    <row r="1061" spans="1:7" ht="17.25" customHeight="1" x14ac:dyDescent="0.2">
      <c r="A1061" s="743" t="s">
        <v>466</v>
      </c>
      <c r="B1061" s="337">
        <v>1048</v>
      </c>
      <c r="C1061" s="698" t="s">
        <v>492</v>
      </c>
      <c r="D1061" s="698" t="s">
        <v>492</v>
      </c>
      <c r="E1061" s="698"/>
      <c r="F1061" s="698"/>
      <c r="G1061" s="698"/>
    </row>
    <row r="1062" spans="1:7" ht="17.25" customHeight="1" x14ac:dyDescent="0.2">
      <c r="A1062" s="743" t="s">
        <v>466</v>
      </c>
      <c r="B1062" s="322">
        <v>1049</v>
      </c>
      <c r="C1062" s="698"/>
      <c r="D1062" s="698"/>
      <c r="E1062" s="698"/>
      <c r="F1062" s="698"/>
      <c r="G1062" s="698"/>
    </row>
    <row r="1063" spans="1:7" ht="17.25" customHeight="1" x14ac:dyDescent="0.2">
      <c r="A1063" s="743" t="s">
        <v>466</v>
      </c>
      <c r="B1063" s="322">
        <v>1050</v>
      </c>
      <c r="C1063" s="698"/>
      <c r="D1063" s="698"/>
      <c r="E1063" s="698"/>
      <c r="F1063" s="698"/>
      <c r="G1063" s="698"/>
    </row>
    <row r="1064" spans="1:7" ht="17.25" customHeight="1" x14ac:dyDescent="0.2">
      <c r="A1064" s="743" t="s">
        <v>466</v>
      </c>
      <c r="B1064" s="322">
        <v>1051</v>
      </c>
      <c r="C1064" s="698"/>
      <c r="D1064" s="698"/>
      <c r="E1064" s="698"/>
      <c r="F1064" s="698"/>
      <c r="G1064" s="698"/>
    </row>
    <row r="1065" spans="1:7" ht="17.25" customHeight="1" x14ac:dyDescent="0.2">
      <c r="A1065" s="743" t="s">
        <v>466</v>
      </c>
      <c r="B1065" s="322">
        <v>1052</v>
      </c>
      <c r="C1065" s="698"/>
      <c r="D1065" s="698"/>
      <c r="E1065" s="698"/>
      <c r="F1065" s="698"/>
      <c r="G1065" s="698"/>
    </row>
    <row r="1066" spans="1:7" ht="17.25" customHeight="1" x14ac:dyDescent="0.2">
      <c r="A1066" s="743" t="s">
        <v>466</v>
      </c>
      <c r="B1066" s="322">
        <v>1053</v>
      </c>
      <c r="C1066" s="698"/>
      <c r="D1066" s="698"/>
      <c r="E1066" s="698"/>
      <c r="F1066" s="698"/>
      <c r="G1066" s="698"/>
    </row>
    <row r="1067" spans="1:7" ht="17.25" customHeight="1" x14ac:dyDescent="0.2">
      <c r="A1067" s="743" t="s">
        <v>466</v>
      </c>
      <c r="B1067" s="322">
        <v>1054</v>
      </c>
      <c r="C1067" s="698"/>
      <c r="D1067" s="698"/>
      <c r="E1067" s="698"/>
      <c r="F1067" s="698"/>
      <c r="G1067" s="698"/>
    </row>
    <row r="1068" spans="1:7" ht="17.25" customHeight="1" x14ac:dyDescent="0.2">
      <c r="A1068" s="743" t="s">
        <v>466</v>
      </c>
      <c r="B1068" s="322">
        <v>1055</v>
      </c>
      <c r="C1068" s="698"/>
      <c r="D1068" s="698"/>
      <c r="E1068" s="698"/>
      <c r="F1068" s="698"/>
      <c r="G1068" s="698"/>
    </row>
    <row r="1069" spans="1:7" ht="17.25" customHeight="1" x14ac:dyDescent="0.2">
      <c r="A1069" s="743" t="s">
        <v>466</v>
      </c>
      <c r="B1069" s="322">
        <v>1056</v>
      </c>
      <c r="C1069" s="698"/>
      <c r="D1069" s="698"/>
      <c r="E1069" s="698"/>
      <c r="F1069" s="698"/>
      <c r="G1069" s="698"/>
    </row>
    <row r="1070" spans="1:7" ht="17.25" customHeight="1" x14ac:dyDescent="0.2">
      <c r="A1070" s="743" t="s">
        <v>466</v>
      </c>
      <c r="B1070" s="322">
        <v>1057</v>
      </c>
      <c r="C1070" s="698"/>
      <c r="D1070" s="698"/>
      <c r="E1070" s="698"/>
      <c r="F1070" s="698"/>
      <c r="G1070" s="698"/>
    </row>
    <row r="1071" spans="1:7" ht="17.25" customHeight="1" x14ac:dyDescent="0.2">
      <c r="A1071" s="743" t="s">
        <v>466</v>
      </c>
      <c r="B1071" s="322">
        <v>1058</v>
      </c>
      <c r="C1071" s="698"/>
      <c r="D1071" s="698"/>
      <c r="E1071" s="698"/>
      <c r="F1071" s="698"/>
      <c r="G1071" s="698"/>
    </row>
    <row r="1072" spans="1:7" ht="17.25" customHeight="1" x14ac:dyDescent="0.2">
      <c r="A1072" s="743" t="s">
        <v>466</v>
      </c>
      <c r="B1072" s="322">
        <v>1059</v>
      </c>
      <c r="C1072" s="698"/>
      <c r="D1072" s="698"/>
      <c r="E1072" s="698"/>
      <c r="F1072" s="698"/>
      <c r="G1072" s="698"/>
    </row>
    <row r="1073" spans="1:7" ht="17.25" customHeight="1" x14ac:dyDescent="0.2">
      <c r="A1073" s="743" t="s">
        <v>466</v>
      </c>
      <c r="B1073" s="337">
        <v>1060</v>
      </c>
      <c r="C1073" s="698" t="s">
        <v>493</v>
      </c>
      <c r="D1073" s="698" t="s">
        <v>494</v>
      </c>
      <c r="E1073" s="698"/>
      <c r="F1073" s="698"/>
      <c r="G1073" s="698"/>
    </row>
    <row r="1074" spans="1:7" ht="17.25" customHeight="1" x14ac:dyDescent="0.2">
      <c r="A1074" s="743" t="s">
        <v>466</v>
      </c>
      <c r="B1074" s="322">
        <v>1061</v>
      </c>
      <c r="C1074" s="698"/>
      <c r="D1074" s="698"/>
      <c r="E1074" s="698"/>
      <c r="F1074" s="698"/>
      <c r="G1074" s="698"/>
    </row>
    <row r="1075" spans="1:7" ht="25.05" x14ac:dyDescent="0.2">
      <c r="A1075" s="743" t="s">
        <v>466</v>
      </c>
      <c r="B1075" s="337">
        <v>1062</v>
      </c>
      <c r="C1075" s="698" t="s">
        <v>495</v>
      </c>
      <c r="D1075" s="698" t="s">
        <v>496</v>
      </c>
      <c r="E1075" s="698"/>
      <c r="F1075" s="698"/>
      <c r="G1075" s="698"/>
    </row>
    <row r="1076" spans="1:7" ht="17.25" customHeight="1" x14ac:dyDescent="0.2">
      <c r="A1076" s="743" t="s">
        <v>466</v>
      </c>
      <c r="B1076" s="322">
        <v>1063</v>
      </c>
      <c r="C1076" s="698"/>
      <c r="D1076" s="698"/>
      <c r="E1076" s="698"/>
      <c r="F1076" s="698"/>
      <c r="G1076" s="698"/>
    </row>
    <row r="1077" spans="1:7" ht="25.05" x14ac:dyDescent="0.2">
      <c r="A1077" s="743" t="s">
        <v>466</v>
      </c>
      <c r="B1077" s="337">
        <v>1064</v>
      </c>
      <c r="C1077" s="698" t="s">
        <v>497</v>
      </c>
      <c r="D1077" s="698" t="s">
        <v>498</v>
      </c>
      <c r="E1077" s="698"/>
      <c r="F1077" s="698"/>
      <c r="G1077" s="698"/>
    </row>
    <row r="1078" spans="1:7" ht="17.25" customHeight="1" x14ac:dyDescent="0.2">
      <c r="A1078" s="743" t="s">
        <v>466</v>
      </c>
      <c r="B1078" s="322">
        <v>1065</v>
      </c>
      <c r="C1078" s="698"/>
      <c r="D1078" s="698"/>
      <c r="E1078" s="698"/>
      <c r="F1078" s="698"/>
      <c r="G1078" s="698"/>
    </row>
    <row r="1079" spans="1:7" ht="17.25" customHeight="1" x14ac:dyDescent="0.2">
      <c r="A1079" s="743" t="s">
        <v>466</v>
      </c>
      <c r="B1079" s="337">
        <v>1066</v>
      </c>
      <c r="C1079" s="698" t="s">
        <v>499</v>
      </c>
      <c r="D1079" s="698" t="s">
        <v>500</v>
      </c>
      <c r="E1079" s="698"/>
      <c r="F1079" s="698"/>
      <c r="G1079" s="698"/>
    </row>
    <row r="1080" spans="1:7" ht="17.25" customHeight="1" x14ac:dyDescent="0.2">
      <c r="A1080" s="743" t="s">
        <v>466</v>
      </c>
      <c r="B1080" s="322">
        <v>1067</v>
      </c>
      <c r="C1080" s="698"/>
      <c r="D1080" s="698"/>
      <c r="E1080" s="698"/>
      <c r="F1080" s="698"/>
      <c r="G1080" s="698"/>
    </row>
    <row r="1081" spans="1:7" ht="25.05" x14ac:dyDescent="0.2">
      <c r="A1081" s="743" t="s">
        <v>466</v>
      </c>
      <c r="B1081" s="337">
        <v>1068</v>
      </c>
      <c r="C1081" s="698" t="s">
        <v>501</v>
      </c>
      <c r="D1081" s="698" t="s">
        <v>502</v>
      </c>
      <c r="E1081" s="698"/>
      <c r="F1081" s="698"/>
      <c r="G1081" s="698"/>
    </row>
    <row r="1082" spans="1:7" ht="17.25" customHeight="1" x14ac:dyDescent="0.2">
      <c r="A1082" s="743" t="s">
        <v>466</v>
      </c>
      <c r="B1082" s="322">
        <v>1069</v>
      </c>
      <c r="C1082" s="698"/>
      <c r="D1082" s="698"/>
      <c r="E1082" s="698"/>
      <c r="F1082" s="698"/>
      <c r="G1082" s="698"/>
    </row>
    <row r="1083" spans="1:7" ht="17.25" customHeight="1" x14ac:dyDescent="0.2">
      <c r="A1083" s="743" t="s">
        <v>466</v>
      </c>
      <c r="B1083" s="337">
        <v>1070</v>
      </c>
      <c r="C1083" s="698" t="s">
        <v>503</v>
      </c>
      <c r="D1083" s="698" t="s">
        <v>504</v>
      </c>
      <c r="E1083" s="698"/>
      <c r="F1083" s="698"/>
      <c r="G1083" s="698"/>
    </row>
    <row r="1084" spans="1:7" ht="17.25" customHeight="1" x14ac:dyDescent="0.2">
      <c r="A1084" s="743" t="s">
        <v>466</v>
      </c>
      <c r="B1084" s="322">
        <v>1071</v>
      </c>
      <c r="C1084" s="698"/>
      <c r="D1084" s="698"/>
      <c r="E1084" s="698"/>
      <c r="F1084" s="698"/>
      <c r="G1084" s="698"/>
    </row>
    <row r="1085" spans="1:7" ht="17.25" customHeight="1" x14ac:dyDescent="0.2">
      <c r="A1085" s="743" t="s">
        <v>466</v>
      </c>
      <c r="B1085" s="337">
        <v>1072</v>
      </c>
      <c r="C1085" s="698" t="s">
        <v>505</v>
      </c>
      <c r="D1085" s="698" t="s">
        <v>506</v>
      </c>
      <c r="E1085" s="698"/>
      <c r="F1085" s="698"/>
      <c r="G1085" s="698"/>
    </row>
    <row r="1086" spans="1:7" ht="17.25" customHeight="1" x14ac:dyDescent="0.2">
      <c r="A1086" s="743" t="s">
        <v>466</v>
      </c>
      <c r="B1086" s="322">
        <v>1073</v>
      </c>
      <c r="C1086" s="698"/>
      <c r="D1086" s="698"/>
      <c r="E1086" s="698"/>
      <c r="F1086" s="698"/>
      <c r="G1086" s="698"/>
    </row>
    <row r="1087" spans="1:7" ht="25.05" x14ac:dyDescent="0.2">
      <c r="A1087" s="743" t="s">
        <v>466</v>
      </c>
      <c r="B1087" s="337">
        <v>1074</v>
      </c>
      <c r="C1087" s="698" t="s">
        <v>507</v>
      </c>
      <c r="D1087" s="728" t="s">
        <v>508</v>
      </c>
      <c r="E1087" s="698"/>
      <c r="F1087" s="698"/>
      <c r="G1087" s="698"/>
    </row>
    <row r="1088" spans="1:7" ht="17.25" customHeight="1" x14ac:dyDescent="0.2">
      <c r="A1088" s="743" t="s">
        <v>466</v>
      </c>
      <c r="B1088" s="322">
        <v>1075</v>
      </c>
      <c r="C1088" s="698"/>
      <c r="D1088" s="698"/>
      <c r="E1088" s="698"/>
      <c r="F1088" s="698"/>
      <c r="G1088" s="698"/>
    </row>
    <row r="1089" spans="1:7" ht="17.25" customHeight="1" x14ac:dyDescent="0.2">
      <c r="A1089" s="743" t="s">
        <v>466</v>
      </c>
      <c r="B1089" s="337">
        <v>1076</v>
      </c>
      <c r="C1089" s="698" t="s">
        <v>509</v>
      </c>
      <c r="D1089" s="728" t="s">
        <v>510</v>
      </c>
      <c r="E1089" s="698"/>
      <c r="F1089" s="698"/>
      <c r="G1089" s="698"/>
    </row>
    <row r="1090" spans="1:7" ht="17.25" customHeight="1" x14ac:dyDescent="0.2">
      <c r="A1090" s="743" t="s">
        <v>466</v>
      </c>
      <c r="B1090" s="322">
        <v>1077</v>
      </c>
      <c r="C1090" s="698"/>
      <c r="D1090" s="698"/>
      <c r="E1090" s="698"/>
      <c r="F1090" s="698"/>
      <c r="G1090" s="698"/>
    </row>
    <row r="1091" spans="1:7" ht="17.25" customHeight="1" x14ac:dyDescent="0.2">
      <c r="A1091" s="743" t="s">
        <v>466</v>
      </c>
      <c r="B1091" s="337">
        <v>1078</v>
      </c>
      <c r="C1091" s="698" t="s">
        <v>511</v>
      </c>
      <c r="D1091" s="698" t="s">
        <v>512</v>
      </c>
      <c r="E1091" s="698"/>
      <c r="F1091" s="698"/>
      <c r="G1091" s="698"/>
    </row>
    <row r="1092" spans="1:7" ht="17.25" customHeight="1" x14ac:dyDescent="0.2">
      <c r="A1092" s="743" t="s">
        <v>466</v>
      </c>
      <c r="B1092" s="322">
        <v>1079</v>
      </c>
      <c r="C1092" s="698"/>
      <c r="D1092" s="698"/>
      <c r="E1092" s="698"/>
      <c r="F1092" s="698"/>
      <c r="G1092" s="698"/>
    </row>
    <row r="1093" spans="1:7" ht="17.25" customHeight="1" x14ac:dyDescent="0.2">
      <c r="A1093" s="743" t="s">
        <v>466</v>
      </c>
      <c r="B1093" s="337">
        <v>1080</v>
      </c>
      <c r="C1093" s="698" t="s">
        <v>513</v>
      </c>
      <c r="D1093" s="698" t="s">
        <v>514</v>
      </c>
      <c r="E1093" s="698"/>
      <c r="F1093" s="698"/>
      <c r="G1093" s="698"/>
    </row>
    <row r="1094" spans="1:7" ht="17.25" customHeight="1" x14ac:dyDescent="0.2">
      <c r="A1094" s="743" t="s">
        <v>466</v>
      </c>
      <c r="B1094" s="322">
        <v>1081</v>
      </c>
      <c r="C1094" s="698"/>
      <c r="D1094" s="698"/>
      <c r="E1094" s="698"/>
      <c r="F1094" s="698"/>
      <c r="G1094" s="698"/>
    </row>
    <row r="1095" spans="1:7" ht="17.25" customHeight="1" x14ac:dyDescent="0.2">
      <c r="A1095" s="743" t="s">
        <v>466</v>
      </c>
      <c r="B1095" s="337">
        <v>1082</v>
      </c>
      <c r="C1095" s="698" t="s">
        <v>515</v>
      </c>
      <c r="D1095" s="698" t="s">
        <v>516</v>
      </c>
      <c r="E1095" s="698"/>
      <c r="F1095" s="698"/>
      <c r="G1095" s="698"/>
    </row>
    <row r="1096" spans="1:7" ht="17.25" customHeight="1" x14ac:dyDescent="0.2">
      <c r="A1096" s="743" t="s">
        <v>466</v>
      </c>
      <c r="B1096" s="322">
        <v>1083</v>
      </c>
      <c r="C1096" s="698"/>
      <c r="D1096" s="698"/>
      <c r="E1096" s="698"/>
      <c r="F1096" s="698"/>
      <c r="G1096" s="698"/>
    </row>
    <row r="1097" spans="1:7" ht="17.25" customHeight="1" x14ac:dyDescent="0.2">
      <c r="A1097" s="743" t="s">
        <v>466</v>
      </c>
      <c r="B1097" s="337">
        <v>1084</v>
      </c>
      <c r="C1097" s="748" t="s">
        <v>517</v>
      </c>
      <c r="D1097" s="748" t="s">
        <v>518</v>
      </c>
      <c r="E1097" s="698"/>
      <c r="F1097" s="698"/>
      <c r="G1097" s="698"/>
    </row>
    <row r="1098" spans="1:7" ht="17.25" customHeight="1" x14ac:dyDescent="0.2">
      <c r="A1098" s="743" t="s">
        <v>466</v>
      </c>
      <c r="B1098" s="322">
        <v>1085</v>
      </c>
      <c r="C1098" s="698"/>
      <c r="D1098" s="698"/>
      <c r="E1098" s="698"/>
      <c r="F1098" s="698"/>
      <c r="G1098" s="698"/>
    </row>
    <row r="1099" spans="1:7" ht="17.25" customHeight="1" x14ac:dyDescent="0.2">
      <c r="A1099" s="743" t="s">
        <v>466</v>
      </c>
      <c r="B1099" s="337">
        <v>1086</v>
      </c>
      <c r="C1099" s="698" t="s">
        <v>519</v>
      </c>
      <c r="D1099" s="698" t="s">
        <v>520</v>
      </c>
      <c r="E1099" s="698"/>
      <c r="F1099" s="698"/>
      <c r="G1099" s="698"/>
    </row>
    <row r="1100" spans="1:7" ht="17.25" customHeight="1" x14ac:dyDescent="0.2">
      <c r="A1100" s="743" t="s">
        <v>466</v>
      </c>
      <c r="B1100" s="322">
        <v>1087</v>
      </c>
      <c r="C1100" s="698" t="s">
        <v>521</v>
      </c>
      <c r="D1100" s="698" t="s">
        <v>522</v>
      </c>
      <c r="E1100" s="698"/>
      <c r="F1100" s="698"/>
      <c r="G1100" s="698"/>
    </row>
    <row r="1101" spans="1:7" ht="17.25" customHeight="1" x14ac:dyDescent="0.2">
      <c r="A1101" s="743" t="s">
        <v>466</v>
      </c>
      <c r="B1101" s="322">
        <v>1088</v>
      </c>
      <c r="C1101" s="698"/>
      <c r="D1101" s="698"/>
      <c r="E1101" s="698"/>
      <c r="F1101" s="698"/>
      <c r="G1101" s="698"/>
    </row>
    <row r="1102" spans="1:7" ht="17.25" customHeight="1" x14ac:dyDescent="0.2">
      <c r="A1102" s="743" t="s">
        <v>466</v>
      </c>
      <c r="B1102" s="322">
        <v>1089</v>
      </c>
      <c r="C1102" s="698"/>
      <c r="D1102" s="698"/>
      <c r="E1102" s="698"/>
      <c r="F1102" s="698"/>
      <c r="G1102" s="698"/>
    </row>
    <row r="1103" spans="1:7" ht="37.6" x14ac:dyDescent="0.2">
      <c r="A1103" s="743" t="s">
        <v>466</v>
      </c>
      <c r="B1103" s="337">
        <v>1090</v>
      </c>
      <c r="C1103" s="698" t="s">
        <v>523</v>
      </c>
      <c r="D1103" s="698" t="s">
        <v>524</v>
      </c>
      <c r="E1103" s="698"/>
      <c r="F1103" s="698"/>
      <c r="G1103" s="698"/>
    </row>
    <row r="1104" spans="1:7" ht="17.25" customHeight="1" x14ac:dyDescent="0.2">
      <c r="A1104" s="743" t="s">
        <v>466</v>
      </c>
      <c r="B1104" s="322">
        <v>1091</v>
      </c>
      <c r="C1104" s="698"/>
      <c r="D1104" s="698"/>
      <c r="E1104" s="698"/>
      <c r="F1104" s="698"/>
      <c r="G1104" s="698"/>
    </row>
    <row r="1105" spans="1:7" ht="17.25" customHeight="1" x14ac:dyDescent="0.2">
      <c r="A1105" s="743" t="s">
        <v>466</v>
      </c>
      <c r="B1105" s="337">
        <v>1092</v>
      </c>
      <c r="C1105" s="698" t="s">
        <v>525</v>
      </c>
      <c r="D1105" s="327" t="s">
        <v>526</v>
      </c>
      <c r="E1105" s="698"/>
      <c r="F1105" s="698"/>
      <c r="G1105" s="698"/>
    </row>
    <row r="1106" spans="1:7" ht="17.25" customHeight="1" x14ac:dyDescent="0.2">
      <c r="A1106" s="743" t="s">
        <v>466</v>
      </c>
      <c r="B1106" s="337">
        <v>1093</v>
      </c>
      <c r="C1106" s="698" t="s">
        <v>527</v>
      </c>
      <c r="D1106" s="698" t="s">
        <v>528</v>
      </c>
      <c r="E1106" s="698"/>
      <c r="F1106" s="698"/>
      <c r="G1106" s="698"/>
    </row>
    <row r="1107" spans="1:7" ht="17.25" customHeight="1" x14ac:dyDescent="0.2">
      <c r="A1107" s="743" t="s">
        <v>466</v>
      </c>
      <c r="B1107" s="322">
        <v>1094</v>
      </c>
      <c r="C1107" s="698"/>
      <c r="E1107" s="698"/>
      <c r="F1107" s="698"/>
      <c r="G1107" s="698"/>
    </row>
    <row r="1108" spans="1:7" ht="17.25" customHeight="1" x14ac:dyDescent="0.2">
      <c r="A1108" s="743" t="s">
        <v>466</v>
      </c>
      <c r="B1108" s="337">
        <v>1095</v>
      </c>
      <c r="C1108" s="698" t="s">
        <v>529</v>
      </c>
      <c r="D1108" s="698" t="s">
        <v>530</v>
      </c>
      <c r="E1108" s="698"/>
      <c r="F1108" s="698"/>
      <c r="G1108" s="698"/>
    </row>
    <row r="1109" spans="1:7" ht="17.25" customHeight="1" x14ac:dyDescent="0.2">
      <c r="A1109" s="743" t="s">
        <v>466</v>
      </c>
      <c r="B1109" s="322">
        <v>1096</v>
      </c>
      <c r="C1109" s="698"/>
      <c r="D1109" s="698"/>
      <c r="E1109" s="698"/>
      <c r="F1109" s="698"/>
      <c r="G1109" s="698"/>
    </row>
    <row r="1110" spans="1:7" ht="17.25" customHeight="1" x14ac:dyDescent="0.2">
      <c r="A1110" s="743" t="s">
        <v>466</v>
      </c>
      <c r="B1110" s="322">
        <v>1097</v>
      </c>
      <c r="C1110" s="698" t="s">
        <v>531</v>
      </c>
      <c r="D1110" s="698" t="s">
        <v>532</v>
      </c>
      <c r="E1110" s="698"/>
      <c r="F1110" s="698"/>
      <c r="G1110" s="698"/>
    </row>
    <row r="1111" spans="1:7" ht="17.25" customHeight="1" x14ac:dyDescent="0.2">
      <c r="A1111" s="743" t="s">
        <v>466</v>
      </c>
      <c r="B1111" s="322">
        <v>1098</v>
      </c>
      <c r="C1111" s="698" t="s">
        <v>533</v>
      </c>
      <c r="D1111" s="698" t="s">
        <v>534</v>
      </c>
      <c r="E1111" s="698"/>
      <c r="F1111" s="698"/>
      <c r="G1111" s="698"/>
    </row>
    <row r="1112" spans="1:7" ht="17.25" customHeight="1" x14ac:dyDescent="0.2">
      <c r="A1112" s="743" t="s">
        <v>466</v>
      </c>
      <c r="B1112" s="322">
        <v>1099</v>
      </c>
      <c r="C1112" s="698" t="s">
        <v>535</v>
      </c>
      <c r="D1112" s="698" t="s">
        <v>536</v>
      </c>
      <c r="E1112" s="698"/>
      <c r="F1112" s="698"/>
      <c r="G1112" s="698"/>
    </row>
    <row r="1113" spans="1:7" ht="17.25" customHeight="1" x14ac:dyDescent="0.2">
      <c r="A1113" s="743" t="s">
        <v>466</v>
      </c>
      <c r="B1113" s="322">
        <v>1100</v>
      </c>
      <c r="C1113" s="698" t="s">
        <v>537</v>
      </c>
      <c r="D1113" s="698" t="s">
        <v>538</v>
      </c>
      <c r="E1113" s="698"/>
      <c r="F1113" s="698"/>
      <c r="G1113" s="698"/>
    </row>
    <row r="1114" spans="1:7" ht="17.25" customHeight="1" x14ac:dyDescent="0.2">
      <c r="A1114" s="743" t="s">
        <v>466</v>
      </c>
      <c r="B1114" s="322">
        <v>1101</v>
      </c>
      <c r="C1114" s="698" t="s">
        <v>539</v>
      </c>
      <c r="D1114" s="698" t="s">
        <v>540</v>
      </c>
      <c r="E1114" s="698"/>
      <c r="F1114" s="698"/>
      <c r="G1114" s="698"/>
    </row>
    <row r="1115" spans="1:7" ht="17.25" customHeight="1" x14ac:dyDescent="0.2">
      <c r="A1115" s="743" t="s">
        <v>466</v>
      </c>
      <c r="B1115" s="322">
        <v>1102</v>
      </c>
      <c r="C1115" s="326" t="s">
        <v>2304</v>
      </c>
      <c r="D1115" s="327" t="s">
        <v>2305</v>
      </c>
      <c r="E1115" s="698"/>
      <c r="F1115" s="698"/>
      <c r="G1115" s="698"/>
    </row>
    <row r="1116" spans="1:7" ht="17.25" customHeight="1" x14ac:dyDescent="0.2">
      <c r="A1116" s="743" t="s">
        <v>466</v>
      </c>
      <c r="B1116" s="322">
        <v>1103</v>
      </c>
      <c r="C1116" s="698" t="s">
        <v>2306</v>
      </c>
      <c r="D1116" s="698" t="s">
        <v>2307</v>
      </c>
      <c r="E1116" s="698"/>
      <c r="F1116" s="698"/>
      <c r="G1116" s="698"/>
    </row>
    <row r="1117" spans="1:7" ht="17.25" customHeight="1" x14ac:dyDescent="0.2">
      <c r="A1117" s="743" t="s">
        <v>466</v>
      </c>
      <c r="B1117" s="322">
        <v>1104</v>
      </c>
      <c r="C1117" s="698" t="s">
        <v>541</v>
      </c>
      <c r="D1117" s="698" t="s">
        <v>542</v>
      </c>
      <c r="E1117" s="698"/>
      <c r="F1117" s="698"/>
      <c r="G1117" s="698"/>
    </row>
    <row r="1118" spans="1:7" ht="17.25" customHeight="1" x14ac:dyDescent="0.2">
      <c r="A1118" s="743" t="s">
        <v>466</v>
      </c>
      <c r="B1118" s="322">
        <v>1105</v>
      </c>
      <c r="C1118" s="721"/>
      <c r="D1118" s="722"/>
      <c r="E1118" s="698"/>
      <c r="F1118" s="698"/>
      <c r="G1118" s="698"/>
    </row>
    <row r="1119" spans="1:7" ht="17.25" customHeight="1" x14ac:dyDescent="0.2">
      <c r="A1119" s="743" t="s">
        <v>466</v>
      </c>
      <c r="B1119" s="322">
        <v>1106</v>
      </c>
      <c r="C1119" s="721"/>
      <c r="D1119" s="722"/>
      <c r="E1119" s="698"/>
      <c r="F1119" s="698"/>
      <c r="G1119" s="698"/>
    </row>
    <row r="1120" spans="1:7" ht="17.25" customHeight="1" x14ac:dyDescent="0.2">
      <c r="A1120" s="743" t="s">
        <v>466</v>
      </c>
      <c r="B1120" s="322">
        <v>1107</v>
      </c>
      <c r="C1120" s="733"/>
      <c r="D1120" s="722"/>
      <c r="E1120" s="698"/>
      <c r="F1120" s="698"/>
      <c r="G1120" s="698"/>
    </row>
    <row r="1121" spans="1:7" ht="17.25" customHeight="1" x14ac:dyDescent="0.2">
      <c r="A1121" s="743" t="s">
        <v>466</v>
      </c>
      <c r="B1121" s="322">
        <v>1108</v>
      </c>
      <c r="C1121" s="721"/>
      <c r="D1121" s="722"/>
      <c r="E1121" s="698"/>
      <c r="F1121" s="698"/>
      <c r="G1121" s="698"/>
    </row>
    <row r="1122" spans="1:7" ht="17.25" customHeight="1" x14ac:dyDescent="0.2">
      <c r="A1122" s="743" t="s">
        <v>466</v>
      </c>
      <c r="B1122" s="337">
        <v>1109</v>
      </c>
      <c r="C1122" s="696" t="s">
        <v>543</v>
      </c>
      <c r="D1122" s="696" t="s">
        <v>544</v>
      </c>
      <c r="E1122" s="698"/>
      <c r="F1122" s="698"/>
      <c r="G1122" s="698"/>
    </row>
    <row r="1123" spans="1:7" ht="17.25" customHeight="1" x14ac:dyDescent="0.2">
      <c r="A1123" s="743" t="s">
        <v>466</v>
      </c>
      <c r="B1123" s="337">
        <v>1110</v>
      </c>
      <c r="C1123" s="739" t="s">
        <v>543</v>
      </c>
      <c r="D1123" s="739" t="s">
        <v>544</v>
      </c>
      <c r="E1123" s="698"/>
      <c r="F1123" s="698"/>
      <c r="G1123" s="698"/>
    </row>
    <row r="1124" spans="1:7" ht="25.05" x14ac:dyDescent="0.2">
      <c r="A1124" s="743" t="s">
        <v>466</v>
      </c>
      <c r="B1124" s="337">
        <v>1111</v>
      </c>
      <c r="C1124" s="698" t="s">
        <v>545</v>
      </c>
      <c r="D1124" s="698" t="s">
        <v>546</v>
      </c>
      <c r="E1124" s="698"/>
      <c r="F1124" s="698"/>
      <c r="G1124" s="698"/>
    </row>
    <row r="1125" spans="1:7" ht="50.1" x14ac:dyDescent="0.2">
      <c r="A1125" s="743" t="s">
        <v>466</v>
      </c>
      <c r="B1125" s="337">
        <v>1112</v>
      </c>
      <c r="C1125" s="721" t="s">
        <v>547</v>
      </c>
      <c r="D1125" s="698" t="s">
        <v>548</v>
      </c>
      <c r="E1125" s="698"/>
      <c r="F1125" s="698"/>
      <c r="G1125" s="698"/>
    </row>
    <row r="1126" spans="1:7" ht="17.25" customHeight="1" x14ac:dyDescent="0.2">
      <c r="A1126" s="743" t="s">
        <v>466</v>
      </c>
      <c r="B1126" s="322">
        <v>1113</v>
      </c>
      <c r="C1126" s="721"/>
      <c r="D1126" s="722"/>
      <c r="E1126" s="698"/>
      <c r="F1126" s="698"/>
      <c r="G1126" s="698"/>
    </row>
    <row r="1127" spans="1:7" ht="17.25" customHeight="1" x14ac:dyDescent="0.2">
      <c r="A1127" s="743" t="s">
        <v>466</v>
      </c>
      <c r="B1127" s="322">
        <v>1114</v>
      </c>
      <c r="C1127" s="721" t="s">
        <v>549</v>
      </c>
      <c r="D1127" s="722" t="s">
        <v>550</v>
      </c>
      <c r="E1127" s="698"/>
      <c r="F1127" s="698"/>
      <c r="G1127" s="698"/>
    </row>
    <row r="1128" spans="1:7" ht="17.25" customHeight="1" x14ac:dyDescent="0.2">
      <c r="A1128" s="743" t="s">
        <v>466</v>
      </c>
      <c r="B1128" s="322">
        <v>1115</v>
      </c>
      <c r="C1128" s="721" t="s">
        <v>551</v>
      </c>
      <c r="D1128" s="722" t="s">
        <v>552</v>
      </c>
      <c r="E1128" s="698"/>
      <c r="F1128" s="698"/>
      <c r="G1128" s="698"/>
    </row>
    <row r="1129" spans="1:7" ht="37.6" x14ac:dyDescent="0.2">
      <c r="A1129" s="743" t="s">
        <v>466</v>
      </c>
      <c r="B1129" s="322">
        <v>1116</v>
      </c>
      <c r="C1129" s="721" t="s">
        <v>553</v>
      </c>
      <c r="D1129" s="722" t="s">
        <v>554</v>
      </c>
      <c r="E1129" s="698"/>
      <c r="F1129" s="698"/>
      <c r="G1129" s="698"/>
    </row>
    <row r="1130" spans="1:7" ht="17.25" customHeight="1" x14ac:dyDescent="0.2">
      <c r="A1130" s="743" t="s">
        <v>466</v>
      </c>
      <c r="B1130" s="322">
        <v>1117</v>
      </c>
      <c r="C1130" s="721"/>
      <c r="D1130" s="722"/>
      <c r="E1130" s="698"/>
      <c r="F1130" s="698"/>
      <c r="G1130" s="698"/>
    </row>
    <row r="1131" spans="1:7" ht="17.25" customHeight="1" x14ac:dyDescent="0.2">
      <c r="A1131" s="743" t="s">
        <v>466</v>
      </c>
      <c r="B1131" s="322">
        <v>1118</v>
      </c>
      <c r="C1131" s="721"/>
      <c r="D1131" s="722"/>
      <c r="E1131" s="698"/>
      <c r="F1131" s="698"/>
      <c r="G1131" s="698"/>
    </row>
    <row r="1132" spans="1:7" ht="17.25" customHeight="1" x14ac:dyDescent="0.2">
      <c r="A1132" s="743" t="s">
        <v>466</v>
      </c>
      <c r="B1132" s="337">
        <v>1119</v>
      </c>
      <c r="C1132" s="696" t="s">
        <v>555</v>
      </c>
      <c r="D1132" s="696" t="s">
        <v>556</v>
      </c>
      <c r="E1132" s="698"/>
      <c r="F1132" s="698"/>
      <c r="G1132" s="698"/>
    </row>
    <row r="1133" spans="1:7" ht="17.25" customHeight="1" x14ac:dyDescent="0.2">
      <c r="A1133" s="743" t="s">
        <v>466</v>
      </c>
      <c r="B1133" s="337">
        <v>1120</v>
      </c>
      <c r="C1133" s="739" t="s">
        <v>557</v>
      </c>
      <c r="D1133" s="739" t="s">
        <v>558</v>
      </c>
      <c r="E1133" s="698"/>
      <c r="F1133" s="698"/>
      <c r="G1133" s="698"/>
    </row>
    <row r="1134" spans="1:7" ht="25.05" x14ac:dyDescent="0.2">
      <c r="A1134" s="743" t="s">
        <v>466</v>
      </c>
      <c r="B1134" s="337">
        <v>1121</v>
      </c>
      <c r="C1134" s="698" t="s">
        <v>559</v>
      </c>
      <c r="D1134" s="698" t="s">
        <v>560</v>
      </c>
      <c r="E1134" s="698"/>
      <c r="F1134" s="698"/>
      <c r="G1134" s="698"/>
    </row>
    <row r="1135" spans="1:7" ht="17.25" customHeight="1" x14ac:dyDescent="0.2">
      <c r="A1135" s="743" t="s">
        <v>466</v>
      </c>
      <c r="B1135" s="337">
        <v>1122</v>
      </c>
      <c r="C1135" s="698" t="s">
        <v>561</v>
      </c>
      <c r="D1135" s="698" t="s">
        <v>562</v>
      </c>
      <c r="E1135" s="698"/>
      <c r="F1135" s="698"/>
      <c r="G1135" s="698"/>
    </row>
    <row r="1136" spans="1:7" ht="17.25" customHeight="1" x14ac:dyDescent="0.2">
      <c r="A1136" s="743" t="s">
        <v>466</v>
      </c>
      <c r="B1136" s="322">
        <v>1123</v>
      </c>
      <c r="C1136" s="698"/>
      <c r="D1136" s="698"/>
      <c r="E1136" s="698"/>
      <c r="F1136" s="698"/>
      <c r="G1136" s="698"/>
    </row>
    <row r="1137" spans="1:7" ht="17.25" customHeight="1" x14ac:dyDescent="0.2">
      <c r="A1137" s="743" t="s">
        <v>466</v>
      </c>
      <c r="B1137" s="337">
        <v>1124</v>
      </c>
      <c r="C1137" s="739" t="s">
        <v>266</v>
      </c>
      <c r="D1137" s="739" t="s">
        <v>266</v>
      </c>
      <c r="E1137" s="698"/>
      <c r="F1137" s="698"/>
      <c r="G1137" s="698"/>
    </row>
    <row r="1138" spans="1:7" ht="71.400000000000006" customHeight="1" x14ac:dyDescent="0.2">
      <c r="A1138" s="743" t="s">
        <v>466</v>
      </c>
      <c r="B1138" s="337">
        <v>1125</v>
      </c>
      <c r="C1138" s="698" t="s">
        <v>563</v>
      </c>
      <c r="D1138" s="698" t="s">
        <v>564</v>
      </c>
      <c r="E1138" s="698"/>
      <c r="F1138" s="698"/>
      <c r="G1138" s="698"/>
    </row>
    <row r="1139" spans="1:7" ht="17.25" customHeight="1" x14ac:dyDescent="0.2">
      <c r="A1139" s="743" t="s">
        <v>466</v>
      </c>
      <c r="B1139" s="337">
        <v>1126</v>
      </c>
      <c r="C1139" s="721" t="s">
        <v>565</v>
      </c>
      <c r="D1139" s="722" t="s">
        <v>566</v>
      </c>
      <c r="E1139" s="698"/>
      <c r="F1139" s="698"/>
      <c r="G1139" s="698"/>
    </row>
    <row r="1140" spans="1:7" ht="17.25" customHeight="1" x14ac:dyDescent="0.2">
      <c r="A1140" s="743" t="s">
        <v>466</v>
      </c>
      <c r="B1140" s="322">
        <v>1127</v>
      </c>
      <c r="C1140" s="698"/>
      <c r="D1140" s="698"/>
      <c r="E1140" s="698"/>
      <c r="F1140" s="698"/>
      <c r="G1140" s="698"/>
    </row>
    <row r="1141" spans="1:7" ht="17.25" customHeight="1" x14ac:dyDescent="0.2">
      <c r="A1141" s="743" t="s">
        <v>466</v>
      </c>
      <c r="B1141" s="337">
        <v>1128</v>
      </c>
      <c r="C1141" s="739" t="s">
        <v>567</v>
      </c>
      <c r="D1141" s="739" t="s">
        <v>568</v>
      </c>
      <c r="E1141" s="698"/>
      <c r="F1141" s="698"/>
      <c r="G1141" s="698"/>
    </row>
    <row r="1142" spans="1:7" ht="62.65" x14ac:dyDescent="0.2">
      <c r="A1142" s="743" t="s">
        <v>466</v>
      </c>
      <c r="B1142" s="337">
        <v>1129</v>
      </c>
      <c r="C1142" s="698" t="s">
        <v>569</v>
      </c>
      <c r="D1142" s="698" t="s">
        <v>570</v>
      </c>
      <c r="E1142" s="728"/>
      <c r="F1142" s="728"/>
      <c r="G1142" s="698"/>
    </row>
    <row r="1143" spans="1:7" ht="62.65" x14ac:dyDescent="0.2">
      <c r="A1143" s="743" t="s">
        <v>466</v>
      </c>
      <c r="B1143" s="337">
        <v>1130</v>
      </c>
      <c r="C1143" s="728" t="s">
        <v>571</v>
      </c>
      <c r="D1143" s="728" t="s">
        <v>572</v>
      </c>
      <c r="E1143" s="728"/>
      <c r="F1143" s="728"/>
      <c r="G1143" s="698"/>
    </row>
    <row r="1144" spans="1:7" ht="17.25" customHeight="1" x14ac:dyDescent="0.2">
      <c r="A1144" s="743" t="s">
        <v>466</v>
      </c>
      <c r="B1144" s="322">
        <v>1131</v>
      </c>
      <c r="C1144" s="698"/>
      <c r="D1144" s="698"/>
      <c r="E1144" s="698"/>
      <c r="F1144" s="698"/>
      <c r="G1144" s="698"/>
    </row>
    <row r="1145" spans="1:7" ht="17.25" customHeight="1" x14ac:dyDescent="0.2">
      <c r="A1145" s="743" t="s">
        <v>466</v>
      </c>
      <c r="B1145" s="337">
        <v>1132</v>
      </c>
      <c r="C1145" s="739" t="s">
        <v>400</v>
      </c>
      <c r="D1145" s="739" t="s">
        <v>573</v>
      </c>
      <c r="E1145" s="698"/>
      <c r="F1145" s="698"/>
      <c r="G1145" s="698"/>
    </row>
    <row r="1146" spans="1:7" ht="25.05" x14ac:dyDescent="0.2">
      <c r="A1146" s="743" t="s">
        <v>466</v>
      </c>
      <c r="B1146" s="337">
        <v>1133</v>
      </c>
      <c r="C1146" s="698" t="s">
        <v>574</v>
      </c>
      <c r="D1146" s="698" t="s">
        <v>575</v>
      </c>
      <c r="E1146" s="728"/>
      <c r="F1146" s="728"/>
      <c r="G1146" s="698"/>
    </row>
    <row r="1147" spans="1:7" ht="62.65" x14ac:dyDescent="0.2">
      <c r="A1147" s="743" t="s">
        <v>466</v>
      </c>
      <c r="B1147" s="337">
        <v>1134</v>
      </c>
      <c r="C1147" s="721" t="s">
        <v>576</v>
      </c>
      <c r="D1147" s="722" t="s">
        <v>577</v>
      </c>
      <c r="E1147" s="728"/>
      <c r="F1147" s="728"/>
      <c r="G1147" s="698"/>
    </row>
    <row r="1148" spans="1:7" ht="12.55" x14ac:dyDescent="0.2">
      <c r="A1148" s="743"/>
      <c r="B1148" s="337">
        <v>1135</v>
      </c>
      <c r="C1148" s="721"/>
      <c r="D1148" s="722"/>
      <c r="E1148" s="728"/>
      <c r="F1148" s="728"/>
      <c r="G1148" s="698"/>
    </row>
    <row r="1149" spans="1:7" ht="12.55" x14ac:dyDescent="0.2">
      <c r="A1149" s="743"/>
      <c r="B1149" s="337">
        <v>1136</v>
      </c>
      <c r="C1149" s="721"/>
      <c r="D1149" s="722"/>
      <c r="E1149" s="728"/>
      <c r="F1149" s="728"/>
      <c r="G1149" s="698"/>
    </row>
    <row r="1150" spans="1:7" ht="12.55" x14ac:dyDescent="0.2">
      <c r="A1150" s="743"/>
      <c r="B1150" s="337">
        <v>1137</v>
      </c>
      <c r="C1150" s="721"/>
      <c r="D1150" s="722"/>
      <c r="E1150" s="728"/>
      <c r="F1150" s="728"/>
      <c r="G1150" s="698"/>
    </row>
    <row r="1151" spans="1:7" ht="12.55" x14ac:dyDescent="0.2">
      <c r="A1151" s="743"/>
      <c r="B1151" s="337">
        <v>1138</v>
      </c>
      <c r="C1151" s="721"/>
      <c r="D1151" s="722"/>
      <c r="E1151" s="728"/>
      <c r="F1151" s="728"/>
      <c r="G1151" s="698"/>
    </row>
    <row r="1152" spans="1:7" ht="12.55" x14ac:dyDescent="0.2">
      <c r="A1152" s="743"/>
      <c r="B1152" s="337">
        <v>1139</v>
      </c>
      <c r="C1152" s="721"/>
      <c r="D1152" s="722"/>
      <c r="E1152" s="728"/>
      <c r="F1152" s="728"/>
      <c r="G1152" s="698"/>
    </row>
    <row r="1153" spans="1:7" ht="12.55" x14ac:dyDescent="0.2">
      <c r="A1153" s="743"/>
      <c r="B1153" s="337">
        <v>1140</v>
      </c>
      <c r="C1153" s="721"/>
      <c r="D1153" s="722"/>
      <c r="E1153" s="728"/>
      <c r="F1153" s="728"/>
      <c r="G1153" s="698"/>
    </row>
    <row r="1154" spans="1:7" ht="12.55" x14ac:dyDescent="0.2">
      <c r="A1154" s="743"/>
      <c r="B1154" s="337">
        <v>1141</v>
      </c>
      <c r="C1154" s="721"/>
      <c r="D1154" s="722"/>
      <c r="E1154" s="728"/>
      <c r="F1154" s="728"/>
      <c r="G1154" s="698"/>
    </row>
    <row r="1155" spans="1:7" ht="12.55" x14ac:dyDescent="0.2">
      <c r="A1155" s="743"/>
      <c r="B1155" s="337">
        <v>1142</v>
      </c>
      <c r="C1155" s="696" t="s">
        <v>378</v>
      </c>
      <c r="D1155" s="696" t="s">
        <v>378</v>
      </c>
      <c r="E1155" s="728"/>
      <c r="F1155" s="728"/>
      <c r="G1155" s="698"/>
    </row>
    <row r="1156" spans="1:7" ht="12.55" x14ac:dyDescent="0.2">
      <c r="A1156" s="743"/>
      <c r="B1156" s="337">
        <v>1143</v>
      </c>
      <c r="C1156" s="739" t="s">
        <v>578</v>
      </c>
      <c r="D1156" s="739" t="s">
        <v>579</v>
      </c>
      <c r="E1156" s="728"/>
      <c r="F1156" s="728"/>
      <c r="G1156" s="698"/>
    </row>
    <row r="1157" spans="1:7" ht="50.1" x14ac:dyDescent="0.2">
      <c r="A1157" s="743"/>
      <c r="B1157" s="337">
        <v>1144</v>
      </c>
      <c r="C1157" s="721" t="s">
        <v>580</v>
      </c>
      <c r="D1157" s="722" t="s">
        <v>581</v>
      </c>
      <c r="E1157" s="728"/>
      <c r="F1157" s="728"/>
      <c r="G1157" s="698"/>
    </row>
    <row r="1158" spans="1:7" ht="288" x14ac:dyDescent="0.2">
      <c r="A1158" s="743"/>
      <c r="B1158" s="337">
        <v>1145</v>
      </c>
      <c r="C1158" s="721" t="s">
        <v>582</v>
      </c>
      <c r="D1158" s="722" t="s">
        <v>583</v>
      </c>
      <c r="E1158" s="728"/>
      <c r="F1158" s="728"/>
      <c r="G1158" s="698"/>
    </row>
    <row r="1159" spans="1:7" ht="12.55" x14ac:dyDescent="0.2">
      <c r="A1159" s="743"/>
      <c r="B1159" s="337">
        <v>1146</v>
      </c>
      <c r="C1159" s="739" t="s">
        <v>584</v>
      </c>
      <c r="D1159" s="739" t="s">
        <v>585</v>
      </c>
      <c r="E1159" s="728"/>
      <c r="F1159" s="728"/>
      <c r="G1159" s="698"/>
    </row>
    <row r="1160" spans="1:7" ht="25.05" x14ac:dyDescent="0.2">
      <c r="A1160" s="743"/>
      <c r="B1160" s="337">
        <v>1147</v>
      </c>
      <c r="C1160" s="721" t="s">
        <v>586</v>
      </c>
      <c r="D1160" s="722" t="s">
        <v>587</v>
      </c>
      <c r="E1160" s="728"/>
      <c r="F1160" s="728"/>
      <c r="G1160" s="698"/>
    </row>
    <row r="1161" spans="1:7" ht="37.6" x14ac:dyDescent="0.2">
      <c r="A1161" s="743"/>
      <c r="B1161" s="337">
        <v>1148</v>
      </c>
      <c r="C1161" s="721" t="s">
        <v>588</v>
      </c>
      <c r="D1161" s="722" t="s">
        <v>589</v>
      </c>
      <c r="E1161" s="728"/>
      <c r="F1161" s="728"/>
      <c r="G1161" s="698"/>
    </row>
    <row r="1162" spans="1:7" ht="12.55" x14ac:dyDescent="0.2">
      <c r="A1162" s="743"/>
      <c r="B1162" s="337">
        <v>1149</v>
      </c>
      <c r="C1162" s="739" t="s">
        <v>590</v>
      </c>
      <c r="D1162" s="739" t="s">
        <v>591</v>
      </c>
      <c r="E1162" s="728"/>
      <c r="F1162" s="728"/>
      <c r="G1162" s="698"/>
    </row>
    <row r="1163" spans="1:7" ht="25.05" x14ac:dyDescent="0.2">
      <c r="A1163" s="743" t="s">
        <v>466</v>
      </c>
      <c r="B1163" s="337">
        <v>1150</v>
      </c>
      <c r="C1163" s="733" t="s">
        <v>592</v>
      </c>
      <c r="D1163" s="722" t="s">
        <v>593</v>
      </c>
      <c r="E1163" s="698"/>
      <c r="F1163" s="698"/>
      <c r="G1163" s="698"/>
    </row>
    <row r="1164" spans="1:7" ht="50.1" x14ac:dyDescent="0.2">
      <c r="A1164" s="743" t="s">
        <v>466</v>
      </c>
      <c r="B1164" s="337">
        <v>1151</v>
      </c>
      <c r="C1164" s="749" t="s">
        <v>594</v>
      </c>
      <c r="D1164" s="722" t="s">
        <v>595</v>
      </c>
      <c r="E1164" s="698"/>
      <c r="F1164" s="698"/>
      <c r="G1164" s="698"/>
    </row>
    <row r="1165" spans="1:7" ht="12.55" x14ac:dyDescent="0.2">
      <c r="A1165" s="743"/>
      <c r="B1165" s="337">
        <v>1152</v>
      </c>
      <c r="C1165" s="739" t="s">
        <v>596</v>
      </c>
      <c r="D1165" s="739" t="s">
        <v>597</v>
      </c>
      <c r="E1165" s="698"/>
      <c r="F1165" s="698"/>
      <c r="G1165" s="698"/>
    </row>
    <row r="1166" spans="1:7" ht="37.6" x14ac:dyDescent="0.2">
      <c r="A1166" s="743"/>
      <c r="B1166" s="337">
        <v>1153</v>
      </c>
      <c r="C1166" s="749" t="s">
        <v>598</v>
      </c>
      <c r="D1166" s="722" t="s">
        <v>599</v>
      </c>
      <c r="E1166" s="698"/>
      <c r="F1166" s="698"/>
      <c r="G1166" s="698"/>
    </row>
    <row r="1167" spans="1:7" ht="87.65" x14ac:dyDescent="0.2">
      <c r="A1167" s="743"/>
      <c r="B1167" s="337">
        <v>1154</v>
      </c>
      <c r="C1167" s="733" t="s">
        <v>600</v>
      </c>
      <c r="D1167" s="722" t="s">
        <v>601</v>
      </c>
      <c r="E1167" s="698"/>
      <c r="F1167" s="698"/>
      <c r="G1167" s="698"/>
    </row>
    <row r="1168" spans="1:7" ht="25.05" x14ac:dyDescent="0.2">
      <c r="A1168" s="743"/>
      <c r="B1168" s="337">
        <v>1155</v>
      </c>
      <c r="C1168" s="739" t="s">
        <v>602</v>
      </c>
      <c r="D1168" s="739" t="s">
        <v>603</v>
      </c>
      <c r="E1168" s="698"/>
      <c r="F1168" s="698"/>
      <c r="G1168" s="698"/>
    </row>
    <row r="1169" spans="1:7" ht="37.6" x14ac:dyDescent="0.2">
      <c r="A1169" s="743"/>
      <c r="B1169" s="337">
        <v>1156</v>
      </c>
      <c r="C1169" s="733" t="s">
        <v>604</v>
      </c>
      <c r="D1169" s="722" t="s">
        <v>605</v>
      </c>
      <c r="E1169" s="698"/>
      <c r="F1169" s="698"/>
      <c r="G1169" s="698"/>
    </row>
    <row r="1170" spans="1:7" ht="100.2" x14ac:dyDescent="0.2">
      <c r="A1170" s="743"/>
      <c r="B1170" s="337">
        <v>1157</v>
      </c>
      <c r="C1170" s="733" t="s">
        <v>606</v>
      </c>
      <c r="D1170" s="722" t="s">
        <v>607</v>
      </c>
      <c r="E1170" s="698"/>
      <c r="F1170" s="698"/>
      <c r="G1170" s="698"/>
    </row>
    <row r="1171" spans="1:7" ht="12.55" x14ac:dyDescent="0.2">
      <c r="A1171" s="743"/>
      <c r="B1171" s="337">
        <v>1158</v>
      </c>
      <c r="C1171" s="739" t="s">
        <v>608</v>
      </c>
      <c r="D1171" s="739" t="s">
        <v>609</v>
      </c>
      <c r="E1171" s="698"/>
      <c r="F1171" s="698"/>
      <c r="G1171" s="698"/>
    </row>
    <row r="1172" spans="1:7" ht="50.1" x14ac:dyDescent="0.2">
      <c r="A1172" s="743"/>
      <c r="B1172" s="337">
        <v>1159</v>
      </c>
      <c r="C1172" s="733" t="s">
        <v>610</v>
      </c>
      <c r="D1172" s="722" t="s">
        <v>611</v>
      </c>
      <c r="E1172" s="698"/>
      <c r="F1172" s="698"/>
      <c r="G1172" s="698"/>
    </row>
    <row r="1173" spans="1:7" ht="123.85" customHeight="1" x14ac:dyDescent="0.2">
      <c r="A1173" s="743"/>
      <c r="B1173" s="337">
        <v>1160</v>
      </c>
      <c r="C1173" s="733" t="s">
        <v>612</v>
      </c>
      <c r="D1173" s="722" t="s">
        <v>613</v>
      </c>
      <c r="E1173" s="698"/>
      <c r="F1173" s="698"/>
      <c r="G1173" s="698"/>
    </row>
    <row r="1174" spans="1:7" ht="17.25" customHeight="1" x14ac:dyDescent="0.2">
      <c r="A1174" s="743" t="s">
        <v>466</v>
      </c>
      <c r="B1174" s="337">
        <v>1161</v>
      </c>
      <c r="C1174" s="696" t="s">
        <v>614</v>
      </c>
      <c r="D1174" s="696" t="s">
        <v>615</v>
      </c>
      <c r="E1174" s="698"/>
      <c r="F1174" s="698"/>
      <c r="G1174" s="698"/>
    </row>
    <row r="1175" spans="1:7" ht="17.25" customHeight="1" x14ac:dyDescent="0.2">
      <c r="A1175" s="743" t="s">
        <v>466</v>
      </c>
      <c r="B1175" s="337">
        <v>1162</v>
      </c>
      <c r="C1175" s="739" t="s">
        <v>616</v>
      </c>
      <c r="D1175" s="739" t="s">
        <v>617</v>
      </c>
      <c r="E1175" s="698"/>
      <c r="F1175" s="698"/>
      <c r="G1175" s="698"/>
    </row>
    <row r="1176" spans="1:7" ht="50.1" x14ac:dyDescent="0.2">
      <c r="A1176" s="743" t="s">
        <v>466</v>
      </c>
      <c r="B1176" s="337">
        <v>1163</v>
      </c>
      <c r="C1176" s="698" t="s">
        <v>618</v>
      </c>
      <c r="D1176" s="698" t="s">
        <v>619</v>
      </c>
      <c r="E1176" s="698"/>
      <c r="F1176" s="698"/>
      <c r="G1176" s="698"/>
    </row>
    <row r="1177" spans="1:7" ht="37.6" x14ac:dyDescent="0.2">
      <c r="A1177" s="743" t="s">
        <v>466</v>
      </c>
      <c r="B1177" s="337">
        <v>1164</v>
      </c>
      <c r="C1177" s="721" t="s">
        <v>620</v>
      </c>
      <c r="D1177" s="722" t="s">
        <v>621</v>
      </c>
      <c r="E1177" s="698"/>
      <c r="F1177" s="698"/>
      <c r="G1177" s="698"/>
    </row>
    <row r="1178" spans="1:7" ht="17.25" customHeight="1" x14ac:dyDescent="0.2">
      <c r="A1178" s="743" t="s">
        <v>466</v>
      </c>
      <c r="B1178" s="337">
        <v>1165</v>
      </c>
      <c r="C1178" s="739" t="s">
        <v>622</v>
      </c>
      <c r="D1178" s="739" t="s">
        <v>278</v>
      </c>
      <c r="E1178" s="698"/>
      <c r="F1178" s="698"/>
      <c r="G1178" s="698"/>
    </row>
    <row r="1179" spans="1:7" ht="41.95" customHeight="1" x14ac:dyDescent="0.2">
      <c r="A1179" s="743" t="s">
        <v>466</v>
      </c>
      <c r="B1179" s="337">
        <v>1166</v>
      </c>
      <c r="C1179" s="698" t="s">
        <v>623</v>
      </c>
      <c r="D1179" s="698" t="s">
        <v>624</v>
      </c>
      <c r="E1179" s="698"/>
      <c r="F1179" s="698"/>
      <c r="G1179" s="698"/>
    </row>
    <row r="1180" spans="1:7" ht="73.099999999999994" customHeight="1" x14ac:dyDescent="0.2">
      <c r="A1180" s="743" t="s">
        <v>466</v>
      </c>
      <c r="B1180" s="337">
        <v>1167</v>
      </c>
      <c r="C1180" s="730" t="s">
        <v>625</v>
      </c>
      <c r="D1180" s="730" t="s">
        <v>626</v>
      </c>
      <c r="E1180" s="698"/>
      <c r="F1180" s="698"/>
      <c r="G1180" s="698"/>
    </row>
    <row r="1181" spans="1:7" ht="17.25" customHeight="1" x14ac:dyDescent="0.2">
      <c r="A1181" s="743" t="s">
        <v>466</v>
      </c>
      <c r="B1181" s="337">
        <v>1168</v>
      </c>
      <c r="C1181" s="739" t="s">
        <v>627</v>
      </c>
      <c r="D1181" s="739" t="s">
        <v>628</v>
      </c>
      <c r="E1181" s="698"/>
      <c r="F1181" s="698"/>
      <c r="G1181" s="698"/>
    </row>
    <row r="1182" spans="1:7" ht="25.05" x14ac:dyDescent="0.2">
      <c r="A1182" s="743" t="s">
        <v>466</v>
      </c>
      <c r="B1182" s="337">
        <v>1169</v>
      </c>
      <c r="C1182" s="698" t="s">
        <v>629</v>
      </c>
      <c r="D1182" s="698" t="s">
        <v>630</v>
      </c>
      <c r="E1182" s="698"/>
      <c r="F1182" s="698"/>
      <c r="G1182" s="698"/>
    </row>
    <row r="1183" spans="1:7" ht="37.6" x14ac:dyDescent="0.2">
      <c r="A1183" s="743" t="s">
        <v>466</v>
      </c>
      <c r="B1183" s="337">
        <v>1170</v>
      </c>
      <c r="C1183" s="721" t="s">
        <v>631</v>
      </c>
      <c r="D1183" s="698" t="s">
        <v>632</v>
      </c>
      <c r="E1183" s="698"/>
      <c r="F1183" s="698"/>
      <c r="G1183" s="698"/>
    </row>
    <row r="1184" spans="1:7" ht="17.25" customHeight="1" x14ac:dyDescent="0.2">
      <c r="A1184" s="743" t="s">
        <v>466</v>
      </c>
      <c r="B1184" s="337">
        <v>1171</v>
      </c>
      <c r="C1184" s="698" t="s">
        <v>633</v>
      </c>
      <c r="D1184" s="698" t="s">
        <v>634</v>
      </c>
      <c r="E1184" s="698"/>
      <c r="F1184" s="698"/>
      <c r="G1184" s="698"/>
    </row>
    <row r="1185" spans="1:7" ht="17.25" customHeight="1" x14ac:dyDescent="0.2">
      <c r="A1185" s="743" t="s">
        <v>466</v>
      </c>
      <c r="B1185" s="337">
        <v>1172</v>
      </c>
      <c r="C1185" s="739" t="s">
        <v>635</v>
      </c>
      <c r="D1185" s="739" t="s">
        <v>636</v>
      </c>
      <c r="E1185" s="698"/>
      <c r="F1185" s="698"/>
      <c r="G1185" s="698"/>
    </row>
    <row r="1186" spans="1:7" ht="25.05" x14ac:dyDescent="0.2">
      <c r="A1186" s="743" t="s">
        <v>466</v>
      </c>
      <c r="B1186" s="337">
        <v>1173</v>
      </c>
      <c r="C1186" s="698" t="s">
        <v>637</v>
      </c>
      <c r="D1186" s="698" t="s">
        <v>638</v>
      </c>
      <c r="E1186" s="698"/>
      <c r="F1186" s="698"/>
      <c r="G1186" s="698"/>
    </row>
    <row r="1187" spans="1:7" ht="37.6" x14ac:dyDescent="0.2">
      <c r="A1187" s="743" t="s">
        <v>466</v>
      </c>
      <c r="B1187" s="337">
        <v>1174</v>
      </c>
      <c r="C1187" s="721" t="s">
        <v>639</v>
      </c>
      <c r="D1187" s="698" t="s">
        <v>640</v>
      </c>
      <c r="E1187" s="698"/>
      <c r="F1187" s="698"/>
      <c r="G1187" s="698"/>
    </row>
    <row r="1188" spans="1:7" ht="17.25" customHeight="1" x14ac:dyDescent="0.2">
      <c r="A1188" s="743" t="s">
        <v>466</v>
      </c>
      <c r="B1188" s="337">
        <v>1175</v>
      </c>
      <c r="C1188" s="739" t="s">
        <v>641</v>
      </c>
      <c r="D1188" s="739" t="s">
        <v>642</v>
      </c>
      <c r="E1188" s="698"/>
      <c r="F1188" s="698"/>
      <c r="G1188" s="698"/>
    </row>
    <row r="1189" spans="1:7" ht="50.1" x14ac:dyDescent="0.2">
      <c r="A1189" s="743" t="s">
        <v>466</v>
      </c>
      <c r="B1189" s="337">
        <v>1176</v>
      </c>
      <c r="C1189" s="698" t="s">
        <v>643</v>
      </c>
      <c r="D1189" s="698" t="s">
        <v>644</v>
      </c>
      <c r="E1189" s="698"/>
      <c r="F1189" s="698"/>
      <c r="G1189" s="698"/>
    </row>
    <row r="1190" spans="1:7" ht="25.05" x14ac:dyDescent="0.2">
      <c r="A1190" s="743" t="s">
        <v>466</v>
      </c>
      <c r="B1190" s="337">
        <v>1177</v>
      </c>
      <c r="C1190" s="698" t="s">
        <v>645</v>
      </c>
      <c r="D1190" s="698" t="s">
        <v>646</v>
      </c>
      <c r="E1190" s="698"/>
      <c r="F1190" s="698"/>
      <c r="G1190" s="698"/>
    </row>
    <row r="1191" spans="1:7" ht="17.25" customHeight="1" x14ac:dyDescent="0.2">
      <c r="A1191" s="743" t="s">
        <v>466</v>
      </c>
      <c r="B1191" s="337">
        <v>1178</v>
      </c>
      <c r="C1191" s="739" t="s">
        <v>647</v>
      </c>
      <c r="D1191" s="739" t="s">
        <v>648</v>
      </c>
      <c r="E1191" s="698"/>
      <c r="F1191" s="698"/>
      <c r="G1191" s="698"/>
    </row>
    <row r="1192" spans="1:7" ht="37.6" x14ac:dyDescent="0.2">
      <c r="A1192" s="743" t="s">
        <v>466</v>
      </c>
      <c r="B1192" s="337">
        <v>1179</v>
      </c>
      <c r="C1192" s="698" t="s">
        <v>649</v>
      </c>
      <c r="D1192" s="698" t="s">
        <v>650</v>
      </c>
      <c r="E1192" s="698"/>
      <c r="F1192" s="698"/>
      <c r="G1192" s="698"/>
    </row>
    <row r="1193" spans="1:7" ht="44.3" customHeight="1" x14ac:dyDescent="0.2">
      <c r="A1193" s="743" t="s">
        <v>466</v>
      </c>
      <c r="B1193" s="337">
        <v>1180</v>
      </c>
      <c r="C1193" s="698" t="s">
        <v>651</v>
      </c>
      <c r="D1193" s="698" t="s">
        <v>652</v>
      </c>
      <c r="E1193" s="698"/>
      <c r="F1193" s="698"/>
      <c r="G1193" s="698"/>
    </row>
    <row r="1194" spans="1:7" ht="17.25" customHeight="1" x14ac:dyDescent="0.2">
      <c r="A1194" s="743" t="s">
        <v>466</v>
      </c>
      <c r="B1194" s="337">
        <v>1181</v>
      </c>
      <c r="C1194" s="739" t="s">
        <v>653</v>
      </c>
      <c r="D1194" s="739" t="s">
        <v>654</v>
      </c>
      <c r="E1194" s="698"/>
      <c r="F1194" s="698"/>
      <c r="G1194" s="698"/>
    </row>
    <row r="1195" spans="1:7" ht="37.6" x14ac:dyDescent="0.2">
      <c r="A1195" s="743" t="s">
        <v>466</v>
      </c>
      <c r="B1195" s="337">
        <v>1182</v>
      </c>
      <c r="C1195" s="698" t="s">
        <v>655</v>
      </c>
      <c r="D1195" s="698" t="s">
        <v>656</v>
      </c>
      <c r="E1195" s="698"/>
      <c r="F1195" s="698"/>
      <c r="G1195" s="698"/>
    </row>
    <row r="1196" spans="1:7" ht="45.55" customHeight="1" x14ac:dyDescent="0.2">
      <c r="A1196" s="743" t="s">
        <v>466</v>
      </c>
      <c r="B1196" s="337">
        <v>1183</v>
      </c>
      <c r="C1196" s="750" t="s">
        <v>657</v>
      </c>
      <c r="D1196" s="751" t="s">
        <v>658</v>
      </c>
      <c r="E1196" s="698"/>
      <c r="F1196" s="698"/>
      <c r="G1196" s="698"/>
    </row>
    <row r="1197" spans="1:7" ht="17.25" customHeight="1" x14ac:dyDescent="0.2">
      <c r="A1197" s="743" t="s">
        <v>466</v>
      </c>
      <c r="B1197" s="337">
        <v>1184</v>
      </c>
      <c r="C1197" s="739" t="s">
        <v>659</v>
      </c>
      <c r="D1197" s="739" t="s">
        <v>660</v>
      </c>
      <c r="E1197" s="698"/>
      <c r="F1197" s="698"/>
      <c r="G1197" s="698"/>
    </row>
    <row r="1198" spans="1:7" ht="37.6" x14ac:dyDescent="0.2">
      <c r="A1198" s="743" t="s">
        <v>466</v>
      </c>
      <c r="B1198" s="337">
        <v>1185</v>
      </c>
      <c r="C1198" s="698" t="s">
        <v>661</v>
      </c>
      <c r="D1198" s="698" t="s">
        <v>662</v>
      </c>
      <c r="E1198" s="698"/>
      <c r="F1198" s="698"/>
      <c r="G1198" s="698"/>
    </row>
    <row r="1199" spans="1:7" ht="17.25" customHeight="1" x14ac:dyDescent="0.2">
      <c r="A1199" s="743" t="s">
        <v>466</v>
      </c>
      <c r="B1199" s="337">
        <v>1186</v>
      </c>
      <c r="C1199" s="721" t="s">
        <v>663</v>
      </c>
      <c r="D1199" s="722" t="s">
        <v>664</v>
      </c>
      <c r="E1199" s="698"/>
      <c r="F1199" s="698"/>
      <c r="G1199" s="698"/>
    </row>
    <row r="1200" spans="1:7" ht="17.25" customHeight="1" x14ac:dyDescent="0.2">
      <c r="A1200" s="743" t="s">
        <v>466</v>
      </c>
      <c r="B1200" s="337">
        <v>1187</v>
      </c>
      <c r="C1200" s="739" t="s">
        <v>665</v>
      </c>
      <c r="D1200" s="739" t="s">
        <v>666</v>
      </c>
      <c r="E1200" s="698"/>
      <c r="F1200" s="698"/>
      <c r="G1200" s="698"/>
    </row>
    <row r="1201" spans="1:7" ht="50.1" x14ac:dyDescent="0.2">
      <c r="A1201" s="743" t="s">
        <v>466</v>
      </c>
      <c r="B1201" s="337">
        <v>1188</v>
      </c>
      <c r="C1201" s="698" t="s">
        <v>667</v>
      </c>
      <c r="D1201" s="698" t="s">
        <v>668</v>
      </c>
      <c r="E1201" s="698"/>
      <c r="F1201" s="698"/>
      <c r="G1201" s="698"/>
    </row>
    <row r="1202" spans="1:7" ht="37.6" x14ac:dyDescent="0.2">
      <c r="A1202" s="743" t="s">
        <v>466</v>
      </c>
      <c r="B1202" s="337">
        <v>1189</v>
      </c>
      <c r="C1202" s="721" t="s">
        <v>669</v>
      </c>
      <c r="D1202" s="722" t="s">
        <v>670</v>
      </c>
      <c r="E1202" s="698"/>
      <c r="F1202" s="698"/>
      <c r="G1202" s="698"/>
    </row>
    <row r="1203" spans="1:7" ht="17.25" customHeight="1" x14ac:dyDescent="0.2">
      <c r="A1203" s="743" t="s">
        <v>466</v>
      </c>
      <c r="B1203" s="337">
        <v>1190</v>
      </c>
      <c r="C1203" s="696" t="str">
        <f>C91</f>
        <v>Qualität</v>
      </c>
      <c r="D1203" s="696" t="str">
        <f>D91</f>
        <v>Quality</v>
      </c>
      <c r="E1203" s="698"/>
      <c r="F1203" s="698"/>
      <c r="G1203" s="698"/>
    </row>
    <row r="1204" spans="1:7" ht="17.25" customHeight="1" x14ac:dyDescent="0.2">
      <c r="A1204" s="743" t="s">
        <v>466</v>
      </c>
      <c r="B1204" s="337">
        <v>1191</v>
      </c>
      <c r="C1204" s="326" t="str">
        <f>C1203</f>
        <v>Qualität</v>
      </c>
      <c r="D1204" s="327" t="str">
        <f>D1203</f>
        <v>Quality</v>
      </c>
      <c r="E1204" s="698"/>
      <c r="F1204" s="698"/>
      <c r="G1204" s="698"/>
    </row>
    <row r="1205" spans="1:7" ht="28.35" customHeight="1" x14ac:dyDescent="0.2">
      <c r="A1205" s="743" t="s">
        <v>466</v>
      </c>
      <c r="B1205" s="337">
        <v>1192</v>
      </c>
      <c r="C1205" s="739" t="s">
        <v>671</v>
      </c>
      <c r="D1205" s="739" t="s">
        <v>672</v>
      </c>
      <c r="E1205" s="698"/>
      <c r="F1205" s="698"/>
      <c r="G1205" s="698"/>
    </row>
    <row r="1206" spans="1:7" ht="27.1" customHeight="1" x14ac:dyDescent="0.2">
      <c r="A1206" s="743" t="s">
        <v>466</v>
      </c>
      <c r="B1206" s="337">
        <v>1193</v>
      </c>
      <c r="C1206" s="698" t="s">
        <v>673</v>
      </c>
      <c r="D1206" s="698" t="s">
        <v>674</v>
      </c>
      <c r="E1206" s="698"/>
      <c r="F1206" s="698"/>
      <c r="G1206" s="698"/>
    </row>
    <row r="1207" spans="1:7" ht="17.25" customHeight="1" x14ac:dyDescent="0.2">
      <c r="A1207" s="743" t="s">
        <v>466</v>
      </c>
      <c r="B1207" s="337">
        <v>1194</v>
      </c>
      <c r="C1207" s="733" t="s">
        <v>675</v>
      </c>
      <c r="D1207" s="722" t="s">
        <v>676</v>
      </c>
      <c r="E1207" s="698"/>
      <c r="F1207" s="698"/>
      <c r="G1207" s="698"/>
    </row>
    <row r="1208" spans="1:7" ht="17.25" customHeight="1" x14ac:dyDescent="0.2">
      <c r="A1208" s="743" t="s">
        <v>466</v>
      </c>
      <c r="B1208" s="337">
        <v>1195</v>
      </c>
      <c r="C1208" s="696" t="str">
        <f>C92</f>
        <v>Unterlieferanten</v>
      </c>
      <c r="D1208" s="696" t="str">
        <f>D92</f>
        <v>Sub-supplier</v>
      </c>
      <c r="E1208" s="698"/>
      <c r="F1208" s="698"/>
      <c r="G1208" s="698"/>
    </row>
    <row r="1209" spans="1:7" ht="17.25" customHeight="1" x14ac:dyDescent="0.2">
      <c r="A1209" s="743" t="s">
        <v>466</v>
      </c>
      <c r="B1209" s="337">
        <v>1196</v>
      </c>
      <c r="C1209" s="739" t="s">
        <v>677</v>
      </c>
      <c r="D1209" s="739" t="s">
        <v>678</v>
      </c>
      <c r="E1209" s="698"/>
      <c r="F1209" s="698"/>
      <c r="G1209" s="698"/>
    </row>
    <row r="1210" spans="1:7" ht="17.25" customHeight="1" x14ac:dyDescent="0.2">
      <c r="A1210" s="743" t="s">
        <v>466</v>
      </c>
      <c r="B1210" s="337">
        <v>1197</v>
      </c>
      <c r="C1210" s="698" t="s">
        <v>679</v>
      </c>
      <c r="D1210" s="728" t="s">
        <v>680</v>
      </c>
      <c r="E1210" s="698"/>
      <c r="F1210" s="698"/>
      <c r="G1210" s="698"/>
    </row>
    <row r="1211" spans="1:7" ht="25.05" x14ac:dyDescent="0.2">
      <c r="A1211" s="743" t="s">
        <v>466</v>
      </c>
      <c r="B1211" s="337">
        <v>1198</v>
      </c>
      <c r="C1211" s="698" t="s">
        <v>681</v>
      </c>
      <c r="D1211" s="698" t="s">
        <v>682</v>
      </c>
      <c r="E1211" s="698"/>
      <c r="F1211" s="698"/>
      <c r="G1211" s="752"/>
    </row>
    <row r="1212" spans="1:7" ht="17.25" customHeight="1" x14ac:dyDescent="0.2">
      <c r="A1212" s="743" t="s">
        <v>466</v>
      </c>
      <c r="B1212" s="337">
        <v>1199</v>
      </c>
      <c r="C1212" s="739" t="s">
        <v>543</v>
      </c>
      <c r="D1212" s="739" t="s">
        <v>544</v>
      </c>
      <c r="E1212" s="698"/>
      <c r="F1212" s="698"/>
      <c r="G1212" s="698"/>
    </row>
    <row r="1213" spans="1:7" ht="48.05" customHeight="1" x14ac:dyDescent="0.2">
      <c r="A1213" s="743" t="s">
        <v>466</v>
      </c>
      <c r="B1213" s="337">
        <v>1200</v>
      </c>
      <c r="C1213" s="698" t="s">
        <v>683</v>
      </c>
      <c r="D1213" s="698" t="s">
        <v>684</v>
      </c>
      <c r="E1213" s="698"/>
      <c r="F1213" s="698"/>
      <c r="G1213" s="698"/>
    </row>
    <row r="1214" spans="1:7" ht="27.1" customHeight="1" x14ac:dyDescent="0.2">
      <c r="A1214" s="743" t="s">
        <v>466</v>
      </c>
      <c r="B1214" s="337">
        <v>1201</v>
      </c>
      <c r="C1214" s="721" t="s">
        <v>685</v>
      </c>
      <c r="D1214" s="722" t="s">
        <v>686</v>
      </c>
      <c r="E1214" s="698"/>
      <c r="F1214" s="698"/>
      <c r="G1214" s="698"/>
    </row>
    <row r="1215" spans="1:7" ht="17.25" customHeight="1" x14ac:dyDescent="0.2">
      <c r="A1215" s="743" t="s">
        <v>466</v>
      </c>
      <c r="B1215" s="337">
        <v>1202</v>
      </c>
      <c r="C1215" s="696" t="s">
        <v>687</v>
      </c>
      <c r="D1215" s="696" t="s">
        <v>688</v>
      </c>
      <c r="E1215" s="698"/>
      <c r="F1215" s="698"/>
      <c r="G1215" s="698"/>
    </row>
    <row r="1216" spans="1:7" ht="17.25" customHeight="1" x14ac:dyDescent="0.2">
      <c r="A1216" s="743" t="s">
        <v>466</v>
      </c>
      <c r="B1216" s="337">
        <v>1203</v>
      </c>
      <c r="C1216" s="739" t="s">
        <v>689</v>
      </c>
      <c r="D1216" s="739" t="s">
        <v>690</v>
      </c>
      <c r="E1216" s="698"/>
      <c r="F1216" s="698"/>
      <c r="G1216" s="698"/>
    </row>
    <row r="1217" spans="1:7" ht="25.05" x14ac:dyDescent="0.2">
      <c r="A1217" s="743" t="s">
        <v>466</v>
      </c>
      <c r="B1217" s="337">
        <v>1204</v>
      </c>
      <c r="C1217" s="698" t="s">
        <v>691</v>
      </c>
      <c r="D1217" s="698" t="s">
        <v>692</v>
      </c>
      <c r="E1217" s="698"/>
      <c r="F1217" s="698"/>
      <c r="G1217" s="698"/>
    </row>
    <row r="1218" spans="1:7" ht="28.5" customHeight="1" x14ac:dyDescent="0.2">
      <c r="A1218" s="743" t="s">
        <v>466</v>
      </c>
      <c r="B1218" s="337">
        <v>1205</v>
      </c>
      <c r="C1218" s="721" t="s">
        <v>693</v>
      </c>
      <c r="D1218" s="698" t="s">
        <v>694</v>
      </c>
      <c r="E1218" s="698"/>
      <c r="F1218" s="698"/>
      <c r="G1218" s="698"/>
    </row>
    <row r="1219" spans="1:7" ht="17.25" customHeight="1" x14ac:dyDescent="0.2">
      <c r="A1219" s="743" t="s">
        <v>466</v>
      </c>
      <c r="B1219" s="337">
        <v>1206</v>
      </c>
      <c r="C1219" s="739" t="s">
        <v>695</v>
      </c>
      <c r="D1219" s="739" t="s">
        <v>696</v>
      </c>
      <c r="E1219" s="698"/>
      <c r="F1219" s="698"/>
      <c r="G1219" s="698"/>
    </row>
    <row r="1220" spans="1:7" ht="37.6" x14ac:dyDescent="0.2">
      <c r="A1220" s="743" t="s">
        <v>466</v>
      </c>
      <c r="B1220" s="337">
        <v>1207</v>
      </c>
      <c r="C1220" s="698" t="s">
        <v>697</v>
      </c>
      <c r="D1220" s="698" t="s">
        <v>698</v>
      </c>
      <c r="E1220" s="698"/>
      <c r="F1220" s="698"/>
      <c r="G1220" s="698"/>
    </row>
    <row r="1221" spans="1:7" ht="55.1" customHeight="1" x14ac:dyDescent="0.2">
      <c r="A1221" s="743" t="s">
        <v>466</v>
      </c>
      <c r="B1221" s="337">
        <v>1208</v>
      </c>
      <c r="C1221" s="721" t="s">
        <v>699</v>
      </c>
      <c r="D1221" s="698" t="s">
        <v>700</v>
      </c>
      <c r="E1221" s="698"/>
      <c r="F1221" s="698"/>
      <c r="G1221" s="698"/>
    </row>
    <row r="1222" spans="1:7" ht="17.25" customHeight="1" x14ac:dyDescent="0.2">
      <c r="A1222" s="743" t="s">
        <v>466</v>
      </c>
      <c r="B1222" s="337">
        <v>1209</v>
      </c>
      <c r="C1222" s="698" t="s">
        <v>701</v>
      </c>
      <c r="D1222" s="698" t="s">
        <v>702</v>
      </c>
      <c r="E1222" s="698"/>
      <c r="F1222" s="698"/>
      <c r="G1222" s="698"/>
    </row>
    <row r="1223" spans="1:7" ht="25.05" x14ac:dyDescent="0.2">
      <c r="A1223" s="330" t="s">
        <v>703</v>
      </c>
      <c r="B1223" s="337">
        <v>1210</v>
      </c>
      <c r="C1223" s="149" t="s">
        <v>704</v>
      </c>
      <c r="D1223" s="149" t="s">
        <v>705</v>
      </c>
      <c r="E1223" s="149"/>
      <c r="F1223" s="149"/>
      <c r="G1223" s="149"/>
    </row>
    <row r="1224" spans="1:7" ht="17.25" customHeight="1" x14ac:dyDescent="0.2">
      <c r="A1224" s="753" t="s">
        <v>703</v>
      </c>
      <c r="B1224" s="337">
        <v>1211</v>
      </c>
      <c r="C1224" s="698" t="s">
        <v>706</v>
      </c>
      <c r="D1224" s="698" t="s">
        <v>707</v>
      </c>
      <c r="E1224" s="698"/>
      <c r="F1224" s="698"/>
      <c r="G1224" s="698"/>
    </row>
    <row r="1225" spans="1:7" ht="26.3" customHeight="1" x14ac:dyDescent="0.2">
      <c r="A1225" s="753" t="s">
        <v>703</v>
      </c>
      <c r="B1225" s="337">
        <v>1212</v>
      </c>
      <c r="C1225" s="698" t="s">
        <v>708</v>
      </c>
      <c r="D1225" s="698" t="s">
        <v>709</v>
      </c>
      <c r="E1225" s="698"/>
      <c r="F1225" s="698"/>
      <c r="G1225" s="698"/>
    </row>
    <row r="1226" spans="1:7" ht="17.25" customHeight="1" x14ac:dyDescent="0.2">
      <c r="A1226" s="753" t="s">
        <v>703</v>
      </c>
      <c r="B1226" s="337">
        <v>1213</v>
      </c>
      <c r="C1226" s="698" t="s">
        <v>710</v>
      </c>
      <c r="D1226" s="698" t="s">
        <v>711</v>
      </c>
      <c r="E1226" s="698"/>
      <c r="F1226" s="698"/>
      <c r="G1226" s="698"/>
    </row>
    <row r="1227" spans="1:7" ht="26.3" customHeight="1" x14ac:dyDescent="0.2">
      <c r="A1227" s="753" t="s">
        <v>703</v>
      </c>
      <c r="B1227" s="337">
        <v>1214</v>
      </c>
      <c r="C1227" s="698" t="s">
        <v>712</v>
      </c>
      <c r="D1227" s="698" t="s">
        <v>713</v>
      </c>
      <c r="E1227" s="698"/>
      <c r="F1227" s="698"/>
      <c r="G1227" s="698"/>
    </row>
    <row r="1228" spans="1:7" ht="17.25" customHeight="1" x14ac:dyDescent="0.2">
      <c r="A1228" s="753" t="s">
        <v>703</v>
      </c>
      <c r="B1228" s="337">
        <v>1215</v>
      </c>
      <c r="C1228" s="698" t="s">
        <v>714</v>
      </c>
      <c r="D1228" s="698" t="s">
        <v>715</v>
      </c>
      <c r="E1228" s="698"/>
      <c r="F1228" s="698"/>
      <c r="G1228" s="698"/>
    </row>
    <row r="1229" spans="1:7" ht="17.25" customHeight="1" x14ac:dyDescent="0.2">
      <c r="A1229" s="753" t="s">
        <v>703</v>
      </c>
      <c r="B1229" s="337">
        <v>1216</v>
      </c>
      <c r="C1229" s="698"/>
      <c r="D1229" s="698"/>
      <c r="E1229" s="698"/>
      <c r="F1229" s="698"/>
      <c r="G1229" s="698"/>
    </row>
    <row r="1230" spans="1:7" ht="27.7" customHeight="1" x14ac:dyDescent="0.2">
      <c r="A1230" s="753" t="s">
        <v>703</v>
      </c>
      <c r="B1230" s="337">
        <v>1217</v>
      </c>
      <c r="C1230" s="698" t="s">
        <v>716</v>
      </c>
      <c r="D1230" s="698" t="s">
        <v>717</v>
      </c>
      <c r="E1230" s="698"/>
      <c r="F1230" s="698"/>
      <c r="G1230" s="698"/>
    </row>
    <row r="1231" spans="1:7" ht="17.25" customHeight="1" x14ac:dyDescent="0.2">
      <c r="A1231" s="753" t="s">
        <v>703</v>
      </c>
      <c r="B1231" s="337">
        <v>1218</v>
      </c>
      <c r="C1231" s="698"/>
      <c r="D1231" s="698"/>
      <c r="E1231" s="698"/>
      <c r="F1231" s="698"/>
      <c r="G1231" s="698"/>
    </row>
    <row r="1232" spans="1:7" ht="17.25" customHeight="1" x14ac:dyDescent="0.2">
      <c r="A1232" s="753" t="s">
        <v>703</v>
      </c>
      <c r="B1232" s="337">
        <v>1219</v>
      </c>
      <c r="C1232" s="698" t="s">
        <v>718</v>
      </c>
      <c r="D1232" s="698" t="s">
        <v>719</v>
      </c>
      <c r="E1232" s="698"/>
      <c r="F1232" s="698"/>
      <c r="G1232" s="698"/>
    </row>
    <row r="1233" spans="1:7" ht="17.25" customHeight="1" x14ac:dyDescent="0.2">
      <c r="A1233" s="753" t="s">
        <v>703</v>
      </c>
      <c r="B1233" s="337">
        <v>1220</v>
      </c>
      <c r="C1233" s="698"/>
      <c r="D1233" s="698"/>
      <c r="E1233" s="698"/>
      <c r="F1233" s="698"/>
      <c r="G1233" s="698"/>
    </row>
    <row r="1234" spans="1:7" ht="17.25" customHeight="1" x14ac:dyDescent="0.2">
      <c r="A1234" s="753" t="s">
        <v>703</v>
      </c>
      <c r="B1234" s="337">
        <v>1221</v>
      </c>
      <c r="C1234" s="698" t="s">
        <v>720</v>
      </c>
      <c r="D1234" s="698" t="s">
        <v>721</v>
      </c>
      <c r="E1234" s="698"/>
      <c r="F1234" s="698"/>
      <c r="G1234" s="698"/>
    </row>
    <row r="1235" spans="1:7" ht="17.25" customHeight="1" x14ac:dyDescent="0.2">
      <c r="A1235" s="753" t="s">
        <v>703</v>
      </c>
      <c r="B1235" s="337">
        <v>1222</v>
      </c>
      <c r="C1235" s="698"/>
      <c r="D1235" s="698"/>
      <c r="E1235" s="698"/>
      <c r="F1235" s="698"/>
      <c r="G1235" s="698"/>
    </row>
    <row r="1236" spans="1:7" ht="17.25" customHeight="1" x14ac:dyDescent="0.2">
      <c r="A1236" s="753" t="s">
        <v>703</v>
      </c>
      <c r="B1236" s="337">
        <v>1223</v>
      </c>
      <c r="C1236" s="698" t="s">
        <v>722</v>
      </c>
      <c r="D1236" s="698" t="s">
        <v>723</v>
      </c>
      <c r="E1236" s="698"/>
      <c r="F1236" s="698"/>
      <c r="G1236" s="698"/>
    </row>
    <row r="1237" spans="1:7" ht="17.25" customHeight="1" x14ac:dyDescent="0.2">
      <c r="A1237" s="753" t="s">
        <v>703</v>
      </c>
      <c r="B1237" s="337">
        <v>1224</v>
      </c>
      <c r="C1237" s="698"/>
      <c r="D1237" s="698"/>
      <c r="E1237" s="698"/>
      <c r="F1237" s="698"/>
      <c r="G1237" s="698"/>
    </row>
    <row r="1238" spans="1:7" ht="25.55" customHeight="1" x14ac:dyDescent="0.2">
      <c r="A1238" s="753" t="s">
        <v>703</v>
      </c>
      <c r="B1238" s="337">
        <v>1225</v>
      </c>
      <c r="C1238" s="698" t="s">
        <v>724</v>
      </c>
      <c r="D1238" s="698" t="s">
        <v>725</v>
      </c>
      <c r="E1238" s="698"/>
      <c r="F1238" s="698"/>
      <c r="G1238" s="698"/>
    </row>
    <row r="1239" spans="1:7" ht="17.25" customHeight="1" x14ac:dyDescent="0.2">
      <c r="A1239" s="753" t="s">
        <v>703</v>
      </c>
      <c r="B1239" s="337">
        <v>1226</v>
      </c>
      <c r="C1239" s="698"/>
      <c r="D1239" s="698"/>
      <c r="E1239" s="698"/>
      <c r="F1239" s="698"/>
      <c r="G1239" s="698"/>
    </row>
    <row r="1240" spans="1:7" ht="17.25" customHeight="1" x14ac:dyDescent="0.2">
      <c r="A1240" s="753" t="s">
        <v>703</v>
      </c>
      <c r="B1240" s="337">
        <v>1227</v>
      </c>
      <c r="C1240" s="698" t="s">
        <v>726</v>
      </c>
      <c r="D1240" s="698" t="s">
        <v>727</v>
      </c>
      <c r="E1240" s="698"/>
      <c r="F1240" s="698"/>
      <c r="G1240" s="698"/>
    </row>
    <row r="1241" spans="1:7" ht="17.25" customHeight="1" x14ac:dyDescent="0.2">
      <c r="A1241" s="753" t="s">
        <v>703</v>
      </c>
      <c r="B1241" s="337">
        <v>1228</v>
      </c>
      <c r="C1241" s="698"/>
      <c r="D1241" s="698"/>
      <c r="E1241" s="698"/>
      <c r="F1241" s="698"/>
      <c r="G1241" s="698"/>
    </row>
    <row r="1242" spans="1:7" ht="30.05" customHeight="1" x14ac:dyDescent="0.2">
      <c r="A1242" s="753" t="s">
        <v>703</v>
      </c>
      <c r="B1242" s="337">
        <v>1229</v>
      </c>
      <c r="C1242" s="698" t="s">
        <v>728</v>
      </c>
      <c r="D1242" s="698" t="s">
        <v>729</v>
      </c>
      <c r="E1242" s="698"/>
      <c r="F1242" s="698"/>
      <c r="G1242" s="698"/>
    </row>
    <row r="1243" spans="1:7" ht="17.25" customHeight="1" x14ac:dyDescent="0.2">
      <c r="A1243" s="753" t="s">
        <v>703</v>
      </c>
      <c r="B1243" s="337">
        <v>1230</v>
      </c>
      <c r="C1243" s="698"/>
      <c r="D1243" s="698"/>
      <c r="E1243" s="698"/>
      <c r="F1243" s="698"/>
      <c r="G1243" s="698"/>
    </row>
    <row r="1244" spans="1:7" ht="24.75" customHeight="1" x14ac:dyDescent="0.2">
      <c r="A1244" s="753" t="s">
        <v>703</v>
      </c>
      <c r="B1244" s="337">
        <v>1231</v>
      </c>
      <c r="C1244" s="698" t="s">
        <v>730</v>
      </c>
      <c r="D1244" s="698" t="s">
        <v>731</v>
      </c>
      <c r="E1244" s="698"/>
      <c r="F1244" s="698"/>
      <c r="G1244" s="698"/>
    </row>
    <row r="1245" spans="1:7" ht="17.25" customHeight="1" x14ac:dyDescent="0.2">
      <c r="A1245" s="753" t="s">
        <v>703</v>
      </c>
      <c r="B1245" s="337">
        <v>1232</v>
      </c>
      <c r="C1245" s="698"/>
      <c r="D1245" s="698"/>
      <c r="E1245" s="698"/>
      <c r="F1245" s="698"/>
      <c r="G1245" s="698"/>
    </row>
    <row r="1246" spans="1:7" ht="17.25" customHeight="1" x14ac:dyDescent="0.2">
      <c r="A1246" s="753" t="s">
        <v>703</v>
      </c>
      <c r="B1246" s="337">
        <v>1233</v>
      </c>
      <c r="C1246" s="698" t="s">
        <v>732</v>
      </c>
      <c r="D1246" s="698" t="s">
        <v>733</v>
      </c>
      <c r="E1246" s="698"/>
      <c r="F1246" s="698"/>
      <c r="G1246" s="698"/>
    </row>
    <row r="1247" spans="1:7" ht="17.25" customHeight="1" x14ac:dyDescent="0.2">
      <c r="A1247" s="753" t="s">
        <v>703</v>
      </c>
      <c r="B1247" s="337">
        <v>1234</v>
      </c>
      <c r="C1247" s="698"/>
      <c r="D1247" s="698"/>
      <c r="E1247" s="698"/>
      <c r="F1247" s="698"/>
      <c r="G1247" s="698"/>
    </row>
    <row r="1248" spans="1:7" ht="26.3" customHeight="1" x14ac:dyDescent="0.2">
      <c r="A1248" s="753" t="s">
        <v>703</v>
      </c>
      <c r="B1248" s="337">
        <v>1235</v>
      </c>
      <c r="C1248" s="698" t="s">
        <v>730</v>
      </c>
      <c r="D1248" s="698" t="s">
        <v>734</v>
      </c>
      <c r="E1248" s="698"/>
      <c r="F1248" s="698"/>
      <c r="G1248" s="698"/>
    </row>
    <row r="1249" spans="1:7" ht="17.25" customHeight="1" x14ac:dyDescent="0.2">
      <c r="A1249" s="753" t="s">
        <v>703</v>
      </c>
      <c r="B1249" s="337">
        <v>1236</v>
      </c>
      <c r="C1249" s="698"/>
      <c r="D1249" s="698"/>
      <c r="E1249" s="698"/>
      <c r="F1249" s="698"/>
      <c r="G1249" s="698"/>
    </row>
    <row r="1250" spans="1:7" ht="27.7" customHeight="1" x14ac:dyDescent="0.2">
      <c r="A1250" s="753" t="s">
        <v>703</v>
      </c>
      <c r="B1250" s="337">
        <v>1237</v>
      </c>
      <c r="C1250" s="698" t="s">
        <v>735</v>
      </c>
      <c r="D1250" s="698" t="s">
        <v>736</v>
      </c>
      <c r="E1250" s="698"/>
      <c r="F1250" s="698"/>
      <c r="G1250" s="698"/>
    </row>
    <row r="1251" spans="1:7" ht="17.25" customHeight="1" x14ac:dyDescent="0.2">
      <c r="A1251" s="753" t="s">
        <v>703</v>
      </c>
      <c r="B1251" s="337">
        <v>1238</v>
      </c>
      <c r="C1251" s="698"/>
      <c r="D1251" s="698"/>
      <c r="E1251" s="698"/>
      <c r="F1251" s="698"/>
      <c r="G1251" s="698"/>
    </row>
    <row r="1252" spans="1:7" ht="26.3" customHeight="1" x14ac:dyDescent="0.2">
      <c r="A1252" s="753" t="s">
        <v>703</v>
      </c>
      <c r="B1252" s="337">
        <v>1239</v>
      </c>
      <c r="C1252" s="698" t="s">
        <v>737</v>
      </c>
      <c r="D1252" s="698" t="s">
        <v>738</v>
      </c>
      <c r="E1252" s="698"/>
      <c r="F1252" s="698"/>
      <c r="G1252" s="698"/>
    </row>
    <row r="1253" spans="1:7" ht="17.25" customHeight="1" x14ac:dyDescent="0.2">
      <c r="A1253" s="753" t="s">
        <v>703</v>
      </c>
      <c r="B1253" s="337">
        <v>1240</v>
      </c>
      <c r="C1253" s="698"/>
      <c r="D1253" s="698"/>
      <c r="E1253" s="698"/>
      <c r="F1253" s="698"/>
      <c r="G1253" s="698"/>
    </row>
    <row r="1254" spans="1:7" ht="17.25" customHeight="1" x14ac:dyDescent="0.2">
      <c r="A1254" s="753" t="s">
        <v>703</v>
      </c>
      <c r="B1254" s="337">
        <v>1241</v>
      </c>
      <c r="C1254" s="698" t="s">
        <v>739</v>
      </c>
      <c r="D1254" s="698" t="s">
        <v>740</v>
      </c>
      <c r="E1254" s="698"/>
      <c r="F1254" s="698"/>
      <c r="G1254" s="698"/>
    </row>
    <row r="1255" spans="1:7" ht="17.25" customHeight="1" x14ac:dyDescent="0.2">
      <c r="A1255" s="753" t="s">
        <v>703</v>
      </c>
      <c r="B1255" s="337">
        <v>1242</v>
      </c>
      <c r="C1255" s="698"/>
      <c r="D1255" s="698"/>
      <c r="E1255" s="698"/>
      <c r="F1255" s="698"/>
      <c r="G1255" s="698"/>
    </row>
    <row r="1256" spans="1:7" ht="17.25" customHeight="1" x14ac:dyDescent="0.2">
      <c r="A1256" s="753" t="s">
        <v>703</v>
      </c>
      <c r="B1256" s="337">
        <v>1243</v>
      </c>
      <c r="C1256" s="698" t="s">
        <v>741</v>
      </c>
      <c r="D1256" s="698" t="s">
        <v>742</v>
      </c>
      <c r="E1256" s="698"/>
      <c r="F1256" s="698"/>
      <c r="G1256" s="698"/>
    </row>
    <row r="1257" spans="1:7" ht="17.25" customHeight="1" x14ac:dyDescent="0.2">
      <c r="A1257" s="753" t="s">
        <v>703</v>
      </c>
      <c r="B1257" s="337">
        <v>1244</v>
      </c>
      <c r="C1257" s="698"/>
      <c r="D1257" s="698"/>
      <c r="E1257" s="698"/>
      <c r="F1257" s="698"/>
      <c r="G1257" s="698"/>
    </row>
    <row r="1258" spans="1:7" ht="17.25" customHeight="1" x14ac:dyDescent="0.2">
      <c r="A1258" s="753" t="s">
        <v>703</v>
      </c>
      <c r="B1258" s="337">
        <v>1245</v>
      </c>
      <c r="C1258" s="698" t="s">
        <v>743</v>
      </c>
      <c r="D1258" s="698" t="s">
        <v>744</v>
      </c>
      <c r="E1258" s="698"/>
      <c r="F1258" s="698"/>
      <c r="G1258" s="698"/>
    </row>
    <row r="1259" spans="1:7" ht="17.25" customHeight="1" x14ac:dyDescent="0.2">
      <c r="A1259" s="753" t="s">
        <v>703</v>
      </c>
      <c r="B1259" s="337">
        <v>1246</v>
      </c>
      <c r="C1259" s="698"/>
      <c r="D1259" s="698"/>
      <c r="E1259" s="698"/>
      <c r="F1259" s="698"/>
      <c r="G1259" s="698"/>
    </row>
    <row r="1260" spans="1:7" ht="17.25" customHeight="1" x14ac:dyDescent="0.2">
      <c r="A1260" s="753" t="s">
        <v>703</v>
      </c>
      <c r="B1260" s="337">
        <v>1247</v>
      </c>
      <c r="C1260" s="698" t="s">
        <v>745</v>
      </c>
      <c r="D1260" s="698" t="s">
        <v>97</v>
      </c>
      <c r="E1260" s="698"/>
      <c r="F1260" s="698"/>
      <c r="G1260" s="698"/>
    </row>
    <row r="1261" spans="1:7" ht="17.25" customHeight="1" x14ac:dyDescent="0.2">
      <c r="A1261" s="753" t="s">
        <v>703</v>
      </c>
      <c r="B1261" s="337">
        <v>1248</v>
      </c>
      <c r="C1261" s="698"/>
      <c r="D1261" s="698"/>
      <c r="E1261" s="698"/>
      <c r="F1261" s="698"/>
      <c r="G1261" s="698"/>
    </row>
    <row r="1262" spans="1:7" ht="17.25" customHeight="1" x14ac:dyDescent="0.2">
      <c r="A1262" s="753" t="s">
        <v>703</v>
      </c>
      <c r="B1262" s="337">
        <v>1249</v>
      </c>
      <c r="C1262" s="698" t="s">
        <v>746</v>
      </c>
      <c r="D1262" s="698" t="s">
        <v>747</v>
      </c>
      <c r="E1262" s="698"/>
      <c r="F1262" s="698"/>
      <c r="G1262" s="698"/>
    </row>
    <row r="1263" spans="1:7" ht="17.25" customHeight="1" x14ac:dyDescent="0.2">
      <c r="A1263" s="753" t="s">
        <v>703</v>
      </c>
      <c r="B1263" s="337">
        <v>1250</v>
      </c>
      <c r="C1263" s="698"/>
      <c r="D1263" s="698"/>
      <c r="E1263" s="698"/>
      <c r="F1263" s="698"/>
      <c r="G1263" s="698"/>
    </row>
    <row r="1264" spans="1:7" ht="17.25" customHeight="1" x14ac:dyDescent="0.2">
      <c r="A1264" s="753" t="s">
        <v>703</v>
      </c>
      <c r="B1264" s="337">
        <v>1251</v>
      </c>
      <c r="C1264" s="698" t="s">
        <v>748</v>
      </c>
      <c r="D1264" s="698" t="s">
        <v>749</v>
      </c>
      <c r="E1264" s="698"/>
      <c r="F1264" s="698"/>
      <c r="G1264" s="698"/>
    </row>
    <row r="1265" spans="1:7" ht="17.25" customHeight="1" x14ac:dyDescent="0.2">
      <c r="A1265" s="753" t="s">
        <v>703</v>
      </c>
      <c r="B1265" s="337">
        <v>1252</v>
      </c>
      <c r="C1265" s="698"/>
      <c r="D1265" s="698"/>
      <c r="E1265" s="698"/>
      <c r="F1265" s="698"/>
      <c r="G1265" s="698"/>
    </row>
    <row r="1266" spans="1:7" ht="17.25" customHeight="1" x14ac:dyDescent="0.2">
      <c r="A1266" s="753" t="s">
        <v>703</v>
      </c>
      <c r="B1266" s="337">
        <v>1253</v>
      </c>
      <c r="C1266" s="698" t="s">
        <v>750</v>
      </c>
      <c r="D1266" s="698" t="s">
        <v>751</v>
      </c>
      <c r="E1266" s="698"/>
      <c r="F1266" s="698"/>
      <c r="G1266" s="698"/>
    </row>
    <row r="1267" spans="1:7" ht="17.25" customHeight="1" x14ac:dyDescent="0.2">
      <c r="A1267" s="753" t="s">
        <v>703</v>
      </c>
      <c r="B1267" s="337">
        <v>1254</v>
      </c>
      <c r="C1267" s="698"/>
      <c r="D1267" s="698"/>
      <c r="E1267" s="698"/>
      <c r="F1267" s="698"/>
      <c r="G1267" s="698"/>
    </row>
    <row r="1268" spans="1:7" ht="17.25" customHeight="1" x14ac:dyDescent="0.2">
      <c r="A1268" s="753" t="s">
        <v>703</v>
      </c>
      <c r="B1268" s="337">
        <v>1255</v>
      </c>
      <c r="C1268" s="698" t="s">
        <v>752</v>
      </c>
      <c r="D1268" s="698" t="s">
        <v>753</v>
      </c>
      <c r="E1268" s="698"/>
      <c r="F1268" s="698"/>
      <c r="G1268" s="698"/>
    </row>
    <row r="1269" spans="1:7" ht="17.25" customHeight="1" x14ac:dyDescent="0.2">
      <c r="A1269" s="753" t="s">
        <v>703</v>
      </c>
      <c r="B1269" s="337">
        <v>1256</v>
      </c>
      <c r="C1269" s="698"/>
      <c r="D1269" s="698"/>
      <c r="E1269" s="698"/>
      <c r="F1269" s="698"/>
      <c r="G1269" s="698"/>
    </row>
    <row r="1270" spans="1:7" ht="17.25" customHeight="1" x14ac:dyDescent="0.2">
      <c r="A1270" s="753" t="s">
        <v>703</v>
      </c>
      <c r="B1270" s="337">
        <v>1257</v>
      </c>
      <c r="C1270" s="698" t="s">
        <v>754</v>
      </c>
      <c r="D1270" s="698" t="s">
        <v>755</v>
      </c>
      <c r="E1270" s="698"/>
      <c r="F1270" s="698"/>
      <c r="G1270" s="698"/>
    </row>
    <row r="1271" spans="1:7" ht="17.25" customHeight="1" x14ac:dyDescent="0.2">
      <c r="A1271" s="753" t="s">
        <v>703</v>
      </c>
      <c r="B1271" s="337">
        <v>1258</v>
      </c>
      <c r="C1271" s="698"/>
      <c r="D1271" s="698"/>
      <c r="E1271" s="698"/>
      <c r="F1271" s="698"/>
      <c r="G1271" s="698"/>
    </row>
    <row r="1272" spans="1:7" ht="17.25" customHeight="1" x14ac:dyDescent="0.2">
      <c r="A1272" s="753" t="s">
        <v>703</v>
      </c>
      <c r="B1272" s="337">
        <v>1259</v>
      </c>
      <c r="C1272" s="698" t="s">
        <v>756</v>
      </c>
      <c r="D1272" s="698" t="s">
        <v>757</v>
      </c>
      <c r="E1272" s="698"/>
      <c r="F1272" s="698"/>
      <c r="G1272" s="698"/>
    </row>
    <row r="1273" spans="1:7" ht="17.25" customHeight="1" x14ac:dyDescent="0.2">
      <c r="A1273" s="753" t="s">
        <v>703</v>
      </c>
      <c r="B1273" s="337">
        <v>1260</v>
      </c>
      <c r="C1273" s="698"/>
      <c r="D1273" s="698"/>
      <c r="E1273" s="698"/>
      <c r="F1273" s="698"/>
      <c r="G1273" s="698"/>
    </row>
    <row r="1274" spans="1:7" ht="17.25" customHeight="1" x14ac:dyDescent="0.2">
      <c r="A1274" s="753" t="s">
        <v>703</v>
      </c>
      <c r="B1274" s="337">
        <v>1261</v>
      </c>
      <c r="C1274" s="698" t="s">
        <v>758</v>
      </c>
      <c r="D1274" s="698" t="s">
        <v>759</v>
      </c>
      <c r="E1274" s="698"/>
      <c r="F1274" s="698"/>
      <c r="G1274" s="698"/>
    </row>
    <row r="1275" spans="1:7" ht="17.25" customHeight="1" x14ac:dyDescent="0.2">
      <c r="A1275" s="753" t="s">
        <v>703</v>
      </c>
      <c r="B1275" s="337">
        <v>1262</v>
      </c>
      <c r="C1275" s="698"/>
      <c r="D1275" s="698"/>
      <c r="E1275" s="698"/>
      <c r="F1275" s="698"/>
      <c r="G1275" s="698"/>
    </row>
    <row r="1276" spans="1:7" ht="17.25" customHeight="1" x14ac:dyDescent="0.2">
      <c r="A1276" s="753" t="s">
        <v>703</v>
      </c>
      <c r="B1276" s="337">
        <v>1263</v>
      </c>
      <c r="C1276" s="698" t="s">
        <v>760</v>
      </c>
      <c r="D1276" s="698" t="s">
        <v>761</v>
      </c>
      <c r="E1276" s="698"/>
      <c r="F1276" s="698"/>
      <c r="G1276" s="698"/>
    </row>
    <row r="1277" spans="1:7" ht="17.25" customHeight="1" x14ac:dyDescent="0.2">
      <c r="A1277" s="753" t="s">
        <v>703</v>
      </c>
      <c r="B1277" s="337">
        <v>1264</v>
      </c>
      <c r="C1277" s="698"/>
      <c r="D1277" s="698"/>
      <c r="E1277" s="698"/>
      <c r="F1277" s="698"/>
      <c r="G1277" s="698"/>
    </row>
    <row r="1278" spans="1:7" ht="17.25" customHeight="1" x14ac:dyDescent="0.2">
      <c r="A1278" s="753" t="s">
        <v>703</v>
      </c>
      <c r="B1278" s="337">
        <v>1265</v>
      </c>
      <c r="C1278" s="698" t="s">
        <v>762</v>
      </c>
      <c r="D1278" s="698" t="s">
        <v>763</v>
      </c>
      <c r="E1278" s="698"/>
      <c r="F1278" s="698"/>
      <c r="G1278" s="698"/>
    </row>
    <row r="1279" spans="1:7" ht="17.25" customHeight="1" x14ac:dyDescent="0.2">
      <c r="A1279" s="753" t="s">
        <v>703</v>
      </c>
      <c r="B1279" s="337">
        <v>1266</v>
      </c>
      <c r="C1279" s="698"/>
      <c r="D1279" s="698"/>
      <c r="E1279" s="698"/>
      <c r="F1279" s="698"/>
      <c r="G1279" s="698"/>
    </row>
    <row r="1280" spans="1:7" ht="17.25" customHeight="1" x14ac:dyDescent="0.2">
      <c r="A1280" s="753" t="s">
        <v>703</v>
      </c>
      <c r="B1280" s="337">
        <v>1267</v>
      </c>
      <c r="C1280" s="698" t="s">
        <v>764</v>
      </c>
      <c r="D1280" s="698" t="s">
        <v>765</v>
      </c>
      <c r="E1280" s="698"/>
      <c r="F1280" s="698"/>
      <c r="G1280" s="698"/>
    </row>
    <row r="1281" spans="1:7" ht="17.25" customHeight="1" x14ac:dyDescent="0.2">
      <c r="A1281" s="753" t="s">
        <v>703</v>
      </c>
      <c r="B1281" s="337">
        <v>1268</v>
      </c>
      <c r="C1281" s="698"/>
      <c r="D1281" s="698"/>
      <c r="E1281" s="698"/>
      <c r="F1281" s="698"/>
      <c r="G1281" s="698"/>
    </row>
    <row r="1282" spans="1:7" ht="17.25" customHeight="1" x14ac:dyDescent="0.2">
      <c r="A1282" s="753" t="s">
        <v>703</v>
      </c>
      <c r="B1282" s="337">
        <v>1269</v>
      </c>
      <c r="C1282" s="698" t="s">
        <v>766</v>
      </c>
      <c r="D1282" s="698" t="s">
        <v>767</v>
      </c>
      <c r="E1282" s="698"/>
      <c r="F1282" s="698"/>
      <c r="G1282" s="698"/>
    </row>
    <row r="1283" spans="1:7" ht="17.25" customHeight="1" x14ac:dyDescent="0.2">
      <c r="A1283" s="753" t="s">
        <v>703</v>
      </c>
      <c r="B1283" s="337">
        <v>1270</v>
      </c>
      <c r="C1283" s="698"/>
      <c r="D1283" s="698"/>
      <c r="E1283" s="698"/>
      <c r="F1283" s="698"/>
      <c r="G1283" s="698"/>
    </row>
    <row r="1284" spans="1:7" ht="17.25" customHeight="1" x14ac:dyDescent="0.2">
      <c r="A1284" s="753" t="s">
        <v>703</v>
      </c>
      <c r="B1284" s="337">
        <v>1271</v>
      </c>
      <c r="C1284" s="698"/>
      <c r="D1284" s="698"/>
      <c r="E1284" s="698"/>
      <c r="F1284" s="698"/>
      <c r="G1284" s="698"/>
    </row>
    <row r="1285" spans="1:7" ht="70.75" customHeight="1" x14ac:dyDescent="0.2">
      <c r="A1285" s="753" t="s">
        <v>703</v>
      </c>
      <c r="B1285" s="337">
        <v>1272</v>
      </c>
      <c r="C1285" s="698" t="s">
        <v>2314</v>
      </c>
      <c r="D1285" s="698" t="s">
        <v>2311</v>
      </c>
      <c r="E1285" s="698"/>
      <c r="F1285" s="698"/>
      <c r="G1285" s="698"/>
    </row>
    <row r="1286" spans="1:7" ht="78.3" customHeight="1" x14ac:dyDescent="0.2">
      <c r="A1286" s="753" t="s">
        <v>703</v>
      </c>
      <c r="B1286" s="337">
        <v>1273</v>
      </c>
      <c r="C1286" s="730" t="s">
        <v>2313</v>
      </c>
      <c r="D1286" s="730" t="s">
        <v>2312</v>
      </c>
      <c r="E1286" s="698"/>
      <c r="F1286" s="698"/>
      <c r="G1286" s="698"/>
    </row>
    <row r="1287" spans="1:7" ht="17.25" customHeight="1" x14ac:dyDescent="0.2">
      <c r="A1287" s="753" t="s">
        <v>703</v>
      </c>
      <c r="B1287" s="337">
        <v>1274</v>
      </c>
      <c r="D1287" s="698"/>
      <c r="E1287" s="698"/>
      <c r="F1287" s="698"/>
      <c r="G1287" s="698"/>
    </row>
    <row r="1288" spans="1:7" ht="17.25" customHeight="1" x14ac:dyDescent="0.2">
      <c r="A1288" s="753" t="s">
        <v>703</v>
      </c>
      <c r="B1288" s="337">
        <v>1275</v>
      </c>
      <c r="C1288" s="698"/>
      <c r="D1288" s="698"/>
      <c r="E1288" s="698"/>
      <c r="F1288" s="698"/>
      <c r="G1288" s="698"/>
    </row>
    <row r="1289" spans="1:7" ht="17.25" customHeight="1" x14ac:dyDescent="0.2">
      <c r="A1289" s="753" t="s">
        <v>703</v>
      </c>
      <c r="B1289" s="337">
        <v>1276</v>
      </c>
      <c r="C1289" s="698"/>
      <c r="D1289" s="698"/>
      <c r="E1289" s="698"/>
      <c r="F1289" s="698"/>
      <c r="G1289" s="698"/>
    </row>
    <row r="1290" spans="1:7" ht="17.25" customHeight="1" x14ac:dyDescent="0.2">
      <c r="A1290" s="753" t="s">
        <v>703</v>
      </c>
      <c r="B1290" s="337">
        <v>1277</v>
      </c>
      <c r="C1290" s="698"/>
      <c r="D1290" s="698"/>
      <c r="E1290" s="698"/>
      <c r="F1290" s="698"/>
      <c r="G1290" s="698"/>
    </row>
    <row r="1291" spans="1:7" ht="17.25" customHeight="1" x14ac:dyDescent="0.2">
      <c r="A1291" s="753" t="s">
        <v>703</v>
      </c>
      <c r="B1291" s="337">
        <v>1278</v>
      </c>
      <c r="C1291" s="698"/>
      <c r="D1291" s="698"/>
      <c r="E1291" s="698"/>
      <c r="F1291" s="698"/>
      <c r="G1291" s="698"/>
    </row>
    <row r="1292" spans="1:7" ht="17.25" customHeight="1" x14ac:dyDescent="0.2">
      <c r="A1292" s="753" t="s">
        <v>703</v>
      </c>
      <c r="B1292" s="337">
        <v>1279</v>
      </c>
      <c r="C1292" s="698"/>
      <c r="D1292" s="698"/>
      <c r="E1292" s="698"/>
      <c r="F1292" s="698"/>
      <c r="G1292" s="698"/>
    </row>
    <row r="1293" spans="1:7" ht="17.25" customHeight="1" x14ac:dyDescent="0.2">
      <c r="A1293" s="753" t="s">
        <v>703</v>
      </c>
      <c r="B1293" s="337">
        <v>1280</v>
      </c>
      <c r="C1293" s="698"/>
      <c r="D1293" s="698"/>
      <c r="E1293" s="698"/>
      <c r="F1293" s="698"/>
      <c r="G1293" s="698"/>
    </row>
    <row r="1294" spans="1:7" ht="17.25" customHeight="1" x14ac:dyDescent="0.2">
      <c r="A1294" s="753" t="s">
        <v>703</v>
      </c>
      <c r="B1294" s="337">
        <v>1281</v>
      </c>
      <c r="C1294" s="698"/>
      <c r="D1294" s="698"/>
      <c r="E1294" s="698"/>
      <c r="F1294" s="698"/>
      <c r="G1294" s="698"/>
    </row>
    <row r="1295" spans="1:7" ht="17.25" customHeight="1" x14ac:dyDescent="0.2">
      <c r="A1295" s="753" t="s">
        <v>703</v>
      </c>
      <c r="B1295" s="337">
        <v>1282</v>
      </c>
      <c r="C1295" s="698"/>
      <c r="D1295" s="698"/>
      <c r="E1295" s="698"/>
      <c r="F1295" s="698"/>
      <c r="G1295" s="698"/>
    </row>
    <row r="1296" spans="1:7" ht="17.25" customHeight="1" x14ac:dyDescent="0.2">
      <c r="A1296" s="753" t="s">
        <v>703</v>
      </c>
      <c r="B1296" s="337">
        <v>1283</v>
      </c>
      <c r="C1296" s="698"/>
      <c r="D1296" s="698"/>
      <c r="E1296" s="698"/>
      <c r="F1296" s="698"/>
      <c r="G1296" s="698"/>
    </row>
    <row r="1297" spans="1:7" ht="17.25" customHeight="1" x14ac:dyDescent="0.2">
      <c r="A1297" s="753" t="s">
        <v>703</v>
      </c>
      <c r="B1297" s="337">
        <v>1284</v>
      </c>
      <c r="C1297" s="698"/>
      <c r="D1297" s="698"/>
      <c r="E1297" s="698"/>
      <c r="F1297" s="698"/>
      <c r="G1297" s="698"/>
    </row>
    <row r="1298" spans="1:7" ht="17.25" customHeight="1" x14ac:dyDescent="0.2">
      <c r="A1298" s="753" t="s">
        <v>703</v>
      </c>
      <c r="B1298" s="337">
        <v>1285</v>
      </c>
      <c r="C1298" s="698"/>
      <c r="D1298" s="698"/>
      <c r="E1298" s="698"/>
      <c r="F1298" s="698"/>
      <c r="G1298" s="698"/>
    </row>
    <row r="1299" spans="1:7" ht="17.25" customHeight="1" x14ac:dyDescent="0.2">
      <c r="A1299" s="753" t="s">
        <v>703</v>
      </c>
      <c r="B1299" s="337">
        <v>1286</v>
      </c>
      <c r="C1299" s="698"/>
      <c r="D1299" s="698"/>
      <c r="E1299" s="698"/>
      <c r="F1299" s="698"/>
      <c r="G1299" s="698"/>
    </row>
    <row r="1300" spans="1:7" ht="17.25" customHeight="1" x14ac:dyDescent="0.2">
      <c r="A1300" s="753" t="s">
        <v>703</v>
      </c>
      <c r="B1300" s="337">
        <v>1287</v>
      </c>
      <c r="C1300" s="698"/>
      <c r="D1300" s="698"/>
      <c r="E1300" s="698"/>
      <c r="F1300" s="698"/>
      <c r="G1300" s="698"/>
    </row>
    <row r="1301" spans="1:7" ht="17.25" customHeight="1" x14ac:dyDescent="0.2">
      <c r="A1301" s="753" t="s">
        <v>703</v>
      </c>
      <c r="B1301" s="337">
        <v>1288</v>
      </c>
      <c r="C1301" s="698"/>
      <c r="D1301" s="698"/>
      <c r="E1301" s="698"/>
      <c r="F1301" s="698"/>
      <c r="G1301" s="698"/>
    </row>
    <row r="1302" spans="1:7" ht="17.25" customHeight="1" x14ac:dyDescent="0.2">
      <c r="A1302" s="753" t="s">
        <v>703</v>
      </c>
      <c r="B1302" s="337">
        <v>1289</v>
      </c>
      <c r="C1302" s="698"/>
      <c r="D1302" s="698"/>
      <c r="E1302" s="698"/>
      <c r="F1302" s="698"/>
      <c r="G1302" s="698"/>
    </row>
    <row r="1303" spans="1:7" ht="17.25" customHeight="1" x14ac:dyDescent="0.2">
      <c r="A1303" s="753" t="s">
        <v>703</v>
      </c>
      <c r="B1303" s="337">
        <v>1290</v>
      </c>
      <c r="C1303" s="698"/>
      <c r="D1303" s="698"/>
      <c r="E1303" s="698"/>
      <c r="F1303" s="698"/>
      <c r="G1303" s="698"/>
    </row>
    <row r="1304" spans="1:7" ht="17.25" customHeight="1" x14ac:dyDescent="0.2">
      <c r="A1304" s="753" t="s">
        <v>703</v>
      </c>
      <c r="B1304" s="337">
        <v>1291</v>
      </c>
      <c r="C1304" s="698"/>
      <c r="D1304" s="698"/>
      <c r="E1304" s="698"/>
      <c r="F1304" s="698"/>
      <c r="G1304" s="698"/>
    </row>
    <row r="1305" spans="1:7" ht="17.25" customHeight="1" x14ac:dyDescent="0.2">
      <c r="A1305" s="753" t="s">
        <v>703</v>
      </c>
      <c r="B1305" s="337">
        <v>1292</v>
      </c>
      <c r="C1305" s="698"/>
      <c r="D1305" s="698"/>
      <c r="E1305" s="698"/>
      <c r="F1305" s="698"/>
      <c r="G1305" s="698"/>
    </row>
    <row r="1306" spans="1:7" ht="17.25" customHeight="1" x14ac:dyDescent="0.2">
      <c r="A1306" s="753" t="s">
        <v>703</v>
      </c>
      <c r="B1306" s="337">
        <v>1293</v>
      </c>
      <c r="C1306" s="698"/>
      <c r="D1306" s="698"/>
      <c r="E1306" s="698"/>
      <c r="F1306" s="698"/>
      <c r="G1306" s="698"/>
    </row>
    <row r="1307" spans="1:7" ht="17.25" customHeight="1" x14ac:dyDescent="0.2">
      <c r="A1307" s="753" t="s">
        <v>703</v>
      </c>
      <c r="B1307" s="337">
        <v>1294</v>
      </c>
      <c r="C1307" s="698"/>
      <c r="D1307" s="698"/>
      <c r="E1307" s="698"/>
      <c r="F1307" s="698"/>
      <c r="G1307" s="698"/>
    </row>
    <row r="1308" spans="1:7" ht="17.25" customHeight="1" x14ac:dyDescent="0.2">
      <c r="A1308" s="753" t="s">
        <v>703</v>
      </c>
      <c r="B1308" s="337">
        <v>1295</v>
      </c>
      <c r="C1308" s="698"/>
      <c r="D1308" s="698"/>
      <c r="E1308" s="698"/>
      <c r="F1308" s="698"/>
      <c r="G1308" s="698"/>
    </row>
    <row r="1309" spans="1:7" ht="17.25" customHeight="1" x14ac:dyDescent="0.2">
      <c r="A1309" s="753" t="s">
        <v>703</v>
      </c>
      <c r="B1309" s="337">
        <v>1296</v>
      </c>
      <c r="C1309" s="698"/>
      <c r="D1309" s="698"/>
      <c r="E1309" s="698"/>
      <c r="F1309" s="698"/>
      <c r="G1309" s="698"/>
    </row>
    <row r="1310" spans="1:7" ht="17.25" customHeight="1" x14ac:dyDescent="0.2">
      <c r="A1310" s="753" t="s">
        <v>703</v>
      </c>
      <c r="B1310" s="337">
        <v>1297</v>
      </c>
      <c r="C1310" s="698"/>
      <c r="D1310" s="698"/>
      <c r="E1310" s="698"/>
      <c r="F1310" s="698"/>
      <c r="G1310" s="698"/>
    </row>
    <row r="1311" spans="1:7" ht="17.25" customHeight="1" x14ac:dyDescent="0.2">
      <c r="A1311" s="753" t="s">
        <v>703</v>
      </c>
      <c r="B1311" s="337">
        <v>1298</v>
      </c>
      <c r="C1311" s="698"/>
      <c r="D1311" s="698"/>
      <c r="E1311" s="698"/>
      <c r="F1311" s="698"/>
      <c r="G1311" s="698"/>
    </row>
    <row r="1312" spans="1:7" ht="17.25" customHeight="1" x14ac:dyDescent="0.2">
      <c r="A1312" s="753" t="s">
        <v>703</v>
      </c>
      <c r="B1312" s="337">
        <v>1299</v>
      </c>
      <c r="C1312" s="698"/>
      <c r="D1312" s="698"/>
      <c r="E1312" s="698"/>
      <c r="F1312" s="698"/>
      <c r="G1312" s="698"/>
    </row>
    <row r="1313" spans="1:7" ht="17.25" customHeight="1" x14ac:dyDescent="0.2">
      <c r="A1313" s="753" t="s">
        <v>703</v>
      </c>
      <c r="B1313" s="337">
        <v>1300</v>
      </c>
      <c r="C1313" s="698"/>
      <c r="D1313" s="698"/>
      <c r="E1313" s="698"/>
      <c r="F1313" s="698"/>
      <c r="G1313" s="698"/>
    </row>
    <row r="1314" spans="1:7" ht="17.25" customHeight="1" x14ac:dyDescent="0.2">
      <c r="A1314" s="753" t="s">
        <v>703</v>
      </c>
      <c r="B1314" s="337">
        <v>1301</v>
      </c>
      <c r="C1314" s="698"/>
      <c r="D1314" s="698"/>
      <c r="E1314" s="698"/>
      <c r="F1314" s="698"/>
      <c r="G1314" s="698"/>
    </row>
    <row r="1315" spans="1:7" ht="17.25" customHeight="1" x14ac:dyDescent="0.2">
      <c r="A1315" s="753" t="s">
        <v>703</v>
      </c>
      <c r="B1315" s="337">
        <v>1302</v>
      </c>
      <c r="C1315" s="698"/>
      <c r="D1315" s="698"/>
      <c r="E1315" s="698"/>
      <c r="F1315" s="698"/>
      <c r="G1315" s="698"/>
    </row>
    <row r="1316" spans="1:7" ht="17.25" customHeight="1" x14ac:dyDescent="0.2">
      <c r="A1316" s="753" t="s">
        <v>703</v>
      </c>
      <c r="B1316" s="337">
        <v>1303</v>
      </c>
      <c r="C1316" s="698"/>
      <c r="D1316" s="698"/>
      <c r="E1316" s="698"/>
      <c r="F1316" s="698"/>
      <c r="G1316" s="698"/>
    </row>
    <row r="1317" spans="1:7" ht="17.25" customHeight="1" thickBot="1" x14ac:dyDescent="0.25">
      <c r="A1317" s="754" t="s">
        <v>703</v>
      </c>
      <c r="B1317" s="682">
        <v>1304</v>
      </c>
      <c r="C1317" s="715"/>
      <c r="D1317" s="715"/>
      <c r="E1317" s="715"/>
      <c r="F1317" s="715"/>
      <c r="G1317" s="715"/>
    </row>
    <row r="1318" spans="1:7" ht="17.25" customHeight="1" x14ac:dyDescent="0.2">
      <c r="A1318" s="227" t="s">
        <v>550</v>
      </c>
      <c r="B1318" s="322">
        <v>1305</v>
      </c>
      <c r="C1318" s="149"/>
      <c r="D1318" s="149"/>
      <c r="E1318" s="149"/>
      <c r="F1318" s="149"/>
      <c r="G1318" s="149"/>
    </row>
    <row r="1319" spans="1:7" ht="17.25" customHeight="1" x14ac:dyDescent="0.2">
      <c r="A1319" s="755" t="s">
        <v>550</v>
      </c>
      <c r="B1319" s="322">
        <v>1306</v>
      </c>
      <c r="C1319" s="698"/>
      <c r="D1319" s="698"/>
      <c r="E1319" s="698"/>
      <c r="F1319" s="698"/>
      <c r="G1319" s="698"/>
    </row>
    <row r="1320" spans="1:7" ht="17.25" customHeight="1" x14ac:dyDescent="0.2">
      <c r="A1320" s="755" t="s">
        <v>550</v>
      </c>
      <c r="B1320" s="337">
        <v>1307</v>
      </c>
      <c r="C1320" s="698" t="s">
        <v>768</v>
      </c>
      <c r="D1320" s="698" t="s">
        <v>550</v>
      </c>
      <c r="E1320" s="698"/>
      <c r="F1320" s="698"/>
      <c r="G1320" s="698"/>
    </row>
    <row r="1321" spans="1:7" ht="17.25" customHeight="1" x14ac:dyDescent="0.2">
      <c r="A1321" s="755" t="s">
        <v>550</v>
      </c>
      <c r="B1321" s="322">
        <v>1308</v>
      </c>
      <c r="C1321" s="698"/>
      <c r="D1321" s="698"/>
      <c r="E1321" s="698"/>
      <c r="F1321" s="698"/>
      <c r="G1321" s="698"/>
    </row>
    <row r="1322" spans="1:7" ht="17.25" customHeight="1" x14ac:dyDescent="0.2">
      <c r="A1322" s="755" t="s">
        <v>550</v>
      </c>
      <c r="B1322" s="337">
        <v>1309</v>
      </c>
      <c r="C1322" s="698" t="s">
        <v>769</v>
      </c>
      <c r="D1322" s="698" t="s">
        <v>770</v>
      </c>
      <c r="E1322" s="698"/>
      <c r="F1322" s="698"/>
      <c r="G1322" s="698"/>
    </row>
    <row r="1323" spans="1:7" ht="17.25" customHeight="1" x14ac:dyDescent="0.2">
      <c r="A1323" s="755" t="s">
        <v>550</v>
      </c>
      <c r="B1323" s="337">
        <v>1310</v>
      </c>
      <c r="C1323" s="698" t="s">
        <v>771</v>
      </c>
      <c r="D1323" s="698" t="s">
        <v>772</v>
      </c>
      <c r="E1323" s="698"/>
      <c r="F1323" s="698"/>
      <c r="G1323" s="698"/>
    </row>
    <row r="1324" spans="1:7" ht="17.25" customHeight="1" x14ac:dyDescent="0.2">
      <c r="A1324" s="755" t="s">
        <v>550</v>
      </c>
      <c r="B1324" s="337">
        <v>1311</v>
      </c>
      <c r="C1324" s="698" t="s">
        <v>773</v>
      </c>
      <c r="D1324" s="698" t="s">
        <v>774</v>
      </c>
      <c r="E1324" s="698"/>
      <c r="F1324" s="698"/>
      <c r="G1324" s="698"/>
    </row>
    <row r="1325" spans="1:7" ht="17.25" customHeight="1" x14ac:dyDescent="0.2">
      <c r="A1325" s="755" t="s">
        <v>550</v>
      </c>
      <c r="B1325" s="322">
        <v>1312</v>
      </c>
      <c r="C1325" s="698"/>
      <c r="D1325" s="698"/>
      <c r="E1325" s="698"/>
      <c r="F1325" s="698"/>
      <c r="G1325" s="698"/>
    </row>
    <row r="1326" spans="1:7" ht="17.25" customHeight="1" x14ac:dyDescent="0.2">
      <c r="A1326" s="755" t="s">
        <v>550</v>
      </c>
      <c r="B1326" s="337">
        <v>1313</v>
      </c>
      <c r="C1326" s="698" t="s">
        <v>775</v>
      </c>
      <c r="D1326" s="698" t="s">
        <v>776</v>
      </c>
      <c r="E1326" s="698"/>
      <c r="F1326" s="698"/>
      <c r="G1326" s="698"/>
    </row>
    <row r="1327" spans="1:7" ht="17.25" customHeight="1" x14ac:dyDescent="0.2">
      <c r="A1327" s="755" t="s">
        <v>550</v>
      </c>
      <c r="B1327" s="322">
        <v>1314</v>
      </c>
      <c r="C1327" s="698"/>
      <c r="D1327" s="698"/>
      <c r="E1327" s="698"/>
      <c r="F1327" s="698"/>
      <c r="G1327" s="698"/>
    </row>
    <row r="1328" spans="1:7" ht="17.25" customHeight="1" x14ac:dyDescent="0.2">
      <c r="A1328" s="755" t="s">
        <v>550</v>
      </c>
      <c r="B1328" s="322">
        <v>1315</v>
      </c>
      <c r="C1328" s="698"/>
      <c r="D1328" s="698"/>
      <c r="E1328" s="698"/>
      <c r="F1328" s="698"/>
      <c r="G1328" s="698"/>
    </row>
    <row r="1329" spans="1:7" ht="17.25" customHeight="1" x14ac:dyDescent="0.2">
      <c r="A1329" s="755" t="s">
        <v>550</v>
      </c>
      <c r="B1329" s="322">
        <v>1316</v>
      </c>
      <c r="C1329" s="698"/>
      <c r="D1329" s="698"/>
      <c r="E1329" s="698"/>
      <c r="F1329" s="698"/>
      <c r="G1329" s="698"/>
    </row>
    <row r="1330" spans="1:7" ht="17.25" customHeight="1" x14ac:dyDescent="0.2">
      <c r="A1330" s="755" t="s">
        <v>550</v>
      </c>
      <c r="B1330" s="337">
        <v>1317</v>
      </c>
      <c r="C1330" s="698" t="s">
        <v>777</v>
      </c>
      <c r="D1330" s="698" t="s">
        <v>778</v>
      </c>
      <c r="E1330" s="698"/>
      <c r="F1330" s="698"/>
      <c r="G1330" s="698"/>
    </row>
    <row r="1331" spans="1:7" ht="17.25" customHeight="1" x14ac:dyDescent="0.2">
      <c r="A1331" s="755" t="s">
        <v>550</v>
      </c>
      <c r="B1331" s="322">
        <v>1318</v>
      </c>
      <c r="C1331" s="698"/>
      <c r="D1331" s="698"/>
      <c r="E1331" s="698"/>
      <c r="F1331" s="698"/>
      <c r="G1331" s="698"/>
    </row>
    <row r="1332" spans="1:7" ht="17.25" customHeight="1" x14ac:dyDescent="0.2">
      <c r="A1332" s="755" t="s">
        <v>550</v>
      </c>
      <c r="B1332" s="322">
        <v>1319</v>
      </c>
      <c r="C1332" s="698"/>
      <c r="D1332" s="698"/>
      <c r="E1332" s="698"/>
      <c r="F1332" s="698"/>
      <c r="G1332" s="698"/>
    </row>
    <row r="1333" spans="1:7" ht="17.25" customHeight="1" x14ac:dyDescent="0.2">
      <c r="A1333" s="755" t="s">
        <v>550</v>
      </c>
      <c r="B1333" s="322">
        <v>1320</v>
      </c>
      <c r="C1333" s="698"/>
      <c r="D1333" s="698"/>
      <c r="E1333" s="698"/>
      <c r="F1333" s="698"/>
      <c r="G1333" s="698"/>
    </row>
    <row r="1334" spans="1:7" ht="17.25" customHeight="1" x14ac:dyDescent="0.2">
      <c r="A1334" s="755" t="s">
        <v>550</v>
      </c>
      <c r="B1334" s="337">
        <v>1321</v>
      </c>
      <c r="C1334" s="698" t="s">
        <v>779</v>
      </c>
      <c r="D1334" s="698" t="s">
        <v>780</v>
      </c>
      <c r="E1334" s="698"/>
      <c r="F1334" s="698"/>
      <c r="G1334" s="698"/>
    </row>
    <row r="1335" spans="1:7" ht="17.25" customHeight="1" x14ac:dyDescent="0.2">
      <c r="A1335" s="755" t="s">
        <v>550</v>
      </c>
      <c r="B1335" s="322">
        <v>1322</v>
      </c>
      <c r="C1335" s="698"/>
      <c r="D1335" s="698"/>
      <c r="E1335" s="698"/>
      <c r="F1335" s="698"/>
      <c r="G1335" s="698"/>
    </row>
    <row r="1336" spans="1:7" ht="17.25" customHeight="1" x14ac:dyDescent="0.2">
      <c r="A1336" s="755" t="s">
        <v>550</v>
      </c>
      <c r="B1336" s="322">
        <v>1323</v>
      </c>
      <c r="C1336" s="698"/>
      <c r="D1336" s="698"/>
      <c r="E1336" s="698"/>
      <c r="F1336" s="698"/>
      <c r="G1336" s="698"/>
    </row>
    <row r="1337" spans="1:7" ht="17.25" customHeight="1" x14ac:dyDescent="0.2">
      <c r="A1337" s="755" t="s">
        <v>550</v>
      </c>
      <c r="B1337" s="337">
        <v>1324</v>
      </c>
      <c r="C1337" s="698" t="s">
        <v>781</v>
      </c>
      <c r="D1337" s="698" t="s">
        <v>781</v>
      </c>
      <c r="E1337" s="698"/>
      <c r="F1337" s="698"/>
      <c r="G1337" s="698"/>
    </row>
    <row r="1338" spans="1:7" ht="17.25" customHeight="1" x14ac:dyDescent="0.2">
      <c r="A1338" s="755" t="s">
        <v>550</v>
      </c>
      <c r="B1338" s="322">
        <v>1325</v>
      </c>
      <c r="C1338" s="698"/>
      <c r="D1338" s="698"/>
      <c r="E1338" s="698"/>
      <c r="F1338" s="698"/>
      <c r="G1338" s="698"/>
    </row>
    <row r="1339" spans="1:7" ht="17.25" customHeight="1" x14ac:dyDescent="0.2">
      <c r="A1339" s="755" t="s">
        <v>550</v>
      </c>
      <c r="B1339" s="322">
        <v>1326</v>
      </c>
      <c r="C1339" s="698"/>
      <c r="D1339" s="698"/>
      <c r="E1339" s="698"/>
      <c r="F1339" s="698"/>
      <c r="G1339" s="698"/>
    </row>
    <row r="1340" spans="1:7" ht="17.25" customHeight="1" x14ac:dyDescent="0.2">
      <c r="A1340" s="755" t="s">
        <v>550</v>
      </c>
      <c r="B1340" s="322">
        <v>1327</v>
      </c>
      <c r="C1340" s="698"/>
      <c r="D1340" s="698"/>
      <c r="E1340" s="698"/>
      <c r="F1340" s="698"/>
      <c r="G1340" s="698"/>
    </row>
    <row r="1341" spans="1:7" ht="17.25" customHeight="1" x14ac:dyDescent="0.2">
      <c r="A1341" s="755" t="s">
        <v>550</v>
      </c>
      <c r="B1341" s="337">
        <v>1328</v>
      </c>
      <c r="C1341" s="698" t="s">
        <v>782</v>
      </c>
      <c r="D1341" s="698" t="s">
        <v>783</v>
      </c>
      <c r="E1341" s="698"/>
      <c r="F1341" s="698"/>
      <c r="G1341" s="698"/>
    </row>
    <row r="1342" spans="1:7" ht="17.25" customHeight="1" x14ac:dyDescent="0.2">
      <c r="A1342" s="755" t="s">
        <v>550</v>
      </c>
      <c r="B1342" s="322">
        <v>1329</v>
      </c>
      <c r="C1342" s="698"/>
      <c r="D1342" s="698"/>
      <c r="E1342" s="698"/>
      <c r="F1342" s="698"/>
      <c r="G1342" s="698"/>
    </row>
    <row r="1343" spans="1:7" ht="17.25" customHeight="1" x14ac:dyDescent="0.2">
      <c r="A1343" s="755" t="s">
        <v>550</v>
      </c>
      <c r="B1343" s="322">
        <v>1330</v>
      </c>
      <c r="C1343" s="698"/>
      <c r="D1343" s="698"/>
      <c r="E1343" s="698"/>
      <c r="F1343" s="698"/>
      <c r="G1343" s="698"/>
    </row>
    <row r="1344" spans="1:7" ht="17.25" customHeight="1" x14ac:dyDescent="0.2">
      <c r="A1344" s="755" t="s">
        <v>550</v>
      </c>
      <c r="B1344" s="322">
        <v>1331</v>
      </c>
      <c r="C1344" s="698"/>
      <c r="D1344" s="698"/>
      <c r="E1344" s="698"/>
      <c r="F1344" s="698"/>
      <c r="G1344" s="698"/>
    </row>
    <row r="1345" spans="1:7" ht="17.25" customHeight="1" x14ac:dyDescent="0.2">
      <c r="A1345" s="755" t="s">
        <v>550</v>
      </c>
      <c r="B1345" s="337">
        <v>1332</v>
      </c>
      <c r="C1345" s="698" t="s">
        <v>784</v>
      </c>
      <c r="D1345" s="698" t="s">
        <v>785</v>
      </c>
      <c r="E1345" s="698"/>
      <c r="F1345" s="698"/>
      <c r="G1345" s="698"/>
    </row>
    <row r="1346" spans="1:7" ht="17.25" customHeight="1" x14ac:dyDescent="0.2">
      <c r="A1346" s="755" t="s">
        <v>550</v>
      </c>
      <c r="B1346" s="322">
        <v>1333</v>
      </c>
      <c r="C1346" s="698"/>
      <c r="D1346" s="698"/>
      <c r="E1346" s="698"/>
      <c r="F1346" s="698"/>
      <c r="G1346" s="698"/>
    </row>
    <row r="1347" spans="1:7" ht="17.25" customHeight="1" x14ac:dyDescent="0.2">
      <c r="A1347" s="755" t="s">
        <v>550</v>
      </c>
      <c r="B1347" s="322">
        <v>1334</v>
      </c>
      <c r="C1347" s="698"/>
      <c r="D1347" s="698"/>
      <c r="E1347" s="698"/>
      <c r="F1347" s="698"/>
      <c r="G1347" s="698"/>
    </row>
    <row r="1348" spans="1:7" ht="17.25" customHeight="1" x14ac:dyDescent="0.2">
      <c r="A1348" s="755" t="s">
        <v>550</v>
      </c>
      <c r="B1348" s="322">
        <v>1335</v>
      </c>
      <c r="C1348" s="698"/>
      <c r="D1348" s="698"/>
      <c r="E1348" s="698"/>
      <c r="F1348" s="698"/>
      <c r="G1348" s="698"/>
    </row>
    <row r="1349" spans="1:7" ht="17.25" customHeight="1" x14ac:dyDescent="0.2">
      <c r="A1349" s="755" t="s">
        <v>550</v>
      </c>
      <c r="B1349" s="337">
        <v>1336</v>
      </c>
      <c r="C1349" s="698" t="s">
        <v>786</v>
      </c>
      <c r="D1349" s="698" t="s">
        <v>787</v>
      </c>
      <c r="E1349" s="698"/>
      <c r="F1349" s="698"/>
      <c r="G1349" s="698"/>
    </row>
    <row r="1350" spans="1:7" ht="17.25" customHeight="1" x14ac:dyDescent="0.2">
      <c r="A1350" s="755" t="s">
        <v>550</v>
      </c>
      <c r="B1350" s="322">
        <v>1337</v>
      </c>
      <c r="C1350" s="698"/>
      <c r="D1350" s="698"/>
      <c r="E1350" s="698"/>
      <c r="F1350" s="698"/>
      <c r="G1350" s="698"/>
    </row>
    <row r="1351" spans="1:7" ht="17.25" customHeight="1" x14ac:dyDescent="0.2">
      <c r="A1351" s="755" t="s">
        <v>550</v>
      </c>
      <c r="B1351" s="322">
        <v>1338</v>
      </c>
      <c r="C1351" s="698"/>
      <c r="D1351" s="698"/>
      <c r="E1351" s="698"/>
      <c r="F1351" s="698"/>
      <c r="G1351" s="698"/>
    </row>
    <row r="1352" spans="1:7" ht="17.25" customHeight="1" x14ac:dyDescent="0.2">
      <c r="A1352" s="755" t="s">
        <v>550</v>
      </c>
      <c r="B1352" s="322">
        <v>1339</v>
      </c>
      <c r="C1352" s="698"/>
      <c r="D1352" s="698"/>
      <c r="E1352" s="698"/>
      <c r="F1352" s="698"/>
      <c r="G1352" s="698"/>
    </row>
    <row r="1353" spans="1:7" ht="26.3" customHeight="1" x14ac:dyDescent="0.2">
      <c r="A1353" s="755" t="s">
        <v>550</v>
      </c>
      <c r="B1353" s="337">
        <v>1340</v>
      </c>
      <c r="C1353" s="698" t="s">
        <v>788</v>
      </c>
      <c r="D1353" s="698" t="s">
        <v>789</v>
      </c>
      <c r="E1353" s="698"/>
      <c r="F1353" s="698"/>
      <c r="G1353" s="698"/>
    </row>
    <row r="1354" spans="1:7" ht="17.25" customHeight="1" x14ac:dyDescent="0.2">
      <c r="A1354" s="755" t="s">
        <v>550</v>
      </c>
      <c r="B1354" s="322">
        <v>1341</v>
      </c>
      <c r="C1354" s="698"/>
      <c r="D1354" s="698"/>
      <c r="E1354" s="698"/>
      <c r="F1354" s="698"/>
      <c r="G1354" s="698"/>
    </row>
    <row r="1355" spans="1:7" ht="17.25" customHeight="1" x14ac:dyDescent="0.2">
      <c r="A1355" s="755" t="s">
        <v>550</v>
      </c>
      <c r="B1355" s="322">
        <v>1342</v>
      </c>
      <c r="C1355" s="698"/>
      <c r="D1355" s="698"/>
      <c r="E1355" s="698"/>
      <c r="F1355" s="698"/>
      <c r="G1355" s="698"/>
    </row>
    <row r="1356" spans="1:7" ht="17.25" customHeight="1" x14ac:dyDescent="0.2">
      <c r="A1356" s="755" t="s">
        <v>550</v>
      </c>
      <c r="B1356" s="322">
        <v>1343</v>
      </c>
      <c r="C1356" s="698"/>
      <c r="D1356" s="698"/>
      <c r="E1356" s="698"/>
      <c r="F1356" s="698"/>
      <c r="G1356" s="698"/>
    </row>
    <row r="1357" spans="1:7" ht="17.25" customHeight="1" x14ac:dyDescent="0.2">
      <c r="A1357" s="755" t="s">
        <v>550</v>
      </c>
      <c r="B1357" s="337">
        <v>1344</v>
      </c>
      <c r="C1357" s="698" t="s">
        <v>790</v>
      </c>
      <c r="D1357" s="698" t="s">
        <v>791</v>
      </c>
      <c r="E1357" s="698"/>
      <c r="F1357" s="698"/>
      <c r="G1357" s="698"/>
    </row>
    <row r="1358" spans="1:7" ht="17.25" customHeight="1" x14ac:dyDescent="0.2">
      <c r="A1358" s="755" t="s">
        <v>550</v>
      </c>
      <c r="B1358" s="322">
        <v>1345</v>
      </c>
      <c r="C1358" s="698"/>
      <c r="D1358" s="698"/>
      <c r="E1358" s="698"/>
      <c r="F1358" s="698"/>
      <c r="G1358" s="698"/>
    </row>
    <row r="1359" spans="1:7" ht="17.25" customHeight="1" x14ac:dyDescent="0.2">
      <c r="A1359" s="755" t="s">
        <v>550</v>
      </c>
      <c r="B1359" s="322">
        <v>1346</v>
      </c>
      <c r="C1359" s="698"/>
      <c r="D1359" s="698"/>
      <c r="E1359" s="698"/>
      <c r="F1359" s="698"/>
      <c r="G1359" s="698"/>
    </row>
    <row r="1360" spans="1:7" ht="17.25" customHeight="1" x14ac:dyDescent="0.2">
      <c r="A1360" s="755" t="s">
        <v>550</v>
      </c>
      <c r="B1360" s="322">
        <v>1347</v>
      </c>
      <c r="C1360" s="698"/>
      <c r="D1360" s="698"/>
      <c r="E1360" s="698"/>
      <c r="F1360" s="698"/>
      <c r="G1360" s="698"/>
    </row>
    <row r="1361" spans="1:7" ht="17.25" customHeight="1" x14ac:dyDescent="0.2">
      <c r="A1361" s="755" t="s">
        <v>550</v>
      </c>
      <c r="B1361" s="337">
        <v>1348</v>
      </c>
      <c r="C1361" s="698" t="s">
        <v>792</v>
      </c>
      <c r="D1361" s="698" t="s">
        <v>792</v>
      </c>
      <c r="E1361" s="698"/>
      <c r="F1361" s="698"/>
      <c r="G1361" s="698"/>
    </row>
    <row r="1362" spans="1:7" ht="17.25" customHeight="1" x14ac:dyDescent="0.2">
      <c r="A1362" s="755" t="s">
        <v>550</v>
      </c>
      <c r="B1362" s="322">
        <v>1349</v>
      </c>
      <c r="C1362" s="698"/>
      <c r="D1362" s="698"/>
      <c r="E1362" s="698"/>
      <c r="F1362" s="698"/>
      <c r="G1362" s="698"/>
    </row>
    <row r="1363" spans="1:7" ht="17.25" customHeight="1" x14ac:dyDescent="0.2">
      <c r="A1363" s="755" t="s">
        <v>550</v>
      </c>
      <c r="B1363" s="322">
        <v>1350</v>
      </c>
      <c r="C1363" s="698"/>
      <c r="D1363" s="698"/>
      <c r="E1363" s="698"/>
      <c r="F1363" s="698"/>
      <c r="G1363" s="698"/>
    </row>
    <row r="1364" spans="1:7" ht="17.25" customHeight="1" x14ac:dyDescent="0.2">
      <c r="A1364" s="755" t="s">
        <v>550</v>
      </c>
      <c r="B1364" s="322">
        <v>1351</v>
      </c>
      <c r="C1364" s="698"/>
      <c r="D1364" s="698"/>
      <c r="E1364" s="698"/>
      <c r="F1364" s="698"/>
      <c r="G1364" s="698"/>
    </row>
    <row r="1365" spans="1:7" ht="17.25" customHeight="1" x14ac:dyDescent="0.2">
      <c r="A1365" s="755" t="s">
        <v>550</v>
      </c>
      <c r="B1365" s="337">
        <v>1352</v>
      </c>
      <c r="C1365" s="698" t="s">
        <v>793</v>
      </c>
      <c r="D1365" s="698" t="s">
        <v>794</v>
      </c>
      <c r="E1365" s="698"/>
      <c r="F1365" s="698"/>
      <c r="G1365" s="698"/>
    </row>
    <row r="1366" spans="1:7" ht="17.25" customHeight="1" x14ac:dyDescent="0.2">
      <c r="A1366" s="755" t="s">
        <v>550</v>
      </c>
      <c r="B1366" s="322">
        <v>1353</v>
      </c>
      <c r="C1366" s="698"/>
      <c r="D1366" s="698"/>
      <c r="E1366" s="698"/>
      <c r="F1366" s="698"/>
      <c r="G1366" s="698"/>
    </row>
    <row r="1367" spans="1:7" ht="17.25" customHeight="1" x14ac:dyDescent="0.2">
      <c r="A1367" s="755" t="s">
        <v>550</v>
      </c>
      <c r="B1367" s="322">
        <v>1354</v>
      </c>
      <c r="C1367" s="698"/>
      <c r="D1367" s="698"/>
      <c r="E1367" s="698"/>
      <c r="F1367" s="698"/>
      <c r="G1367" s="698"/>
    </row>
    <row r="1368" spans="1:7" ht="17.25" customHeight="1" x14ac:dyDescent="0.2">
      <c r="A1368" s="755" t="s">
        <v>550</v>
      </c>
      <c r="B1368" s="322">
        <v>1355</v>
      </c>
      <c r="C1368" s="698"/>
      <c r="D1368" s="698"/>
      <c r="E1368" s="698"/>
      <c r="F1368" s="698"/>
      <c r="G1368" s="698"/>
    </row>
    <row r="1369" spans="1:7" ht="17.25" customHeight="1" x14ac:dyDescent="0.2">
      <c r="A1369" s="755" t="s">
        <v>550</v>
      </c>
      <c r="B1369" s="337">
        <v>1356</v>
      </c>
      <c r="C1369" s="698" t="s">
        <v>795</v>
      </c>
      <c r="D1369" s="698" t="s">
        <v>796</v>
      </c>
      <c r="E1369" s="698"/>
      <c r="F1369" s="698"/>
      <c r="G1369" s="698"/>
    </row>
    <row r="1370" spans="1:7" ht="17.25" customHeight="1" x14ac:dyDescent="0.2">
      <c r="A1370" s="755" t="s">
        <v>550</v>
      </c>
      <c r="B1370" s="322">
        <v>1357</v>
      </c>
      <c r="C1370" s="698"/>
      <c r="D1370" s="698"/>
      <c r="E1370" s="698"/>
      <c r="F1370" s="698"/>
      <c r="G1370" s="698"/>
    </row>
    <row r="1371" spans="1:7" ht="17.25" customHeight="1" x14ac:dyDescent="0.2">
      <c r="A1371" s="755" t="s">
        <v>550</v>
      </c>
      <c r="B1371" s="322">
        <v>1358</v>
      </c>
      <c r="C1371" s="698"/>
      <c r="D1371" s="698"/>
      <c r="E1371" s="698"/>
      <c r="F1371" s="698"/>
      <c r="G1371" s="698"/>
    </row>
    <row r="1372" spans="1:7" ht="17.25" customHeight="1" x14ac:dyDescent="0.2">
      <c r="A1372" s="755" t="s">
        <v>550</v>
      </c>
      <c r="B1372" s="322">
        <v>1359</v>
      </c>
      <c r="C1372" s="698"/>
      <c r="D1372" s="698"/>
      <c r="E1372" s="698"/>
      <c r="F1372" s="698"/>
      <c r="G1372" s="698"/>
    </row>
    <row r="1373" spans="1:7" ht="17.25" customHeight="1" x14ac:dyDescent="0.2">
      <c r="A1373" s="755" t="s">
        <v>550</v>
      </c>
      <c r="B1373" s="337">
        <v>1360</v>
      </c>
      <c r="C1373" s="698" t="s">
        <v>797</v>
      </c>
      <c r="D1373" s="698" t="s">
        <v>798</v>
      </c>
      <c r="E1373" s="698"/>
      <c r="F1373" s="698"/>
      <c r="G1373" s="698"/>
    </row>
    <row r="1374" spans="1:7" ht="17.25" customHeight="1" x14ac:dyDescent="0.2">
      <c r="A1374" s="755" t="s">
        <v>550</v>
      </c>
      <c r="B1374" s="322">
        <v>1361</v>
      </c>
      <c r="C1374" s="698"/>
      <c r="D1374" s="698"/>
      <c r="E1374" s="698"/>
      <c r="F1374" s="698"/>
      <c r="G1374" s="698"/>
    </row>
    <row r="1375" spans="1:7" ht="17.25" customHeight="1" x14ac:dyDescent="0.2">
      <c r="A1375" s="755" t="s">
        <v>550</v>
      </c>
      <c r="B1375" s="322">
        <v>1362</v>
      </c>
      <c r="C1375" s="698"/>
      <c r="D1375" s="698"/>
      <c r="E1375" s="698"/>
      <c r="F1375" s="698"/>
      <c r="G1375" s="698"/>
    </row>
    <row r="1376" spans="1:7" ht="17.25" customHeight="1" x14ac:dyDescent="0.2">
      <c r="A1376" s="755" t="s">
        <v>550</v>
      </c>
      <c r="B1376" s="322">
        <v>1363</v>
      </c>
      <c r="C1376" s="698"/>
      <c r="D1376" s="698"/>
      <c r="E1376" s="698"/>
      <c r="F1376" s="698"/>
      <c r="G1376" s="698"/>
    </row>
    <row r="1377" spans="1:7" ht="17.25" customHeight="1" x14ac:dyDescent="0.2">
      <c r="A1377" s="755" t="s">
        <v>550</v>
      </c>
      <c r="B1377" s="337">
        <v>1364</v>
      </c>
      <c r="C1377" s="698" t="s">
        <v>799</v>
      </c>
      <c r="D1377" s="698" t="s">
        <v>800</v>
      </c>
      <c r="E1377" s="698"/>
      <c r="F1377" s="698"/>
      <c r="G1377" s="698"/>
    </row>
    <row r="1378" spans="1:7" ht="17.25" customHeight="1" x14ac:dyDescent="0.2">
      <c r="A1378" s="755" t="s">
        <v>550</v>
      </c>
      <c r="B1378" s="322">
        <v>1365</v>
      </c>
      <c r="C1378" s="698"/>
      <c r="D1378" s="698"/>
      <c r="E1378" s="698"/>
      <c r="F1378" s="698"/>
      <c r="G1378" s="698"/>
    </row>
    <row r="1379" spans="1:7" ht="17.25" customHeight="1" x14ac:dyDescent="0.2">
      <c r="A1379" s="755" t="s">
        <v>550</v>
      </c>
      <c r="B1379" s="322">
        <v>1366</v>
      </c>
      <c r="C1379" s="698"/>
      <c r="D1379" s="698"/>
      <c r="E1379" s="698"/>
      <c r="F1379" s="698"/>
      <c r="G1379" s="698"/>
    </row>
    <row r="1380" spans="1:7" ht="17.25" customHeight="1" x14ac:dyDescent="0.2">
      <c r="A1380" s="755" t="s">
        <v>550</v>
      </c>
      <c r="B1380" s="322">
        <v>1367</v>
      </c>
      <c r="C1380" s="698"/>
      <c r="D1380" s="698"/>
      <c r="E1380" s="698"/>
      <c r="F1380" s="698"/>
      <c r="G1380" s="698"/>
    </row>
    <row r="1381" spans="1:7" ht="17.25" customHeight="1" x14ac:dyDescent="0.2">
      <c r="A1381" s="755" t="s">
        <v>550</v>
      </c>
      <c r="B1381" s="337">
        <v>1368</v>
      </c>
      <c r="C1381" s="698" t="s">
        <v>801</v>
      </c>
      <c r="D1381" s="698" t="s">
        <v>802</v>
      </c>
      <c r="E1381" s="698"/>
      <c r="F1381" s="698"/>
      <c r="G1381" s="698"/>
    </row>
    <row r="1382" spans="1:7" ht="17.25" customHeight="1" x14ac:dyDescent="0.2">
      <c r="A1382" s="755" t="s">
        <v>550</v>
      </c>
      <c r="B1382" s="322">
        <v>1369</v>
      </c>
      <c r="C1382" s="698"/>
      <c r="D1382" s="698"/>
      <c r="E1382" s="698"/>
      <c r="F1382" s="698"/>
      <c r="G1382" s="698"/>
    </row>
    <row r="1383" spans="1:7" ht="17.25" customHeight="1" x14ac:dyDescent="0.2">
      <c r="A1383" s="755" t="s">
        <v>550</v>
      </c>
      <c r="B1383" s="322">
        <v>1370</v>
      </c>
      <c r="C1383" s="698"/>
      <c r="D1383" s="698"/>
      <c r="E1383" s="698"/>
      <c r="F1383" s="698"/>
      <c r="G1383" s="698"/>
    </row>
    <row r="1384" spans="1:7" ht="17.25" customHeight="1" x14ac:dyDescent="0.2">
      <c r="A1384" s="755" t="s">
        <v>550</v>
      </c>
      <c r="B1384" s="322">
        <v>1371</v>
      </c>
      <c r="C1384" s="698"/>
      <c r="D1384" s="698"/>
      <c r="E1384" s="698"/>
      <c r="F1384" s="698"/>
      <c r="G1384" s="698"/>
    </row>
    <row r="1385" spans="1:7" ht="17.25" customHeight="1" x14ac:dyDescent="0.2">
      <c r="A1385" s="755" t="s">
        <v>550</v>
      </c>
      <c r="B1385" s="337">
        <v>1372</v>
      </c>
      <c r="C1385" s="698" t="s">
        <v>803</v>
      </c>
      <c r="D1385" s="698" t="s">
        <v>804</v>
      </c>
      <c r="E1385" s="698"/>
      <c r="F1385" s="698"/>
      <c r="G1385" s="698"/>
    </row>
    <row r="1386" spans="1:7" ht="17.25" customHeight="1" x14ac:dyDescent="0.2">
      <c r="A1386" s="755" t="s">
        <v>550</v>
      </c>
      <c r="B1386" s="322">
        <v>1373</v>
      </c>
      <c r="C1386" s="698"/>
      <c r="D1386" s="698"/>
      <c r="E1386" s="698"/>
      <c r="F1386" s="698"/>
      <c r="G1386" s="698"/>
    </row>
    <row r="1387" spans="1:7" ht="17.25" customHeight="1" x14ac:dyDescent="0.2">
      <c r="A1387" s="755" t="s">
        <v>550</v>
      </c>
      <c r="B1387" s="322">
        <v>1374</v>
      </c>
      <c r="C1387" s="698"/>
      <c r="D1387" s="698"/>
      <c r="E1387" s="698"/>
      <c r="F1387" s="698"/>
      <c r="G1387" s="698"/>
    </row>
    <row r="1388" spans="1:7" ht="17.25" customHeight="1" x14ac:dyDescent="0.2">
      <c r="A1388" s="755" t="s">
        <v>550</v>
      </c>
      <c r="B1388" s="322">
        <v>1375</v>
      </c>
      <c r="C1388" s="698"/>
      <c r="D1388" s="698"/>
      <c r="E1388" s="698"/>
      <c r="F1388" s="698"/>
      <c r="G1388" s="698"/>
    </row>
    <row r="1389" spans="1:7" ht="17.25" customHeight="1" x14ac:dyDescent="0.2">
      <c r="A1389" s="755" t="s">
        <v>550</v>
      </c>
      <c r="B1389" s="337">
        <v>1376</v>
      </c>
      <c r="C1389" s="698" t="s">
        <v>805</v>
      </c>
      <c r="D1389" s="698" t="s">
        <v>806</v>
      </c>
      <c r="E1389" s="698"/>
      <c r="F1389" s="698"/>
      <c r="G1389" s="698"/>
    </row>
    <row r="1390" spans="1:7" ht="17.25" customHeight="1" x14ac:dyDescent="0.2">
      <c r="A1390" s="755" t="s">
        <v>550</v>
      </c>
      <c r="B1390" s="322">
        <v>1377</v>
      </c>
      <c r="C1390" s="698"/>
      <c r="D1390" s="698"/>
      <c r="E1390" s="698"/>
      <c r="F1390" s="698"/>
      <c r="G1390" s="698"/>
    </row>
    <row r="1391" spans="1:7" ht="17.25" customHeight="1" x14ac:dyDescent="0.2">
      <c r="A1391" s="755" t="s">
        <v>550</v>
      </c>
      <c r="B1391" s="322">
        <v>1378</v>
      </c>
      <c r="C1391" s="698"/>
      <c r="D1391" s="698"/>
      <c r="E1391" s="698"/>
      <c r="F1391" s="698"/>
      <c r="G1391" s="698"/>
    </row>
    <row r="1392" spans="1:7" ht="17.25" customHeight="1" x14ac:dyDescent="0.2">
      <c r="A1392" s="755" t="s">
        <v>550</v>
      </c>
      <c r="B1392" s="322">
        <v>1379</v>
      </c>
      <c r="C1392" s="698"/>
      <c r="D1392" s="698"/>
      <c r="E1392" s="698"/>
      <c r="F1392" s="698"/>
      <c r="G1392" s="698"/>
    </row>
    <row r="1393" spans="1:7" ht="17.25" customHeight="1" x14ac:dyDescent="0.2">
      <c r="A1393" s="755" t="s">
        <v>550</v>
      </c>
      <c r="B1393" s="337">
        <v>1380</v>
      </c>
      <c r="C1393" s="698" t="s">
        <v>807</v>
      </c>
      <c r="D1393" s="698" t="s">
        <v>807</v>
      </c>
      <c r="E1393" s="698"/>
      <c r="F1393" s="698"/>
      <c r="G1393" s="698"/>
    </row>
    <row r="1394" spans="1:7" ht="17.25" customHeight="1" x14ac:dyDescent="0.2">
      <c r="A1394" s="755" t="s">
        <v>550</v>
      </c>
      <c r="B1394" s="322">
        <v>1381</v>
      </c>
      <c r="C1394" s="698"/>
      <c r="D1394" s="698"/>
      <c r="E1394" s="698"/>
      <c r="F1394" s="698"/>
      <c r="G1394" s="698"/>
    </row>
    <row r="1395" spans="1:7" ht="17.25" customHeight="1" x14ac:dyDescent="0.2">
      <c r="A1395" s="755" t="s">
        <v>550</v>
      </c>
      <c r="B1395" s="322">
        <v>1382</v>
      </c>
      <c r="C1395" s="698"/>
      <c r="D1395" s="698"/>
      <c r="E1395" s="698"/>
      <c r="F1395" s="698"/>
      <c r="G1395" s="698"/>
    </row>
    <row r="1396" spans="1:7" ht="17.25" customHeight="1" x14ac:dyDescent="0.2">
      <c r="A1396" s="755" t="s">
        <v>550</v>
      </c>
      <c r="B1396" s="322">
        <v>1383</v>
      </c>
      <c r="C1396" s="698"/>
      <c r="D1396" s="698"/>
      <c r="E1396" s="698"/>
      <c r="F1396" s="698"/>
      <c r="G1396" s="698"/>
    </row>
    <row r="1397" spans="1:7" ht="17.25" customHeight="1" x14ac:dyDescent="0.2">
      <c r="A1397" s="755" t="s">
        <v>550</v>
      </c>
      <c r="B1397" s="337">
        <v>1384</v>
      </c>
      <c r="C1397" s="698" t="s">
        <v>808</v>
      </c>
      <c r="D1397" s="698" t="s">
        <v>809</v>
      </c>
      <c r="E1397" s="698"/>
      <c r="F1397" s="698"/>
      <c r="G1397" s="698"/>
    </row>
    <row r="1398" spans="1:7" ht="17.25" customHeight="1" x14ac:dyDescent="0.2">
      <c r="A1398" s="755" t="s">
        <v>550</v>
      </c>
      <c r="B1398" s="322">
        <v>1385</v>
      </c>
      <c r="C1398" s="698"/>
      <c r="D1398" s="698"/>
      <c r="E1398" s="698"/>
      <c r="F1398" s="698"/>
      <c r="G1398" s="698"/>
    </row>
    <row r="1399" spans="1:7" ht="17.25" customHeight="1" x14ac:dyDescent="0.2">
      <c r="A1399" s="755" t="s">
        <v>550</v>
      </c>
      <c r="B1399" s="322">
        <v>1386</v>
      </c>
      <c r="C1399" s="698"/>
      <c r="D1399" s="698"/>
      <c r="E1399" s="698"/>
      <c r="F1399" s="698"/>
      <c r="G1399" s="698"/>
    </row>
    <row r="1400" spans="1:7" ht="17.25" customHeight="1" x14ac:dyDescent="0.2">
      <c r="A1400" s="755" t="s">
        <v>550</v>
      </c>
      <c r="B1400" s="322">
        <v>1387</v>
      </c>
      <c r="C1400" s="698"/>
      <c r="D1400" s="698"/>
      <c r="E1400" s="698"/>
      <c r="F1400" s="698"/>
      <c r="G1400" s="698"/>
    </row>
    <row r="1401" spans="1:7" ht="17.25" customHeight="1" x14ac:dyDescent="0.2">
      <c r="A1401" s="755" t="s">
        <v>550</v>
      </c>
      <c r="B1401" s="337">
        <v>1388</v>
      </c>
      <c r="C1401" s="698" t="s">
        <v>810</v>
      </c>
      <c r="D1401" s="698" t="s">
        <v>811</v>
      </c>
      <c r="E1401" s="698"/>
      <c r="F1401" s="698"/>
      <c r="G1401" s="698"/>
    </row>
    <row r="1402" spans="1:7" ht="17.25" customHeight="1" x14ac:dyDescent="0.2">
      <c r="A1402" s="755" t="s">
        <v>550</v>
      </c>
      <c r="B1402" s="322">
        <v>1389</v>
      </c>
      <c r="C1402" s="698"/>
      <c r="D1402" s="698"/>
      <c r="E1402" s="698"/>
      <c r="F1402" s="698"/>
      <c r="G1402" s="698"/>
    </row>
    <row r="1403" spans="1:7" ht="17.25" customHeight="1" x14ac:dyDescent="0.2">
      <c r="A1403" s="755" t="s">
        <v>550</v>
      </c>
      <c r="B1403" s="322">
        <v>1390</v>
      </c>
      <c r="C1403" s="698"/>
      <c r="D1403" s="698"/>
      <c r="E1403" s="698"/>
      <c r="F1403" s="698"/>
      <c r="G1403" s="698"/>
    </row>
    <row r="1404" spans="1:7" ht="17.25" customHeight="1" x14ac:dyDescent="0.2">
      <c r="A1404" s="755" t="s">
        <v>550</v>
      </c>
      <c r="B1404" s="322">
        <v>1391</v>
      </c>
      <c r="C1404" s="698"/>
      <c r="D1404" s="698"/>
      <c r="E1404" s="698"/>
      <c r="F1404" s="698"/>
      <c r="G1404" s="698"/>
    </row>
    <row r="1405" spans="1:7" ht="17.25" customHeight="1" x14ac:dyDescent="0.2">
      <c r="A1405" s="755" t="s">
        <v>550</v>
      </c>
      <c r="B1405" s="337">
        <v>1392</v>
      </c>
      <c r="C1405" s="698" t="s">
        <v>812</v>
      </c>
      <c r="D1405" s="698" t="s">
        <v>813</v>
      </c>
      <c r="E1405" s="698"/>
      <c r="F1405" s="698"/>
      <c r="G1405" s="698"/>
    </row>
    <row r="1406" spans="1:7" ht="17.25" customHeight="1" x14ac:dyDescent="0.2">
      <c r="A1406" s="755" t="s">
        <v>550</v>
      </c>
      <c r="B1406" s="322">
        <v>1393</v>
      </c>
      <c r="C1406" s="698"/>
      <c r="D1406" s="698"/>
      <c r="E1406" s="698"/>
      <c r="F1406" s="698"/>
      <c r="G1406" s="698"/>
    </row>
    <row r="1407" spans="1:7" ht="17.25" customHeight="1" x14ac:dyDescent="0.2">
      <c r="A1407" s="755" t="s">
        <v>550</v>
      </c>
      <c r="B1407" s="322">
        <v>1394</v>
      </c>
      <c r="C1407" s="698"/>
      <c r="D1407" s="698"/>
      <c r="E1407" s="698"/>
      <c r="F1407" s="698"/>
      <c r="G1407" s="698"/>
    </row>
    <row r="1408" spans="1:7" ht="17.25" customHeight="1" x14ac:dyDescent="0.2">
      <c r="A1408" s="755" t="s">
        <v>550</v>
      </c>
      <c r="B1408" s="322">
        <v>1395</v>
      </c>
      <c r="C1408" s="698"/>
      <c r="D1408" s="698"/>
      <c r="E1408" s="698"/>
      <c r="F1408" s="698"/>
      <c r="G1408" s="698"/>
    </row>
    <row r="1409" spans="1:7" ht="17.25" customHeight="1" x14ac:dyDescent="0.2">
      <c r="A1409" s="755" t="s">
        <v>550</v>
      </c>
      <c r="B1409" s="337">
        <v>1396</v>
      </c>
      <c r="C1409" s="698" t="s">
        <v>814</v>
      </c>
      <c r="D1409" s="698" t="s">
        <v>815</v>
      </c>
      <c r="E1409" s="698"/>
      <c r="F1409" s="698"/>
      <c r="G1409" s="698"/>
    </row>
    <row r="1410" spans="1:7" ht="17.25" customHeight="1" x14ac:dyDescent="0.2">
      <c r="A1410" s="755" t="s">
        <v>550</v>
      </c>
      <c r="B1410" s="322">
        <v>1397</v>
      </c>
      <c r="C1410" s="698"/>
      <c r="D1410" s="698"/>
      <c r="E1410" s="698"/>
      <c r="F1410" s="698"/>
      <c r="G1410" s="698"/>
    </row>
    <row r="1411" spans="1:7" ht="17.25" customHeight="1" x14ac:dyDescent="0.2">
      <c r="A1411" s="755" t="s">
        <v>550</v>
      </c>
      <c r="B1411" s="337">
        <v>1398</v>
      </c>
      <c r="C1411" s="698" t="s">
        <v>816</v>
      </c>
      <c r="D1411" s="698" t="s">
        <v>817</v>
      </c>
      <c r="E1411" s="698"/>
      <c r="F1411" s="698"/>
      <c r="G1411" s="698"/>
    </row>
    <row r="1412" spans="1:7" ht="17.25" customHeight="1" x14ac:dyDescent="0.2">
      <c r="A1412" s="755" t="s">
        <v>550</v>
      </c>
      <c r="B1412" s="322">
        <v>1399</v>
      </c>
      <c r="C1412" s="698"/>
      <c r="D1412" s="698"/>
      <c r="E1412" s="698"/>
      <c r="F1412" s="698"/>
      <c r="G1412" s="698"/>
    </row>
    <row r="1413" spans="1:7" ht="17.25" customHeight="1" x14ac:dyDescent="0.2">
      <c r="A1413" s="755" t="s">
        <v>550</v>
      </c>
      <c r="B1413" s="337">
        <v>1400</v>
      </c>
      <c r="C1413" s="698" t="s">
        <v>818</v>
      </c>
      <c r="D1413" s="698" t="s">
        <v>819</v>
      </c>
      <c r="E1413" s="698"/>
      <c r="F1413" s="698"/>
      <c r="G1413" s="698"/>
    </row>
    <row r="1414" spans="1:7" ht="17.25" customHeight="1" x14ac:dyDescent="0.2">
      <c r="A1414" s="755" t="s">
        <v>550</v>
      </c>
      <c r="B1414" s="322">
        <v>1401</v>
      </c>
      <c r="C1414" s="698"/>
      <c r="D1414" s="698"/>
      <c r="E1414" s="698"/>
      <c r="F1414" s="698"/>
      <c r="G1414" s="698"/>
    </row>
    <row r="1415" spans="1:7" ht="17.25" customHeight="1" x14ac:dyDescent="0.2">
      <c r="A1415" s="755" t="s">
        <v>550</v>
      </c>
      <c r="B1415" s="322">
        <v>1402</v>
      </c>
      <c r="C1415" s="698"/>
      <c r="D1415" s="698"/>
      <c r="E1415" s="698"/>
      <c r="F1415" s="698"/>
      <c r="G1415" s="698"/>
    </row>
    <row r="1416" spans="1:7" ht="17.25" customHeight="1" x14ac:dyDescent="0.2">
      <c r="A1416" s="755" t="s">
        <v>550</v>
      </c>
      <c r="B1416" s="322">
        <v>1403</v>
      </c>
      <c r="C1416" s="698"/>
      <c r="D1416" s="698"/>
      <c r="E1416" s="698"/>
      <c r="F1416" s="698"/>
      <c r="G1416" s="698"/>
    </row>
    <row r="1417" spans="1:7" ht="17.25" customHeight="1" x14ac:dyDescent="0.2">
      <c r="A1417" s="755" t="s">
        <v>550</v>
      </c>
      <c r="B1417" s="337">
        <v>1404</v>
      </c>
      <c r="C1417" s="698" t="s">
        <v>820</v>
      </c>
      <c r="D1417" s="698" t="s">
        <v>821</v>
      </c>
      <c r="E1417" s="698"/>
      <c r="F1417" s="698"/>
      <c r="G1417" s="698"/>
    </row>
    <row r="1418" spans="1:7" ht="17.25" customHeight="1" x14ac:dyDescent="0.2">
      <c r="A1418" s="755" t="s">
        <v>550</v>
      </c>
      <c r="B1418" s="322">
        <v>1405</v>
      </c>
      <c r="C1418" s="698"/>
      <c r="D1418" s="698"/>
      <c r="E1418" s="698"/>
      <c r="F1418" s="698"/>
      <c r="G1418" s="698"/>
    </row>
    <row r="1419" spans="1:7" ht="17.25" customHeight="1" x14ac:dyDescent="0.2">
      <c r="A1419" s="755" t="s">
        <v>550</v>
      </c>
      <c r="B1419" s="337">
        <v>1406</v>
      </c>
      <c r="C1419" s="698" t="s">
        <v>822</v>
      </c>
      <c r="D1419" s="698" t="s">
        <v>823</v>
      </c>
      <c r="E1419" s="698"/>
      <c r="F1419" s="698"/>
      <c r="G1419" s="698"/>
    </row>
    <row r="1420" spans="1:7" ht="17.25" customHeight="1" x14ac:dyDescent="0.2">
      <c r="A1420" s="755" t="s">
        <v>550</v>
      </c>
      <c r="B1420" s="322">
        <v>1407</v>
      </c>
      <c r="C1420" s="698"/>
      <c r="D1420" s="698"/>
      <c r="E1420" s="698"/>
      <c r="F1420" s="698"/>
      <c r="G1420" s="698"/>
    </row>
    <row r="1421" spans="1:7" ht="17.25" customHeight="1" x14ac:dyDescent="0.2">
      <c r="A1421" s="755" t="s">
        <v>550</v>
      </c>
      <c r="B1421" s="337">
        <v>1408</v>
      </c>
      <c r="C1421" s="698" t="s">
        <v>824</v>
      </c>
      <c r="D1421" s="698" t="s">
        <v>825</v>
      </c>
      <c r="E1421" s="698"/>
      <c r="F1421" s="698"/>
      <c r="G1421" s="698"/>
    </row>
    <row r="1422" spans="1:7" ht="17.25" customHeight="1" x14ac:dyDescent="0.2">
      <c r="A1422" s="755" t="s">
        <v>550</v>
      </c>
      <c r="B1422" s="322">
        <v>1409</v>
      </c>
      <c r="C1422" s="698"/>
      <c r="D1422" s="698"/>
      <c r="E1422" s="698"/>
      <c r="F1422" s="698"/>
      <c r="G1422" s="698"/>
    </row>
    <row r="1423" spans="1:7" ht="17.25" customHeight="1" x14ac:dyDescent="0.2">
      <c r="A1423" s="755" t="s">
        <v>550</v>
      </c>
      <c r="B1423" s="337">
        <v>1410</v>
      </c>
      <c r="C1423" s="698" t="s">
        <v>826</v>
      </c>
      <c r="D1423" s="698" t="s">
        <v>827</v>
      </c>
      <c r="E1423" s="698"/>
      <c r="F1423" s="698"/>
      <c r="G1423" s="698"/>
    </row>
    <row r="1424" spans="1:7" ht="17.25" customHeight="1" x14ac:dyDescent="0.2">
      <c r="A1424" s="755" t="s">
        <v>550</v>
      </c>
      <c r="B1424" s="322">
        <v>1411</v>
      </c>
      <c r="C1424" s="698"/>
      <c r="D1424" s="698"/>
      <c r="E1424" s="698"/>
      <c r="F1424" s="698"/>
      <c r="G1424" s="698"/>
    </row>
    <row r="1425" spans="1:7" ht="17.25" customHeight="1" x14ac:dyDescent="0.2">
      <c r="A1425" s="755" t="s">
        <v>550</v>
      </c>
      <c r="B1425" s="337">
        <v>1412</v>
      </c>
      <c r="C1425" s="698" t="s">
        <v>828</v>
      </c>
      <c r="D1425" s="698" t="s">
        <v>829</v>
      </c>
      <c r="E1425" s="698"/>
      <c r="F1425" s="698"/>
      <c r="G1425" s="698"/>
    </row>
    <row r="1426" spans="1:7" ht="17.25" customHeight="1" x14ac:dyDescent="0.2">
      <c r="A1426" s="755" t="s">
        <v>550</v>
      </c>
      <c r="B1426" s="322">
        <v>1413</v>
      </c>
      <c r="C1426" s="698"/>
      <c r="D1426" s="698"/>
      <c r="E1426" s="698"/>
      <c r="F1426" s="698"/>
      <c r="G1426" s="698"/>
    </row>
    <row r="1427" spans="1:7" ht="17.25" customHeight="1" x14ac:dyDescent="0.2">
      <c r="A1427" s="755" t="s">
        <v>550</v>
      </c>
      <c r="B1427" s="337">
        <v>1414</v>
      </c>
      <c r="C1427" s="698" t="s">
        <v>830</v>
      </c>
      <c r="D1427" s="698" t="s">
        <v>831</v>
      </c>
      <c r="E1427" s="698"/>
      <c r="F1427" s="698"/>
      <c r="G1427" s="698"/>
    </row>
    <row r="1428" spans="1:7" ht="17.25" customHeight="1" x14ac:dyDescent="0.2">
      <c r="A1428" s="755" t="s">
        <v>550</v>
      </c>
      <c r="B1428" s="322">
        <v>1415</v>
      </c>
      <c r="C1428" s="698"/>
      <c r="D1428" s="698"/>
      <c r="E1428" s="698"/>
      <c r="F1428" s="698"/>
      <c r="G1428" s="698"/>
    </row>
    <row r="1429" spans="1:7" ht="17.25" customHeight="1" x14ac:dyDescent="0.2">
      <c r="A1429" s="755" t="s">
        <v>550</v>
      </c>
      <c r="B1429" s="337">
        <v>1416</v>
      </c>
      <c r="C1429" s="698" t="s">
        <v>832</v>
      </c>
      <c r="D1429" s="698" t="s">
        <v>833</v>
      </c>
      <c r="E1429" s="698"/>
      <c r="F1429" s="698"/>
      <c r="G1429" s="698"/>
    </row>
    <row r="1430" spans="1:7" ht="17.25" customHeight="1" x14ac:dyDescent="0.2">
      <c r="A1430" s="755" t="s">
        <v>550</v>
      </c>
      <c r="B1430" s="322">
        <v>1417</v>
      </c>
      <c r="C1430" s="698"/>
      <c r="D1430" s="698"/>
      <c r="E1430" s="698"/>
      <c r="F1430" s="698"/>
      <c r="G1430" s="698"/>
    </row>
    <row r="1431" spans="1:7" ht="17.25" customHeight="1" x14ac:dyDescent="0.2">
      <c r="A1431" s="755" t="s">
        <v>550</v>
      </c>
      <c r="B1431" s="337">
        <v>1418</v>
      </c>
      <c r="C1431" s="698" t="s">
        <v>834</v>
      </c>
      <c r="D1431" s="698" t="s">
        <v>835</v>
      </c>
      <c r="E1431" s="698"/>
      <c r="F1431" s="698"/>
      <c r="G1431" s="698"/>
    </row>
    <row r="1432" spans="1:7" ht="17.25" customHeight="1" x14ac:dyDescent="0.2">
      <c r="A1432" s="755" t="s">
        <v>550</v>
      </c>
      <c r="B1432" s="322">
        <v>1419</v>
      </c>
      <c r="C1432" s="698"/>
      <c r="D1432" s="698"/>
      <c r="E1432" s="698"/>
      <c r="F1432" s="698"/>
      <c r="G1432" s="698"/>
    </row>
    <row r="1433" spans="1:7" ht="17.25" customHeight="1" x14ac:dyDescent="0.2">
      <c r="A1433" s="755" t="s">
        <v>550</v>
      </c>
      <c r="B1433" s="337">
        <v>1420</v>
      </c>
      <c r="C1433" s="698" t="s">
        <v>836</v>
      </c>
      <c r="D1433" s="698" t="s">
        <v>837</v>
      </c>
      <c r="E1433" s="698"/>
      <c r="F1433" s="698"/>
      <c r="G1433" s="698"/>
    </row>
    <row r="1434" spans="1:7" ht="17.25" customHeight="1" x14ac:dyDescent="0.2">
      <c r="A1434" s="755" t="s">
        <v>550</v>
      </c>
      <c r="B1434" s="322">
        <v>1421</v>
      </c>
      <c r="C1434" s="698"/>
      <c r="D1434" s="698"/>
      <c r="E1434" s="698"/>
      <c r="F1434" s="698"/>
      <c r="G1434" s="698"/>
    </row>
    <row r="1435" spans="1:7" ht="17.25" customHeight="1" x14ac:dyDescent="0.2">
      <c r="A1435" s="755" t="s">
        <v>550</v>
      </c>
      <c r="B1435" s="337">
        <v>1422</v>
      </c>
      <c r="C1435" s="698" t="s">
        <v>838</v>
      </c>
      <c r="D1435" s="698" t="s">
        <v>839</v>
      </c>
      <c r="E1435" s="698"/>
      <c r="F1435" s="698"/>
      <c r="G1435" s="698"/>
    </row>
    <row r="1436" spans="1:7" ht="17.25" customHeight="1" x14ac:dyDescent="0.2">
      <c r="A1436" s="755" t="s">
        <v>550</v>
      </c>
      <c r="B1436" s="322">
        <v>1423</v>
      </c>
      <c r="C1436" s="698"/>
      <c r="D1436" s="698"/>
      <c r="E1436" s="698"/>
      <c r="F1436" s="698"/>
      <c r="G1436" s="698"/>
    </row>
    <row r="1437" spans="1:7" ht="17.25" customHeight="1" x14ac:dyDescent="0.2">
      <c r="A1437" s="755" t="s">
        <v>550</v>
      </c>
      <c r="B1437" s="337">
        <v>1424</v>
      </c>
      <c r="C1437" s="698" t="s">
        <v>840</v>
      </c>
      <c r="D1437" s="698" t="s">
        <v>841</v>
      </c>
      <c r="E1437" s="698"/>
      <c r="F1437" s="698"/>
      <c r="G1437" s="698"/>
    </row>
    <row r="1438" spans="1:7" ht="17.25" customHeight="1" x14ac:dyDescent="0.2">
      <c r="A1438" s="755" t="s">
        <v>550</v>
      </c>
      <c r="B1438" s="322">
        <v>1425</v>
      </c>
      <c r="C1438" s="698"/>
      <c r="D1438" s="698"/>
      <c r="E1438" s="698"/>
      <c r="F1438" s="698"/>
      <c r="G1438" s="698"/>
    </row>
    <row r="1439" spans="1:7" ht="17.25" customHeight="1" x14ac:dyDescent="0.2">
      <c r="A1439" s="755" t="s">
        <v>550</v>
      </c>
      <c r="B1439" s="337">
        <v>1426</v>
      </c>
      <c r="C1439" s="698" t="s">
        <v>842</v>
      </c>
      <c r="D1439" s="698" t="s">
        <v>843</v>
      </c>
      <c r="E1439" s="698"/>
      <c r="F1439" s="698"/>
      <c r="G1439" s="698"/>
    </row>
    <row r="1440" spans="1:7" ht="17.25" customHeight="1" x14ac:dyDescent="0.2">
      <c r="A1440" s="755" t="s">
        <v>550</v>
      </c>
      <c r="B1440" s="322">
        <v>1427</v>
      </c>
      <c r="C1440" s="698"/>
      <c r="D1440" s="698"/>
      <c r="E1440" s="698"/>
      <c r="F1440" s="698"/>
      <c r="G1440" s="698"/>
    </row>
    <row r="1441" spans="1:7" ht="17.25" customHeight="1" x14ac:dyDescent="0.2">
      <c r="A1441" s="755" t="s">
        <v>550</v>
      </c>
      <c r="B1441" s="337">
        <v>1428</v>
      </c>
      <c r="C1441" s="698" t="s">
        <v>844</v>
      </c>
      <c r="D1441" s="698" t="s">
        <v>845</v>
      </c>
      <c r="E1441" s="698"/>
      <c r="F1441" s="698"/>
      <c r="G1441" s="698"/>
    </row>
    <row r="1442" spans="1:7" ht="17.25" customHeight="1" x14ac:dyDescent="0.2">
      <c r="A1442" s="755" t="s">
        <v>550</v>
      </c>
      <c r="B1442" s="322">
        <v>1429</v>
      </c>
      <c r="C1442" s="698"/>
      <c r="D1442" s="698"/>
      <c r="E1442" s="698"/>
      <c r="F1442" s="698"/>
      <c r="G1442" s="698"/>
    </row>
    <row r="1443" spans="1:7" ht="17.25" customHeight="1" x14ac:dyDescent="0.2">
      <c r="A1443" s="755" t="s">
        <v>550</v>
      </c>
      <c r="B1443" s="337">
        <v>1430</v>
      </c>
      <c r="C1443" s="698" t="s">
        <v>846</v>
      </c>
      <c r="D1443" s="698" t="s">
        <v>847</v>
      </c>
      <c r="E1443" s="698"/>
      <c r="F1443" s="698"/>
      <c r="G1443" s="698"/>
    </row>
    <row r="1444" spans="1:7" ht="17.25" customHeight="1" x14ac:dyDescent="0.2">
      <c r="A1444" s="755" t="s">
        <v>550</v>
      </c>
      <c r="B1444" s="322">
        <v>1431</v>
      </c>
      <c r="C1444" s="698"/>
      <c r="D1444" s="698"/>
      <c r="E1444" s="698"/>
      <c r="F1444" s="698"/>
      <c r="G1444" s="698"/>
    </row>
    <row r="1445" spans="1:7" ht="17.25" customHeight="1" x14ac:dyDescent="0.2">
      <c r="A1445" s="755" t="s">
        <v>550</v>
      </c>
      <c r="B1445" s="337">
        <v>1432</v>
      </c>
      <c r="C1445" s="698" t="s">
        <v>848</v>
      </c>
      <c r="D1445" s="698" t="s">
        <v>849</v>
      </c>
      <c r="E1445" s="698"/>
      <c r="F1445" s="698"/>
      <c r="G1445" s="698"/>
    </row>
    <row r="1446" spans="1:7" ht="17.25" customHeight="1" x14ac:dyDescent="0.2">
      <c r="A1446" s="755" t="s">
        <v>550</v>
      </c>
      <c r="B1446" s="322">
        <v>1433</v>
      </c>
      <c r="C1446" s="698"/>
      <c r="D1446" s="698"/>
      <c r="E1446" s="698"/>
      <c r="F1446" s="698"/>
      <c r="G1446" s="698"/>
    </row>
    <row r="1447" spans="1:7" ht="17.25" customHeight="1" x14ac:dyDescent="0.2">
      <c r="A1447" s="755" t="s">
        <v>550</v>
      </c>
      <c r="B1447" s="337">
        <v>1434</v>
      </c>
      <c r="C1447" s="698" t="s">
        <v>850</v>
      </c>
      <c r="D1447" s="698" t="s">
        <v>851</v>
      </c>
      <c r="E1447" s="698"/>
      <c r="F1447" s="698"/>
      <c r="G1447" s="698"/>
    </row>
    <row r="1448" spans="1:7" ht="17.25" customHeight="1" x14ac:dyDescent="0.2">
      <c r="A1448" s="755" t="s">
        <v>550</v>
      </c>
      <c r="B1448" s="322">
        <v>1435</v>
      </c>
      <c r="C1448" s="698"/>
      <c r="D1448" s="698"/>
      <c r="E1448" s="698"/>
      <c r="F1448" s="698"/>
      <c r="G1448" s="698"/>
    </row>
    <row r="1449" spans="1:7" ht="17.25" customHeight="1" x14ac:dyDescent="0.2">
      <c r="A1449" s="755" t="s">
        <v>550</v>
      </c>
      <c r="B1449" s="337">
        <v>1436</v>
      </c>
      <c r="C1449" s="698" t="s">
        <v>852</v>
      </c>
      <c r="D1449" s="698" t="s">
        <v>853</v>
      </c>
      <c r="E1449" s="698"/>
      <c r="F1449" s="698"/>
      <c r="G1449" s="698"/>
    </row>
    <row r="1450" spans="1:7" ht="17.25" customHeight="1" x14ac:dyDescent="0.2">
      <c r="A1450" s="755" t="s">
        <v>550</v>
      </c>
      <c r="B1450" s="322">
        <v>1437</v>
      </c>
      <c r="C1450" s="698"/>
      <c r="D1450" s="698"/>
      <c r="E1450" s="698"/>
      <c r="F1450" s="698"/>
      <c r="G1450" s="698"/>
    </row>
    <row r="1451" spans="1:7" ht="17.25" customHeight="1" x14ac:dyDescent="0.2">
      <c r="A1451" s="755" t="s">
        <v>550</v>
      </c>
      <c r="B1451" s="337">
        <v>1438</v>
      </c>
      <c r="C1451" s="698" t="s">
        <v>854</v>
      </c>
      <c r="D1451" s="698" t="s">
        <v>855</v>
      </c>
      <c r="E1451" s="698"/>
      <c r="F1451" s="698"/>
      <c r="G1451" s="698"/>
    </row>
    <row r="1452" spans="1:7" ht="17.25" customHeight="1" x14ac:dyDescent="0.2">
      <c r="A1452" s="755" t="s">
        <v>550</v>
      </c>
      <c r="B1452" s="322">
        <v>1439</v>
      </c>
      <c r="C1452" s="698"/>
      <c r="D1452" s="698"/>
      <c r="E1452" s="698"/>
      <c r="F1452" s="698"/>
      <c r="G1452" s="698"/>
    </row>
    <row r="1453" spans="1:7" ht="17.25" customHeight="1" x14ac:dyDescent="0.2">
      <c r="A1453" s="755" t="s">
        <v>550</v>
      </c>
      <c r="B1453" s="337">
        <v>1440</v>
      </c>
      <c r="C1453" s="698" t="s">
        <v>856</v>
      </c>
      <c r="D1453" s="698" t="s">
        <v>857</v>
      </c>
      <c r="E1453" s="698"/>
      <c r="F1453" s="698"/>
      <c r="G1453" s="698"/>
    </row>
    <row r="1454" spans="1:7" ht="17.25" customHeight="1" x14ac:dyDescent="0.2">
      <c r="A1454" s="755" t="s">
        <v>550</v>
      </c>
      <c r="B1454" s="322">
        <v>1441</v>
      </c>
      <c r="C1454" s="698"/>
      <c r="D1454" s="698"/>
      <c r="E1454" s="698"/>
      <c r="F1454" s="698"/>
      <c r="G1454" s="698"/>
    </row>
    <row r="1455" spans="1:7" ht="17.25" customHeight="1" x14ac:dyDescent="0.2">
      <c r="A1455" s="755" t="s">
        <v>550</v>
      </c>
      <c r="B1455" s="337">
        <v>1442</v>
      </c>
      <c r="C1455" s="698" t="s">
        <v>858</v>
      </c>
      <c r="D1455" s="698" t="s">
        <v>859</v>
      </c>
      <c r="E1455" s="698"/>
      <c r="F1455" s="698"/>
      <c r="G1455" s="698"/>
    </row>
    <row r="1456" spans="1:7" ht="17.25" customHeight="1" x14ac:dyDescent="0.2">
      <c r="A1456" s="755" t="s">
        <v>550</v>
      </c>
      <c r="B1456" s="322">
        <v>1443</v>
      </c>
      <c r="C1456" s="698"/>
      <c r="D1456" s="698"/>
      <c r="E1456" s="698"/>
      <c r="F1456" s="698"/>
      <c r="G1456" s="698"/>
    </row>
    <row r="1457" spans="1:7" ht="17.25" customHeight="1" x14ac:dyDescent="0.2">
      <c r="A1457" s="755" t="s">
        <v>550</v>
      </c>
      <c r="B1457" s="337">
        <v>1444</v>
      </c>
      <c r="C1457" s="326" t="s">
        <v>860</v>
      </c>
      <c r="D1457" s="327" t="s">
        <v>861</v>
      </c>
      <c r="E1457" s="698"/>
      <c r="F1457" s="698"/>
      <c r="G1457" s="698"/>
    </row>
    <row r="1458" spans="1:7" ht="17.25" customHeight="1" x14ac:dyDescent="0.2">
      <c r="A1458" s="755" t="s">
        <v>550</v>
      </c>
      <c r="B1458" s="322">
        <v>1445</v>
      </c>
      <c r="C1458" s="698"/>
      <c r="D1458" s="698"/>
      <c r="E1458" s="698"/>
      <c r="F1458" s="698"/>
      <c r="G1458" s="698"/>
    </row>
    <row r="1459" spans="1:7" ht="17.25" customHeight="1" x14ac:dyDescent="0.2">
      <c r="A1459" s="755" t="s">
        <v>550</v>
      </c>
      <c r="B1459" s="322">
        <v>1446</v>
      </c>
      <c r="C1459" s="698"/>
      <c r="D1459" s="698"/>
      <c r="E1459" s="698"/>
      <c r="F1459" s="698"/>
      <c r="G1459" s="698"/>
    </row>
    <row r="1460" spans="1:7" ht="17.25" customHeight="1" x14ac:dyDescent="0.2">
      <c r="A1460" s="755" t="s">
        <v>550</v>
      </c>
      <c r="B1460" s="322">
        <v>1447</v>
      </c>
      <c r="C1460" s="698"/>
      <c r="D1460" s="698"/>
      <c r="E1460" s="698"/>
      <c r="F1460" s="698"/>
      <c r="G1460" s="698"/>
    </row>
    <row r="1461" spans="1:7" ht="17.25" customHeight="1" x14ac:dyDescent="0.2">
      <c r="A1461" s="755" t="s">
        <v>550</v>
      </c>
      <c r="B1461" s="337">
        <v>1448</v>
      </c>
      <c r="C1461" s="698" t="s">
        <v>862</v>
      </c>
      <c r="D1461" s="698" t="s">
        <v>863</v>
      </c>
      <c r="E1461" s="698"/>
      <c r="F1461" s="698"/>
      <c r="G1461" s="698"/>
    </row>
    <row r="1462" spans="1:7" ht="17.25" customHeight="1" x14ac:dyDescent="0.2">
      <c r="A1462" s="755" t="s">
        <v>550</v>
      </c>
      <c r="B1462" s="337">
        <v>1449</v>
      </c>
      <c r="C1462" s="698" t="s">
        <v>864</v>
      </c>
      <c r="D1462" s="698" t="s">
        <v>865</v>
      </c>
      <c r="E1462" s="698"/>
      <c r="F1462" s="698"/>
      <c r="G1462" s="698"/>
    </row>
    <row r="1463" spans="1:7" ht="17.25" customHeight="1" x14ac:dyDescent="0.2">
      <c r="A1463" s="755" t="s">
        <v>550</v>
      </c>
      <c r="B1463" s="337">
        <v>1450</v>
      </c>
      <c r="C1463" s="698" t="s">
        <v>866</v>
      </c>
      <c r="D1463" s="698" t="s">
        <v>867</v>
      </c>
      <c r="E1463" s="698"/>
      <c r="F1463" s="698"/>
      <c r="G1463" s="698"/>
    </row>
    <row r="1464" spans="1:7" ht="17.25" customHeight="1" x14ac:dyDescent="0.2">
      <c r="A1464" s="755" t="s">
        <v>550</v>
      </c>
      <c r="B1464" s="337">
        <v>1451</v>
      </c>
      <c r="C1464" s="698" t="s">
        <v>868</v>
      </c>
      <c r="D1464" s="698" t="s">
        <v>869</v>
      </c>
      <c r="E1464" s="698"/>
      <c r="F1464" s="698"/>
      <c r="G1464" s="698"/>
    </row>
    <row r="1465" spans="1:7" ht="17.25" customHeight="1" x14ac:dyDescent="0.2">
      <c r="A1465" s="755" t="s">
        <v>550</v>
      </c>
      <c r="B1465" s="337">
        <v>1452</v>
      </c>
      <c r="C1465" s="698" t="s">
        <v>870</v>
      </c>
      <c r="D1465" s="327" t="s">
        <v>819</v>
      </c>
      <c r="E1465" s="698"/>
      <c r="F1465" s="698"/>
      <c r="G1465" s="698"/>
    </row>
    <row r="1466" spans="1:7" ht="17.25" customHeight="1" x14ac:dyDescent="0.2">
      <c r="A1466" s="755" t="s">
        <v>550</v>
      </c>
      <c r="B1466" s="337">
        <v>1453</v>
      </c>
      <c r="C1466" s="698" t="s">
        <v>871</v>
      </c>
      <c r="D1466" s="698" t="s">
        <v>872</v>
      </c>
      <c r="E1466" s="698"/>
      <c r="F1466" s="698"/>
      <c r="G1466" s="698"/>
    </row>
    <row r="1467" spans="1:7" ht="27.55" customHeight="1" x14ac:dyDescent="0.2">
      <c r="A1467" s="755" t="s">
        <v>550</v>
      </c>
      <c r="B1467" s="337">
        <v>1454</v>
      </c>
      <c r="C1467" s="698" t="s">
        <v>873</v>
      </c>
      <c r="D1467" s="698" t="s">
        <v>874</v>
      </c>
      <c r="E1467" s="698"/>
      <c r="F1467" s="698"/>
      <c r="G1467" s="698"/>
    </row>
    <row r="1468" spans="1:7" ht="17.25" customHeight="1" x14ac:dyDescent="0.2">
      <c r="A1468" s="755" t="s">
        <v>550</v>
      </c>
      <c r="B1468" s="337">
        <v>1455</v>
      </c>
      <c r="C1468" s="698" t="s">
        <v>875</v>
      </c>
      <c r="D1468" s="698" t="s">
        <v>876</v>
      </c>
      <c r="E1468" s="698"/>
      <c r="F1468" s="698"/>
      <c r="G1468" s="698"/>
    </row>
    <row r="1469" spans="1:7" ht="17.25" customHeight="1" x14ac:dyDescent="0.2">
      <c r="A1469" s="755" t="s">
        <v>550</v>
      </c>
      <c r="B1469" s="337">
        <v>1456</v>
      </c>
      <c r="C1469" s="698" t="s">
        <v>877</v>
      </c>
      <c r="D1469" s="698" t="s">
        <v>878</v>
      </c>
      <c r="E1469" s="698"/>
      <c r="F1469" s="698"/>
      <c r="G1469" s="698"/>
    </row>
    <row r="1470" spans="1:7" ht="17.25" customHeight="1" x14ac:dyDescent="0.2">
      <c r="A1470" s="755" t="s">
        <v>550</v>
      </c>
      <c r="B1470" s="322">
        <v>1457</v>
      </c>
      <c r="C1470" s="698"/>
      <c r="D1470" s="698"/>
      <c r="E1470" s="698"/>
      <c r="F1470" s="698"/>
      <c r="G1470" s="698"/>
    </row>
    <row r="1471" spans="1:7" ht="17.25" customHeight="1" x14ac:dyDescent="0.2">
      <c r="A1471" s="755" t="s">
        <v>550</v>
      </c>
      <c r="B1471" s="322">
        <v>1458</v>
      </c>
      <c r="C1471" s="698"/>
      <c r="D1471" s="698"/>
      <c r="E1471" s="698"/>
      <c r="F1471" s="698"/>
      <c r="G1471" s="698"/>
    </row>
    <row r="1472" spans="1:7" ht="17.25" customHeight="1" x14ac:dyDescent="0.2">
      <c r="A1472" s="755" t="s">
        <v>550</v>
      </c>
      <c r="B1472" s="337">
        <v>1459</v>
      </c>
      <c r="C1472" s="698" t="s">
        <v>879</v>
      </c>
      <c r="D1472" s="698" t="s">
        <v>880</v>
      </c>
      <c r="E1472" s="698"/>
      <c r="F1472" s="698"/>
      <c r="G1472" s="698"/>
    </row>
    <row r="1473" spans="1:7" ht="17.25" customHeight="1" x14ac:dyDescent="0.2">
      <c r="A1473" s="755" t="s">
        <v>550</v>
      </c>
      <c r="B1473" s="322">
        <v>1460</v>
      </c>
      <c r="C1473" s="698"/>
      <c r="D1473" s="698"/>
      <c r="E1473" s="698"/>
      <c r="F1473" s="698"/>
      <c r="G1473" s="698"/>
    </row>
    <row r="1474" spans="1:7" ht="17.25" customHeight="1" x14ac:dyDescent="0.2">
      <c r="A1474" s="755" t="s">
        <v>550</v>
      </c>
      <c r="B1474" s="337">
        <v>1461</v>
      </c>
      <c r="C1474" s="698" t="s">
        <v>881</v>
      </c>
      <c r="D1474" s="698" t="s">
        <v>882</v>
      </c>
      <c r="E1474" s="698"/>
      <c r="F1474" s="698"/>
      <c r="G1474" s="698"/>
    </row>
    <row r="1475" spans="1:7" ht="17.25" customHeight="1" x14ac:dyDescent="0.2">
      <c r="A1475" s="755" t="s">
        <v>550</v>
      </c>
      <c r="B1475" s="337">
        <v>1462</v>
      </c>
      <c r="C1475" s="698" t="s">
        <v>883</v>
      </c>
      <c r="D1475" s="698" t="s">
        <v>884</v>
      </c>
      <c r="E1475" s="698"/>
      <c r="F1475" s="698"/>
      <c r="G1475" s="698"/>
    </row>
    <row r="1476" spans="1:7" ht="17.25" customHeight="1" x14ac:dyDescent="0.2">
      <c r="A1476" s="755" t="s">
        <v>550</v>
      </c>
      <c r="B1476" s="337">
        <v>1463</v>
      </c>
      <c r="C1476" s="698" t="s">
        <v>885</v>
      </c>
      <c r="D1476" s="698" t="s">
        <v>886</v>
      </c>
      <c r="E1476" s="698"/>
      <c r="F1476" s="698"/>
      <c r="G1476" s="698"/>
    </row>
    <row r="1477" spans="1:7" ht="17.25" customHeight="1" x14ac:dyDescent="0.2">
      <c r="A1477" s="755" t="s">
        <v>550</v>
      </c>
      <c r="B1477" s="337">
        <v>1464</v>
      </c>
      <c r="C1477" s="698" t="s">
        <v>887</v>
      </c>
      <c r="D1477" s="698" t="s">
        <v>888</v>
      </c>
      <c r="E1477" s="698"/>
      <c r="F1477" s="698"/>
      <c r="G1477" s="698"/>
    </row>
    <row r="1478" spans="1:7" ht="17.25" customHeight="1" x14ac:dyDescent="0.2">
      <c r="A1478" s="755" t="s">
        <v>550</v>
      </c>
      <c r="B1478" s="337">
        <v>1465</v>
      </c>
      <c r="C1478" s="698" t="s">
        <v>889</v>
      </c>
      <c r="D1478" s="698" t="s">
        <v>890</v>
      </c>
      <c r="E1478" s="698"/>
      <c r="F1478" s="698"/>
      <c r="G1478" s="698"/>
    </row>
    <row r="1479" spans="1:7" ht="17.25" customHeight="1" x14ac:dyDescent="0.2">
      <c r="A1479" s="755" t="s">
        <v>550</v>
      </c>
      <c r="B1479" s="322">
        <v>1466</v>
      </c>
      <c r="C1479" s="698"/>
      <c r="D1479" s="698"/>
      <c r="E1479" s="698"/>
      <c r="F1479" s="698"/>
      <c r="G1479" s="698"/>
    </row>
    <row r="1480" spans="1:7" ht="17.25" customHeight="1" x14ac:dyDescent="0.2">
      <c r="A1480" s="755" t="s">
        <v>550</v>
      </c>
      <c r="B1480" s="337">
        <v>1467</v>
      </c>
      <c r="C1480" s="698" t="s">
        <v>891</v>
      </c>
      <c r="D1480" s="698" t="s">
        <v>892</v>
      </c>
      <c r="E1480" s="698"/>
      <c r="F1480" s="698"/>
      <c r="G1480" s="698"/>
    </row>
    <row r="1481" spans="1:7" ht="17.25" customHeight="1" x14ac:dyDescent="0.2">
      <c r="A1481" s="755" t="s">
        <v>550</v>
      </c>
      <c r="B1481" s="337">
        <v>1468</v>
      </c>
      <c r="C1481" s="698" t="s">
        <v>810</v>
      </c>
      <c r="D1481" s="698" t="s">
        <v>893</v>
      </c>
      <c r="E1481" s="698"/>
      <c r="F1481" s="698"/>
      <c r="G1481" s="698"/>
    </row>
    <row r="1482" spans="1:7" ht="17.25" customHeight="1" x14ac:dyDescent="0.2">
      <c r="A1482" s="755" t="s">
        <v>550</v>
      </c>
      <c r="B1482" s="322">
        <v>1469</v>
      </c>
      <c r="C1482" s="698"/>
      <c r="D1482" s="698"/>
      <c r="E1482" s="698"/>
      <c r="F1482" s="698"/>
      <c r="G1482" s="698"/>
    </row>
    <row r="1483" spans="1:7" ht="17.25" customHeight="1" x14ac:dyDescent="0.2">
      <c r="A1483" s="755" t="s">
        <v>550</v>
      </c>
      <c r="B1483" s="337">
        <v>1470</v>
      </c>
      <c r="C1483" s="698" t="s">
        <v>894</v>
      </c>
      <c r="D1483" s="698" t="s">
        <v>895</v>
      </c>
      <c r="E1483" s="698"/>
      <c r="F1483" s="698"/>
      <c r="G1483" s="698"/>
    </row>
    <row r="1484" spans="1:7" ht="17.25" customHeight="1" x14ac:dyDescent="0.2">
      <c r="A1484" s="755" t="s">
        <v>550</v>
      </c>
      <c r="B1484" s="337">
        <v>1471</v>
      </c>
      <c r="C1484" s="698" t="s">
        <v>896</v>
      </c>
      <c r="D1484" s="698" t="s">
        <v>897</v>
      </c>
      <c r="E1484" s="698"/>
      <c r="F1484" s="698"/>
      <c r="G1484" s="698"/>
    </row>
    <row r="1485" spans="1:7" ht="17.25" customHeight="1" x14ac:dyDescent="0.2">
      <c r="A1485" s="755" t="s">
        <v>550</v>
      </c>
      <c r="B1485" s="322">
        <v>1472</v>
      </c>
      <c r="C1485" s="698"/>
      <c r="D1485" s="698"/>
      <c r="E1485" s="698"/>
      <c r="F1485" s="698"/>
      <c r="G1485" s="698"/>
    </row>
    <row r="1486" spans="1:7" ht="17.25" customHeight="1" x14ac:dyDescent="0.2">
      <c r="A1486" s="755" t="s">
        <v>550</v>
      </c>
      <c r="B1486" s="337">
        <v>1473</v>
      </c>
      <c r="C1486" s="698" t="s">
        <v>870</v>
      </c>
      <c r="D1486" s="327" t="s">
        <v>819</v>
      </c>
      <c r="E1486" s="698"/>
      <c r="F1486" s="698"/>
      <c r="G1486" s="698"/>
    </row>
    <row r="1487" spans="1:7" ht="17.25" customHeight="1" x14ac:dyDescent="0.2">
      <c r="A1487" s="755" t="s">
        <v>550</v>
      </c>
      <c r="B1487" s="337">
        <v>1474</v>
      </c>
      <c r="C1487" s="698" t="s">
        <v>898</v>
      </c>
      <c r="D1487" s="698" t="s">
        <v>899</v>
      </c>
      <c r="E1487" s="698"/>
      <c r="F1487" s="698"/>
      <c r="G1487" s="698"/>
    </row>
    <row r="1488" spans="1:7" ht="17.25" customHeight="1" x14ac:dyDescent="0.2">
      <c r="A1488" s="755" t="s">
        <v>550</v>
      </c>
      <c r="B1488" s="337">
        <v>1475</v>
      </c>
      <c r="C1488" s="698" t="s">
        <v>850</v>
      </c>
      <c r="D1488" s="698" t="s">
        <v>851</v>
      </c>
      <c r="E1488" s="698"/>
      <c r="F1488" s="698"/>
      <c r="G1488" s="698"/>
    </row>
    <row r="1489" spans="1:7" ht="17.25" customHeight="1" thickBot="1" x14ac:dyDescent="0.25">
      <c r="A1489" s="756" t="s">
        <v>550</v>
      </c>
      <c r="B1489" s="713">
        <v>1476</v>
      </c>
      <c r="C1489" s="715"/>
      <c r="D1489" s="715"/>
      <c r="E1489" s="715"/>
      <c r="F1489" s="715"/>
      <c r="G1489" s="715"/>
    </row>
    <row r="1490" spans="1:7" ht="17.25" customHeight="1" x14ac:dyDescent="0.2">
      <c r="A1490" s="329" t="s">
        <v>900</v>
      </c>
      <c r="B1490" s="322">
        <v>1477</v>
      </c>
      <c r="C1490" s="149"/>
      <c r="D1490" s="149"/>
      <c r="E1490" s="149"/>
      <c r="F1490" s="149"/>
      <c r="G1490" s="149"/>
    </row>
    <row r="1491" spans="1:7" ht="17.25" customHeight="1" x14ac:dyDescent="0.2">
      <c r="A1491" s="757" t="s">
        <v>900</v>
      </c>
      <c r="B1491" s="322">
        <v>1478</v>
      </c>
      <c r="C1491" s="698"/>
      <c r="D1491" s="698"/>
      <c r="E1491" s="698"/>
      <c r="F1491" s="698"/>
      <c r="G1491" s="698"/>
    </row>
    <row r="1492" spans="1:7" ht="17.25" customHeight="1" x14ac:dyDescent="0.2">
      <c r="A1492" s="757" t="s">
        <v>900</v>
      </c>
      <c r="B1492" s="322">
        <v>1479</v>
      </c>
      <c r="C1492" s="698" t="s">
        <v>901</v>
      </c>
      <c r="D1492" s="698" t="s">
        <v>902</v>
      </c>
      <c r="E1492" s="698"/>
      <c r="F1492" s="698"/>
      <c r="G1492" s="698"/>
    </row>
    <row r="1493" spans="1:7" ht="17.25" customHeight="1" x14ac:dyDescent="0.2">
      <c r="A1493" s="757" t="s">
        <v>900</v>
      </c>
      <c r="B1493" s="322">
        <v>1480</v>
      </c>
      <c r="C1493" s="698"/>
      <c r="D1493" s="698"/>
      <c r="E1493" s="698"/>
      <c r="F1493" s="698"/>
      <c r="G1493" s="698"/>
    </row>
    <row r="1494" spans="1:7" ht="17.25" customHeight="1" x14ac:dyDescent="0.2">
      <c r="A1494" s="757" t="s">
        <v>900</v>
      </c>
      <c r="B1494" s="322">
        <v>1481</v>
      </c>
      <c r="C1494" s="698"/>
      <c r="D1494" s="698"/>
      <c r="E1494" s="698"/>
      <c r="F1494" s="698"/>
      <c r="G1494" s="698"/>
    </row>
    <row r="1495" spans="1:7" ht="17.25" customHeight="1" x14ac:dyDescent="0.2">
      <c r="A1495" s="757" t="s">
        <v>900</v>
      </c>
      <c r="B1495" s="322">
        <v>1482</v>
      </c>
      <c r="C1495" s="698"/>
      <c r="D1495" s="698"/>
      <c r="E1495" s="698"/>
      <c r="F1495" s="698"/>
      <c r="G1495" s="698"/>
    </row>
    <row r="1496" spans="1:7" ht="17.25" customHeight="1" x14ac:dyDescent="0.2">
      <c r="A1496" s="757" t="s">
        <v>900</v>
      </c>
      <c r="B1496" s="337">
        <v>1483</v>
      </c>
      <c r="C1496" s="698" t="s">
        <v>903</v>
      </c>
      <c r="D1496" s="698" t="s">
        <v>904</v>
      </c>
      <c r="E1496" s="698"/>
      <c r="F1496" s="698"/>
      <c r="G1496" s="698"/>
    </row>
    <row r="1497" spans="1:7" ht="17.25" customHeight="1" x14ac:dyDescent="0.2">
      <c r="A1497" s="757" t="s">
        <v>900</v>
      </c>
      <c r="B1497" s="322">
        <v>1484</v>
      </c>
      <c r="C1497" s="698"/>
      <c r="D1497" s="698"/>
      <c r="E1497" s="698"/>
      <c r="F1497" s="698"/>
      <c r="G1497" s="698"/>
    </row>
    <row r="1498" spans="1:7" ht="17.25" customHeight="1" x14ac:dyDescent="0.2">
      <c r="A1498" s="757" t="s">
        <v>900</v>
      </c>
      <c r="B1498" s="322">
        <v>1485</v>
      </c>
      <c r="C1498" s="698"/>
      <c r="D1498" s="698"/>
      <c r="E1498" s="698"/>
      <c r="F1498" s="698"/>
      <c r="G1498" s="698"/>
    </row>
    <row r="1499" spans="1:7" ht="17.25" customHeight="1" x14ac:dyDescent="0.2">
      <c r="A1499" s="757" t="s">
        <v>900</v>
      </c>
      <c r="B1499" s="322">
        <v>1486</v>
      </c>
      <c r="C1499" s="698"/>
      <c r="D1499" s="698"/>
      <c r="E1499" s="698"/>
      <c r="F1499" s="698"/>
      <c r="G1499" s="698"/>
    </row>
    <row r="1500" spans="1:7" ht="17.25" customHeight="1" x14ac:dyDescent="0.2">
      <c r="A1500" s="757" t="s">
        <v>900</v>
      </c>
      <c r="B1500" s="337">
        <v>1487</v>
      </c>
      <c r="C1500" s="698" t="s">
        <v>905</v>
      </c>
      <c r="D1500" s="698" t="s">
        <v>906</v>
      </c>
      <c r="E1500" s="698"/>
      <c r="F1500" s="698"/>
      <c r="G1500" s="698"/>
    </row>
    <row r="1501" spans="1:7" ht="17.25" customHeight="1" x14ac:dyDescent="0.2">
      <c r="A1501" s="757" t="s">
        <v>900</v>
      </c>
      <c r="B1501" s="322">
        <v>1488</v>
      </c>
      <c r="C1501" s="698"/>
      <c r="D1501" s="698"/>
      <c r="E1501" s="698"/>
      <c r="F1501" s="698"/>
      <c r="G1501" s="698"/>
    </row>
    <row r="1502" spans="1:7" ht="17.25" customHeight="1" x14ac:dyDescent="0.2">
      <c r="A1502" s="757" t="s">
        <v>900</v>
      </c>
      <c r="B1502" s="322">
        <v>1489</v>
      </c>
      <c r="C1502" s="698"/>
      <c r="D1502" s="698"/>
      <c r="E1502" s="698"/>
      <c r="F1502" s="698"/>
      <c r="G1502" s="698"/>
    </row>
    <row r="1503" spans="1:7" ht="17.25" customHeight="1" x14ac:dyDescent="0.2">
      <c r="A1503" s="757" t="s">
        <v>900</v>
      </c>
      <c r="B1503" s="322">
        <v>1490</v>
      </c>
      <c r="C1503" s="698"/>
      <c r="D1503" s="698"/>
      <c r="E1503" s="698"/>
      <c r="F1503" s="698"/>
      <c r="G1503" s="698"/>
    </row>
    <row r="1504" spans="1:7" ht="17.25" customHeight="1" x14ac:dyDescent="0.2">
      <c r="A1504" s="757" t="s">
        <v>900</v>
      </c>
      <c r="B1504" s="337">
        <v>1491</v>
      </c>
      <c r="C1504" s="698" t="s">
        <v>907</v>
      </c>
      <c r="D1504" s="698" t="s">
        <v>908</v>
      </c>
      <c r="E1504" s="698"/>
      <c r="F1504" s="698"/>
      <c r="G1504" s="698"/>
    </row>
    <row r="1505" spans="1:7" ht="17.25" customHeight="1" x14ac:dyDescent="0.2">
      <c r="A1505" s="757" t="s">
        <v>900</v>
      </c>
      <c r="B1505" s="322">
        <v>1492</v>
      </c>
      <c r="C1505" s="698"/>
      <c r="D1505" s="698"/>
      <c r="E1505" s="698"/>
      <c r="F1505" s="698"/>
      <c r="G1505" s="698"/>
    </row>
    <row r="1506" spans="1:7" ht="17.25" customHeight="1" x14ac:dyDescent="0.2">
      <c r="A1506" s="757" t="s">
        <v>900</v>
      </c>
      <c r="B1506" s="322">
        <v>1493</v>
      </c>
      <c r="C1506" s="698"/>
      <c r="D1506" s="698"/>
      <c r="E1506" s="698"/>
      <c r="F1506" s="698"/>
      <c r="G1506" s="698"/>
    </row>
    <row r="1507" spans="1:7" ht="17.25" customHeight="1" x14ac:dyDescent="0.2">
      <c r="A1507" s="757" t="s">
        <v>900</v>
      </c>
      <c r="B1507" s="322">
        <v>1494</v>
      </c>
      <c r="C1507" s="698"/>
      <c r="D1507" s="698"/>
      <c r="E1507" s="698"/>
      <c r="F1507" s="698"/>
      <c r="G1507" s="698"/>
    </row>
    <row r="1508" spans="1:7" ht="17.25" customHeight="1" x14ac:dyDescent="0.2">
      <c r="A1508" s="757" t="s">
        <v>900</v>
      </c>
      <c r="B1508" s="337">
        <v>1495</v>
      </c>
      <c r="C1508" s="698" t="s">
        <v>909</v>
      </c>
      <c r="D1508" s="698" t="s">
        <v>910</v>
      </c>
      <c r="E1508" s="698"/>
      <c r="F1508" s="698"/>
      <c r="G1508" s="698"/>
    </row>
    <row r="1509" spans="1:7" ht="17.25" customHeight="1" x14ac:dyDescent="0.2">
      <c r="A1509" s="757" t="s">
        <v>900</v>
      </c>
      <c r="B1509" s="322">
        <v>1496</v>
      </c>
      <c r="C1509" s="698"/>
      <c r="D1509" s="698"/>
      <c r="E1509" s="698"/>
      <c r="F1509" s="698"/>
      <c r="G1509" s="698"/>
    </row>
    <row r="1510" spans="1:7" ht="17.25" customHeight="1" x14ac:dyDescent="0.2">
      <c r="A1510" s="757" t="s">
        <v>900</v>
      </c>
      <c r="B1510" s="322">
        <v>1497</v>
      </c>
      <c r="C1510" s="698"/>
      <c r="D1510" s="698"/>
      <c r="E1510" s="698"/>
      <c r="F1510" s="698"/>
      <c r="G1510" s="698"/>
    </row>
    <row r="1511" spans="1:7" ht="17.25" customHeight="1" x14ac:dyDescent="0.2">
      <c r="A1511" s="757" t="s">
        <v>900</v>
      </c>
      <c r="B1511" s="322">
        <v>1498</v>
      </c>
      <c r="C1511" s="698"/>
      <c r="D1511" s="698"/>
      <c r="E1511" s="698"/>
      <c r="F1511" s="698"/>
      <c r="G1511" s="698"/>
    </row>
    <row r="1512" spans="1:7" ht="17.25" customHeight="1" x14ac:dyDescent="0.2">
      <c r="A1512" s="757" t="s">
        <v>900</v>
      </c>
      <c r="B1512" s="337">
        <v>1499</v>
      </c>
      <c r="C1512" s="698" t="s">
        <v>911</v>
      </c>
      <c r="D1512" s="698" t="s">
        <v>912</v>
      </c>
      <c r="E1512" s="698"/>
      <c r="F1512" s="698"/>
      <c r="G1512" s="698"/>
    </row>
    <row r="1513" spans="1:7" ht="17.25" customHeight="1" x14ac:dyDescent="0.2">
      <c r="A1513" s="757" t="s">
        <v>900</v>
      </c>
      <c r="B1513" s="322">
        <v>1500</v>
      </c>
      <c r="C1513" s="698"/>
      <c r="D1513" s="698"/>
      <c r="E1513" s="698"/>
      <c r="F1513" s="698"/>
      <c r="G1513" s="698"/>
    </row>
    <row r="1514" spans="1:7" ht="17.25" customHeight="1" x14ac:dyDescent="0.2">
      <c r="A1514" s="757" t="s">
        <v>900</v>
      </c>
      <c r="B1514" s="322">
        <v>1501</v>
      </c>
      <c r="C1514" s="698"/>
      <c r="D1514" s="698"/>
      <c r="E1514" s="698"/>
      <c r="F1514" s="698"/>
      <c r="G1514" s="698"/>
    </row>
    <row r="1515" spans="1:7" ht="17.25" customHeight="1" x14ac:dyDescent="0.2">
      <c r="A1515" s="757" t="s">
        <v>900</v>
      </c>
      <c r="B1515" s="322">
        <v>1502</v>
      </c>
      <c r="C1515" s="698"/>
      <c r="D1515" s="698"/>
      <c r="E1515" s="698"/>
      <c r="F1515" s="698"/>
      <c r="G1515" s="698"/>
    </row>
    <row r="1516" spans="1:7" ht="17.25" customHeight="1" x14ac:dyDescent="0.2">
      <c r="A1516" s="757" t="s">
        <v>900</v>
      </c>
      <c r="B1516" s="337">
        <v>1503</v>
      </c>
      <c r="C1516" s="698" t="s">
        <v>913</v>
      </c>
      <c r="D1516" s="698" t="s">
        <v>914</v>
      </c>
      <c r="E1516" s="698"/>
      <c r="F1516" s="698"/>
      <c r="G1516" s="698"/>
    </row>
    <row r="1517" spans="1:7" ht="17.25" customHeight="1" x14ac:dyDescent="0.2">
      <c r="A1517" s="757" t="s">
        <v>900</v>
      </c>
      <c r="B1517" s="322">
        <v>1504</v>
      </c>
      <c r="C1517" s="698"/>
      <c r="D1517" s="698"/>
      <c r="E1517" s="698"/>
      <c r="F1517" s="698"/>
      <c r="G1517" s="698"/>
    </row>
    <row r="1518" spans="1:7" ht="17.25" customHeight="1" x14ac:dyDescent="0.2">
      <c r="A1518" s="757" t="s">
        <v>900</v>
      </c>
      <c r="B1518" s="322">
        <v>1505</v>
      </c>
      <c r="C1518" s="698"/>
      <c r="D1518" s="698"/>
      <c r="E1518" s="698"/>
      <c r="F1518" s="698"/>
      <c r="G1518" s="698"/>
    </row>
    <row r="1519" spans="1:7" ht="17.25" customHeight="1" x14ac:dyDescent="0.2">
      <c r="A1519" s="757" t="s">
        <v>900</v>
      </c>
      <c r="B1519" s="322">
        <v>1506</v>
      </c>
      <c r="C1519" s="698"/>
      <c r="D1519" s="698"/>
      <c r="E1519" s="698"/>
      <c r="F1519" s="698"/>
      <c r="G1519" s="698"/>
    </row>
    <row r="1520" spans="1:7" ht="17.25" customHeight="1" x14ac:dyDescent="0.2">
      <c r="A1520" s="757" t="s">
        <v>900</v>
      </c>
      <c r="B1520" s="337">
        <v>1507</v>
      </c>
      <c r="C1520" s="698" t="s">
        <v>915</v>
      </c>
      <c r="D1520" s="698" t="s">
        <v>916</v>
      </c>
      <c r="E1520" s="698"/>
      <c r="F1520" s="698"/>
      <c r="G1520" s="698"/>
    </row>
    <row r="1521" spans="1:7" ht="17.25" customHeight="1" x14ac:dyDescent="0.2">
      <c r="A1521" s="757" t="s">
        <v>900</v>
      </c>
      <c r="B1521" s="322">
        <v>1508</v>
      </c>
      <c r="C1521" s="698"/>
      <c r="D1521" s="698"/>
      <c r="E1521" s="698"/>
      <c r="F1521" s="698"/>
      <c r="G1521" s="698"/>
    </row>
    <row r="1522" spans="1:7" ht="17.25" customHeight="1" x14ac:dyDescent="0.2">
      <c r="A1522" s="757" t="s">
        <v>900</v>
      </c>
      <c r="B1522" s="322">
        <v>1509</v>
      </c>
      <c r="C1522" s="698"/>
      <c r="D1522" s="698"/>
      <c r="E1522" s="698"/>
      <c r="F1522" s="698"/>
      <c r="G1522" s="698"/>
    </row>
    <row r="1523" spans="1:7" ht="17.25" customHeight="1" x14ac:dyDescent="0.2">
      <c r="A1523" s="757" t="s">
        <v>900</v>
      </c>
      <c r="B1523" s="322">
        <v>1510</v>
      </c>
      <c r="C1523" s="698"/>
      <c r="D1523" s="698"/>
      <c r="E1523" s="698"/>
      <c r="F1523" s="698"/>
      <c r="G1523" s="698"/>
    </row>
    <row r="1524" spans="1:7" ht="17.25" customHeight="1" x14ac:dyDescent="0.2">
      <c r="A1524" s="757" t="s">
        <v>900</v>
      </c>
      <c r="B1524" s="337">
        <v>1511</v>
      </c>
      <c r="C1524" s="698" t="s">
        <v>917</v>
      </c>
      <c r="D1524" s="698" t="s">
        <v>918</v>
      </c>
      <c r="E1524" s="698"/>
      <c r="F1524" s="698"/>
      <c r="G1524" s="698"/>
    </row>
    <row r="1525" spans="1:7" ht="17.25" customHeight="1" x14ac:dyDescent="0.2">
      <c r="A1525" s="757" t="s">
        <v>900</v>
      </c>
      <c r="B1525" s="322">
        <v>1512</v>
      </c>
      <c r="C1525" s="698"/>
      <c r="D1525" s="698"/>
      <c r="E1525" s="698"/>
      <c r="F1525" s="698"/>
      <c r="G1525" s="698"/>
    </row>
    <row r="1526" spans="1:7" ht="17.25" customHeight="1" x14ac:dyDescent="0.2">
      <c r="A1526" s="757" t="s">
        <v>900</v>
      </c>
      <c r="B1526" s="322">
        <v>1513</v>
      </c>
      <c r="C1526" s="698"/>
      <c r="D1526" s="698"/>
      <c r="E1526" s="698"/>
      <c r="F1526" s="698"/>
      <c r="G1526" s="698"/>
    </row>
    <row r="1527" spans="1:7" ht="17.25" customHeight="1" x14ac:dyDescent="0.2">
      <c r="A1527" s="757" t="s">
        <v>900</v>
      </c>
      <c r="B1527" s="322">
        <v>1514</v>
      </c>
      <c r="C1527" s="698"/>
      <c r="D1527" s="698"/>
      <c r="E1527" s="698"/>
      <c r="F1527" s="698"/>
      <c r="G1527" s="698"/>
    </row>
    <row r="1528" spans="1:7" ht="17.25" customHeight="1" x14ac:dyDescent="0.2">
      <c r="A1528" s="757" t="s">
        <v>900</v>
      </c>
      <c r="B1528" s="337">
        <v>1515</v>
      </c>
      <c r="C1528" s="698" t="s">
        <v>919</v>
      </c>
      <c r="D1528" s="698" t="s">
        <v>919</v>
      </c>
      <c r="E1528" s="698"/>
      <c r="F1528" s="698"/>
      <c r="G1528" s="698"/>
    </row>
    <row r="1529" spans="1:7" ht="17.25" customHeight="1" x14ac:dyDescent="0.2">
      <c r="A1529" s="757" t="s">
        <v>900</v>
      </c>
      <c r="B1529" s="322">
        <v>1516</v>
      </c>
      <c r="C1529" s="698"/>
      <c r="D1529" s="698"/>
      <c r="E1529" s="698"/>
      <c r="F1529" s="698"/>
      <c r="G1529" s="698"/>
    </row>
    <row r="1530" spans="1:7" ht="17.25" customHeight="1" x14ac:dyDescent="0.2">
      <c r="A1530" s="757" t="s">
        <v>900</v>
      </c>
      <c r="B1530" s="322">
        <v>1517</v>
      </c>
      <c r="C1530" s="698"/>
      <c r="D1530" s="698"/>
      <c r="E1530" s="698"/>
      <c r="F1530" s="698"/>
      <c r="G1530" s="698"/>
    </row>
    <row r="1531" spans="1:7" ht="17.25" customHeight="1" x14ac:dyDescent="0.2">
      <c r="A1531" s="757" t="s">
        <v>900</v>
      </c>
      <c r="B1531" s="322">
        <v>1518</v>
      </c>
      <c r="C1531" s="698"/>
      <c r="D1531" s="698"/>
      <c r="E1531" s="698"/>
      <c r="F1531" s="698"/>
      <c r="G1531" s="698"/>
    </row>
    <row r="1532" spans="1:7" ht="33.85" customHeight="1" x14ac:dyDescent="0.2">
      <c r="A1532" s="757" t="s">
        <v>900</v>
      </c>
      <c r="B1532" s="337">
        <v>1519</v>
      </c>
      <c r="C1532" s="698" t="s">
        <v>920</v>
      </c>
      <c r="D1532" s="698" t="s">
        <v>921</v>
      </c>
      <c r="E1532" s="698"/>
      <c r="F1532" s="698"/>
      <c r="G1532" s="698"/>
    </row>
    <row r="1533" spans="1:7" ht="17.25" customHeight="1" x14ac:dyDescent="0.2">
      <c r="A1533" s="757" t="s">
        <v>900</v>
      </c>
      <c r="B1533" s="322">
        <v>1520</v>
      </c>
      <c r="C1533" s="698"/>
      <c r="D1533" s="698"/>
      <c r="E1533" s="698"/>
      <c r="F1533" s="698"/>
      <c r="G1533" s="698"/>
    </row>
    <row r="1534" spans="1:7" ht="17.25" customHeight="1" x14ac:dyDescent="0.2">
      <c r="A1534" s="757" t="s">
        <v>900</v>
      </c>
      <c r="B1534" s="322">
        <v>1521</v>
      </c>
      <c r="C1534" s="698"/>
      <c r="D1534" s="698"/>
      <c r="E1534" s="698"/>
      <c r="F1534" s="698"/>
      <c r="G1534" s="698"/>
    </row>
    <row r="1535" spans="1:7" ht="17.25" customHeight="1" x14ac:dyDescent="0.2">
      <c r="A1535" s="757" t="s">
        <v>900</v>
      </c>
      <c r="B1535" s="322">
        <v>1522</v>
      </c>
      <c r="C1535" s="698"/>
      <c r="D1535" s="698"/>
      <c r="E1535" s="698"/>
      <c r="F1535" s="698"/>
      <c r="G1535" s="698"/>
    </row>
    <row r="1536" spans="1:7" ht="29.3" customHeight="1" x14ac:dyDescent="0.2">
      <c r="A1536" s="757" t="s">
        <v>900</v>
      </c>
      <c r="B1536" s="337">
        <v>1523</v>
      </c>
      <c r="C1536" s="698" t="s">
        <v>922</v>
      </c>
      <c r="D1536" s="698" t="s">
        <v>923</v>
      </c>
      <c r="E1536" s="698"/>
      <c r="F1536" s="698"/>
      <c r="G1536" s="698"/>
    </row>
    <row r="1537" spans="1:7" ht="17.25" customHeight="1" x14ac:dyDescent="0.2">
      <c r="A1537" s="757" t="s">
        <v>900</v>
      </c>
      <c r="B1537" s="322">
        <v>1524</v>
      </c>
      <c r="C1537" s="698"/>
      <c r="D1537" s="698"/>
      <c r="E1537" s="698"/>
      <c r="F1537" s="698"/>
      <c r="G1537" s="698"/>
    </row>
    <row r="1538" spans="1:7" ht="17.25" customHeight="1" x14ac:dyDescent="0.2">
      <c r="A1538" s="757" t="s">
        <v>900</v>
      </c>
      <c r="B1538" s="322">
        <v>1525</v>
      </c>
      <c r="C1538" s="698"/>
      <c r="D1538" s="698"/>
      <c r="E1538" s="698"/>
      <c r="F1538" s="698"/>
      <c r="G1538" s="698"/>
    </row>
    <row r="1539" spans="1:7" ht="17.25" customHeight="1" x14ac:dyDescent="0.2">
      <c r="A1539" s="757" t="s">
        <v>900</v>
      </c>
      <c r="B1539" s="322">
        <v>1526</v>
      </c>
      <c r="C1539" s="698"/>
      <c r="D1539" s="698"/>
      <c r="E1539" s="698"/>
      <c r="F1539" s="698"/>
      <c r="G1539" s="698"/>
    </row>
    <row r="1540" spans="1:7" ht="27.1" customHeight="1" x14ac:dyDescent="0.2">
      <c r="A1540" s="757" t="s">
        <v>900</v>
      </c>
      <c r="B1540" s="337">
        <v>1527</v>
      </c>
      <c r="C1540" s="698" t="s">
        <v>924</v>
      </c>
      <c r="D1540" s="698" t="s">
        <v>925</v>
      </c>
      <c r="E1540" s="698"/>
      <c r="F1540" s="698"/>
      <c r="G1540" s="698"/>
    </row>
    <row r="1541" spans="1:7" ht="17.25" customHeight="1" x14ac:dyDescent="0.2">
      <c r="A1541" s="757" t="s">
        <v>900</v>
      </c>
      <c r="B1541" s="322">
        <v>1528</v>
      </c>
      <c r="C1541" s="698"/>
      <c r="D1541" s="698"/>
      <c r="E1541" s="698"/>
      <c r="F1541" s="698"/>
      <c r="G1541" s="698"/>
    </row>
    <row r="1542" spans="1:7" ht="17.25" customHeight="1" x14ac:dyDescent="0.2">
      <c r="A1542" s="757" t="s">
        <v>900</v>
      </c>
      <c r="B1542" s="322">
        <v>1529</v>
      </c>
      <c r="C1542" s="698"/>
      <c r="D1542" s="698"/>
      <c r="E1542" s="698"/>
      <c r="F1542" s="698"/>
      <c r="G1542" s="698"/>
    </row>
    <row r="1543" spans="1:7" ht="17.25" customHeight="1" x14ac:dyDescent="0.2">
      <c r="A1543" s="757" t="s">
        <v>900</v>
      </c>
      <c r="B1543" s="322">
        <v>1530</v>
      </c>
      <c r="C1543" s="698"/>
      <c r="D1543" s="698"/>
      <c r="E1543" s="698"/>
      <c r="F1543" s="698"/>
      <c r="G1543" s="698"/>
    </row>
    <row r="1544" spans="1:7" ht="37.6" x14ac:dyDescent="0.2">
      <c r="A1544" s="757" t="s">
        <v>900</v>
      </c>
      <c r="B1544" s="337">
        <v>1531</v>
      </c>
      <c r="C1544" s="698" t="s">
        <v>926</v>
      </c>
      <c r="D1544" s="698" t="s">
        <v>927</v>
      </c>
      <c r="E1544" s="698"/>
      <c r="F1544" s="698"/>
      <c r="G1544" s="698"/>
    </row>
    <row r="1545" spans="1:7" ht="17.25" customHeight="1" x14ac:dyDescent="0.2">
      <c r="A1545" s="757" t="s">
        <v>900</v>
      </c>
      <c r="B1545" s="322">
        <v>1532</v>
      </c>
      <c r="C1545" s="698"/>
      <c r="D1545" s="698"/>
      <c r="E1545" s="698"/>
      <c r="F1545" s="698"/>
      <c r="G1545" s="698"/>
    </row>
    <row r="1546" spans="1:7" ht="17.25" customHeight="1" x14ac:dyDescent="0.2">
      <c r="A1546" s="757" t="s">
        <v>900</v>
      </c>
      <c r="B1546" s="322">
        <v>1533</v>
      </c>
      <c r="C1546" s="698"/>
      <c r="D1546" s="698"/>
      <c r="E1546" s="698"/>
      <c r="F1546" s="698"/>
      <c r="G1546" s="698"/>
    </row>
    <row r="1547" spans="1:7" ht="17.25" customHeight="1" x14ac:dyDescent="0.2">
      <c r="A1547" s="757" t="s">
        <v>900</v>
      </c>
      <c r="B1547" s="322">
        <v>1534</v>
      </c>
      <c r="C1547" s="698"/>
      <c r="D1547" s="698"/>
      <c r="E1547" s="698"/>
      <c r="F1547" s="698"/>
      <c r="G1547" s="698"/>
    </row>
    <row r="1548" spans="1:7" ht="17.25" customHeight="1" x14ac:dyDescent="0.2">
      <c r="A1548" s="757" t="s">
        <v>900</v>
      </c>
      <c r="B1548" s="337">
        <v>1535</v>
      </c>
      <c r="C1548" s="698" t="s">
        <v>928</v>
      </c>
      <c r="D1548" s="698" t="s">
        <v>929</v>
      </c>
      <c r="E1548" s="698"/>
      <c r="F1548" s="698"/>
      <c r="G1548" s="698"/>
    </row>
    <row r="1549" spans="1:7" ht="17.25" customHeight="1" x14ac:dyDescent="0.2">
      <c r="A1549" s="757" t="s">
        <v>900</v>
      </c>
      <c r="B1549" s="322">
        <v>1536</v>
      </c>
      <c r="C1549" s="698"/>
      <c r="D1549" s="698"/>
      <c r="E1549" s="698"/>
      <c r="F1549" s="698"/>
      <c r="G1549" s="698"/>
    </row>
    <row r="1550" spans="1:7" ht="17.25" customHeight="1" x14ac:dyDescent="0.2">
      <c r="A1550" s="757" t="s">
        <v>900</v>
      </c>
      <c r="B1550" s="322">
        <v>1537</v>
      </c>
      <c r="C1550" s="698"/>
      <c r="D1550" s="698"/>
      <c r="E1550" s="698"/>
      <c r="F1550" s="698"/>
      <c r="G1550" s="698"/>
    </row>
    <row r="1551" spans="1:7" ht="17.25" customHeight="1" x14ac:dyDescent="0.2">
      <c r="A1551" s="757" t="s">
        <v>900</v>
      </c>
      <c r="B1551" s="322">
        <v>1538</v>
      </c>
      <c r="C1551" s="698"/>
      <c r="D1551" s="698"/>
      <c r="E1551" s="698"/>
      <c r="F1551" s="698"/>
      <c r="G1551" s="698"/>
    </row>
    <row r="1552" spans="1:7" ht="17.25" customHeight="1" x14ac:dyDescent="0.2">
      <c r="A1552" s="757" t="s">
        <v>900</v>
      </c>
      <c r="B1552" s="337">
        <v>1539</v>
      </c>
      <c r="C1552" s="698" t="s">
        <v>930</v>
      </c>
      <c r="D1552" s="698" t="s">
        <v>931</v>
      </c>
      <c r="E1552" s="698"/>
      <c r="F1552" s="698"/>
      <c r="G1552" s="698"/>
    </row>
    <row r="1553" spans="1:7" ht="17.25" customHeight="1" x14ac:dyDescent="0.2">
      <c r="A1553" s="757" t="s">
        <v>900</v>
      </c>
      <c r="B1553" s="322">
        <v>1540</v>
      </c>
      <c r="C1553" s="698"/>
      <c r="D1553" s="698"/>
      <c r="E1553" s="698"/>
      <c r="F1553" s="698"/>
      <c r="G1553" s="698"/>
    </row>
    <row r="1554" spans="1:7" ht="17.25" customHeight="1" x14ac:dyDescent="0.2">
      <c r="A1554" s="757" t="s">
        <v>900</v>
      </c>
      <c r="B1554" s="322">
        <v>1541</v>
      </c>
      <c r="C1554" s="698"/>
      <c r="D1554" s="698"/>
      <c r="E1554" s="698"/>
      <c r="F1554" s="698"/>
      <c r="G1554" s="698"/>
    </row>
    <row r="1555" spans="1:7" ht="17.25" customHeight="1" x14ac:dyDescent="0.2">
      <c r="A1555" s="757" t="s">
        <v>900</v>
      </c>
      <c r="B1555" s="322">
        <v>1542</v>
      </c>
      <c r="C1555" s="698"/>
      <c r="D1555" s="698"/>
      <c r="E1555" s="698"/>
      <c r="F1555" s="698"/>
      <c r="G1555" s="698"/>
    </row>
    <row r="1556" spans="1:7" ht="17.25" customHeight="1" x14ac:dyDescent="0.2">
      <c r="A1556" s="757" t="s">
        <v>900</v>
      </c>
      <c r="B1556" s="337">
        <v>1543</v>
      </c>
      <c r="C1556" s="698" t="s">
        <v>932</v>
      </c>
      <c r="D1556" s="698" t="s">
        <v>933</v>
      </c>
      <c r="E1556" s="698"/>
      <c r="F1556" s="698"/>
      <c r="G1556" s="698"/>
    </row>
    <row r="1557" spans="1:7" ht="17.25" customHeight="1" x14ac:dyDescent="0.2">
      <c r="A1557" s="757" t="s">
        <v>900</v>
      </c>
      <c r="B1557" s="322">
        <v>1544</v>
      </c>
      <c r="C1557" s="698"/>
      <c r="D1557" s="698"/>
      <c r="E1557" s="698"/>
      <c r="F1557" s="698"/>
      <c r="G1557" s="698"/>
    </row>
    <row r="1558" spans="1:7" ht="17.25" customHeight="1" x14ac:dyDescent="0.2">
      <c r="A1558" s="757" t="s">
        <v>900</v>
      </c>
      <c r="B1558" s="322">
        <v>1545</v>
      </c>
      <c r="C1558" s="698"/>
      <c r="D1558" s="698"/>
      <c r="E1558" s="698"/>
      <c r="F1558" s="698"/>
      <c r="G1558" s="698"/>
    </row>
    <row r="1559" spans="1:7" ht="17.25" customHeight="1" x14ac:dyDescent="0.2">
      <c r="A1559" s="757" t="s">
        <v>900</v>
      </c>
      <c r="B1559" s="322">
        <v>1546</v>
      </c>
      <c r="C1559" s="698"/>
      <c r="D1559" s="698"/>
      <c r="E1559" s="698"/>
      <c r="F1559" s="698"/>
      <c r="G1559" s="698"/>
    </row>
    <row r="1560" spans="1:7" ht="17.25" customHeight="1" x14ac:dyDescent="0.2">
      <c r="A1560" s="757" t="s">
        <v>900</v>
      </c>
      <c r="B1560" s="337">
        <v>1547</v>
      </c>
      <c r="C1560" s="698" t="s">
        <v>934</v>
      </c>
      <c r="D1560" s="698" t="s">
        <v>935</v>
      </c>
      <c r="E1560" s="698"/>
      <c r="F1560" s="698"/>
      <c r="G1560" s="698"/>
    </row>
    <row r="1561" spans="1:7" ht="17.25" customHeight="1" x14ac:dyDescent="0.2">
      <c r="A1561" s="757" t="s">
        <v>900</v>
      </c>
      <c r="B1561" s="322">
        <v>1548</v>
      </c>
      <c r="C1561" s="698"/>
      <c r="D1561" s="698"/>
      <c r="E1561" s="698"/>
      <c r="F1561" s="698"/>
      <c r="G1561" s="698"/>
    </row>
    <row r="1562" spans="1:7" ht="17.25" customHeight="1" x14ac:dyDescent="0.2">
      <c r="A1562" s="757" t="s">
        <v>900</v>
      </c>
      <c r="B1562" s="322">
        <v>1549</v>
      </c>
      <c r="C1562" s="698"/>
      <c r="D1562" s="698"/>
      <c r="E1562" s="698"/>
      <c r="F1562" s="698"/>
      <c r="G1562" s="698"/>
    </row>
    <row r="1563" spans="1:7" ht="17.25" customHeight="1" x14ac:dyDescent="0.2">
      <c r="A1563" s="757" t="s">
        <v>900</v>
      </c>
      <c r="B1563" s="322">
        <v>1550</v>
      </c>
      <c r="C1563" s="698"/>
      <c r="D1563" s="698"/>
      <c r="E1563" s="698"/>
      <c r="F1563" s="698"/>
      <c r="G1563" s="698"/>
    </row>
    <row r="1564" spans="1:7" ht="17.25" customHeight="1" x14ac:dyDescent="0.2">
      <c r="A1564" s="757" t="s">
        <v>900</v>
      </c>
      <c r="B1564" s="337">
        <v>1551</v>
      </c>
      <c r="C1564" s="698" t="s">
        <v>936</v>
      </c>
      <c r="D1564" s="698" t="s">
        <v>937</v>
      </c>
      <c r="E1564" s="698"/>
      <c r="F1564" s="698"/>
      <c r="G1564" s="698"/>
    </row>
    <row r="1565" spans="1:7" ht="17.25" customHeight="1" x14ac:dyDescent="0.2">
      <c r="A1565" s="757" t="s">
        <v>900</v>
      </c>
      <c r="B1565" s="322">
        <v>1552</v>
      </c>
      <c r="C1565" s="698"/>
      <c r="D1565" s="698"/>
      <c r="E1565" s="698"/>
      <c r="F1565" s="698"/>
      <c r="G1565" s="698"/>
    </row>
    <row r="1566" spans="1:7" ht="17.25" customHeight="1" x14ac:dyDescent="0.2">
      <c r="A1566" s="757" t="s">
        <v>900</v>
      </c>
      <c r="B1566" s="322">
        <v>1553</v>
      </c>
      <c r="C1566" s="698"/>
      <c r="D1566" s="698"/>
      <c r="E1566" s="698"/>
      <c r="F1566" s="698"/>
      <c r="G1566" s="698"/>
    </row>
    <row r="1567" spans="1:7" ht="17.25" customHeight="1" x14ac:dyDescent="0.2">
      <c r="A1567" s="757" t="s">
        <v>900</v>
      </c>
      <c r="B1567" s="322">
        <v>1554</v>
      </c>
      <c r="C1567" s="698"/>
      <c r="D1567" s="698"/>
      <c r="E1567" s="698"/>
      <c r="F1567" s="698"/>
      <c r="G1567" s="698"/>
    </row>
    <row r="1568" spans="1:7" ht="17.25" customHeight="1" x14ac:dyDescent="0.2">
      <c r="A1568" s="757" t="s">
        <v>900</v>
      </c>
      <c r="B1568" s="337">
        <v>1555</v>
      </c>
      <c r="C1568" s="698" t="s">
        <v>938</v>
      </c>
      <c r="D1568" s="698" t="s">
        <v>939</v>
      </c>
      <c r="E1568" s="698"/>
      <c r="F1568" s="698"/>
      <c r="G1568" s="698"/>
    </row>
    <row r="1569" spans="1:7" ht="17.25" customHeight="1" x14ac:dyDescent="0.2">
      <c r="A1569" s="757" t="s">
        <v>900</v>
      </c>
      <c r="B1569" s="322">
        <v>1556</v>
      </c>
      <c r="C1569" s="698"/>
      <c r="D1569" s="698"/>
      <c r="E1569" s="698"/>
      <c r="F1569" s="698"/>
      <c r="G1569" s="698"/>
    </row>
    <row r="1570" spans="1:7" ht="17.25" customHeight="1" x14ac:dyDescent="0.2">
      <c r="A1570" s="757" t="s">
        <v>900</v>
      </c>
      <c r="B1570" s="322">
        <v>1557</v>
      </c>
      <c r="C1570" s="698"/>
      <c r="D1570" s="698"/>
      <c r="E1570" s="698"/>
      <c r="F1570" s="698"/>
      <c r="G1570" s="698"/>
    </row>
    <row r="1571" spans="1:7" ht="17.25" customHeight="1" x14ac:dyDescent="0.2">
      <c r="A1571" s="757" t="s">
        <v>900</v>
      </c>
      <c r="B1571" s="322">
        <v>1558</v>
      </c>
      <c r="C1571" s="698"/>
      <c r="D1571" s="698"/>
      <c r="E1571" s="698"/>
      <c r="F1571" s="698"/>
      <c r="G1571" s="698"/>
    </row>
    <row r="1572" spans="1:7" ht="17.25" customHeight="1" x14ac:dyDescent="0.2">
      <c r="A1572" s="757" t="s">
        <v>900</v>
      </c>
      <c r="B1572" s="322">
        <v>1559</v>
      </c>
      <c r="C1572" s="698"/>
      <c r="D1572" s="698"/>
      <c r="E1572" s="698"/>
      <c r="F1572" s="698"/>
      <c r="G1572" s="698"/>
    </row>
    <row r="1573" spans="1:7" ht="17.25" customHeight="1" x14ac:dyDescent="0.2">
      <c r="A1573" s="757" t="s">
        <v>900</v>
      </c>
      <c r="B1573" s="322">
        <v>1560</v>
      </c>
      <c r="C1573" s="698"/>
      <c r="D1573" s="698"/>
      <c r="E1573" s="698"/>
      <c r="F1573" s="698"/>
      <c r="G1573" s="698"/>
    </row>
    <row r="1574" spans="1:7" ht="17.25" customHeight="1" x14ac:dyDescent="0.2">
      <c r="A1574" s="757" t="s">
        <v>900</v>
      </c>
      <c r="B1574" s="322">
        <v>1561</v>
      </c>
      <c r="C1574" s="698"/>
      <c r="D1574" s="698"/>
      <c r="E1574" s="698"/>
      <c r="F1574" s="698"/>
      <c r="G1574" s="698"/>
    </row>
    <row r="1575" spans="1:7" ht="17.25" customHeight="1" x14ac:dyDescent="0.2">
      <c r="A1575" s="757" t="s">
        <v>900</v>
      </c>
      <c r="B1575" s="322">
        <v>1562</v>
      </c>
      <c r="C1575" s="698"/>
      <c r="D1575" s="698"/>
      <c r="E1575" s="698"/>
      <c r="F1575" s="698"/>
      <c r="G1575" s="698"/>
    </row>
    <row r="1576" spans="1:7" ht="17.25" customHeight="1" x14ac:dyDescent="0.2">
      <c r="A1576" s="757" t="s">
        <v>900</v>
      </c>
      <c r="B1576" s="322">
        <v>1563</v>
      </c>
      <c r="C1576" s="698"/>
      <c r="D1576" s="698"/>
      <c r="E1576" s="698"/>
      <c r="F1576" s="698"/>
      <c r="G1576" s="698"/>
    </row>
    <row r="1577" spans="1:7" ht="17.25" customHeight="1" x14ac:dyDescent="0.2">
      <c r="A1577" s="757" t="s">
        <v>900</v>
      </c>
      <c r="B1577" s="322">
        <v>1564</v>
      </c>
      <c r="C1577" s="698"/>
      <c r="D1577" s="698"/>
      <c r="E1577" s="698"/>
      <c r="F1577" s="698"/>
      <c r="G1577" s="698"/>
    </row>
    <row r="1578" spans="1:7" ht="17.25" customHeight="1" x14ac:dyDescent="0.2">
      <c r="A1578" s="757" t="s">
        <v>900</v>
      </c>
      <c r="B1578" s="322">
        <v>1565</v>
      </c>
      <c r="C1578" s="698"/>
      <c r="D1578" s="698"/>
      <c r="E1578" s="698"/>
      <c r="F1578" s="698"/>
      <c r="G1578" s="698"/>
    </row>
    <row r="1579" spans="1:7" ht="17.25" customHeight="1" x14ac:dyDescent="0.2">
      <c r="A1579" s="757" t="s">
        <v>900</v>
      </c>
      <c r="B1579" s="322">
        <v>1566</v>
      </c>
      <c r="C1579" s="698"/>
      <c r="D1579" s="698"/>
      <c r="E1579" s="698"/>
      <c r="F1579" s="698"/>
      <c r="G1579" s="698"/>
    </row>
    <row r="1580" spans="1:7" ht="17.25" customHeight="1" x14ac:dyDescent="0.2">
      <c r="A1580" s="757" t="s">
        <v>900</v>
      </c>
      <c r="B1580" s="322">
        <v>1567</v>
      </c>
      <c r="C1580" s="698"/>
      <c r="D1580" s="698"/>
      <c r="E1580" s="698"/>
      <c r="F1580" s="698"/>
      <c r="G1580" s="698"/>
    </row>
    <row r="1581" spans="1:7" ht="17.25" customHeight="1" thickBot="1" x14ac:dyDescent="0.25">
      <c r="A1581" s="758" t="s">
        <v>900</v>
      </c>
      <c r="B1581" s="713">
        <v>1568</v>
      </c>
      <c r="C1581" s="715"/>
      <c r="D1581" s="715"/>
      <c r="E1581" s="715"/>
      <c r="F1581" s="715"/>
      <c r="G1581" s="715"/>
    </row>
    <row r="1582" spans="1:7" ht="17.25" customHeight="1" x14ac:dyDescent="0.2">
      <c r="A1582" s="339" t="s">
        <v>940</v>
      </c>
      <c r="B1582" s="322">
        <v>1569</v>
      </c>
      <c r="C1582" s="149"/>
      <c r="D1582" s="149"/>
      <c r="E1582" s="149"/>
      <c r="F1582" s="149"/>
      <c r="G1582" s="149"/>
    </row>
    <row r="1583" spans="1:7" ht="17.25" customHeight="1" x14ac:dyDescent="0.2">
      <c r="A1583" s="339" t="s">
        <v>940</v>
      </c>
      <c r="B1583" s="322">
        <v>1570</v>
      </c>
      <c r="C1583" s="698"/>
      <c r="D1583" s="698"/>
      <c r="E1583" s="698"/>
      <c r="F1583" s="698"/>
      <c r="G1583" s="698"/>
    </row>
    <row r="1584" spans="1:7" ht="17.25" customHeight="1" x14ac:dyDescent="0.2">
      <c r="A1584" s="339" t="s">
        <v>940</v>
      </c>
      <c r="B1584" s="337">
        <v>1571</v>
      </c>
      <c r="C1584" s="698" t="s">
        <v>941</v>
      </c>
      <c r="D1584" s="698" t="s">
        <v>942</v>
      </c>
      <c r="E1584" s="698"/>
      <c r="F1584" s="698"/>
      <c r="G1584" s="698"/>
    </row>
    <row r="1585" spans="1:7" ht="17.25" customHeight="1" x14ac:dyDescent="0.2">
      <c r="A1585" s="339" t="s">
        <v>940</v>
      </c>
      <c r="B1585" s="322">
        <v>1572</v>
      </c>
      <c r="C1585" s="698"/>
      <c r="D1585" s="698"/>
      <c r="E1585" s="698"/>
      <c r="F1585" s="698"/>
      <c r="G1585" s="698"/>
    </row>
    <row r="1586" spans="1:7" ht="17.25" customHeight="1" x14ac:dyDescent="0.2">
      <c r="A1586" s="339" t="s">
        <v>940</v>
      </c>
      <c r="B1586" s="322">
        <v>1573</v>
      </c>
      <c r="C1586" s="698"/>
      <c r="D1586" s="698"/>
      <c r="E1586" s="698"/>
      <c r="F1586" s="698"/>
      <c r="G1586" s="698"/>
    </row>
    <row r="1587" spans="1:7" ht="17.25" customHeight="1" x14ac:dyDescent="0.2">
      <c r="A1587" s="339" t="s">
        <v>940</v>
      </c>
      <c r="B1587" s="322">
        <v>1574</v>
      </c>
      <c r="C1587" s="698"/>
      <c r="D1587" s="698"/>
      <c r="E1587" s="698"/>
      <c r="F1587" s="698"/>
      <c r="G1587" s="698"/>
    </row>
    <row r="1588" spans="1:7" ht="17.25" customHeight="1" x14ac:dyDescent="0.2">
      <c r="A1588" s="339" t="s">
        <v>940</v>
      </c>
      <c r="B1588" s="337">
        <v>1575</v>
      </c>
      <c r="C1588" s="698" t="s">
        <v>114</v>
      </c>
      <c r="D1588" s="698" t="s">
        <v>114</v>
      </c>
      <c r="E1588" s="698"/>
      <c r="F1588" s="698"/>
      <c r="G1588" s="698"/>
    </row>
    <row r="1589" spans="1:7" ht="17.25" customHeight="1" x14ac:dyDescent="0.2">
      <c r="A1589" s="339" t="s">
        <v>940</v>
      </c>
      <c r="B1589" s="322">
        <v>1576</v>
      </c>
      <c r="C1589" s="698"/>
      <c r="D1589" s="698"/>
      <c r="E1589" s="698"/>
      <c r="F1589" s="698"/>
      <c r="G1589" s="698"/>
    </row>
    <row r="1590" spans="1:7" ht="17.25" customHeight="1" x14ac:dyDescent="0.2">
      <c r="A1590" s="339" t="s">
        <v>940</v>
      </c>
      <c r="B1590" s="322">
        <v>1577</v>
      </c>
      <c r="C1590" s="698"/>
      <c r="D1590" s="698"/>
      <c r="E1590" s="698"/>
      <c r="F1590" s="698"/>
      <c r="G1590" s="698"/>
    </row>
    <row r="1591" spans="1:7" ht="17.25" customHeight="1" x14ac:dyDescent="0.2">
      <c r="A1591" s="339" t="s">
        <v>940</v>
      </c>
      <c r="B1591" s="322">
        <v>1578</v>
      </c>
      <c r="C1591" s="698"/>
      <c r="D1591" s="698"/>
      <c r="E1591" s="698"/>
      <c r="F1591" s="698"/>
      <c r="G1591" s="698"/>
    </row>
    <row r="1592" spans="1:7" ht="17.25" customHeight="1" x14ac:dyDescent="0.2">
      <c r="A1592" s="339" t="s">
        <v>940</v>
      </c>
      <c r="B1592" s="337">
        <v>1579</v>
      </c>
      <c r="C1592" s="698" t="s">
        <v>943</v>
      </c>
      <c r="D1592" s="698" t="s">
        <v>944</v>
      </c>
      <c r="E1592" s="698"/>
      <c r="F1592" s="698"/>
      <c r="G1592" s="698"/>
    </row>
    <row r="1593" spans="1:7" ht="17.25" customHeight="1" x14ac:dyDescent="0.2">
      <c r="A1593" s="339" t="s">
        <v>940</v>
      </c>
      <c r="B1593" s="322">
        <v>1580</v>
      </c>
      <c r="C1593" s="698"/>
      <c r="D1593" s="698"/>
      <c r="E1593" s="698"/>
      <c r="F1593" s="698"/>
      <c r="G1593" s="698"/>
    </row>
    <row r="1594" spans="1:7" ht="17.25" customHeight="1" x14ac:dyDescent="0.2">
      <c r="A1594" s="339" t="s">
        <v>940</v>
      </c>
      <c r="B1594" s="322">
        <v>1581</v>
      </c>
      <c r="C1594" s="698"/>
      <c r="D1594" s="698"/>
      <c r="E1594" s="698"/>
      <c r="F1594" s="698"/>
      <c r="G1594" s="698"/>
    </row>
    <row r="1595" spans="1:7" ht="17.25" customHeight="1" x14ac:dyDescent="0.2">
      <c r="A1595" s="339" t="s">
        <v>940</v>
      </c>
      <c r="B1595" s="337">
        <v>1582</v>
      </c>
      <c r="C1595" s="698" t="s">
        <v>945</v>
      </c>
      <c r="D1595" s="698" t="s">
        <v>946</v>
      </c>
      <c r="E1595" s="698"/>
      <c r="F1595" s="698"/>
      <c r="G1595" s="698"/>
    </row>
    <row r="1596" spans="1:7" ht="17.25" customHeight="1" x14ac:dyDescent="0.2">
      <c r="A1596" s="339" t="s">
        <v>940</v>
      </c>
      <c r="B1596" s="322">
        <v>1583</v>
      </c>
      <c r="C1596" s="698"/>
      <c r="D1596" s="698"/>
      <c r="E1596" s="698"/>
      <c r="F1596" s="698"/>
      <c r="G1596" s="698"/>
    </row>
    <row r="1597" spans="1:7" ht="17.25" customHeight="1" x14ac:dyDescent="0.2">
      <c r="A1597" s="339" t="s">
        <v>940</v>
      </c>
      <c r="B1597" s="322">
        <v>1584</v>
      </c>
      <c r="C1597" s="698"/>
      <c r="D1597" s="698"/>
      <c r="E1597" s="698"/>
      <c r="F1597" s="698"/>
      <c r="G1597" s="698"/>
    </row>
    <row r="1598" spans="1:7" ht="17.25" customHeight="1" x14ac:dyDescent="0.2">
      <c r="A1598" s="339" t="s">
        <v>940</v>
      </c>
      <c r="B1598" s="337">
        <v>1585</v>
      </c>
      <c r="C1598" s="698" t="s">
        <v>947</v>
      </c>
      <c r="D1598" s="698" t="s">
        <v>948</v>
      </c>
      <c r="E1598" s="698"/>
      <c r="F1598" s="698"/>
      <c r="G1598" s="698"/>
    </row>
    <row r="1599" spans="1:7" ht="17.25" customHeight="1" x14ac:dyDescent="0.2">
      <c r="A1599" s="339" t="s">
        <v>940</v>
      </c>
      <c r="B1599" s="322">
        <v>1586</v>
      </c>
      <c r="C1599" s="698"/>
      <c r="D1599" s="698"/>
      <c r="E1599" s="698"/>
      <c r="F1599" s="698"/>
      <c r="G1599" s="698"/>
    </row>
    <row r="1600" spans="1:7" ht="17.25" customHeight="1" x14ac:dyDescent="0.2">
      <c r="A1600" s="339" t="s">
        <v>940</v>
      </c>
      <c r="B1600" s="322">
        <v>1587</v>
      </c>
      <c r="C1600" s="698"/>
      <c r="D1600" s="698"/>
      <c r="E1600" s="698"/>
      <c r="F1600" s="698"/>
      <c r="G1600" s="698"/>
    </row>
    <row r="1601" spans="1:7" ht="25.05" x14ac:dyDescent="0.2">
      <c r="A1601" s="339" t="s">
        <v>940</v>
      </c>
      <c r="B1601" s="337">
        <v>1588</v>
      </c>
      <c r="C1601" s="698" t="s">
        <v>949</v>
      </c>
      <c r="D1601" s="698" t="s">
        <v>950</v>
      </c>
      <c r="E1601" s="698"/>
      <c r="F1601" s="698"/>
      <c r="G1601" s="698"/>
    </row>
    <row r="1602" spans="1:7" ht="17.25" customHeight="1" x14ac:dyDescent="0.2">
      <c r="A1602" s="339" t="s">
        <v>940</v>
      </c>
      <c r="B1602" s="322">
        <v>1589</v>
      </c>
      <c r="C1602" s="698"/>
      <c r="D1602" s="698"/>
      <c r="E1602" s="698"/>
      <c r="F1602" s="698"/>
      <c r="G1602" s="698"/>
    </row>
    <row r="1603" spans="1:7" ht="17.25" customHeight="1" x14ac:dyDescent="0.2">
      <c r="A1603" s="339" t="s">
        <v>940</v>
      </c>
      <c r="B1603" s="322">
        <v>1590</v>
      </c>
      <c r="C1603" s="698"/>
      <c r="D1603" s="698"/>
      <c r="E1603" s="698"/>
      <c r="F1603" s="698"/>
      <c r="G1603" s="698"/>
    </row>
    <row r="1604" spans="1:7" ht="25.05" x14ac:dyDescent="0.2">
      <c r="A1604" s="339" t="s">
        <v>940</v>
      </c>
      <c r="B1604" s="337">
        <v>1591</v>
      </c>
      <c r="C1604" s="698" t="s">
        <v>951</v>
      </c>
      <c r="D1604" s="698" t="s">
        <v>952</v>
      </c>
      <c r="E1604" s="698"/>
      <c r="F1604" s="698"/>
      <c r="G1604" s="698"/>
    </row>
    <row r="1605" spans="1:7" ht="17.25" customHeight="1" x14ac:dyDescent="0.2">
      <c r="A1605" s="339" t="s">
        <v>940</v>
      </c>
      <c r="B1605" s="322">
        <v>1592</v>
      </c>
      <c r="C1605" s="698"/>
      <c r="D1605" s="698"/>
      <c r="E1605" s="698"/>
      <c r="F1605" s="698"/>
      <c r="G1605" s="698"/>
    </row>
    <row r="1606" spans="1:7" ht="17.25" customHeight="1" x14ac:dyDescent="0.2">
      <c r="A1606" s="339" t="s">
        <v>940</v>
      </c>
      <c r="B1606" s="322">
        <v>1593</v>
      </c>
      <c r="C1606" s="698"/>
      <c r="D1606" s="698"/>
      <c r="E1606" s="698"/>
      <c r="F1606" s="698"/>
      <c r="G1606" s="698"/>
    </row>
    <row r="1607" spans="1:7" ht="25.05" x14ac:dyDescent="0.2">
      <c r="A1607" s="339" t="s">
        <v>940</v>
      </c>
      <c r="B1607" s="337">
        <v>1594</v>
      </c>
      <c r="C1607" s="698" t="s">
        <v>953</v>
      </c>
      <c r="D1607" s="698" t="s">
        <v>954</v>
      </c>
      <c r="E1607" s="698"/>
      <c r="F1607" s="698"/>
      <c r="G1607" s="698"/>
    </row>
    <row r="1608" spans="1:7" ht="17.25" customHeight="1" x14ac:dyDescent="0.2">
      <c r="A1608" s="339" t="s">
        <v>940</v>
      </c>
      <c r="B1608" s="322">
        <v>1595</v>
      </c>
      <c r="C1608" s="698"/>
      <c r="D1608" s="698"/>
      <c r="E1608" s="698"/>
      <c r="F1608" s="698"/>
      <c r="G1608" s="698"/>
    </row>
    <row r="1609" spans="1:7" ht="17.25" customHeight="1" x14ac:dyDescent="0.2">
      <c r="A1609" s="339" t="s">
        <v>940</v>
      </c>
      <c r="B1609" s="322">
        <v>1596</v>
      </c>
      <c r="C1609" s="698"/>
      <c r="D1609" s="698"/>
      <c r="E1609" s="698"/>
      <c r="F1609" s="698"/>
      <c r="G1609" s="698"/>
    </row>
    <row r="1610" spans="1:7" ht="25.05" x14ac:dyDescent="0.2">
      <c r="A1610" s="339" t="s">
        <v>940</v>
      </c>
      <c r="B1610" s="337">
        <v>1597</v>
      </c>
      <c r="C1610" s="698" t="s">
        <v>955</v>
      </c>
      <c r="D1610" s="698" t="s">
        <v>956</v>
      </c>
      <c r="E1610" s="698"/>
      <c r="F1610" s="698"/>
      <c r="G1610" s="698"/>
    </row>
    <row r="1611" spans="1:7" ht="17.25" customHeight="1" x14ac:dyDescent="0.2">
      <c r="A1611" s="339" t="s">
        <v>940</v>
      </c>
      <c r="B1611" s="322">
        <v>1598</v>
      </c>
      <c r="C1611" s="698"/>
      <c r="D1611" s="698"/>
      <c r="E1611" s="698"/>
      <c r="F1611" s="698"/>
      <c r="G1611" s="698"/>
    </row>
    <row r="1612" spans="1:7" ht="17.25" customHeight="1" x14ac:dyDescent="0.2">
      <c r="A1612" s="339" t="s">
        <v>940</v>
      </c>
      <c r="B1612" s="322">
        <v>1599</v>
      </c>
      <c r="C1612" s="698"/>
      <c r="D1612" s="698"/>
      <c r="E1612" s="698"/>
      <c r="F1612" s="698"/>
      <c r="G1612" s="698"/>
    </row>
    <row r="1613" spans="1:7" ht="25.05" x14ac:dyDescent="0.2">
      <c r="A1613" s="339" t="s">
        <v>940</v>
      </c>
      <c r="B1613" s="337">
        <v>1600</v>
      </c>
      <c r="C1613" s="698" t="s">
        <v>957</v>
      </c>
      <c r="D1613" s="698" t="s">
        <v>958</v>
      </c>
      <c r="E1613" s="698"/>
      <c r="F1613" s="698"/>
      <c r="G1613" s="698"/>
    </row>
    <row r="1614" spans="1:7" ht="17.25" customHeight="1" x14ac:dyDescent="0.2">
      <c r="A1614" s="339" t="s">
        <v>940</v>
      </c>
      <c r="B1614" s="322">
        <v>1601</v>
      </c>
      <c r="C1614" s="698"/>
      <c r="D1614" s="698"/>
      <c r="E1614" s="698"/>
      <c r="F1614" s="698"/>
      <c r="G1614" s="698"/>
    </row>
    <row r="1615" spans="1:7" ht="17.25" customHeight="1" x14ac:dyDescent="0.2">
      <c r="A1615" s="339" t="s">
        <v>940</v>
      </c>
      <c r="B1615" s="322">
        <v>1602</v>
      </c>
      <c r="C1615" s="698"/>
      <c r="D1615" s="698"/>
      <c r="E1615" s="698"/>
      <c r="F1615" s="698"/>
      <c r="G1615" s="698"/>
    </row>
    <row r="1616" spans="1:7" ht="25.05" x14ac:dyDescent="0.2">
      <c r="A1616" s="339" t="s">
        <v>940</v>
      </c>
      <c r="B1616" s="337">
        <v>1603</v>
      </c>
      <c r="C1616" s="698" t="s">
        <v>959</v>
      </c>
      <c r="D1616" s="698" t="s">
        <v>960</v>
      </c>
      <c r="E1616" s="698"/>
      <c r="F1616" s="698"/>
      <c r="G1616" s="698"/>
    </row>
    <row r="1617" spans="1:7" ht="17.25" customHeight="1" x14ac:dyDescent="0.2">
      <c r="A1617" s="339" t="s">
        <v>940</v>
      </c>
      <c r="B1617" s="322">
        <v>1604</v>
      </c>
      <c r="C1617" s="698"/>
      <c r="D1617" s="698"/>
      <c r="E1617" s="698"/>
      <c r="F1617" s="698"/>
      <c r="G1617" s="698"/>
    </row>
    <row r="1618" spans="1:7" ht="17.25" customHeight="1" x14ac:dyDescent="0.2">
      <c r="A1618" s="339" t="s">
        <v>940</v>
      </c>
      <c r="B1618" s="322">
        <v>1605</v>
      </c>
      <c r="C1618" s="698"/>
      <c r="D1618" s="698"/>
      <c r="E1618" s="698"/>
      <c r="F1618" s="698"/>
      <c r="G1618" s="698"/>
    </row>
    <row r="1619" spans="1:7" ht="17.25" customHeight="1" x14ac:dyDescent="0.2">
      <c r="A1619" s="339" t="s">
        <v>940</v>
      </c>
      <c r="B1619" s="337">
        <v>1606</v>
      </c>
      <c r="C1619" s="698" t="s">
        <v>961</v>
      </c>
      <c r="D1619" s="698" t="s">
        <v>962</v>
      </c>
      <c r="E1619" s="698"/>
      <c r="F1619" s="698"/>
      <c r="G1619" s="698"/>
    </row>
    <row r="1620" spans="1:7" ht="17.25" customHeight="1" x14ac:dyDescent="0.2">
      <c r="A1620" s="339" t="s">
        <v>940</v>
      </c>
      <c r="B1620" s="322">
        <v>1607</v>
      </c>
      <c r="C1620" s="698"/>
      <c r="D1620" s="698"/>
      <c r="E1620" s="698"/>
      <c r="F1620" s="698"/>
      <c r="G1620" s="698"/>
    </row>
    <row r="1621" spans="1:7" ht="17.25" customHeight="1" x14ac:dyDescent="0.2">
      <c r="A1621" s="339" t="s">
        <v>940</v>
      </c>
      <c r="B1621" s="322">
        <v>1608</v>
      </c>
      <c r="C1621" s="698"/>
      <c r="D1621" s="698"/>
      <c r="E1621" s="698"/>
      <c r="F1621" s="698"/>
      <c r="G1621" s="698"/>
    </row>
    <row r="1622" spans="1:7" ht="25.05" x14ac:dyDescent="0.2">
      <c r="A1622" s="339" t="s">
        <v>940</v>
      </c>
      <c r="B1622" s="337">
        <v>1609</v>
      </c>
      <c r="C1622" s="698" t="s">
        <v>963</v>
      </c>
      <c r="D1622" s="698" t="s">
        <v>964</v>
      </c>
      <c r="E1622" s="698"/>
      <c r="F1622" s="698"/>
      <c r="G1622" s="698"/>
    </row>
    <row r="1623" spans="1:7" ht="17.25" customHeight="1" x14ac:dyDescent="0.2">
      <c r="A1623" s="339" t="s">
        <v>940</v>
      </c>
      <c r="B1623" s="322">
        <v>1610</v>
      </c>
      <c r="C1623" s="698"/>
      <c r="D1623" s="698"/>
      <c r="E1623" s="698"/>
      <c r="F1623" s="698"/>
      <c r="G1623" s="698"/>
    </row>
    <row r="1624" spans="1:7" ht="17.25" customHeight="1" x14ac:dyDescent="0.2">
      <c r="A1624" s="339" t="s">
        <v>940</v>
      </c>
      <c r="B1624" s="322">
        <v>1611</v>
      </c>
      <c r="C1624" s="698"/>
      <c r="D1624" s="698"/>
      <c r="E1624" s="698"/>
      <c r="F1624" s="698"/>
      <c r="G1624" s="698"/>
    </row>
    <row r="1625" spans="1:7" ht="17.25" customHeight="1" x14ac:dyDescent="0.2">
      <c r="A1625" s="339" t="s">
        <v>940</v>
      </c>
      <c r="B1625" s="337">
        <v>1612</v>
      </c>
      <c r="C1625" s="698" t="s">
        <v>965</v>
      </c>
      <c r="D1625" s="698" t="s">
        <v>966</v>
      </c>
      <c r="E1625" s="698"/>
      <c r="F1625" s="698"/>
      <c r="G1625" s="698"/>
    </row>
    <row r="1626" spans="1:7" ht="17.25" customHeight="1" x14ac:dyDescent="0.2">
      <c r="A1626" s="339" t="s">
        <v>940</v>
      </c>
      <c r="B1626" s="322">
        <v>1613</v>
      </c>
      <c r="C1626" s="698"/>
      <c r="D1626" s="698"/>
      <c r="E1626" s="698"/>
      <c r="F1626" s="698"/>
      <c r="G1626" s="698"/>
    </row>
    <row r="1627" spans="1:7" ht="17.25" customHeight="1" x14ac:dyDescent="0.2">
      <c r="A1627" s="339" t="s">
        <v>940</v>
      </c>
      <c r="B1627" s="322">
        <v>1614</v>
      </c>
      <c r="C1627" s="698"/>
      <c r="D1627" s="698"/>
      <c r="E1627" s="698"/>
      <c r="F1627" s="698"/>
      <c r="G1627" s="698"/>
    </row>
    <row r="1628" spans="1:7" ht="17.25" customHeight="1" x14ac:dyDescent="0.2">
      <c r="A1628" s="339" t="s">
        <v>940</v>
      </c>
      <c r="B1628" s="337">
        <v>1615</v>
      </c>
      <c r="C1628" s="698" t="s">
        <v>967</v>
      </c>
      <c r="D1628" s="698" t="s">
        <v>968</v>
      </c>
      <c r="E1628" s="698"/>
      <c r="F1628" s="698"/>
      <c r="G1628" s="698"/>
    </row>
    <row r="1629" spans="1:7" ht="17.25" customHeight="1" x14ac:dyDescent="0.2">
      <c r="A1629" s="339" t="s">
        <v>940</v>
      </c>
      <c r="B1629" s="322">
        <v>1616</v>
      </c>
      <c r="C1629" s="698"/>
      <c r="D1629" s="698"/>
      <c r="E1629" s="698"/>
      <c r="F1629" s="698"/>
      <c r="G1629" s="698"/>
    </row>
    <row r="1630" spans="1:7" ht="17.25" customHeight="1" x14ac:dyDescent="0.2">
      <c r="A1630" s="339" t="s">
        <v>940</v>
      </c>
      <c r="B1630" s="322">
        <v>1617</v>
      </c>
      <c r="C1630" s="698"/>
      <c r="D1630" s="698"/>
      <c r="E1630" s="698"/>
      <c r="F1630" s="698"/>
      <c r="G1630" s="698"/>
    </row>
    <row r="1631" spans="1:7" ht="17.25" customHeight="1" x14ac:dyDescent="0.2">
      <c r="A1631" s="339" t="s">
        <v>940</v>
      </c>
      <c r="B1631" s="337">
        <v>1618</v>
      </c>
      <c r="C1631" s="698" t="s">
        <v>969</v>
      </c>
      <c r="D1631" s="698" t="s">
        <v>970</v>
      </c>
      <c r="E1631" s="698"/>
      <c r="F1631" s="698"/>
      <c r="G1631" s="698"/>
    </row>
    <row r="1632" spans="1:7" ht="17.25" customHeight="1" x14ac:dyDescent="0.2">
      <c r="A1632" s="339" t="s">
        <v>940</v>
      </c>
      <c r="B1632" s="322">
        <v>1619</v>
      </c>
      <c r="C1632" s="698"/>
      <c r="D1632" s="698"/>
      <c r="E1632" s="698"/>
      <c r="F1632" s="698"/>
      <c r="G1632" s="698"/>
    </row>
    <row r="1633" spans="1:7" ht="17.25" customHeight="1" x14ac:dyDescent="0.2">
      <c r="A1633" s="339" t="s">
        <v>940</v>
      </c>
      <c r="B1633" s="322">
        <v>1620</v>
      </c>
      <c r="C1633" s="698"/>
      <c r="D1633" s="698"/>
      <c r="E1633" s="698"/>
      <c r="F1633" s="698"/>
      <c r="G1633" s="698"/>
    </row>
    <row r="1634" spans="1:7" ht="25.05" x14ac:dyDescent="0.2">
      <c r="A1634" s="339" t="s">
        <v>940</v>
      </c>
      <c r="B1634" s="337">
        <v>1621</v>
      </c>
      <c r="C1634" s="698" t="s">
        <v>971</v>
      </c>
      <c r="D1634" s="698" t="s">
        <v>972</v>
      </c>
      <c r="E1634" s="698"/>
      <c r="F1634" s="698"/>
      <c r="G1634" s="698"/>
    </row>
    <row r="1635" spans="1:7" ht="17.25" customHeight="1" x14ac:dyDescent="0.2">
      <c r="A1635" s="339" t="s">
        <v>940</v>
      </c>
      <c r="B1635" s="322">
        <v>1622</v>
      </c>
      <c r="C1635" s="698"/>
      <c r="D1635" s="698"/>
      <c r="E1635" s="698"/>
      <c r="F1635" s="698"/>
      <c r="G1635" s="698"/>
    </row>
    <row r="1636" spans="1:7" ht="17.25" customHeight="1" x14ac:dyDescent="0.2">
      <c r="A1636" s="339" t="s">
        <v>940</v>
      </c>
      <c r="B1636" s="322">
        <v>1623</v>
      </c>
      <c r="C1636" s="698"/>
      <c r="D1636" s="698"/>
      <c r="E1636" s="698"/>
      <c r="F1636" s="698"/>
      <c r="G1636" s="698"/>
    </row>
    <row r="1637" spans="1:7" ht="25.05" x14ac:dyDescent="0.2">
      <c r="A1637" s="339" t="s">
        <v>940</v>
      </c>
      <c r="B1637" s="337">
        <v>1624</v>
      </c>
      <c r="C1637" s="698" t="s">
        <v>973</v>
      </c>
      <c r="D1637" s="698" t="s">
        <v>974</v>
      </c>
      <c r="E1637" s="698"/>
      <c r="F1637" s="698"/>
      <c r="G1637" s="698"/>
    </row>
    <row r="1638" spans="1:7" ht="17.25" customHeight="1" x14ac:dyDescent="0.2">
      <c r="A1638" s="339" t="s">
        <v>940</v>
      </c>
      <c r="B1638" s="322">
        <v>1625</v>
      </c>
      <c r="C1638" s="698"/>
      <c r="D1638" s="698"/>
      <c r="E1638" s="698"/>
      <c r="F1638" s="698"/>
      <c r="G1638" s="698"/>
    </row>
    <row r="1639" spans="1:7" ht="17.25" customHeight="1" x14ac:dyDescent="0.2">
      <c r="A1639" s="339" t="s">
        <v>940</v>
      </c>
      <c r="B1639" s="322">
        <v>1626</v>
      </c>
      <c r="C1639" s="698"/>
      <c r="D1639" s="698"/>
      <c r="E1639" s="698"/>
      <c r="F1639" s="698"/>
      <c r="G1639" s="698"/>
    </row>
    <row r="1640" spans="1:7" ht="25.05" x14ac:dyDescent="0.2">
      <c r="A1640" s="339" t="s">
        <v>940</v>
      </c>
      <c r="B1640" s="337">
        <v>1627</v>
      </c>
      <c r="C1640" s="698" t="s">
        <v>975</v>
      </c>
      <c r="D1640" s="698" t="s">
        <v>976</v>
      </c>
      <c r="E1640" s="698"/>
      <c r="F1640" s="698"/>
      <c r="G1640" s="698"/>
    </row>
    <row r="1641" spans="1:7" ht="17.25" customHeight="1" x14ac:dyDescent="0.2">
      <c r="A1641" s="339" t="s">
        <v>940</v>
      </c>
      <c r="B1641" s="322">
        <v>1628</v>
      </c>
      <c r="C1641" s="698"/>
      <c r="D1641" s="698"/>
      <c r="E1641" s="698"/>
      <c r="F1641" s="698"/>
      <c r="G1641" s="698"/>
    </row>
    <row r="1642" spans="1:7" ht="17.25" customHeight="1" x14ac:dyDescent="0.2">
      <c r="A1642" s="339" t="s">
        <v>940</v>
      </c>
      <c r="B1642" s="322">
        <v>1629</v>
      </c>
      <c r="C1642" s="698"/>
      <c r="D1642" s="698"/>
      <c r="E1642" s="698"/>
      <c r="F1642" s="698"/>
      <c r="G1642" s="698"/>
    </row>
    <row r="1643" spans="1:7" ht="27.1" customHeight="1" x14ac:dyDescent="0.2">
      <c r="A1643" s="339" t="s">
        <v>940</v>
      </c>
      <c r="B1643" s="337">
        <v>1630</v>
      </c>
      <c r="C1643" s="698" t="s">
        <v>977</v>
      </c>
      <c r="D1643" s="698" t="s">
        <v>978</v>
      </c>
      <c r="E1643" s="698"/>
      <c r="F1643" s="698"/>
      <c r="G1643" s="698"/>
    </row>
    <row r="1644" spans="1:7" ht="17.25" customHeight="1" x14ac:dyDescent="0.2">
      <c r="A1644" s="339" t="s">
        <v>940</v>
      </c>
      <c r="B1644" s="322">
        <v>1631</v>
      </c>
      <c r="C1644" s="698"/>
      <c r="D1644" s="698"/>
      <c r="E1644" s="698"/>
      <c r="F1644" s="698"/>
      <c r="G1644" s="698"/>
    </row>
    <row r="1645" spans="1:7" ht="17.25" customHeight="1" x14ac:dyDescent="0.2">
      <c r="A1645" s="339" t="s">
        <v>940</v>
      </c>
      <c r="B1645" s="322">
        <v>1632</v>
      </c>
      <c r="C1645" s="698"/>
      <c r="D1645" s="698"/>
      <c r="E1645" s="698"/>
      <c r="F1645" s="698"/>
      <c r="G1645" s="698"/>
    </row>
    <row r="1646" spans="1:7" ht="17.25" customHeight="1" x14ac:dyDescent="0.2">
      <c r="A1646" s="339" t="s">
        <v>940</v>
      </c>
      <c r="B1646" s="337">
        <v>1633</v>
      </c>
      <c r="C1646" s="698" t="s">
        <v>979</v>
      </c>
      <c r="D1646" s="698" t="s">
        <v>980</v>
      </c>
      <c r="E1646" s="698"/>
      <c r="F1646" s="698"/>
      <c r="G1646" s="698"/>
    </row>
    <row r="1647" spans="1:7" ht="17.25" customHeight="1" x14ac:dyDescent="0.2">
      <c r="A1647" s="339" t="s">
        <v>940</v>
      </c>
      <c r="B1647" s="322">
        <v>1634</v>
      </c>
      <c r="C1647" s="698"/>
      <c r="D1647" s="698"/>
      <c r="E1647" s="698"/>
      <c r="F1647" s="698"/>
      <c r="G1647" s="698"/>
    </row>
    <row r="1648" spans="1:7" ht="17.25" customHeight="1" x14ac:dyDescent="0.2">
      <c r="A1648" s="339" t="s">
        <v>940</v>
      </c>
      <c r="B1648" s="322">
        <v>1635</v>
      </c>
      <c r="C1648" s="698"/>
      <c r="D1648" s="698"/>
      <c r="E1648" s="698"/>
      <c r="F1648" s="698"/>
      <c r="G1648" s="698"/>
    </row>
    <row r="1649" spans="1:7" ht="17.25" customHeight="1" x14ac:dyDescent="0.2">
      <c r="A1649" s="339" t="s">
        <v>940</v>
      </c>
      <c r="B1649" s="322">
        <v>1636</v>
      </c>
      <c r="C1649" s="698"/>
      <c r="D1649" s="698"/>
      <c r="E1649" s="698"/>
      <c r="F1649" s="698"/>
      <c r="G1649" s="698"/>
    </row>
    <row r="1650" spans="1:7" ht="17.25" customHeight="1" x14ac:dyDescent="0.2">
      <c r="A1650" s="339" t="s">
        <v>940</v>
      </c>
      <c r="B1650" s="322">
        <v>1637</v>
      </c>
      <c r="C1650" s="698"/>
      <c r="D1650" s="698"/>
      <c r="E1650" s="698"/>
      <c r="F1650" s="698"/>
      <c r="G1650" s="698"/>
    </row>
    <row r="1651" spans="1:7" ht="17.25" customHeight="1" x14ac:dyDescent="0.2">
      <c r="A1651" s="339" t="s">
        <v>940</v>
      </c>
      <c r="B1651" s="322">
        <v>1638</v>
      </c>
      <c r="C1651" s="698"/>
      <c r="D1651" s="698"/>
      <c r="E1651" s="698"/>
      <c r="F1651" s="698"/>
      <c r="G1651" s="698"/>
    </row>
    <row r="1652" spans="1:7" ht="17.25" customHeight="1" x14ac:dyDescent="0.2">
      <c r="A1652" s="339" t="s">
        <v>940</v>
      </c>
      <c r="B1652" s="322">
        <v>1639</v>
      </c>
      <c r="C1652" s="698"/>
      <c r="D1652" s="698"/>
      <c r="E1652" s="698"/>
      <c r="F1652" s="698"/>
      <c r="G1652" s="698"/>
    </row>
    <row r="1653" spans="1:7" ht="17.25" customHeight="1" x14ac:dyDescent="0.2">
      <c r="A1653" s="339" t="s">
        <v>940</v>
      </c>
      <c r="B1653" s="322">
        <v>1640</v>
      </c>
      <c r="C1653" s="698"/>
      <c r="D1653" s="698"/>
      <c r="E1653" s="698"/>
      <c r="F1653" s="698"/>
      <c r="G1653" s="698"/>
    </row>
    <row r="1654" spans="1:7" ht="17.25" customHeight="1" x14ac:dyDescent="0.2">
      <c r="A1654" s="339" t="s">
        <v>940</v>
      </c>
      <c r="B1654" s="322">
        <v>1641</v>
      </c>
      <c r="C1654" s="698"/>
      <c r="D1654" s="698"/>
      <c r="E1654" s="698"/>
      <c r="F1654" s="698"/>
      <c r="G1654" s="698"/>
    </row>
    <row r="1655" spans="1:7" ht="17.25" customHeight="1" x14ac:dyDescent="0.2">
      <c r="A1655" s="339" t="s">
        <v>940</v>
      </c>
      <c r="B1655" s="322">
        <v>1642</v>
      </c>
      <c r="C1655" s="698"/>
      <c r="D1655" s="698"/>
      <c r="E1655" s="698"/>
      <c r="F1655" s="698"/>
      <c r="G1655" s="698"/>
    </row>
    <row r="1656" spans="1:7" ht="17.25" customHeight="1" x14ac:dyDescent="0.2">
      <c r="A1656" s="339" t="s">
        <v>940</v>
      </c>
      <c r="B1656" s="322">
        <v>1643</v>
      </c>
      <c r="C1656" s="698"/>
      <c r="D1656" s="698"/>
      <c r="E1656" s="698"/>
      <c r="F1656" s="698"/>
      <c r="G1656" s="698"/>
    </row>
    <row r="1657" spans="1:7" ht="17.25" customHeight="1" x14ac:dyDescent="0.2">
      <c r="A1657" s="339" t="s">
        <v>940</v>
      </c>
      <c r="B1657" s="322">
        <v>1644</v>
      </c>
      <c r="C1657" s="698"/>
      <c r="D1657" s="698"/>
      <c r="E1657" s="698"/>
      <c r="F1657" s="698"/>
      <c r="G1657" s="698"/>
    </row>
    <row r="1658" spans="1:7" ht="17.25" customHeight="1" x14ac:dyDescent="0.2">
      <c r="A1658" s="339" t="s">
        <v>940</v>
      </c>
      <c r="B1658" s="322">
        <v>1645</v>
      </c>
      <c r="C1658" s="698"/>
      <c r="D1658" s="698"/>
      <c r="E1658" s="698"/>
      <c r="F1658" s="698"/>
      <c r="G1658" s="698"/>
    </row>
    <row r="1659" spans="1:7" ht="17.25" customHeight="1" x14ac:dyDescent="0.2">
      <c r="A1659" s="339" t="s">
        <v>940</v>
      </c>
      <c r="B1659" s="322">
        <v>1646</v>
      </c>
      <c r="C1659" s="698"/>
      <c r="D1659" s="698"/>
      <c r="E1659" s="698"/>
      <c r="F1659" s="698"/>
      <c r="G1659" s="698"/>
    </row>
    <row r="1660" spans="1:7" ht="17.25" customHeight="1" x14ac:dyDescent="0.2">
      <c r="A1660" s="339" t="s">
        <v>940</v>
      </c>
      <c r="B1660" s="322">
        <v>1647</v>
      </c>
      <c r="C1660" s="698"/>
      <c r="D1660" s="698"/>
      <c r="E1660" s="698"/>
      <c r="F1660" s="698"/>
      <c r="G1660" s="698"/>
    </row>
    <row r="1661" spans="1:7" ht="17.25" customHeight="1" x14ac:dyDescent="0.2">
      <c r="A1661" s="339" t="s">
        <v>940</v>
      </c>
      <c r="B1661" s="322">
        <v>1648</v>
      </c>
      <c r="C1661" s="698"/>
      <c r="D1661" s="698"/>
      <c r="E1661" s="698"/>
      <c r="F1661" s="698"/>
      <c r="G1661" s="698"/>
    </row>
    <row r="1662" spans="1:7" ht="17.25" customHeight="1" x14ac:dyDescent="0.2">
      <c r="A1662" s="339" t="s">
        <v>940</v>
      </c>
      <c r="B1662" s="322">
        <v>1649</v>
      </c>
      <c r="C1662" s="698"/>
      <c r="D1662" s="698"/>
      <c r="E1662" s="698"/>
      <c r="F1662" s="698"/>
      <c r="G1662" s="698"/>
    </row>
    <row r="1663" spans="1:7" ht="17.25" customHeight="1" x14ac:dyDescent="0.2">
      <c r="A1663" s="339" t="s">
        <v>940</v>
      </c>
      <c r="B1663" s="322">
        <v>1650</v>
      </c>
      <c r="C1663" s="698"/>
      <c r="D1663" s="698"/>
      <c r="E1663" s="698"/>
      <c r="F1663" s="698"/>
      <c r="G1663" s="698"/>
    </row>
    <row r="1664" spans="1:7" ht="17.25" customHeight="1" thickBot="1" x14ac:dyDescent="0.25">
      <c r="A1664" s="340" t="s">
        <v>940</v>
      </c>
      <c r="B1664" s="328">
        <v>1651</v>
      </c>
      <c r="C1664" s="715"/>
      <c r="D1664" s="715"/>
      <c r="E1664" s="715"/>
      <c r="F1664" s="715"/>
      <c r="G1664" s="715"/>
    </row>
    <row r="1665" spans="1:7" ht="17.25" customHeight="1" thickBot="1" x14ac:dyDescent="0.25">
      <c r="A1665" s="368" t="s">
        <v>981</v>
      </c>
      <c r="B1665" s="369">
        <v>1652</v>
      </c>
      <c r="C1665" s="370" t="s">
        <v>982</v>
      </c>
      <c r="D1665" s="370" t="s">
        <v>981</v>
      </c>
      <c r="E1665" s="370"/>
      <c r="F1665" s="370"/>
      <c r="G1665" s="370"/>
    </row>
    <row r="1666" spans="1:7" ht="17.25" customHeight="1" x14ac:dyDescent="0.2">
      <c r="A1666" s="341" t="s">
        <v>983</v>
      </c>
      <c r="B1666" s="322">
        <v>1653</v>
      </c>
      <c r="C1666" s="149"/>
      <c r="D1666" s="149"/>
      <c r="E1666" s="149"/>
      <c r="F1666" s="149"/>
      <c r="G1666" s="149"/>
    </row>
    <row r="1667" spans="1:7" ht="17.25" customHeight="1" x14ac:dyDescent="0.2">
      <c r="A1667" s="341" t="s">
        <v>983</v>
      </c>
      <c r="B1667" s="337">
        <v>1654</v>
      </c>
      <c r="C1667" s="698" t="s">
        <v>984</v>
      </c>
      <c r="D1667" s="698" t="s">
        <v>985</v>
      </c>
      <c r="E1667" s="698"/>
      <c r="F1667" s="698"/>
      <c r="G1667" s="698"/>
    </row>
    <row r="1668" spans="1:7" ht="17.25" customHeight="1" x14ac:dyDescent="0.2">
      <c r="A1668" s="341" t="s">
        <v>983</v>
      </c>
      <c r="B1668" s="322">
        <v>1655</v>
      </c>
      <c r="C1668" s="698"/>
      <c r="D1668" s="698"/>
      <c r="E1668" s="698"/>
      <c r="F1668" s="698"/>
      <c r="G1668" s="698"/>
    </row>
    <row r="1669" spans="1:7" ht="17.25" customHeight="1" x14ac:dyDescent="0.2">
      <c r="A1669" s="341" t="s">
        <v>983</v>
      </c>
      <c r="B1669" s="337">
        <v>1656</v>
      </c>
      <c r="C1669" s="698" t="s">
        <v>986</v>
      </c>
      <c r="D1669" s="698" t="s">
        <v>987</v>
      </c>
      <c r="E1669" s="698"/>
      <c r="F1669" s="698"/>
      <c r="G1669" s="698"/>
    </row>
    <row r="1670" spans="1:7" ht="17.25" customHeight="1" x14ac:dyDescent="0.2">
      <c r="A1670" s="341" t="s">
        <v>983</v>
      </c>
      <c r="B1670" s="322">
        <v>1657</v>
      </c>
      <c r="C1670" s="698"/>
      <c r="D1670" s="698"/>
      <c r="E1670" s="698"/>
      <c r="F1670" s="698"/>
      <c r="G1670" s="698"/>
    </row>
    <row r="1671" spans="1:7" ht="17.25" customHeight="1" x14ac:dyDescent="0.2">
      <c r="A1671" s="341" t="s">
        <v>983</v>
      </c>
      <c r="B1671" s="337">
        <v>1658</v>
      </c>
      <c r="C1671" s="698" t="s">
        <v>988</v>
      </c>
      <c r="D1671" s="698" t="s">
        <v>989</v>
      </c>
      <c r="E1671" s="698"/>
      <c r="F1671" s="698"/>
      <c r="G1671" s="698"/>
    </row>
    <row r="1672" spans="1:7" ht="17.25" customHeight="1" x14ac:dyDescent="0.2">
      <c r="A1672" s="341" t="s">
        <v>983</v>
      </c>
      <c r="B1672" s="322">
        <v>1659</v>
      </c>
      <c r="C1672" s="698"/>
      <c r="D1672" s="698"/>
      <c r="E1672" s="698"/>
      <c r="F1672" s="698"/>
      <c r="G1672" s="698"/>
    </row>
    <row r="1673" spans="1:7" ht="49.5" customHeight="1" x14ac:dyDescent="0.2">
      <c r="A1673" s="341" t="s">
        <v>983</v>
      </c>
      <c r="B1673" s="337">
        <v>1660</v>
      </c>
      <c r="C1673" s="698" t="s">
        <v>990</v>
      </c>
      <c r="D1673" s="698" t="s">
        <v>991</v>
      </c>
      <c r="E1673" s="698"/>
      <c r="F1673" s="698"/>
      <c r="G1673" s="698"/>
    </row>
    <row r="1674" spans="1:7" ht="17.25" customHeight="1" x14ac:dyDescent="0.2">
      <c r="A1674" s="341" t="s">
        <v>983</v>
      </c>
      <c r="B1674" s="322">
        <v>1661</v>
      </c>
      <c r="C1674" s="698"/>
      <c r="D1674" s="698"/>
      <c r="E1674" s="698"/>
      <c r="F1674" s="698"/>
      <c r="G1674" s="698"/>
    </row>
    <row r="1675" spans="1:7" ht="17.25" customHeight="1" x14ac:dyDescent="0.2">
      <c r="A1675" s="341" t="s">
        <v>983</v>
      </c>
      <c r="B1675" s="337">
        <v>1662</v>
      </c>
      <c r="C1675" s="698" t="s">
        <v>992</v>
      </c>
      <c r="D1675" s="698" t="s">
        <v>993</v>
      </c>
      <c r="E1675" s="698"/>
      <c r="F1675" s="698"/>
      <c r="G1675" s="698"/>
    </row>
    <row r="1676" spans="1:7" ht="17.25" customHeight="1" x14ac:dyDescent="0.2">
      <c r="A1676" s="341" t="s">
        <v>983</v>
      </c>
      <c r="B1676" s="322">
        <v>1663</v>
      </c>
      <c r="C1676" s="698"/>
      <c r="D1676" s="698"/>
      <c r="E1676" s="698"/>
      <c r="F1676" s="698"/>
      <c r="G1676" s="698"/>
    </row>
    <row r="1677" spans="1:7" ht="17.25" customHeight="1" x14ac:dyDescent="0.2">
      <c r="A1677" s="341" t="s">
        <v>983</v>
      </c>
      <c r="B1677" s="337">
        <v>1664</v>
      </c>
      <c r="C1677" s="698" t="s">
        <v>541</v>
      </c>
      <c r="D1677" s="698" t="s">
        <v>994</v>
      </c>
      <c r="E1677" s="698"/>
      <c r="F1677" s="698"/>
      <c r="G1677" s="698"/>
    </row>
    <row r="1678" spans="1:7" ht="17.25" customHeight="1" x14ac:dyDescent="0.2">
      <c r="A1678" s="341" t="s">
        <v>983</v>
      </c>
      <c r="B1678" s="322">
        <v>1665</v>
      </c>
      <c r="C1678" s="698"/>
      <c r="D1678" s="698"/>
      <c r="E1678" s="698"/>
      <c r="F1678" s="698"/>
      <c r="G1678" s="698"/>
    </row>
    <row r="1679" spans="1:7" ht="62.65" x14ac:dyDescent="0.2">
      <c r="A1679" s="341" t="s">
        <v>983</v>
      </c>
      <c r="B1679" s="337">
        <v>1666</v>
      </c>
      <c r="C1679" s="698" t="s">
        <v>995</v>
      </c>
      <c r="D1679" s="698" t="s">
        <v>996</v>
      </c>
      <c r="E1679" s="698"/>
      <c r="F1679" s="698"/>
      <c r="G1679" s="698"/>
    </row>
    <row r="1680" spans="1:7" ht="17.25" customHeight="1" x14ac:dyDescent="0.2">
      <c r="A1680" s="341" t="s">
        <v>983</v>
      </c>
      <c r="B1680" s="322">
        <v>1667</v>
      </c>
      <c r="C1680" s="698"/>
      <c r="D1680" s="698"/>
      <c r="E1680" s="698"/>
      <c r="F1680" s="698"/>
      <c r="G1680" s="698"/>
    </row>
    <row r="1681" spans="1:7" ht="162.80000000000001" x14ac:dyDescent="0.2">
      <c r="A1681" s="341" t="s">
        <v>983</v>
      </c>
      <c r="B1681" s="337">
        <v>1668</v>
      </c>
      <c r="C1681" s="698" t="s">
        <v>997</v>
      </c>
      <c r="D1681" s="698" t="s">
        <v>998</v>
      </c>
      <c r="E1681" s="698"/>
      <c r="F1681" s="698"/>
      <c r="G1681" s="698"/>
    </row>
    <row r="1682" spans="1:7" ht="17.25" customHeight="1" x14ac:dyDescent="0.2">
      <c r="A1682" s="341" t="s">
        <v>983</v>
      </c>
      <c r="B1682" s="322">
        <v>1669</v>
      </c>
      <c r="C1682" s="698"/>
      <c r="D1682" s="698"/>
      <c r="E1682" s="698"/>
      <c r="F1682" s="698"/>
      <c r="G1682" s="698"/>
    </row>
    <row r="1683" spans="1:7" ht="75.150000000000006" x14ac:dyDescent="0.2">
      <c r="A1683" s="341" t="s">
        <v>983</v>
      </c>
      <c r="B1683" s="337">
        <v>1670</v>
      </c>
      <c r="C1683" s="698" t="s">
        <v>999</v>
      </c>
      <c r="D1683" s="698" t="s">
        <v>1000</v>
      </c>
      <c r="E1683" s="698"/>
      <c r="F1683" s="698"/>
      <c r="G1683" s="698"/>
    </row>
    <row r="1684" spans="1:7" ht="17.25" customHeight="1" x14ac:dyDescent="0.2">
      <c r="A1684" s="341" t="s">
        <v>983</v>
      </c>
      <c r="B1684" s="322">
        <v>1671</v>
      </c>
      <c r="C1684" s="698"/>
      <c r="D1684" s="698"/>
      <c r="E1684" s="698"/>
      <c r="F1684" s="698"/>
      <c r="G1684" s="698"/>
    </row>
    <row r="1685" spans="1:7" ht="87.65" x14ac:dyDescent="0.2">
      <c r="A1685" s="341" t="s">
        <v>983</v>
      </c>
      <c r="B1685" s="337">
        <v>1672</v>
      </c>
      <c r="C1685" s="698" t="s">
        <v>1001</v>
      </c>
      <c r="D1685" s="698" t="s">
        <v>1002</v>
      </c>
      <c r="E1685" s="698"/>
      <c r="F1685" s="698"/>
      <c r="G1685" s="698"/>
    </row>
    <row r="1686" spans="1:7" ht="17.25" customHeight="1" x14ac:dyDescent="0.2">
      <c r="A1686" s="341" t="s">
        <v>983</v>
      </c>
      <c r="B1686" s="322">
        <v>1673</v>
      </c>
      <c r="C1686" s="698"/>
      <c r="D1686" s="698"/>
      <c r="E1686" s="698"/>
      <c r="F1686" s="698"/>
      <c r="G1686" s="698"/>
    </row>
    <row r="1687" spans="1:7" ht="62.65" x14ac:dyDescent="0.2">
      <c r="A1687" s="341" t="s">
        <v>983</v>
      </c>
      <c r="B1687" s="337">
        <v>1674</v>
      </c>
      <c r="C1687" s="698" t="s">
        <v>1003</v>
      </c>
      <c r="D1687" s="698" t="s">
        <v>1004</v>
      </c>
      <c r="E1687" s="698"/>
      <c r="F1687" s="698"/>
      <c r="G1687" s="698"/>
    </row>
    <row r="1688" spans="1:7" ht="17.25" customHeight="1" x14ac:dyDescent="0.2">
      <c r="A1688" s="341" t="s">
        <v>983</v>
      </c>
      <c r="B1688" s="322">
        <v>1675</v>
      </c>
      <c r="C1688" s="698"/>
      <c r="D1688" s="698"/>
      <c r="E1688" s="698"/>
      <c r="F1688" s="698"/>
      <c r="G1688" s="698"/>
    </row>
    <row r="1689" spans="1:7" ht="75.150000000000006" x14ac:dyDescent="0.2">
      <c r="A1689" s="341" t="s">
        <v>983</v>
      </c>
      <c r="B1689" s="337">
        <v>1676</v>
      </c>
      <c r="C1689" s="698" t="s">
        <v>1005</v>
      </c>
      <c r="D1689" s="698" t="s">
        <v>1006</v>
      </c>
      <c r="E1689" s="698"/>
      <c r="F1689" s="698"/>
      <c r="G1689" s="698"/>
    </row>
    <row r="1690" spans="1:7" ht="17.25" customHeight="1" x14ac:dyDescent="0.2">
      <c r="A1690" s="341" t="s">
        <v>983</v>
      </c>
      <c r="B1690" s="322">
        <v>1677</v>
      </c>
      <c r="C1690" s="698"/>
      <c r="D1690" s="698"/>
      <c r="E1690" s="698"/>
      <c r="F1690" s="698"/>
      <c r="G1690" s="698"/>
    </row>
    <row r="1691" spans="1:7" ht="17.25" customHeight="1" x14ac:dyDescent="0.2">
      <c r="A1691" s="341" t="s">
        <v>983</v>
      </c>
      <c r="B1691" s="322">
        <v>1678</v>
      </c>
      <c r="C1691" s="698"/>
      <c r="D1691" s="698"/>
      <c r="E1691" s="698"/>
      <c r="F1691" s="698"/>
      <c r="G1691" s="698"/>
    </row>
    <row r="1692" spans="1:7" ht="17.25" customHeight="1" x14ac:dyDescent="0.2">
      <c r="A1692" s="341" t="s">
        <v>983</v>
      </c>
      <c r="B1692" s="322">
        <v>1679</v>
      </c>
      <c r="C1692" s="698"/>
      <c r="D1692" s="698"/>
      <c r="E1692" s="698"/>
      <c r="F1692" s="698"/>
      <c r="G1692" s="698"/>
    </row>
    <row r="1693" spans="1:7" ht="17.25" customHeight="1" x14ac:dyDescent="0.2">
      <c r="A1693" s="341" t="s">
        <v>983</v>
      </c>
      <c r="B1693" s="322">
        <v>1680</v>
      </c>
      <c r="C1693" s="698"/>
      <c r="D1693" s="698"/>
      <c r="E1693" s="698"/>
      <c r="F1693" s="698"/>
      <c r="G1693" s="698"/>
    </row>
    <row r="1694" spans="1:7" ht="17.25" customHeight="1" x14ac:dyDescent="0.2">
      <c r="A1694" s="341" t="s">
        <v>983</v>
      </c>
      <c r="B1694" s="322">
        <v>1681</v>
      </c>
      <c r="C1694" s="698"/>
      <c r="D1694" s="698"/>
      <c r="E1694" s="698"/>
      <c r="F1694" s="698"/>
      <c r="G1694" s="698"/>
    </row>
    <row r="1695" spans="1:7" ht="33.049999999999997" customHeight="1" x14ac:dyDescent="0.2">
      <c r="A1695" s="341" t="s">
        <v>1007</v>
      </c>
      <c r="B1695" s="322">
        <v>1682</v>
      </c>
      <c r="C1695" s="698" t="s">
        <v>1008</v>
      </c>
      <c r="D1695" s="698" t="s">
        <v>1009</v>
      </c>
      <c r="E1695" s="698"/>
      <c r="F1695" s="698"/>
      <c r="G1695" s="698"/>
    </row>
    <row r="1696" spans="1:7" ht="35.25" customHeight="1" x14ac:dyDescent="0.2">
      <c r="A1696" s="341" t="s">
        <v>985</v>
      </c>
      <c r="B1696" s="322">
        <v>1683</v>
      </c>
      <c r="C1696" s="698" t="s">
        <v>1010</v>
      </c>
      <c r="D1696" s="698" t="s">
        <v>1011</v>
      </c>
      <c r="E1696" s="698"/>
      <c r="F1696" s="698"/>
      <c r="G1696" s="698"/>
    </row>
    <row r="1697" spans="1:7" ht="26.3" customHeight="1" x14ac:dyDescent="0.2">
      <c r="A1697" s="341" t="s">
        <v>985</v>
      </c>
      <c r="B1697" s="322">
        <v>1684</v>
      </c>
      <c r="C1697" s="698" t="s">
        <v>1012</v>
      </c>
      <c r="D1697" s="698" t="s">
        <v>1013</v>
      </c>
      <c r="E1697" s="698"/>
      <c r="F1697" s="698"/>
      <c r="G1697" s="698"/>
    </row>
    <row r="1698" spans="1:7" ht="17.25" customHeight="1" x14ac:dyDescent="0.2">
      <c r="A1698" s="341" t="s">
        <v>985</v>
      </c>
      <c r="B1698" s="322">
        <v>1685</v>
      </c>
      <c r="C1698" s="698"/>
      <c r="D1698" s="698"/>
      <c r="E1698" s="698"/>
      <c r="F1698" s="698"/>
      <c r="G1698" s="698"/>
    </row>
    <row r="1699" spans="1:7" ht="17.25" customHeight="1" x14ac:dyDescent="0.2">
      <c r="A1699" s="341" t="s">
        <v>985</v>
      </c>
      <c r="B1699" s="322">
        <v>1686</v>
      </c>
      <c r="C1699" s="698"/>
      <c r="D1699" s="698"/>
      <c r="E1699" s="698"/>
      <c r="F1699" s="698"/>
      <c r="G1699" s="698"/>
    </row>
    <row r="1700" spans="1:7" ht="17.25" customHeight="1" x14ac:dyDescent="0.2">
      <c r="A1700" s="341" t="s">
        <v>985</v>
      </c>
      <c r="B1700" s="322">
        <v>1687</v>
      </c>
      <c r="C1700" s="698"/>
      <c r="D1700" s="698"/>
      <c r="E1700" s="698"/>
      <c r="F1700" s="698"/>
      <c r="G1700" s="698"/>
    </row>
    <row r="1701" spans="1:7" ht="17.25" customHeight="1" x14ac:dyDescent="0.2">
      <c r="A1701" s="341" t="s">
        <v>985</v>
      </c>
      <c r="B1701" s="322">
        <v>1688</v>
      </c>
      <c r="C1701" s="698"/>
      <c r="D1701" s="698"/>
      <c r="E1701" s="698"/>
      <c r="F1701" s="698"/>
      <c r="G1701" s="698"/>
    </row>
    <row r="1702" spans="1:7" ht="17.25" customHeight="1" x14ac:dyDescent="0.2">
      <c r="A1702" s="341" t="s">
        <v>985</v>
      </c>
      <c r="B1702" s="322">
        <v>1689</v>
      </c>
      <c r="C1702" s="698"/>
      <c r="D1702" s="698"/>
      <c r="E1702" s="698"/>
      <c r="F1702" s="698"/>
      <c r="G1702" s="698"/>
    </row>
    <row r="1703" spans="1:7" ht="17.25" customHeight="1" x14ac:dyDescent="0.2">
      <c r="A1703" s="341" t="s">
        <v>985</v>
      </c>
      <c r="B1703" s="322">
        <v>1690</v>
      </c>
      <c r="C1703" s="698"/>
      <c r="D1703" s="698"/>
      <c r="E1703" s="698"/>
      <c r="F1703" s="698"/>
      <c r="G1703" s="698"/>
    </row>
    <row r="1704" spans="1:7" ht="17.25" customHeight="1" x14ac:dyDescent="0.2">
      <c r="A1704" s="341" t="s">
        <v>985</v>
      </c>
      <c r="B1704" s="322">
        <v>1691</v>
      </c>
      <c r="C1704" s="698"/>
      <c r="D1704" s="698"/>
      <c r="E1704" s="698"/>
      <c r="F1704" s="698"/>
      <c r="G1704" s="698"/>
    </row>
    <row r="1705" spans="1:7" ht="17.25" customHeight="1" x14ac:dyDescent="0.2">
      <c r="A1705" s="341" t="s">
        <v>985</v>
      </c>
      <c r="B1705" s="322">
        <v>1692</v>
      </c>
      <c r="C1705" s="698"/>
      <c r="D1705" s="698"/>
      <c r="E1705" s="698"/>
      <c r="F1705" s="698"/>
      <c r="G1705" s="698"/>
    </row>
    <row r="1706" spans="1:7" ht="17.25" customHeight="1" x14ac:dyDescent="0.2">
      <c r="A1706" s="341" t="s">
        <v>985</v>
      </c>
      <c r="B1706" s="322">
        <v>1693</v>
      </c>
      <c r="C1706" s="698"/>
      <c r="D1706" s="698"/>
      <c r="E1706" s="698"/>
      <c r="F1706" s="698"/>
      <c r="G1706" s="698"/>
    </row>
    <row r="1707" spans="1:7" ht="17.25" customHeight="1" x14ac:dyDescent="0.2">
      <c r="A1707" s="341" t="s">
        <v>985</v>
      </c>
      <c r="B1707" s="322">
        <v>1694</v>
      </c>
      <c r="C1707" s="698"/>
      <c r="D1707" s="698"/>
      <c r="E1707" s="698"/>
      <c r="F1707" s="698"/>
      <c r="G1707" s="698"/>
    </row>
    <row r="1708" spans="1:7" ht="17.25" customHeight="1" x14ac:dyDescent="0.2">
      <c r="A1708" s="341" t="s">
        <v>985</v>
      </c>
      <c r="B1708" s="322">
        <v>1695</v>
      </c>
      <c r="C1708" s="698"/>
      <c r="D1708" s="698"/>
      <c r="E1708" s="698"/>
      <c r="F1708" s="698"/>
      <c r="G1708" s="698"/>
    </row>
    <row r="1709" spans="1:7" ht="17.25" customHeight="1" x14ac:dyDescent="0.2">
      <c r="A1709" s="341" t="s">
        <v>985</v>
      </c>
      <c r="B1709" s="322">
        <v>1696</v>
      </c>
      <c r="C1709" s="698"/>
      <c r="D1709" s="698"/>
      <c r="E1709" s="698"/>
      <c r="F1709" s="698"/>
      <c r="G1709" s="698"/>
    </row>
    <row r="1710" spans="1:7" ht="17.25" customHeight="1" x14ac:dyDescent="0.2">
      <c r="A1710" s="341" t="s">
        <v>985</v>
      </c>
      <c r="B1710" s="322">
        <v>1697</v>
      </c>
      <c r="C1710" s="698"/>
      <c r="D1710" s="698"/>
      <c r="E1710" s="698"/>
      <c r="F1710" s="698"/>
      <c r="G1710" s="698"/>
    </row>
    <row r="1711" spans="1:7" ht="17.25" customHeight="1" x14ac:dyDescent="0.2">
      <c r="A1711" s="341" t="s">
        <v>985</v>
      </c>
      <c r="B1711" s="322">
        <v>1698</v>
      </c>
      <c r="C1711" s="698"/>
      <c r="D1711" s="698"/>
      <c r="E1711" s="698"/>
      <c r="F1711" s="698"/>
      <c r="G1711" s="698"/>
    </row>
    <row r="1712" spans="1:7" ht="17.25" customHeight="1" x14ac:dyDescent="0.2">
      <c r="A1712" s="341" t="s">
        <v>985</v>
      </c>
      <c r="B1712" s="322">
        <v>1699</v>
      </c>
      <c r="C1712" s="698"/>
      <c r="D1712" s="698"/>
      <c r="E1712" s="698"/>
      <c r="F1712" s="698"/>
      <c r="G1712" s="698"/>
    </row>
    <row r="1713" spans="1:7" ht="17.25" customHeight="1" x14ac:dyDescent="0.2">
      <c r="A1713" s="341" t="s">
        <v>985</v>
      </c>
      <c r="B1713" s="322">
        <v>1700</v>
      </c>
      <c r="C1713" s="698"/>
      <c r="D1713" s="698"/>
      <c r="E1713" s="698"/>
      <c r="F1713" s="698"/>
      <c r="G1713" s="698"/>
    </row>
    <row r="1714" spans="1:7" ht="17.25" customHeight="1" x14ac:dyDescent="0.2">
      <c r="A1714" s="341" t="s">
        <v>985</v>
      </c>
      <c r="B1714" s="322">
        <v>1701</v>
      </c>
      <c r="C1714" s="698"/>
      <c r="D1714" s="698"/>
      <c r="E1714" s="698"/>
      <c r="F1714" s="698"/>
      <c r="G1714" s="698"/>
    </row>
    <row r="1715" spans="1:7" ht="17.25" customHeight="1" x14ac:dyDescent="0.2">
      <c r="A1715" s="341" t="s">
        <v>985</v>
      </c>
      <c r="B1715" s="322">
        <v>1702</v>
      </c>
      <c r="C1715" s="698"/>
      <c r="D1715" s="698"/>
      <c r="E1715" s="698"/>
      <c r="F1715" s="698"/>
      <c r="G1715" s="698"/>
    </row>
    <row r="1716" spans="1:7" ht="17.25" customHeight="1" x14ac:dyDescent="0.2">
      <c r="A1716" s="341" t="s">
        <v>985</v>
      </c>
      <c r="B1716" s="322">
        <v>1703</v>
      </c>
      <c r="C1716" s="698"/>
      <c r="D1716" s="698"/>
      <c r="E1716" s="698"/>
      <c r="F1716" s="698"/>
      <c r="G1716" s="698"/>
    </row>
    <row r="1717" spans="1:7" ht="17.25" customHeight="1" x14ac:dyDescent="0.2">
      <c r="A1717" s="341" t="s">
        <v>985</v>
      </c>
      <c r="B1717" s="322">
        <v>1704</v>
      </c>
      <c r="C1717" s="698"/>
      <c r="D1717" s="698"/>
      <c r="E1717" s="698"/>
      <c r="F1717" s="698"/>
      <c r="G1717" s="698"/>
    </row>
    <row r="1718" spans="1:7" ht="17.25" customHeight="1" x14ac:dyDescent="0.2">
      <c r="A1718" s="341" t="s">
        <v>985</v>
      </c>
      <c r="B1718" s="322">
        <v>1705</v>
      </c>
      <c r="C1718" s="698"/>
      <c r="D1718" s="698"/>
      <c r="E1718" s="698"/>
      <c r="F1718" s="698"/>
      <c r="G1718" s="698"/>
    </row>
    <row r="1719" spans="1:7" ht="17.25" customHeight="1" x14ac:dyDescent="0.2">
      <c r="A1719" s="341" t="s">
        <v>985</v>
      </c>
      <c r="B1719" s="322">
        <v>1706</v>
      </c>
      <c r="C1719" s="698"/>
      <c r="D1719" s="698"/>
      <c r="E1719" s="698"/>
      <c r="F1719" s="698"/>
      <c r="G1719" s="698"/>
    </row>
    <row r="1720" spans="1:7" ht="17.25" customHeight="1" x14ac:dyDescent="0.2">
      <c r="A1720" s="341" t="s">
        <v>985</v>
      </c>
      <c r="B1720" s="322">
        <v>1707</v>
      </c>
      <c r="C1720" s="698"/>
      <c r="D1720" s="698"/>
      <c r="E1720" s="698"/>
      <c r="F1720" s="698"/>
      <c r="G1720" s="698"/>
    </row>
    <row r="1721" spans="1:7" ht="17.25" customHeight="1" thickBot="1" x14ac:dyDescent="0.25">
      <c r="A1721" s="412" t="s">
        <v>985</v>
      </c>
      <c r="B1721" s="713">
        <v>1708</v>
      </c>
      <c r="C1721" s="715"/>
      <c r="D1721" s="715"/>
      <c r="E1721" s="715"/>
      <c r="F1721" s="715"/>
      <c r="G1721" s="715"/>
    </row>
    <row r="1722" spans="1:7" ht="17.25" customHeight="1" thickBot="1" x14ac:dyDescent="0.25">
      <c r="A1722" s="413" t="s">
        <v>1014</v>
      </c>
      <c r="B1722" s="369">
        <v>1709</v>
      </c>
      <c r="C1722" s="370" t="s">
        <v>1015</v>
      </c>
      <c r="D1722" s="370" t="s">
        <v>1016</v>
      </c>
      <c r="E1722" s="370"/>
      <c r="F1722" s="370"/>
      <c r="G1722" s="370"/>
    </row>
    <row r="1723" spans="1:7" ht="17.25" customHeight="1" x14ac:dyDescent="0.2">
      <c r="A1723" s="341" t="s">
        <v>1014</v>
      </c>
      <c r="B1723" s="322">
        <v>1710</v>
      </c>
      <c r="C1723" s="149"/>
      <c r="D1723" s="149"/>
      <c r="E1723" s="149"/>
      <c r="F1723" s="149"/>
      <c r="G1723" s="149"/>
    </row>
    <row r="1724" spans="1:7" ht="17.25" customHeight="1" x14ac:dyDescent="0.2">
      <c r="A1724" s="341" t="s">
        <v>1014</v>
      </c>
      <c r="B1724" s="322">
        <v>1711</v>
      </c>
      <c r="C1724" s="698"/>
      <c r="D1724" s="698"/>
      <c r="E1724" s="698"/>
      <c r="F1724" s="698"/>
      <c r="G1724" s="698"/>
    </row>
    <row r="1725" spans="1:7" ht="17.25" customHeight="1" x14ac:dyDescent="0.2">
      <c r="A1725" s="341" t="s">
        <v>1014</v>
      </c>
      <c r="B1725" s="322">
        <v>1712</v>
      </c>
      <c r="C1725" s="698"/>
      <c r="D1725" s="698"/>
      <c r="E1725" s="698"/>
      <c r="F1725" s="698"/>
      <c r="G1725" s="698"/>
    </row>
    <row r="1726" spans="1:7" ht="17.25" customHeight="1" x14ac:dyDescent="0.2">
      <c r="A1726" s="341" t="s">
        <v>1014</v>
      </c>
      <c r="B1726" s="322">
        <v>1713</v>
      </c>
      <c r="C1726" s="698" t="s">
        <v>1017</v>
      </c>
      <c r="D1726" s="698" t="s">
        <v>1018</v>
      </c>
      <c r="E1726" s="698"/>
      <c r="F1726" s="698"/>
      <c r="G1726" s="698"/>
    </row>
    <row r="1727" spans="1:7" ht="17.25" customHeight="1" x14ac:dyDescent="0.2">
      <c r="A1727" s="341" t="s">
        <v>1014</v>
      </c>
      <c r="B1727" s="322">
        <v>1714</v>
      </c>
      <c r="C1727" s="698" t="s">
        <v>1019</v>
      </c>
      <c r="D1727" s="698" t="s">
        <v>1020</v>
      </c>
      <c r="E1727" s="698"/>
      <c r="F1727" s="698"/>
      <c r="G1727" s="698"/>
    </row>
    <row r="1728" spans="1:7" ht="17.25" customHeight="1" x14ac:dyDescent="0.2">
      <c r="A1728" s="341" t="s">
        <v>1014</v>
      </c>
      <c r="B1728" s="322">
        <v>1715</v>
      </c>
      <c r="C1728" s="698" t="s">
        <v>1021</v>
      </c>
      <c r="D1728" s="698" t="s">
        <v>1022</v>
      </c>
      <c r="E1728" s="698"/>
      <c r="F1728" s="698"/>
      <c r="G1728" s="698"/>
    </row>
    <row r="1729" spans="1:7" ht="17.25" customHeight="1" x14ac:dyDescent="0.2">
      <c r="A1729" s="341" t="s">
        <v>1014</v>
      </c>
      <c r="B1729" s="322">
        <v>1716</v>
      </c>
      <c r="C1729" s="698"/>
      <c r="D1729" s="698"/>
      <c r="E1729" s="698"/>
      <c r="F1729" s="698"/>
      <c r="G1729" s="698"/>
    </row>
    <row r="1730" spans="1:7" ht="17.25" customHeight="1" x14ac:dyDescent="0.2">
      <c r="A1730" s="341" t="s">
        <v>1014</v>
      </c>
      <c r="B1730" s="322">
        <v>1717</v>
      </c>
      <c r="C1730" s="698" t="s">
        <v>39</v>
      </c>
      <c r="D1730" s="698" t="s">
        <v>40</v>
      </c>
      <c r="E1730" s="698"/>
      <c r="F1730" s="698"/>
      <c r="G1730" s="698"/>
    </row>
    <row r="1731" spans="1:7" ht="17.25" customHeight="1" x14ac:dyDescent="0.2">
      <c r="A1731" s="341" t="s">
        <v>1014</v>
      </c>
      <c r="B1731" s="322">
        <v>1718</v>
      </c>
      <c r="C1731" s="698"/>
      <c r="D1731" s="698"/>
      <c r="E1731" s="698"/>
      <c r="F1731" s="698"/>
      <c r="G1731" s="698"/>
    </row>
    <row r="1732" spans="1:7" ht="17.25" customHeight="1" x14ac:dyDescent="0.2">
      <c r="A1732" s="341" t="s">
        <v>1014</v>
      </c>
      <c r="B1732" s="322">
        <v>1719</v>
      </c>
      <c r="C1732" s="698" t="s">
        <v>1023</v>
      </c>
      <c r="D1732" s="698" t="s">
        <v>1024</v>
      </c>
      <c r="E1732" s="698"/>
      <c r="F1732" s="698"/>
      <c r="G1732" s="698"/>
    </row>
    <row r="1733" spans="1:7" ht="17.25" customHeight="1" x14ac:dyDescent="0.2">
      <c r="A1733" s="341" t="s">
        <v>1014</v>
      </c>
      <c r="B1733" s="322">
        <v>1720</v>
      </c>
      <c r="C1733" s="698"/>
      <c r="D1733" s="698"/>
      <c r="E1733" s="698"/>
      <c r="F1733" s="698"/>
      <c r="G1733" s="698"/>
    </row>
    <row r="1734" spans="1:7" ht="17.25" customHeight="1" x14ac:dyDescent="0.2">
      <c r="A1734" s="341" t="s">
        <v>1014</v>
      </c>
      <c r="B1734" s="322">
        <v>1721</v>
      </c>
      <c r="C1734" s="698" t="s">
        <v>1025</v>
      </c>
      <c r="D1734" s="698" t="s">
        <v>1026</v>
      </c>
      <c r="E1734" s="698"/>
      <c r="F1734" s="698"/>
      <c r="G1734" s="698"/>
    </row>
    <row r="1735" spans="1:7" ht="17.25" customHeight="1" x14ac:dyDescent="0.2">
      <c r="A1735" s="341" t="s">
        <v>1014</v>
      </c>
      <c r="B1735" s="322">
        <v>1722</v>
      </c>
      <c r="C1735" s="698"/>
      <c r="D1735" s="698"/>
      <c r="E1735" s="698"/>
      <c r="F1735" s="698"/>
      <c r="G1735" s="698"/>
    </row>
    <row r="1736" spans="1:7" ht="17.25" customHeight="1" x14ac:dyDescent="0.2">
      <c r="A1736" s="341" t="s">
        <v>1014</v>
      </c>
      <c r="B1736" s="322">
        <v>1723</v>
      </c>
      <c r="C1736" s="698" t="s">
        <v>1027</v>
      </c>
      <c r="D1736" s="698" t="s">
        <v>1028</v>
      </c>
      <c r="E1736" s="698"/>
      <c r="F1736" s="698"/>
      <c r="G1736" s="698"/>
    </row>
    <row r="1737" spans="1:7" ht="17.25" customHeight="1" x14ac:dyDescent="0.2">
      <c r="A1737" s="341" t="s">
        <v>1014</v>
      </c>
      <c r="B1737" s="322">
        <v>1724</v>
      </c>
      <c r="C1737" s="698"/>
      <c r="D1737" s="698"/>
      <c r="E1737" s="698"/>
      <c r="F1737" s="698"/>
      <c r="G1737" s="698"/>
    </row>
    <row r="1738" spans="1:7" ht="17.25" customHeight="1" x14ac:dyDescent="0.2">
      <c r="A1738" s="341" t="s">
        <v>1014</v>
      </c>
      <c r="B1738" s="322">
        <v>1725</v>
      </c>
      <c r="C1738" s="698" t="s">
        <v>1029</v>
      </c>
      <c r="D1738" s="698" t="s">
        <v>1030</v>
      </c>
      <c r="E1738" s="698"/>
      <c r="F1738" s="698"/>
      <c r="G1738" s="698"/>
    </row>
    <row r="1739" spans="1:7" ht="17.25" customHeight="1" x14ac:dyDescent="0.2">
      <c r="A1739" s="341" t="s">
        <v>1014</v>
      </c>
      <c r="B1739" s="322">
        <v>1726</v>
      </c>
      <c r="C1739" s="698"/>
      <c r="D1739" s="698"/>
      <c r="E1739" s="698"/>
      <c r="F1739" s="698"/>
      <c r="G1739" s="698"/>
    </row>
    <row r="1740" spans="1:7" ht="17.25" customHeight="1" x14ac:dyDescent="0.2">
      <c r="A1740" s="341" t="s">
        <v>1014</v>
      </c>
      <c r="B1740" s="322">
        <v>1727</v>
      </c>
      <c r="C1740" s="698" t="s">
        <v>1031</v>
      </c>
      <c r="D1740" s="698" t="s">
        <v>1032</v>
      </c>
      <c r="E1740" s="698"/>
      <c r="F1740" s="698"/>
      <c r="G1740" s="698"/>
    </row>
    <row r="1741" spans="1:7" ht="17.25" customHeight="1" x14ac:dyDescent="0.2">
      <c r="A1741" s="341" t="s">
        <v>1014</v>
      </c>
      <c r="B1741" s="322">
        <v>1728</v>
      </c>
      <c r="C1741" s="698"/>
      <c r="D1741" s="698"/>
      <c r="E1741" s="698"/>
      <c r="F1741" s="698"/>
      <c r="G1741" s="698"/>
    </row>
    <row r="1742" spans="1:7" ht="17.25" customHeight="1" x14ac:dyDescent="0.2">
      <c r="A1742" s="341" t="s">
        <v>1014</v>
      </c>
      <c r="B1742" s="322">
        <v>1729</v>
      </c>
      <c r="C1742" s="698" t="s">
        <v>1033</v>
      </c>
      <c r="D1742" s="698" t="s">
        <v>1034</v>
      </c>
      <c r="E1742" s="698"/>
      <c r="F1742" s="698"/>
      <c r="G1742" s="698"/>
    </row>
    <row r="1743" spans="1:7" ht="17.25" customHeight="1" x14ac:dyDescent="0.2">
      <c r="A1743" s="341" t="s">
        <v>1014</v>
      </c>
      <c r="B1743" s="322">
        <v>1730</v>
      </c>
      <c r="C1743" s="698"/>
      <c r="D1743" s="698"/>
      <c r="E1743" s="698"/>
      <c r="F1743" s="698"/>
      <c r="G1743" s="698"/>
    </row>
    <row r="1744" spans="1:7" ht="17.25" customHeight="1" x14ac:dyDescent="0.2">
      <c r="A1744" s="341" t="s">
        <v>1014</v>
      </c>
      <c r="B1744" s="322">
        <v>1731</v>
      </c>
      <c r="C1744" s="698" t="s">
        <v>1035</v>
      </c>
      <c r="D1744" s="698" t="s">
        <v>1036</v>
      </c>
      <c r="E1744" s="698"/>
      <c r="F1744" s="698"/>
      <c r="G1744" s="698"/>
    </row>
    <row r="1745" spans="1:7" ht="17.25" customHeight="1" x14ac:dyDescent="0.2">
      <c r="A1745" s="341" t="s">
        <v>1014</v>
      </c>
      <c r="B1745" s="322">
        <v>1732</v>
      </c>
      <c r="C1745" s="698"/>
      <c r="D1745" s="698"/>
      <c r="E1745" s="698"/>
      <c r="F1745" s="698"/>
      <c r="G1745" s="698"/>
    </row>
    <row r="1746" spans="1:7" ht="17.25" customHeight="1" x14ac:dyDescent="0.2">
      <c r="A1746" s="341" t="s">
        <v>1014</v>
      </c>
      <c r="B1746" s="322">
        <v>1733</v>
      </c>
      <c r="C1746" s="698" t="s">
        <v>1037</v>
      </c>
      <c r="D1746" s="698" t="s">
        <v>1038</v>
      </c>
      <c r="E1746" s="698"/>
      <c r="F1746" s="698"/>
      <c r="G1746" s="698"/>
    </row>
    <row r="1747" spans="1:7" ht="17.25" customHeight="1" x14ac:dyDescent="0.2">
      <c r="A1747" s="341" t="s">
        <v>1014</v>
      </c>
      <c r="B1747" s="322">
        <v>1734</v>
      </c>
      <c r="C1747" s="698"/>
      <c r="D1747" s="698"/>
      <c r="E1747" s="698"/>
      <c r="F1747" s="698"/>
      <c r="G1747" s="698"/>
    </row>
    <row r="1748" spans="1:7" ht="17.25" customHeight="1" x14ac:dyDescent="0.2">
      <c r="A1748" s="341" t="s">
        <v>1014</v>
      </c>
      <c r="B1748" s="322">
        <v>1735</v>
      </c>
      <c r="C1748" s="698" t="s">
        <v>1039</v>
      </c>
      <c r="D1748" s="698" t="s">
        <v>1040</v>
      </c>
      <c r="E1748" s="698"/>
      <c r="F1748" s="698"/>
      <c r="G1748" s="698"/>
    </row>
    <row r="1749" spans="1:7" ht="17.25" customHeight="1" x14ac:dyDescent="0.2">
      <c r="A1749" s="341" t="s">
        <v>1014</v>
      </c>
      <c r="B1749" s="322">
        <v>1736</v>
      </c>
      <c r="C1749" s="698"/>
      <c r="D1749" s="698"/>
      <c r="E1749" s="698"/>
      <c r="F1749" s="698"/>
      <c r="G1749" s="698"/>
    </row>
    <row r="1750" spans="1:7" ht="17.25" customHeight="1" x14ac:dyDescent="0.2">
      <c r="A1750" s="341" t="s">
        <v>1014</v>
      </c>
      <c r="B1750" s="322">
        <v>1737</v>
      </c>
      <c r="C1750" s="698" t="s">
        <v>1041</v>
      </c>
      <c r="D1750" s="698" t="s">
        <v>1042</v>
      </c>
      <c r="E1750" s="698"/>
      <c r="F1750" s="698"/>
      <c r="G1750" s="698"/>
    </row>
    <row r="1751" spans="1:7" ht="17.25" customHeight="1" x14ac:dyDescent="0.2">
      <c r="A1751" s="341" t="s">
        <v>1014</v>
      </c>
      <c r="B1751" s="322">
        <v>1738</v>
      </c>
      <c r="C1751" s="698"/>
      <c r="D1751" s="698"/>
      <c r="E1751" s="698"/>
      <c r="F1751" s="698"/>
      <c r="G1751" s="698"/>
    </row>
    <row r="1752" spans="1:7" ht="17.25" customHeight="1" x14ac:dyDescent="0.2">
      <c r="A1752" s="341" t="s">
        <v>1014</v>
      </c>
      <c r="B1752" s="322">
        <v>1739</v>
      </c>
      <c r="C1752" s="698" t="s">
        <v>1043</v>
      </c>
      <c r="D1752" s="698" t="s">
        <v>1044</v>
      </c>
      <c r="E1752" s="698"/>
      <c r="F1752" s="698"/>
      <c r="G1752" s="698"/>
    </row>
    <row r="1753" spans="1:7" ht="17.25" customHeight="1" x14ac:dyDescent="0.2">
      <c r="A1753" s="341" t="s">
        <v>1014</v>
      </c>
      <c r="B1753" s="322">
        <v>1740</v>
      </c>
      <c r="C1753" s="698"/>
      <c r="D1753" s="698"/>
      <c r="E1753" s="698"/>
      <c r="F1753" s="698"/>
      <c r="G1753" s="698"/>
    </row>
    <row r="1754" spans="1:7" ht="17.25" customHeight="1" x14ac:dyDescent="0.2">
      <c r="A1754" s="341" t="s">
        <v>1014</v>
      </c>
      <c r="B1754" s="322">
        <v>1741</v>
      </c>
      <c r="C1754" s="698" t="s">
        <v>1045</v>
      </c>
      <c r="D1754" s="698" t="s">
        <v>1046</v>
      </c>
      <c r="E1754" s="698"/>
      <c r="F1754" s="698"/>
      <c r="G1754" s="698"/>
    </row>
    <row r="1755" spans="1:7" ht="17.25" customHeight="1" x14ac:dyDescent="0.2">
      <c r="A1755" s="341" t="s">
        <v>1014</v>
      </c>
      <c r="B1755" s="322">
        <v>1742</v>
      </c>
      <c r="C1755" s="698"/>
      <c r="D1755" s="698"/>
      <c r="E1755" s="698"/>
      <c r="F1755" s="698"/>
      <c r="G1755" s="698"/>
    </row>
    <row r="1756" spans="1:7" ht="17.25" customHeight="1" x14ac:dyDescent="0.2">
      <c r="A1756" s="341" t="s">
        <v>1014</v>
      </c>
      <c r="B1756" s="322">
        <v>1743</v>
      </c>
      <c r="C1756" s="698" t="s">
        <v>1047</v>
      </c>
      <c r="D1756" s="698" t="s">
        <v>1048</v>
      </c>
      <c r="E1756" s="698"/>
      <c r="F1756" s="698"/>
      <c r="G1756" s="698"/>
    </row>
    <row r="1757" spans="1:7" ht="17.25" customHeight="1" x14ac:dyDescent="0.2">
      <c r="A1757" s="341" t="s">
        <v>1014</v>
      </c>
      <c r="B1757" s="322">
        <v>1744</v>
      </c>
      <c r="C1757" s="698"/>
      <c r="D1757" s="698"/>
      <c r="E1757" s="698"/>
      <c r="F1757" s="698"/>
      <c r="G1757" s="698"/>
    </row>
    <row r="1758" spans="1:7" ht="17.25" customHeight="1" x14ac:dyDescent="0.2">
      <c r="A1758" s="341" t="s">
        <v>1014</v>
      </c>
      <c r="B1758" s="322">
        <v>1745</v>
      </c>
      <c r="C1758" s="698" t="s">
        <v>1049</v>
      </c>
      <c r="D1758" s="698" t="s">
        <v>1050</v>
      </c>
      <c r="E1758" s="698"/>
      <c r="F1758" s="698"/>
      <c r="G1758" s="698"/>
    </row>
    <row r="1759" spans="1:7" ht="17.25" customHeight="1" x14ac:dyDescent="0.2">
      <c r="A1759" s="341" t="s">
        <v>1014</v>
      </c>
      <c r="B1759" s="322">
        <v>1746</v>
      </c>
      <c r="C1759" s="698"/>
      <c r="D1759" s="698"/>
      <c r="E1759" s="698"/>
      <c r="F1759" s="698"/>
      <c r="G1759" s="698"/>
    </row>
    <row r="1760" spans="1:7" ht="17.25" customHeight="1" x14ac:dyDescent="0.2">
      <c r="A1760" s="341" t="s">
        <v>1014</v>
      </c>
      <c r="B1760" s="322">
        <v>1747</v>
      </c>
      <c r="C1760" s="698" t="s">
        <v>1051</v>
      </c>
      <c r="D1760" s="698" t="s">
        <v>1052</v>
      </c>
      <c r="E1760" s="698"/>
      <c r="F1760" s="698"/>
      <c r="G1760" s="698"/>
    </row>
    <row r="1761" spans="1:7" ht="17.25" customHeight="1" x14ac:dyDescent="0.2">
      <c r="A1761" s="341" t="s">
        <v>1014</v>
      </c>
      <c r="B1761" s="322">
        <v>1748</v>
      </c>
      <c r="C1761" s="698"/>
      <c r="D1761" s="698"/>
      <c r="E1761" s="698"/>
      <c r="F1761" s="698"/>
      <c r="G1761" s="698"/>
    </row>
    <row r="1762" spans="1:7" ht="17.25" customHeight="1" x14ac:dyDescent="0.2">
      <c r="A1762" s="341" t="s">
        <v>1014</v>
      </c>
      <c r="B1762" s="322">
        <v>1749</v>
      </c>
      <c r="C1762" s="698" t="s">
        <v>1053</v>
      </c>
      <c r="D1762" s="698" t="s">
        <v>1054</v>
      </c>
      <c r="E1762" s="698"/>
      <c r="F1762" s="698"/>
      <c r="G1762" s="698"/>
    </row>
    <row r="1763" spans="1:7" ht="17.25" customHeight="1" x14ac:dyDescent="0.2">
      <c r="A1763" s="341" t="s">
        <v>1014</v>
      </c>
      <c r="B1763" s="322">
        <v>1750</v>
      </c>
      <c r="C1763" s="698"/>
      <c r="D1763" s="698"/>
      <c r="E1763" s="698"/>
      <c r="F1763" s="698"/>
      <c r="G1763" s="698"/>
    </row>
    <row r="1764" spans="1:7" ht="17.25" customHeight="1" x14ac:dyDescent="0.2">
      <c r="A1764" s="341" t="s">
        <v>1014</v>
      </c>
      <c r="B1764" s="322">
        <v>1751</v>
      </c>
      <c r="C1764" s="698" t="s">
        <v>1055</v>
      </c>
      <c r="D1764" s="698" t="s">
        <v>1056</v>
      </c>
      <c r="E1764" s="698"/>
      <c r="F1764" s="698"/>
      <c r="G1764" s="698"/>
    </row>
    <row r="1765" spans="1:7" ht="17.25" customHeight="1" x14ac:dyDescent="0.2">
      <c r="A1765" s="341" t="s">
        <v>1014</v>
      </c>
      <c r="B1765" s="322">
        <v>1752</v>
      </c>
      <c r="C1765" s="698"/>
      <c r="D1765" s="698"/>
      <c r="E1765" s="698"/>
      <c r="F1765" s="698"/>
      <c r="G1765" s="698"/>
    </row>
    <row r="1766" spans="1:7" ht="17.25" customHeight="1" x14ac:dyDescent="0.2">
      <c r="A1766" s="341" t="s">
        <v>1014</v>
      </c>
      <c r="B1766" s="322">
        <v>1753</v>
      </c>
      <c r="C1766" s="698" t="s">
        <v>1057</v>
      </c>
      <c r="D1766" s="698" t="s">
        <v>1058</v>
      </c>
      <c r="E1766" s="698"/>
      <c r="F1766" s="698"/>
      <c r="G1766" s="698"/>
    </row>
    <row r="1767" spans="1:7" ht="17.25" customHeight="1" x14ac:dyDescent="0.2">
      <c r="A1767" s="341" t="s">
        <v>1014</v>
      </c>
      <c r="B1767" s="322">
        <v>1754</v>
      </c>
      <c r="C1767" s="698"/>
      <c r="D1767" s="698"/>
      <c r="E1767" s="698"/>
      <c r="F1767" s="698"/>
      <c r="G1767" s="698"/>
    </row>
    <row r="1768" spans="1:7" ht="17.25" customHeight="1" x14ac:dyDescent="0.2">
      <c r="A1768" s="341" t="s">
        <v>1014</v>
      </c>
      <c r="B1768" s="322">
        <v>1755</v>
      </c>
      <c r="C1768" s="698" t="s">
        <v>1059</v>
      </c>
      <c r="D1768" s="698" t="s">
        <v>1060</v>
      </c>
      <c r="E1768" s="698"/>
      <c r="F1768" s="698"/>
      <c r="G1768" s="698"/>
    </row>
    <row r="1769" spans="1:7" ht="17.25" customHeight="1" x14ac:dyDescent="0.2">
      <c r="A1769" s="341" t="s">
        <v>1014</v>
      </c>
      <c r="B1769" s="322">
        <v>1756</v>
      </c>
      <c r="C1769" s="698"/>
      <c r="D1769" s="698"/>
      <c r="E1769" s="698"/>
      <c r="F1769" s="698"/>
      <c r="G1769" s="698"/>
    </row>
    <row r="1770" spans="1:7" ht="17.25" customHeight="1" x14ac:dyDescent="0.2">
      <c r="A1770" s="341" t="s">
        <v>1014</v>
      </c>
      <c r="B1770" s="322">
        <v>1757</v>
      </c>
      <c r="C1770" s="698" t="s">
        <v>1061</v>
      </c>
      <c r="D1770" s="698" t="s">
        <v>1062</v>
      </c>
      <c r="E1770" s="698"/>
      <c r="F1770" s="698"/>
      <c r="G1770" s="698"/>
    </row>
    <row r="1771" spans="1:7" ht="17.25" customHeight="1" x14ac:dyDescent="0.2">
      <c r="A1771" s="341" t="s">
        <v>1014</v>
      </c>
      <c r="B1771" s="322">
        <v>1758</v>
      </c>
      <c r="C1771" s="698"/>
      <c r="D1771" s="698"/>
      <c r="E1771" s="698"/>
      <c r="F1771" s="698"/>
      <c r="G1771" s="698"/>
    </row>
    <row r="1772" spans="1:7" ht="17.25" customHeight="1" x14ac:dyDescent="0.2">
      <c r="A1772" s="341" t="s">
        <v>1014</v>
      </c>
      <c r="B1772" s="322">
        <v>1759</v>
      </c>
      <c r="C1772" s="698" t="s">
        <v>1063</v>
      </c>
      <c r="D1772" s="698" t="s">
        <v>1064</v>
      </c>
      <c r="E1772" s="698"/>
      <c r="F1772" s="698"/>
      <c r="G1772" s="698"/>
    </row>
    <row r="1773" spans="1:7" ht="17.25" customHeight="1" x14ac:dyDescent="0.2">
      <c r="A1773" s="341" t="s">
        <v>1014</v>
      </c>
      <c r="B1773" s="322">
        <v>1760</v>
      </c>
      <c r="C1773" s="698"/>
      <c r="D1773" s="698"/>
      <c r="E1773" s="698"/>
      <c r="F1773" s="698"/>
      <c r="G1773" s="698"/>
    </row>
    <row r="1774" spans="1:7" ht="17.25" customHeight="1" x14ac:dyDescent="0.2">
      <c r="A1774" s="341" t="s">
        <v>1014</v>
      </c>
      <c r="B1774" s="322">
        <v>1761</v>
      </c>
      <c r="C1774" s="698" t="s">
        <v>1065</v>
      </c>
      <c r="D1774" s="698" t="s">
        <v>1066</v>
      </c>
      <c r="E1774" s="698"/>
      <c r="F1774" s="698"/>
      <c r="G1774" s="698"/>
    </row>
    <row r="1775" spans="1:7" ht="17.25" customHeight="1" x14ac:dyDescent="0.2">
      <c r="A1775" s="341" t="s">
        <v>1014</v>
      </c>
      <c r="B1775" s="322">
        <v>1762</v>
      </c>
      <c r="C1775" s="698"/>
      <c r="D1775" s="698"/>
      <c r="E1775" s="698"/>
      <c r="F1775" s="698"/>
      <c r="G1775" s="698"/>
    </row>
    <row r="1776" spans="1:7" ht="17.25" customHeight="1" x14ac:dyDescent="0.2">
      <c r="A1776" s="341" t="s">
        <v>1014</v>
      </c>
      <c r="B1776" s="322">
        <v>1763</v>
      </c>
      <c r="C1776" s="698" t="s">
        <v>1067</v>
      </c>
      <c r="D1776" s="698" t="s">
        <v>1068</v>
      </c>
      <c r="E1776" s="698"/>
      <c r="F1776" s="698"/>
      <c r="G1776" s="698"/>
    </row>
    <row r="1777" spans="1:7" ht="17.25" customHeight="1" x14ac:dyDescent="0.2">
      <c r="A1777" s="341" t="s">
        <v>1014</v>
      </c>
      <c r="B1777" s="322">
        <v>1764</v>
      </c>
      <c r="C1777" s="698"/>
      <c r="D1777" s="698"/>
      <c r="E1777" s="698"/>
      <c r="F1777" s="698"/>
      <c r="G1777" s="698"/>
    </row>
    <row r="1778" spans="1:7" ht="17.25" customHeight="1" x14ac:dyDescent="0.2">
      <c r="A1778" s="341" t="s">
        <v>1014</v>
      </c>
      <c r="B1778" s="322">
        <v>1765</v>
      </c>
      <c r="C1778" s="698" t="s">
        <v>1069</v>
      </c>
      <c r="D1778" s="698" t="s">
        <v>1070</v>
      </c>
      <c r="E1778" s="698"/>
      <c r="F1778" s="698"/>
      <c r="G1778" s="698"/>
    </row>
    <row r="1779" spans="1:7" ht="17.25" customHeight="1" x14ac:dyDescent="0.2">
      <c r="A1779" s="341" t="s">
        <v>1014</v>
      </c>
      <c r="B1779" s="322">
        <v>1766</v>
      </c>
      <c r="C1779" s="698"/>
      <c r="D1779" s="698"/>
      <c r="E1779" s="698"/>
      <c r="F1779" s="698"/>
      <c r="G1779" s="698"/>
    </row>
    <row r="1780" spans="1:7" ht="17.25" customHeight="1" x14ac:dyDescent="0.2">
      <c r="A1780" s="341" t="s">
        <v>1014</v>
      </c>
      <c r="B1780" s="322">
        <v>1767</v>
      </c>
      <c r="C1780" s="698" t="s">
        <v>1071</v>
      </c>
      <c r="D1780" s="698" t="s">
        <v>1072</v>
      </c>
      <c r="E1780" s="698"/>
      <c r="F1780" s="698"/>
      <c r="G1780" s="698"/>
    </row>
    <row r="1781" spans="1:7" ht="17.25" customHeight="1" x14ac:dyDescent="0.2">
      <c r="A1781" s="341" t="s">
        <v>1014</v>
      </c>
      <c r="B1781" s="322">
        <v>1768</v>
      </c>
      <c r="C1781" s="698"/>
      <c r="D1781" s="698"/>
      <c r="E1781" s="698"/>
      <c r="F1781" s="698"/>
      <c r="G1781" s="698"/>
    </row>
    <row r="1782" spans="1:7" ht="17.25" customHeight="1" x14ac:dyDescent="0.2">
      <c r="A1782" s="341" t="s">
        <v>1014</v>
      </c>
      <c r="B1782" s="322">
        <v>1769</v>
      </c>
      <c r="C1782" s="698" t="s">
        <v>1073</v>
      </c>
      <c r="D1782" s="698" t="s">
        <v>1074</v>
      </c>
      <c r="E1782" s="698"/>
      <c r="F1782" s="698"/>
      <c r="G1782" s="698"/>
    </row>
    <row r="1783" spans="1:7" ht="17.25" customHeight="1" x14ac:dyDescent="0.2">
      <c r="A1783" s="341" t="s">
        <v>1014</v>
      </c>
      <c r="B1783" s="322">
        <v>1770</v>
      </c>
      <c r="C1783" s="698"/>
      <c r="D1783" s="698"/>
      <c r="E1783" s="698"/>
      <c r="F1783" s="698"/>
      <c r="G1783" s="698"/>
    </row>
    <row r="1784" spans="1:7" ht="17.25" customHeight="1" x14ac:dyDescent="0.2">
      <c r="A1784" s="341" t="s">
        <v>1014</v>
      </c>
      <c r="B1784" s="322">
        <v>1771</v>
      </c>
      <c r="C1784" s="698" t="s">
        <v>1075</v>
      </c>
      <c r="D1784" s="698" t="s">
        <v>1076</v>
      </c>
      <c r="E1784" s="698"/>
      <c r="F1784" s="698"/>
      <c r="G1784" s="698"/>
    </row>
    <row r="1785" spans="1:7" ht="17.25" customHeight="1" x14ac:dyDescent="0.2">
      <c r="A1785" s="341" t="s">
        <v>1014</v>
      </c>
      <c r="B1785" s="322">
        <v>1772</v>
      </c>
      <c r="C1785" s="698"/>
      <c r="D1785" s="698"/>
      <c r="E1785" s="698"/>
      <c r="F1785" s="698"/>
      <c r="G1785" s="698"/>
    </row>
    <row r="1786" spans="1:7" ht="17.25" customHeight="1" x14ac:dyDescent="0.2">
      <c r="A1786" s="341" t="s">
        <v>1014</v>
      </c>
      <c r="B1786" s="322">
        <v>1773</v>
      </c>
      <c r="C1786" s="698" t="s">
        <v>1077</v>
      </c>
      <c r="D1786" s="698" t="s">
        <v>1078</v>
      </c>
      <c r="E1786" s="698"/>
      <c r="F1786" s="698"/>
      <c r="G1786" s="698"/>
    </row>
    <row r="1787" spans="1:7" ht="17.25" customHeight="1" x14ac:dyDescent="0.2">
      <c r="A1787" s="341" t="s">
        <v>1014</v>
      </c>
      <c r="B1787" s="322">
        <v>1774</v>
      </c>
      <c r="C1787" s="698"/>
      <c r="D1787" s="698"/>
      <c r="E1787" s="698"/>
      <c r="F1787" s="698"/>
      <c r="G1787" s="698"/>
    </row>
    <row r="1788" spans="1:7" ht="17.25" customHeight="1" x14ac:dyDescent="0.2">
      <c r="A1788" s="341" t="s">
        <v>1014</v>
      </c>
      <c r="B1788" s="322">
        <v>1775</v>
      </c>
      <c r="C1788" s="698" t="s">
        <v>1079</v>
      </c>
      <c r="D1788" s="698" t="s">
        <v>1080</v>
      </c>
      <c r="E1788" s="698"/>
      <c r="F1788" s="698"/>
      <c r="G1788" s="698"/>
    </row>
    <row r="1789" spans="1:7" ht="17.25" customHeight="1" x14ac:dyDescent="0.2">
      <c r="A1789" s="341" t="s">
        <v>1014</v>
      </c>
      <c r="B1789" s="322">
        <v>1776</v>
      </c>
      <c r="C1789" s="698" t="s">
        <v>1081</v>
      </c>
      <c r="D1789" s="698" t="s">
        <v>1082</v>
      </c>
      <c r="E1789" s="698"/>
      <c r="F1789" s="698"/>
      <c r="G1789" s="698"/>
    </row>
    <row r="1790" spans="1:7" ht="17.25" customHeight="1" x14ac:dyDescent="0.2">
      <c r="A1790" s="341" t="s">
        <v>1014</v>
      </c>
      <c r="B1790" s="322">
        <v>1777</v>
      </c>
      <c r="C1790" s="698" t="s">
        <v>1083</v>
      </c>
      <c r="D1790" s="698" t="s">
        <v>1084</v>
      </c>
      <c r="E1790" s="698"/>
      <c r="F1790" s="698"/>
      <c r="G1790" s="698"/>
    </row>
    <row r="1791" spans="1:7" ht="17.25" customHeight="1" x14ac:dyDescent="0.2">
      <c r="A1791" s="341" t="s">
        <v>1014</v>
      </c>
      <c r="B1791" s="322">
        <v>1778</v>
      </c>
      <c r="C1791" s="698"/>
      <c r="D1791" s="698"/>
      <c r="E1791" s="698"/>
      <c r="F1791" s="698"/>
      <c r="G1791" s="698"/>
    </row>
    <row r="1792" spans="1:7" ht="17.25" customHeight="1" x14ac:dyDescent="0.2">
      <c r="A1792" s="341" t="s">
        <v>1014</v>
      </c>
      <c r="B1792" s="322">
        <v>1779</v>
      </c>
      <c r="C1792" s="698" t="s">
        <v>1085</v>
      </c>
      <c r="D1792" s="698" t="s">
        <v>1085</v>
      </c>
      <c r="E1792" s="698"/>
      <c r="F1792" s="698"/>
      <c r="G1792" s="698"/>
    </row>
    <row r="1793" spans="1:7" ht="17.25" customHeight="1" x14ac:dyDescent="0.2">
      <c r="A1793" s="341" t="s">
        <v>1014</v>
      </c>
      <c r="B1793" s="322">
        <v>1780</v>
      </c>
      <c r="C1793" s="698"/>
      <c r="D1793" s="698"/>
      <c r="E1793" s="698"/>
      <c r="F1793" s="698"/>
      <c r="G1793" s="698"/>
    </row>
    <row r="1794" spans="1:7" ht="17.25" customHeight="1" x14ac:dyDescent="0.2">
      <c r="A1794" s="341" t="s">
        <v>1014</v>
      </c>
      <c r="B1794" s="322">
        <v>1781</v>
      </c>
      <c r="C1794" s="698" t="s">
        <v>1086</v>
      </c>
      <c r="D1794" s="698" t="s">
        <v>1086</v>
      </c>
      <c r="E1794" s="698"/>
      <c r="F1794" s="698"/>
      <c r="G1794" s="698"/>
    </row>
    <row r="1795" spans="1:7" ht="17.25" customHeight="1" x14ac:dyDescent="0.2">
      <c r="A1795" s="341" t="s">
        <v>1014</v>
      </c>
      <c r="B1795" s="322">
        <v>1782</v>
      </c>
      <c r="C1795" s="698"/>
      <c r="D1795" s="698"/>
      <c r="E1795" s="698"/>
      <c r="F1795" s="698"/>
      <c r="G1795" s="698"/>
    </row>
    <row r="1796" spans="1:7" ht="17.25" customHeight="1" x14ac:dyDescent="0.2">
      <c r="A1796" s="341" t="s">
        <v>1014</v>
      </c>
      <c r="B1796" s="322">
        <v>1783</v>
      </c>
      <c r="C1796" s="698" t="s">
        <v>1087</v>
      </c>
      <c r="D1796" s="698" t="s">
        <v>1088</v>
      </c>
      <c r="E1796" s="698"/>
      <c r="F1796" s="698"/>
      <c r="G1796" s="698"/>
    </row>
    <row r="1797" spans="1:7" ht="17.25" customHeight="1" x14ac:dyDescent="0.2">
      <c r="A1797" s="341" t="s">
        <v>1014</v>
      </c>
      <c r="B1797" s="322">
        <v>1784</v>
      </c>
      <c r="C1797" s="698"/>
      <c r="D1797" s="698"/>
      <c r="E1797" s="698"/>
      <c r="F1797" s="698"/>
      <c r="G1797" s="698"/>
    </row>
    <row r="1798" spans="1:7" ht="17.25" customHeight="1" x14ac:dyDescent="0.2">
      <c r="A1798" s="341" t="s">
        <v>1014</v>
      </c>
      <c r="B1798" s="322">
        <v>1785</v>
      </c>
      <c r="C1798" s="698" t="s">
        <v>482</v>
      </c>
      <c r="D1798" s="698" t="s">
        <v>483</v>
      </c>
      <c r="E1798" s="698"/>
      <c r="F1798" s="698"/>
      <c r="G1798" s="698"/>
    </row>
    <row r="1799" spans="1:7" ht="17.25" customHeight="1" x14ac:dyDescent="0.2">
      <c r="A1799" s="341" t="s">
        <v>1014</v>
      </c>
      <c r="B1799" s="322">
        <v>1786</v>
      </c>
      <c r="C1799" s="698"/>
      <c r="D1799" s="698"/>
      <c r="E1799" s="698"/>
      <c r="F1799" s="698"/>
      <c r="G1799" s="698"/>
    </row>
    <row r="1800" spans="1:7" ht="17.25" customHeight="1" x14ac:dyDescent="0.2">
      <c r="A1800" s="341" t="s">
        <v>1014</v>
      </c>
      <c r="B1800" s="322">
        <v>1787</v>
      </c>
      <c r="C1800" s="698" t="s">
        <v>484</v>
      </c>
      <c r="D1800" s="698" t="s">
        <v>485</v>
      </c>
      <c r="E1800" s="698"/>
      <c r="F1800" s="698"/>
      <c r="G1800" s="698"/>
    </row>
    <row r="1801" spans="1:7" ht="17.25" customHeight="1" x14ac:dyDescent="0.2">
      <c r="A1801" s="341" t="s">
        <v>1014</v>
      </c>
      <c r="B1801" s="322">
        <v>1788</v>
      </c>
      <c r="C1801" s="698"/>
      <c r="D1801" s="698"/>
      <c r="E1801" s="698"/>
      <c r="F1801" s="698"/>
      <c r="G1801" s="698"/>
    </row>
    <row r="1802" spans="1:7" ht="17.25" customHeight="1" x14ac:dyDescent="0.2">
      <c r="A1802" s="341" t="s">
        <v>1014</v>
      </c>
      <c r="B1802" s="322">
        <v>1789</v>
      </c>
      <c r="C1802" s="698" t="s">
        <v>1089</v>
      </c>
      <c r="D1802" s="698" t="s">
        <v>1090</v>
      </c>
      <c r="E1802" s="698"/>
      <c r="F1802" s="698"/>
      <c r="G1802" s="698"/>
    </row>
    <row r="1803" spans="1:7" ht="17.25" customHeight="1" x14ac:dyDescent="0.2">
      <c r="A1803" s="341" t="s">
        <v>1014</v>
      </c>
      <c r="B1803" s="322">
        <v>1790</v>
      </c>
      <c r="C1803" s="698"/>
      <c r="D1803" s="698"/>
      <c r="E1803" s="698"/>
      <c r="F1803" s="698"/>
      <c r="G1803" s="698"/>
    </row>
    <row r="1804" spans="1:7" ht="17.25" customHeight="1" x14ac:dyDescent="0.2">
      <c r="A1804" s="341" t="s">
        <v>1014</v>
      </c>
      <c r="B1804" s="322">
        <v>1791</v>
      </c>
      <c r="C1804" s="698" t="s">
        <v>1091</v>
      </c>
      <c r="D1804" s="698" t="s">
        <v>1092</v>
      </c>
      <c r="E1804" s="698"/>
      <c r="F1804" s="698"/>
      <c r="G1804" s="698"/>
    </row>
    <row r="1805" spans="1:7" ht="17.25" customHeight="1" x14ac:dyDescent="0.2">
      <c r="A1805" s="341" t="s">
        <v>1014</v>
      </c>
      <c r="B1805" s="322">
        <v>1792</v>
      </c>
      <c r="C1805" s="698"/>
      <c r="D1805" s="698"/>
      <c r="E1805" s="698"/>
      <c r="F1805" s="698"/>
      <c r="G1805" s="698"/>
    </row>
    <row r="1806" spans="1:7" ht="17.25" customHeight="1" x14ac:dyDescent="0.2">
      <c r="A1806" s="341" t="s">
        <v>1014</v>
      </c>
      <c r="B1806" s="322">
        <v>1793</v>
      </c>
      <c r="C1806" s="698" t="s">
        <v>1093</v>
      </c>
      <c r="D1806" s="698" t="s">
        <v>1094</v>
      </c>
      <c r="E1806" s="698"/>
      <c r="F1806" s="698"/>
      <c r="G1806" s="698"/>
    </row>
    <row r="1807" spans="1:7" ht="17.25" customHeight="1" x14ac:dyDescent="0.2">
      <c r="A1807" s="341" t="s">
        <v>1014</v>
      </c>
      <c r="B1807" s="322">
        <v>1794</v>
      </c>
      <c r="C1807" s="698"/>
      <c r="D1807" s="698"/>
      <c r="E1807" s="698"/>
      <c r="F1807" s="698"/>
      <c r="G1807" s="698"/>
    </row>
    <row r="1808" spans="1:7" ht="17.25" customHeight="1" x14ac:dyDescent="0.2">
      <c r="A1808" s="341" t="s">
        <v>1014</v>
      </c>
      <c r="B1808" s="322">
        <v>1795</v>
      </c>
      <c r="C1808" s="698" t="s">
        <v>1095</v>
      </c>
      <c r="D1808" s="698" t="s">
        <v>1096</v>
      </c>
      <c r="E1808" s="698"/>
      <c r="F1808" s="698"/>
      <c r="G1808" s="698"/>
    </row>
    <row r="1809" spans="1:7" ht="17.25" customHeight="1" x14ac:dyDescent="0.2">
      <c r="A1809" s="341" t="s">
        <v>1014</v>
      </c>
      <c r="B1809" s="322">
        <v>1796</v>
      </c>
      <c r="C1809" s="698"/>
      <c r="D1809" s="698"/>
      <c r="E1809" s="698"/>
      <c r="F1809" s="698"/>
      <c r="G1809" s="698"/>
    </row>
    <row r="1810" spans="1:7" ht="17.25" customHeight="1" x14ac:dyDescent="0.2">
      <c r="A1810" s="341" t="s">
        <v>1014</v>
      </c>
      <c r="B1810" s="322">
        <v>1797</v>
      </c>
      <c r="C1810" s="698" t="s">
        <v>1097</v>
      </c>
      <c r="D1810" s="698" t="s">
        <v>1098</v>
      </c>
      <c r="E1810" s="698"/>
      <c r="F1810" s="698"/>
      <c r="G1810" s="698"/>
    </row>
    <row r="1811" spans="1:7" ht="17.25" customHeight="1" x14ac:dyDescent="0.2">
      <c r="A1811" s="341" t="s">
        <v>1014</v>
      </c>
      <c r="B1811" s="322">
        <v>1798</v>
      </c>
      <c r="C1811" s="698"/>
      <c r="D1811" s="698"/>
      <c r="E1811" s="698"/>
      <c r="F1811" s="698"/>
      <c r="G1811" s="698"/>
    </row>
    <row r="1812" spans="1:7" ht="17.25" customHeight="1" x14ac:dyDescent="0.2">
      <c r="A1812" s="341" t="s">
        <v>1014</v>
      </c>
      <c r="B1812" s="322">
        <v>1799</v>
      </c>
      <c r="C1812" s="698" t="s">
        <v>1099</v>
      </c>
      <c r="D1812" s="698" t="s">
        <v>1100</v>
      </c>
      <c r="E1812" s="698"/>
      <c r="F1812" s="698"/>
      <c r="G1812" s="698"/>
    </row>
    <row r="1813" spans="1:7" ht="17.25" customHeight="1" x14ac:dyDescent="0.2">
      <c r="A1813" s="341" t="s">
        <v>1014</v>
      </c>
      <c r="B1813" s="322">
        <v>1800</v>
      </c>
      <c r="C1813" s="698"/>
      <c r="D1813" s="698"/>
      <c r="E1813" s="698"/>
      <c r="F1813" s="698"/>
      <c r="G1813" s="698"/>
    </row>
    <row r="1814" spans="1:7" ht="17.25" customHeight="1" x14ac:dyDescent="0.2">
      <c r="A1814" s="341" t="s">
        <v>1014</v>
      </c>
      <c r="B1814" s="322">
        <v>1801</v>
      </c>
      <c r="C1814" s="698" t="s">
        <v>1101</v>
      </c>
      <c r="D1814" s="698" t="s">
        <v>1102</v>
      </c>
      <c r="E1814" s="698"/>
      <c r="F1814" s="698"/>
      <c r="G1814" s="698"/>
    </row>
    <row r="1815" spans="1:7" ht="17.25" customHeight="1" x14ac:dyDescent="0.2">
      <c r="A1815" s="341" t="s">
        <v>1014</v>
      </c>
      <c r="B1815" s="322">
        <v>1802</v>
      </c>
      <c r="C1815" s="698"/>
      <c r="D1815" s="698"/>
      <c r="E1815" s="698"/>
      <c r="F1815" s="698"/>
      <c r="G1815" s="698"/>
    </row>
    <row r="1816" spans="1:7" ht="17.25" customHeight="1" x14ac:dyDescent="0.2">
      <c r="A1816" s="341" t="s">
        <v>1014</v>
      </c>
      <c r="B1816" s="322">
        <v>1803</v>
      </c>
      <c r="C1816" s="698" t="s">
        <v>1103</v>
      </c>
      <c r="D1816" s="698" t="s">
        <v>1104</v>
      </c>
      <c r="E1816" s="698"/>
      <c r="F1816" s="698"/>
      <c r="G1816" s="698"/>
    </row>
    <row r="1817" spans="1:7" ht="17.25" customHeight="1" x14ac:dyDescent="0.2">
      <c r="A1817" s="341" t="s">
        <v>1014</v>
      </c>
      <c r="B1817" s="322">
        <v>1804</v>
      </c>
      <c r="C1817" s="698"/>
      <c r="D1817" s="698"/>
      <c r="E1817" s="698"/>
      <c r="F1817" s="698"/>
      <c r="G1817" s="698"/>
    </row>
    <row r="1818" spans="1:7" ht="17.25" customHeight="1" x14ac:dyDescent="0.2">
      <c r="A1818" s="341" t="s">
        <v>1014</v>
      </c>
      <c r="B1818" s="322">
        <v>1805</v>
      </c>
      <c r="C1818" s="698" t="s">
        <v>1105</v>
      </c>
      <c r="D1818" s="698" t="s">
        <v>1106</v>
      </c>
      <c r="E1818" s="698"/>
      <c r="F1818" s="698"/>
      <c r="G1818" s="698"/>
    </row>
    <row r="1819" spans="1:7" ht="17.25" customHeight="1" x14ac:dyDescent="0.2">
      <c r="A1819" s="341" t="s">
        <v>1014</v>
      </c>
      <c r="B1819" s="322">
        <v>1806</v>
      </c>
      <c r="C1819" s="698"/>
      <c r="D1819" s="698"/>
      <c r="E1819" s="698"/>
      <c r="F1819" s="698"/>
      <c r="G1819" s="698"/>
    </row>
    <row r="1820" spans="1:7" ht="17.25" customHeight="1" x14ac:dyDescent="0.2">
      <c r="A1820" s="341" t="s">
        <v>1014</v>
      </c>
      <c r="B1820" s="322">
        <v>1807</v>
      </c>
      <c r="C1820" s="698" t="s">
        <v>1107</v>
      </c>
      <c r="D1820" s="698" t="s">
        <v>1108</v>
      </c>
      <c r="E1820" s="698"/>
      <c r="F1820" s="698"/>
      <c r="G1820" s="698"/>
    </row>
    <row r="1821" spans="1:7" ht="17.25" customHeight="1" x14ac:dyDescent="0.2">
      <c r="A1821" s="341" t="s">
        <v>1014</v>
      </c>
      <c r="B1821" s="322">
        <v>1808</v>
      </c>
      <c r="C1821" s="698"/>
      <c r="D1821" s="698"/>
      <c r="E1821" s="698"/>
      <c r="F1821" s="698"/>
      <c r="G1821" s="698"/>
    </row>
    <row r="1822" spans="1:7" ht="17.25" customHeight="1" x14ac:dyDescent="0.2">
      <c r="A1822" s="341" t="s">
        <v>1014</v>
      </c>
      <c r="B1822" s="322">
        <v>1809</v>
      </c>
      <c r="C1822" s="698" t="s">
        <v>1109</v>
      </c>
      <c r="D1822" s="698" t="s">
        <v>1110</v>
      </c>
      <c r="E1822" s="698"/>
      <c r="F1822" s="698"/>
      <c r="G1822" s="698"/>
    </row>
    <row r="1823" spans="1:7" ht="17.25" customHeight="1" x14ac:dyDescent="0.2">
      <c r="A1823" s="341" t="s">
        <v>1014</v>
      </c>
      <c r="B1823" s="322">
        <v>1810</v>
      </c>
      <c r="C1823" s="698"/>
      <c r="D1823" s="698"/>
      <c r="E1823" s="698"/>
      <c r="F1823" s="698"/>
      <c r="G1823" s="698"/>
    </row>
    <row r="1824" spans="1:7" ht="17.25" customHeight="1" x14ac:dyDescent="0.2">
      <c r="A1824" s="341" t="s">
        <v>1014</v>
      </c>
      <c r="B1824" s="322">
        <v>1811</v>
      </c>
      <c r="C1824" s="698" t="s">
        <v>1111</v>
      </c>
      <c r="D1824" s="698" t="s">
        <v>1112</v>
      </c>
      <c r="E1824" s="698"/>
      <c r="F1824" s="698"/>
      <c r="G1824" s="698"/>
    </row>
    <row r="1825" spans="1:7" ht="17.25" customHeight="1" x14ac:dyDescent="0.2">
      <c r="A1825" s="341" t="s">
        <v>1014</v>
      </c>
      <c r="B1825" s="322">
        <v>1812</v>
      </c>
      <c r="C1825" s="698"/>
      <c r="D1825" s="698"/>
      <c r="E1825" s="698"/>
      <c r="F1825" s="698"/>
      <c r="G1825" s="698"/>
    </row>
    <row r="1826" spans="1:7" ht="17.25" customHeight="1" x14ac:dyDescent="0.2">
      <c r="A1826" s="341" t="s">
        <v>1014</v>
      </c>
      <c r="B1826" s="322">
        <v>1813</v>
      </c>
      <c r="C1826" s="698" t="s">
        <v>1113</v>
      </c>
      <c r="D1826" s="698" t="s">
        <v>1114</v>
      </c>
      <c r="E1826" s="698"/>
      <c r="F1826" s="698"/>
      <c r="G1826" s="698"/>
    </row>
    <row r="1827" spans="1:7" ht="17.25" customHeight="1" x14ac:dyDescent="0.2">
      <c r="A1827" s="341" t="s">
        <v>1014</v>
      </c>
      <c r="B1827" s="322">
        <v>1814</v>
      </c>
      <c r="C1827" s="698"/>
      <c r="D1827" s="698"/>
      <c r="E1827" s="698"/>
      <c r="F1827" s="698"/>
      <c r="G1827" s="698"/>
    </row>
    <row r="1828" spans="1:7" ht="17.25" customHeight="1" x14ac:dyDescent="0.2">
      <c r="A1828" s="341" t="s">
        <v>1014</v>
      </c>
      <c r="B1828" s="322">
        <v>1815</v>
      </c>
      <c r="C1828" s="698" t="s">
        <v>1115</v>
      </c>
      <c r="D1828" s="698" t="s">
        <v>1116</v>
      </c>
      <c r="E1828" s="698"/>
      <c r="F1828" s="698"/>
      <c r="G1828" s="698"/>
    </row>
    <row r="1829" spans="1:7" ht="17.25" customHeight="1" x14ac:dyDescent="0.2">
      <c r="A1829" s="341" t="s">
        <v>1014</v>
      </c>
      <c r="B1829" s="322">
        <v>1816</v>
      </c>
      <c r="C1829" s="698"/>
      <c r="D1829" s="698"/>
      <c r="E1829" s="698"/>
      <c r="F1829" s="698"/>
      <c r="G1829" s="698"/>
    </row>
    <row r="1830" spans="1:7" ht="17.25" customHeight="1" x14ac:dyDescent="0.2">
      <c r="A1830" s="341" t="s">
        <v>1014</v>
      </c>
      <c r="B1830" s="322">
        <v>1817</v>
      </c>
      <c r="C1830" s="698"/>
      <c r="D1830" s="698"/>
      <c r="E1830" s="698"/>
      <c r="F1830" s="698"/>
      <c r="G1830" s="698"/>
    </row>
    <row r="1831" spans="1:7" ht="17.25" customHeight="1" x14ac:dyDescent="0.2">
      <c r="A1831" s="341" t="s">
        <v>1014</v>
      </c>
      <c r="B1831" s="322">
        <v>1818</v>
      </c>
      <c r="C1831" s="698"/>
      <c r="D1831" s="698"/>
      <c r="E1831" s="698"/>
      <c r="F1831" s="698"/>
      <c r="G1831" s="698"/>
    </row>
    <row r="1832" spans="1:7" ht="17.25" customHeight="1" x14ac:dyDescent="0.2">
      <c r="A1832" s="341" t="s">
        <v>1014</v>
      </c>
      <c r="B1832" s="322">
        <v>1819</v>
      </c>
      <c r="C1832" s="698" t="s">
        <v>1117</v>
      </c>
      <c r="D1832" s="698" t="s">
        <v>1118</v>
      </c>
      <c r="E1832" s="698"/>
      <c r="F1832" s="698"/>
      <c r="G1832" s="698"/>
    </row>
    <row r="1833" spans="1:7" ht="17.25" customHeight="1" x14ac:dyDescent="0.2">
      <c r="A1833" s="341" t="s">
        <v>1014</v>
      </c>
      <c r="B1833" s="322">
        <v>1820</v>
      </c>
      <c r="C1833" s="698"/>
      <c r="D1833" s="698"/>
      <c r="E1833" s="698"/>
      <c r="F1833" s="698"/>
      <c r="G1833" s="698"/>
    </row>
    <row r="1834" spans="1:7" ht="17.25" customHeight="1" x14ac:dyDescent="0.2">
      <c r="A1834" s="341" t="s">
        <v>1014</v>
      </c>
      <c r="B1834" s="322">
        <v>1821</v>
      </c>
      <c r="C1834" s="698" t="s">
        <v>1119</v>
      </c>
      <c r="D1834" s="698" t="s">
        <v>1120</v>
      </c>
      <c r="E1834" s="698"/>
      <c r="F1834" s="698"/>
      <c r="G1834" s="698"/>
    </row>
    <row r="1835" spans="1:7" ht="17.25" customHeight="1" x14ac:dyDescent="0.2">
      <c r="A1835" s="341" t="s">
        <v>1014</v>
      </c>
      <c r="B1835" s="322">
        <v>1822</v>
      </c>
      <c r="C1835" s="698"/>
      <c r="D1835" s="698"/>
      <c r="E1835" s="698"/>
      <c r="F1835" s="698"/>
      <c r="G1835" s="698"/>
    </row>
    <row r="1836" spans="1:7" ht="17.25" customHeight="1" x14ac:dyDescent="0.2">
      <c r="A1836" s="341" t="s">
        <v>1014</v>
      </c>
      <c r="B1836" s="322">
        <v>1823</v>
      </c>
      <c r="C1836" s="698" t="s">
        <v>1121</v>
      </c>
      <c r="D1836" s="698" t="s">
        <v>1122</v>
      </c>
      <c r="E1836" s="698"/>
      <c r="F1836" s="698"/>
      <c r="G1836" s="698"/>
    </row>
    <row r="1837" spans="1:7" ht="17.25" customHeight="1" x14ac:dyDescent="0.2">
      <c r="A1837" s="341" t="s">
        <v>1014</v>
      </c>
      <c r="B1837" s="322">
        <v>1824</v>
      </c>
      <c r="C1837" s="698"/>
      <c r="D1837" s="698"/>
      <c r="E1837" s="698"/>
      <c r="F1837" s="698"/>
      <c r="G1837" s="698"/>
    </row>
    <row r="1838" spans="1:7" ht="17.25" customHeight="1" x14ac:dyDescent="0.2">
      <c r="A1838" s="341" t="s">
        <v>1014</v>
      </c>
      <c r="B1838" s="322">
        <v>1825</v>
      </c>
      <c r="C1838" s="698" t="s">
        <v>1123</v>
      </c>
      <c r="D1838" s="698" t="s">
        <v>1124</v>
      </c>
      <c r="E1838" s="698"/>
      <c r="F1838" s="698"/>
      <c r="G1838" s="698"/>
    </row>
    <row r="1839" spans="1:7" ht="17.25" customHeight="1" x14ac:dyDescent="0.2">
      <c r="A1839" s="341" t="s">
        <v>1014</v>
      </c>
      <c r="B1839" s="322">
        <v>1826</v>
      </c>
      <c r="C1839" s="698"/>
      <c r="D1839" s="698"/>
      <c r="E1839" s="698"/>
      <c r="F1839" s="698"/>
      <c r="G1839" s="698"/>
    </row>
    <row r="1840" spans="1:7" ht="17.25" customHeight="1" x14ac:dyDescent="0.2">
      <c r="A1840" s="341" t="s">
        <v>1014</v>
      </c>
      <c r="B1840" s="322">
        <v>1827</v>
      </c>
      <c r="C1840" s="698" t="s">
        <v>1125</v>
      </c>
      <c r="D1840" s="698" t="s">
        <v>1126</v>
      </c>
      <c r="E1840" s="698"/>
      <c r="F1840" s="698"/>
      <c r="G1840" s="698"/>
    </row>
    <row r="1841" spans="1:7" ht="17.25" customHeight="1" x14ac:dyDescent="0.2">
      <c r="A1841" s="341" t="s">
        <v>1014</v>
      </c>
      <c r="B1841" s="322">
        <v>1828</v>
      </c>
      <c r="C1841" s="698"/>
      <c r="D1841" s="698"/>
      <c r="E1841" s="698"/>
      <c r="F1841" s="698"/>
      <c r="G1841" s="698"/>
    </row>
    <row r="1842" spans="1:7" ht="17.25" customHeight="1" x14ac:dyDescent="0.2">
      <c r="A1842" s="341" t="s">
        <v>1014</v>
      </c>
      <c r="B1842" s="322">
        <v>1829</v>
      </c>
      <c r="C1842" s="698" t="s">
        <v>1127</v>
      </c>
      <c r="D1842" s="698" t="s">
        <v>1128</v>
      </c>
      <c r="E1842" s="698"/>
      <c r="F1842" s="698"/>
      <c r="G1842" s="698"/>
    </row>
    <row r="1843" spans="1:7" ht="17.25" customHeight="1" x14ac:dyDescent="0.2">
      <c r="A1843" s="341" t="s">
        <v>1014</v>
      </c>
      <c r="B1843" s="322">
        <v>1830</v>
      </c>
      <c r="C1843" s="698"/>
      <c r="D1843" s="698"/>
      <c r="E1843" s="698"/>
      <c r="F1843" s="698"/>
      <c r="G1843" s="698"/>
    </row>
    <row r="1844" spans="1:7" ht="17.25" customHeight="1" x14ac:dyDescent="0.2">
      <c r="A1844" s="341" t="s">
        <v>1014</v>
      </c>
      <c r="B1844" s="322">
        <v>1831</v>
      </c>
      <c r="C1844" s="698" t="s">
        <v>1129</v>
      </c>
      <c r="D1844" s="698" t="s">
        <v>1130</v>
      </c>
      <c r="E1844" s="698"/>
      <c r="F1844" s="698"/>
      <c r="G1844" s="698"/>
    </row>
    <row r="1845" spans="1:7" ht="17.25" customHeight="1" x14ac:dyDescent="0.2">
      <c r="A1845" s="341" t="s">
        <v>1014</v>
      </c>
      <c r="B1845" s="322">
        <v>1832</v>
      </c>
      <c r="C1845" s="698" t="s">
        <v>1131</v>
      </c>
      <c r="D1845" s="698" t="s">
        <v>1132</v>
      </c>
      <c r="E1845" s="698"/>
      <c r="F1845" s="698"/>
      <c r="G1845" s="698"/>
    </row>
    <row r="1846" spans="1:7" ht="17.25" customHeight="1" x14ac:dyDescent="0.2">
      <c r="A1846" s="341" t="s">
        <v>1014</v>
      </c>
      <c r="B1846" s="322">
        <v>1833</v>
      </c>
      <c r="C1846" s="698" t="s">
        <v>1133</v>
      </c>
      <c r="D1846" s="698" t="s">
        <v>1070</v>
      </c>
      <c r="E1846" s="698"/>
      <c r="F1846" s="698"/>
      <c r="G1846" s="698"/>
    </row>
    <row r="1847" spans="1:7" ht="17.25" customHeight="1" x14ac:dyDescent="0.2">
      <c r="A1847" s="341" t="s">
        <v>1014</v>
      </c>
      <c r="B1847" s="322">
        <v>1834</v>
      </c>
      <c r="C1847" s="698"/>
      <c r="D1847" s="698"/>
      <c r="E1847" s="698"/>
      <c r="F1847" s="698"/>
      <c r="G1847" s="698"/>
    </row>
    <row r="1848" spans="1:7" ht="17.25" customHeight="1" x14ac:dyDescent="0.2">
      <c r="A1848" s="341" t="s">
        <v>1014</v>
      </c>
      <c r="B1848" s="322">
        <v>1835</v>
      </c>
      <c r="C1848" s="698" t="s">
        <v>1134</v>
      </c>
      <c r="D1848" s="698" t="s">
        <v>1135</v>
      </c>
      <c r="E1848" s="698"/>
      <c r="F1848" s="698"/>
      <c r="G1848" s="698"/>
    </row>
    <row r="1849" spans="1:7" ht="17.25" customHeight="1" x14ac:dyDescent="0.2">
      <c r="A1849" s="341" t="s">
        <v>1014</v>
      </c>
      <c r="B1849" s="322">
        <v>1836</v>
      </c>
      <c r="C1849" s="698"/>
      <c r="D1849" s="698"/>
      <c r="E1849" s="698"/>
      <c r="F1849" s="698"/>
      <c r="G1849" s="698"/>
    </row>
    <row r="1850" spans="1:7" ht="17.25" customHeight="1" x14ac:dyDescent="0.2">
      <c r="A1850" s="341" t="s">
        <v>1014</v>
      </c>
      <c r="B1850" s="322">
        <v>1837</v>
      </c>
      <c r="C1850" s="698" t="s">
        <v>1136</v>
      </c>
      <c r="D1850" s="698" t="s">
        <v>1137</v>
      </c>
      <c r="E1850" s="698"/>
      <c r="F1850" s="698"/>
      <c r="G1850" s="698"/>
    </row>
    <row r="1851" spans="1:7" ht="17.25" customHeight="1" x14ac:dyDescent="0.2">
      <c r="A1851" s="341" t="s">
        <v>1014</v>
      </c>
      <c r="B1851" s="322">
        <v>1838</v>
      </c>
      <c r="C1851" s="698"/>
      <c r="D1851" s="698"/>
      <c r="E1851" s="698"/>
      <c r="F1851" s="698"/>
      <c r="G1851" s="698"/>
    </row>
    <row r="1852" spans="1:7" ht="17.25" customHeight="1" x14ac:dyDescent="0.2">
      <c r="A1852" s="341" t="s">
        <v>1014</v>
      </c>
      <c r="B1852" s="322">
        <v>1839</v>
      </c>
      <c r="C1852" s="698" t="s">
        <v>43</v>
      </c>
      <c r="D1852" s="698" t="s">
        <v>44</v>
      </c>
      <c r="E1852" s="698"/>
      <c r="F1852" s="698"/>
      <c r="G1852" s="698"/>
    </row>
    <row r="1853" spans="1:7" ht="17.25" customHeight="1" x14ac:dyDescent="0.2">
      <c r="A1853" s="341" t="s">
        <v>1014</v>
      </c>
      <c r="B1853" s="322">
        <v>1840</v>
      </c>
      <c r="C1853" s="698"/>
      <c r="D1853" s="698"/>
      <c r="E1853" s="698"/>
      <c r="F1853" s="698"/>
      <c r="G1853" s="698"/>
    </row>
    <row r="1854" spans="1:7" ht="17.25" customHeight="1" x14ac:dyDescent="0.2">
      <c r="A1854" s="341" t="s">
        <v>1014</v>
      </c>
      <c r="B1854" s="322">
        <v>1841</v>
      </c>
      <c r="C1854" s="698" t="s">
        <v>146</v>
      </c>
      <c r="D1854" s="698" t="s">
        <v>147</v>
      </c>
      <c r="E1854" s="698"/>
      <c r="F1854" s="698"/>
      <c r="G1854" s="698"/>
    </row>
    <row r="1855" spans="1:7" ht="17.25" customHeight="1" x14ac:dyDescent="0.2">
      <c r="A1855" s="341" t="s">
        <v>1014</v>
      </c>
      <c r="B1855" s="322">
        <v>1842</v>
      </c>
      <c r="C1855" s="698"/>
      <c r="D1855" s="698"/>
      <c r="E1855" s="698"/>
      <c r="F1855" s="698"/>
      <c r="G1855" s="698"/>
    </row>
    <row r="1856" spans="1:7" ht="17.25" customHeight="1" x14ac:dyDescent="0.2">
      <c r="A1856" s="341" t="s">
        <v>1014</v>
      </c>
      <c r="B1856" s="322">
        <v>1843</v>
      </c>
      <c r="C1856" s="698" t="s">
        <v>148</v>
      </c>
      <c r="D1856" s="698" t="s">
        <v>148</v>
      </c>
      <c r="E1856" s="698"/>
      <c r="F1856" s="698"/>
      <c r="G1856" s="698"/>
    </row>
    <row r="1857" spans="1:7" ht="17.25" customHeight="1" x14ac:dyDescent="0.2">
      <c r="A1857" s="341" t="s">
        <v>1014</v>
      </c>
      <c r="B1857" s="322">
        <v>1844</v>
      </c>
      <c r="C1857" s="698"/>
      <c r="D1857" s="698"/>
      <c r="E1857" s="698"/>
      <c r="F1857" s="698"/>
      <c r="G1857" s="698"/>
    </row>
    <row r="1858" spans="1:7" ht="17.25" customHeight="1" x14ac:dyDescent="0.2">
      <c r="A1858" s="341" t="s">
        <v>1014</v>
      </c>
      <c r="B1858" s="322">
        <v>1845</v>
      </c>
      <c r="C1858" s="698" t="s">
        <v>149</v>
      </c>
      <c r="D1858" s="698" t="s">
        <v>149</v>
      </c>
      <c r="E1858" s="698"/>
      <c r="F1858" s="698"/>
      <c r="G1858" s="698"/>
    </row>
    <row r="1859" spans="1:7" ht="17.25" customHeight="1" x14ac:dyDescent="0.2">
      <c r="A1859" s="341" t="s">
        <v>1014</v>
      </c>
      <c r="B1859" s="322">
        <v>1846</v>
      </c>
      <c r="C1859" s="698"/>
      <c r="D1859" s="698"/>
      <c r="E1859" s="698"/>
      <c r="F1859" s="698"/>
      <c r="G1859" s="698"/>
    </row>
    <row r="1860" spans="1:7" ht="17.25" customHeight="1" x14ac:dyDescent="0.2">
      <c r="A1860" s="341" t="s">
        <v>1014</v>
      </c>
      <c r="B1860" s="322">
        <v>1847</v>
      </c>
      <c r="C1860" s="698" t="s">
        <v>100</v>
      </c>
      <c r="D1860" s="698" t="s">
        <v>101</v>
      </c>
      <c r="E1860" s="698"/>
      <c r="F1860" s="698"/>
      <c r="G1860" s="698"/>
    </row>
    <row r="1861" spans="1:7" ht="17.25" customHeight="1" x14ac:dyDescent="0.2">
      <c r="A1861" s="341" t="s">
        <v>1014</v>
      </c>
      <c r="B1861" s="322">
        <v>1848</v>
      </c>
      <c r="C1861" s="698"/>
      <c r="D1861" s="698"/>
      <c r="E1861" s="698"/>
      <c r="F1861" s="698"/>
      <c r="G1861" s="698"/>
    </row>
    <row r="1862" spans="1:7" ht="17.25" customHeight="1" x14ac:dyDescent="0.2">
      <c r="A1862" s="341" t="s">
        <v>1014</v>
      </c>
      <c r="B1862" s="322">
        <v>1849</v>
      </c>
      <c r="C1862" s="698" t="s">
        <v>1138</v>
      </c>
      <c r="D1862" s="698" t="s">
        <v>1138</v>
      </c>
      <c r="E1862" s="698"/>
      <c r="F1862" s="698"/>
      <c r="G1862" s="698"/>
    </row>
    <row r="1863" spans="1:7" ht="17.25" customHeight="1" x14ac:dyDescent="0.2">
      <c r="A1863" s="341" t="s">
        <v>1014</v>
      </c>
      <c r="B1863" s="322">
        <v>1850</v>
      </c>
      <c r="C1863" s="698"/>
      <c r="D1863" s="698"/>
      <c r="E1863" s="698"/>
      <c r="F1863" s="698"/>
      <c r="G1863" s="698"/>
    </row>
    <row r="1864" spans="1:7" ht="17.25" customHeight="1" x14ac:dyDescent="0.2">
      <c r="A1864" s="341" t="s">
        <v>1014</v>
      </c>
      <c r="B1864" s="322">
        <v>1851</v>
      </c>
      <c r="C1864" s="698" t="s">
        <v>1139</v>
      </c>
      <c r="D1864" s="698" t="s">
        <v>1140</v>
      </c>
      <c r="E1864" s="698"/>
      <c r="F1864" s="698"/>
      <c r="G1864" s="698"/>
    </row>
    <row r="1865" spans="1:7" ht="17.25" customHeight="1" x14ac:dyDescent="0.2">
      <c r="A1865" s="341" t="s">
        <v>1014</v>
      </c>
      <c r="B1865" s="322">
        <v>1852</v>
      </c>
      <c r="C1865" s="698"/>
      <c r="D1865" s="698"/>
      <c r="E1865" s="698"/>
      <c r="F1865" s="698"/>
      <c r="G1865" s="698"/>
    </row>
    <row r="1866" spans="1:7" ht="17.25" customHeight="1" x14ac:dyDescent="0.2">
      <c r="A1866" s="341" t="s">
        <v>1014</v>
      </c>
      <c r="B1866" s="322">
        <v>1853</v>
      </c>
      <c r="C1866" s="698" t="s">
        <v>1141</v>
      </c>
      <c r="D1866" s="698" t="s">
        <v>1142</v>
      </c>
      <c r="E1866" s="698"/>
      <c r="F1866" s="698"/>
      <c r="G1866" s="698"/>
    </row>
    <row r="1867" spans="1:7" ht="17.25" customHeight="1" x14ac:dyDescent="0.2">
      <c r="A1867" s="341" t="s">
        <v>1014</v>
      </c>
      <c r="B1867" s="322">
        <v>1854</v>
      </c>
      <c r="C1867" s="698"/>
      <c r="D1867" s="698"/>
      <c r="E1867" s="698"/>
      <c r="F1867" s="698"/>
      <c r="G1867" s="698"/>
    </row>
    <row r="1868" spans="1:7" ht="17.25" customHeight="1" x14ac:dyDescent="0.2">
      <c r="A1868" s="341" t="s">
        <v>1014</v>
      </c>
      <c r="B1868" s="322">
        <v>1855</v>
      </c>
      <c r="C1868" s="698" t="s">
        <v>1143</v>
      </c>
      <c r="D1868" s="698" t="s">
        <v>1144</v>
      </c>
      <c r="E1868" s="698"/>
      <c r="F1868" s="698"/>
      <c r="G1868" s="698"/>
    </row>
    <row r="1869" spans="1:7" ht="17.25" customHeight="1" x14ac:dyDescent="0.2">
      <c r="A1869" s="341" t="s">
        <v>1014</v>
      </c>
      <c r="B1869" s="322">
        <v>1856</v>
      </c>
      <c r="C1869" s="698"/>
      <c r="D1869" s="698"/>
      <c r="E1869" s="698"/>
      <c r="F1869" s="698"/>
      <c r="G1869" s="698"/>
    </row>
    <row r="1870" spans="1:7" ht="17.25" customHeight="1" x14ac:dyDescent="0.2">
      <c r="A1870" s="341" t="s">
        <v>1014</v>
      </c>
      <c r="B1870" s="322">
        <v>1857</v>
      </c>
      <c r="C1870" s="698"/>
      <c r="D1870" s="698"/>
      <c r="E1870" s="698"/>
      <c r="F1870" s="698"/>
      <c r="G1870" s="698"/>
    </row>
    <row r="1871" spans="1:7" ht="17.25" customHeight="1" x14ac:dyDescent="0.2">
      <c r="A1871" s="341" t="s">
        <v>1014</v>
      </c>
      <c r="B1871" s="322">
        <v>1858</v>
      </c>
      <c r="C1871" s="698"/>
      <c r="D1871" s="698"/>
      <c r="E1871" s="698"/>
      <c r="F1871" s="698"/>
      <c r="G1871" s="698"/>
    </row>
    <row r="1872" spans="1:7" ht="17.25" customHeight="1" x14ac:dyDescent="0.2">
      <c r="A1872" s="341" t="s">
        <v>1014</v>
      </c>
      <c r="B1872" s="322">
        <v>1859</v>
      </c>
      <c r="E1872" s="698"/>
      <c r="F1872" s="698"/>
      <c r="G1872" s="698"/>
    </row>
    <row r="1873" spans="1:7" ht="17.25" customHeight="1" x14ac:dyDescent="0.2">
      <c r="A1873" s="341" t="s">
        <v>1014</v>
      </c>
      <c r="B1873" s="322">
        <v>1860</v>
      </c>
      <c r="C1873" s="698"/>
      <c r="D1873" s="698"/>
      <c r="E1873" s="698"/>
      <c r="F1873" s="698"/>
      <c r="G1873" s="698"/>
    </row>
    <row r="1874" spans="1:7" ht="17.25" customHeight="1" thickBot="1" x14ac:dyDescent="0.25">
      <c r="A1874" s="412" t="s">
        <v>1014</v>
      </c>
      <c r="B1874" s="713">
        <v>1861</v>
      </c>
      <c r="C1874" s="715"/>
      <c r="D1874" s="715"/>
      <c r="E1874" s="715"/>
      <c r="F1874" s="715"/>
      <c r="G1874" s="715"/>
    </row>
    <row r="1875" spans="1:7" ht="17.25" customHeight="1" thickBot="1" x14ac:dyDescent="0.25">
      <c r="A1875" s="413" t="s">
        <v>1145</v>
      </c>
      <c r="B1875" s="369">
        <v>1862</v>
      </c>
      <c r="C1875" s="370" t="s">
        <v>1015</v>
      </c>
      <c r="D1875" s="370" t="s">
        <v>1146</v>
      </c>
      <c r="E1875" s="370"/>
      <c r="F1875" s="370"/>
      <c r="G1875" s="370"/>
    </row>
    <row r="1876" spans="1:7" ht="17.25" customHeight="1" x14ac:dyDescent="0.2">
      <c r="A1876" s="341" t="s">
        <v>1145</v>
      </c>
      <c r="B1876" s="322">
        <v>1863</v>
      </c>
      <c r="C1876" s="149"/>
      <c r="D1876" s="149"/>
      <c r="E1876" s="149"/>
      <c r="F1876" s="149"/>
      <c r="G1876" s="149"/>
    </row>
    <row r="1877" spans="1:7" ht="17.25" customHeight="1" x14ac:dyDescent="0.2">
      <c r="A1877" s="341" t="s">
        <v>1145</v>
      </c>
      <c r="B1877" s="322">
        <v>1864</v>
      </c>
      <c r="C1877" s="698" t="s">
        <v>1147</v>
      </c>
      <c r="D1877" s="698" t="s">
        <v>1148</v>
      </c>
      <c r="E1877" s="698"/>
      <c r="F1877" s="698"/>
      <c r="G1877" s="698"/>
    </row>
    <row r="1878" spans="1:7" ht="17.25" customHeight="1" x14ac:dyDescent="0.2">
      <c r="A1878" s="341" t="s">
        <v>1145</v>
      </c>
      <c r="B1878" s="322">
        <v>1865</v>
      </c>
      <c r="C1878" s="698"/>
      <c r="D1878" s="698"/>
      <c r="E1878" s="698"/>
      <c r="F1878" s="698"/>
      <c r="G1878" s="698"/>
    </row>
    <row r="1879" spans="1:7" ht="25.05" x14ac:dyDescent="0.2">
      <c r="A1879" s="341" t="s">
        <v>1145</v>
      </c>
      <c r="B1879" s="322">
        <v>1866</v>
      </c>
      <c r="C1879" s="698" t="s">
        <v>1149</v>
      </c>
      <c r="D1879" s="698" t="s">
        <v>1150</v>
      </c>
      <c r="E1879" s="698"/>
      <c r="F1879" s="698"/>
      <c r="G1879" s="698"/>
    </row>
    <row r="1880" spans="1:7" ht="17.25" customHeight="1" x14ac:dyDescent="0.2">
      <c r="A1880" s="341" t="s">
        <v>1145</v>
      </c>
      <c r="B1880" s="322">
        <v>1867</v>
      </c>
      <c r="C1880" s="698"/>
      <c r="D1880" s="698"/>
      <c r="E1880" s="698"/>
      <c r="F1880" s="698"/>
      <c r="G1880" s="698"/>
    </row>
    <row r="1881" spans="1:7" ht="17.25" customHeight="1" x14ac:dyDescent="0.2">
      <c r="A1881" s="341" t="s">
        <v>1145</v>
      </c>
      <c r="B1881" s="322">
        <v>1868</v>
      </c>
      <c r="C1881" s="698"/>
      <c r="D1881" s="698"/>
      <c r="E1881" s="698"/>
      <c r="F1881" s="698"/>
      <c r="G1881" s="698"/>
    </row>
    <row r="1882" spans="1:7" ht="17.25" customHeight="1" x14ac:dyDescent="0.2">
      <c r="A1882" s="341" t="s">
        <v>1145</v>
      </c>
      <c r="B1882" s="322">
        <v>1869</v>
      </c>
      <c r="C1882" s="698"/>
      <c r="D1882" s="698"/>
      <c r="E1882" s="698"/>
      <c r="F1882" s="698"/>
      <c r="G1882" s="698"/>
    </row>
    <row r="1883" spans="1:7" ht="17.25" customHeight="1" x14ac:dyDescent="0.2">
      <c r="A1883" s="341" t="s">
        <v>1145</v>
      </c>
      <c r="B1883" s="322">
        <v>1870</v>
      </c>
      <c r="C1883" s="698" t="s">
        <v>1151</v>
      </c>
      <c r="D1883" s="698" t="s">
        <v>1152</v>
      </c>
      <c r="E1883" s="698"/>
      <c r="F1883" s="698"/>
      <c r="G1883" s="698"/>
    </row>
    <row r="1884" spans="1:7" ht="17.25" customHeight="1" x14ac:dyDescent="0.2">
      <c r="A1884" s="341" t="s">
        <v>1145</v>
      </c>
      <c r="B1884" s="322">
        <v>1871</v>
      </c>
      <c r="C1884" s="698"/>
      <c r="D1884" s="698"/>
      <c r="E1884" s="698"/>
      <c r="F1884" s="698"/>
      <c r="G1884" s="698"/>
    </row>
    <row r="1885" spans="1:7" ht="25.05" x14ac:dyDescent="0.2">
      <c r="A1885" s="341" t="s">
        <v>1145</v>
      </c>
      <c r="B1885" s="322">
        <v>1872</v>
      </c>
      <c r="C1885" s="698" t="s">
        <v>1153</v>
      </c>
      <c r="D1885" s="698" t="s">
        <v>1154</v>
      </c>
      <c r="E1885" s="698"/>
      <c r="F1885" s="698"/>
      <c r="G1885" s="698"/>
    </row>
    <row r="1886" spans="1:7" ht="17.25" customHeight="1" x14ac:dyDescent="0.2">
      <c r="A1886" s="341" t="s">
        <v>1145</v>
      </c>
      <c r="B1886" s="322">
        <v>1873</v>
      </c>
      <c r="C1886" s="698"/>
      <c r="D1886" s="698"/>
      <c r="E1886" s="698"/>
      <c r="F1886" s="698"/>
      <c r="G1886" s="698"/>
    </row>
    <row r="1887" spans="1:7" ht="17.25" customHeight="1" x14ac:dyDescent="0.2">
      <c r="A1887" s="341" t="s">
        <v>1145</v>
      </c>
      <c r="B1887" s="322">
        <v>1874</v>
      </c>
      <c r="C1887" s="698" t="s">
        <v>1155</v>
      </c>
      <c r="D1887" s="698" t="s">
        <v>1156</v>
      </c>
      <c r="E1887" s="698"/>
      <c r="F1887" s="698"/>
      <c r="G1887" s="698"/>
    </row>
    <row r="1888" spans="1:7" ht="17.25" customHeight="1" x14ac:dyDescent="0.2">
      <c r="A1888" s="341" t="s">
        <v>1145</v>
      </c>
      <c r="B1888" s="322">
        <v>1875</v>
      </c>
      <c r="C1888" s="698"/>
      <c r="D1888" s="698"/>
      <c r="E1888" s="698"/>
      <c r="F1888" s="698"/>
      <c r="G1888" s="698"/>
    </row>
    <row r="1889" spans="1:7" ht="17.25" customHeight="1" x14ac:dyDescent="0.2">
      <c r="A1889" s="341" t="s">
        <v>1145</v>
      </c>
      <c r="B1889" s="322">
        <v>1876</v>
      </c>
      <c r="C1889" s="698" t="s">
        <v>1157</v>
      </c>
      <c r="D1889" s="698" t="s">
        <v>1158</v>
      </c>
      <c r="E1889" s="698"/>
      <c r="F1889" s="698"/>
      <c r="G1889" s="698"/>
    </row>
    <row r="1890" spans="1:7" ht="17.25" customHeight="1" x14ac:dyDescent="0.2">
      <c r="A1890" s="341" t="s">
        <v>1145</v>
      </c>
      <c r="B1890" s="322">
        <v>1877</v>
      </c>
      <c r="C1890" s="698"/>
      <c r="D1890" s="698"/>
      <c r="E1890" s="698"/>
      <c r="F1890" s="698"/>
      <c r="G1890" s="698"/>
    </row>
    <row r="1891" spans="1:7" ht="17.25" customHeight="1" x14ac:dyDescent="0.2">
      <c r="A1891" s="341" t="s">
        <v>1145</v>
      </c>
      <c r="B1891" s="322">
        <v>1878</v>
      </c>
      <c r="C1891" s="698" t="s">
        <v>1159</v>
      </c>
      <c r="D1891" s="698" t="s">
        <v>1160</v>
      </c>
      <c r="E1891" s="698"/>
      <c r="F1891" s="698"/>
      <c r="G1891" s="698"/>
    </row>
    <row r="1892" spans="1:7" ht="17.25" customHeight="1" x14ac:dyDescent="0.2">
      <c r="A1892" s="341" t="s">
        <v>1145</v>
      </c>
      <c r="B1892" s="322">
        <v>1879</v>
      </c>
      <c r="C1892" s="698"/>
      <c r="D1892" s="698"/>
      <c r="E1892" s="698"/>
      <c r="F1892" s="698"/>
      <c r="G1892" s="698"/>
    </row>
    <row r="1893" spans="1:7" ht="17.25" customHeight="1" x14ac:dyDescent="0.2">
      <c r="A1893" s="341" t="s">
        <v>1145</v>
      </c>
      <c r="B1893" s="322">
        <v>1880</v>
      </c>
      <c r="C1893" s="698" t="s">
        <v>1161</v>
      </c>
      <c r="D1893" s="698" t="s">
        <v>1162</v>
      </c>
      <c r="E1893" s="698"/>
      <c r="F1893" s="698"/>
      <c r="G1893" s="698"/>
    </row>
    <row r="1894" spans="1:7" ht="17.25" customHeight="1" x14ac:dyDescent="0.2">
      <c r="A1894" s="341" t="s">
        <v>1145</v>
      </c>
      <c r="B1894" s="322">
        <v>1881</v>
      </c>
      <c r="C1894" s="730" t="s">
        <v>1163</v>
      </c>
      <c r="D1894" s="730" t="s">
        <v>1164</v>
      </c>
      <c r="E1894" s="698"/>
      <c r="F1894" s="698"/>
      <c r="G1894" s="698"/>
    </row>
    <row r="1895" spans="1:7" ht="17.25" customHeight="1" x14ac:dyDescent="0.2">
      <c r="A1895" s="341" t="s">
        <v>1145</v>
      </c>
      <c r="B1895" s="322">
        <v>1882</v>
      </c>
      <c r="C1895" s="698" t="s">
        <v>1165</v>
      </c>
      <c r="D1895" s="698" t="s">
        <v>1166</v>
      </c>
      <c r="E1895" s="698"/>
      <c r="F1895" s="698"/>
      <c r="G1895" s="698"/>
    </row>
    <row r="1896" spans="1:7" ht="17.25" customHeight="1" x14ac:dyDescent="0.2">
      <c r="A1896" s="341" t="s">
        <v>1145</v>
      </c>
      <c r="B1896" s="322">
        <v>1883</v>
      </c>
      <c r="C1896" s="698"/>
      <c r="D1896" s="698"/>
      <c r="E1896" s="698"/>
      <c r="F1896" s="698"/>
      <c r="G1896" s="698"/>
    </row>
    <row r="1897" spans="1:7" ht="25.05" x14ac:dyDescent="0.2">
      <c r="A1897" s="341" t="s">
        <v>1145</v>
      </c>
      <c r="B1897" s="322">
        <v>1884</v>
      </c>
      <c r="C1897" s="698" t="s">
        <v>1167</v>
      </c>
      <c r="D1897" s="698" t="s">
        <v>1168</v>
      </c>
      <c r="E1897" s="698"/>
      <c r="F1897" s="698"/>
      <c r="G1897" s="698"/>
    </row>
    <row r="1898" spans="1:7" ht="17.25" customHeight="1" x14ac:dyDescent="0.2">
      <c r="A1898" s="341" t="s">
        <v>1145</v>
      </c>
      <c r="B1898" s="322">
        <v>1885</v>
      </c>
      <c r="C1898" s="698"/>
      <c r="D1898" s="698"/>
      <c r="E1898" s="698"/>
      <c r="F1898" s="698"/>
      <c r="G1898" s="698"/>
    </row>
    <row r="1899" spans="1:7" ht="17.25" customHeight="1" x14ac:dyDescent="0.2">
      <c r="A1899" s="341" t="s">
        <v>1145</v>
      </c>
      <c r="B1899" s="322">
        <v>1886</v>
      </c>
      <c r="C1899" s="698" t="s">
        <v>1169</v>
      </c>
      <c r="D1899" s="698" t="s">
        <v>1170</v>
      </c>
      <c r="E1899" s="698"/>
      <c r="F1899" s="698"/>
      <c r="G1899" s="698"/>
    </row>
    <row r="1900" spans="1:7" ht="17.25" customHeight="1" x14ac:dyDescent="0.2">
      <c r="A1900" s="341" t="s">
        <v>1145</v>
      </c>
      <c r="B1900" s="322">
        <v>1887</v>
      </c>
      <c r="C1900" s="698" t="s">
        <v>1171</v>
      </c>
      <c r="D1900" s="698" t="s">
        <v>1172</v>
      </c>
      <c r="E1900" s="698"/>
      <c r="F1900" s="698"/>
      <c r="G1900" s="698"/>
    </row>
    <row r="1901" spans="1:7" ht="25.05" x14ac:dyDescent="0.2">
      <c r="A1901" s="341" t="s">
        <v>1145</v>
      </c>
      <c r="B1901" s="322">
        <v>1888</v>
      </c>
      <c r="C1901" s="698" t="s">
        <v>1173</v>
      </c>
      <c r="D1901" s="698" t="s">
        <v>1174</v>
      </c>
      <c r="E1901" s="698"/>
      <c r="F1901" s="698"/>
      <c r="G1901" s="698"/>
    </row>
    <row r="1902" spans="1:7" ht="17.25" customHeight="1" x14ac:dyDescent="0.2">
      <c r="A1902" s="341" t="s">
        <v>1145</v>
      </c>
      <c r="B1902" s="322">
        <v>1889</v>
      </c>
      <c r="C1902" s="698"/>
      <c r="D1902" s="698"/>
      <c r="E1902" s="698"/>
      <c r="F1902" s="698"/>
      <c r="G1902" s="698"/>
    </row>
    <row r="1903" spans="1:7" ht="17.25" customHeight="1" x14ac:dyDescent="0.2">
      <c r="A1903" s="341" t="s">
        <v>1145</v>
      </c>
      <c r="B1903" s="322">
        <v>1890</v>
      </c>
      <c r="C1903" s="698" t="s">
        <v>1175</v>
      </c>
      <c r="D1903" s="698" t="s">
        <v>1176</v>
      </c>
      <c r="E1903" s="698"/>
      <c r="F1903" s="698"/>
      <c r="G1903" s="698"/>
    </row>
    <row r="1904" spans="1:7" ht="17.25" customHeight="1" x14ac:dyDescent="0.2">
      <c r="A1904" s="341" t="s">
        <v>1145</v>
      </c>
      <c r="B1904" s="322">
        <v>1891</v>
      </c>
      <c r="C1904" s="698"/>
      <c r="D1904" s="698"/>
      <c r="E1904" s="698"/>
      <c r="F1904" s="698"/>
      <c r="G1904" s="698"/>
    </row>
    <row r="1905" spans="1:7" ht="17.25" customHeight="1" x14ac:dyDescent="0.2">
      <c r="A1905" s="341" t="s">
        <v>1145</v>
      </c>
      <c r="B1905" s="322">
        <v>1892</v>
      </c>
      <c r="C1905" s="698" t="s">
        <v>1177</v>
      </c>
      <c r="D1905" s="698" t="s">
        <v>1178</v>
      </c>
      <c r="E1905" s="698"/>
      <c r="F1905" s="698"/>
      <c r="G1905" s="698"/>
    </row>
    <row r="1906" spans="1:7" ht="17.25" customHeight="1" x14ac:dyDescent="0.2">
      <c r="A1906" s="341" t="s">
        <v>1145</v>
      </c>
      <c r="B1906" s="322">
        <v>1893</v>
      </c>
      <c r="C1906" s="698"/>
      <c r="D1906" s="698"/>
      <c r="E1906" s="698"/>
      <c r="F1906" s="698"/>
      <c r="G1906" s="698"/>
    </row>
    <row r="1907" spans="1:7" ht="17.25" customHeight="1" x14ac:dyDescent="0.2">
      <c r="A1907" s="341" t="s">
        <v>1145</v>
      </c>
      <c r="B1907" s="322">
        <v>1894</v>
      </c>
      <c r="C1907" s="698" t="s">
        <v>1179</v>
      </c>
      <c r="D1907" s="698" t="s">
        <v>1179</v>
      </c>
      <c r="E1907" s="698"/>
      <c r="F1907" s="698"/>
      <c r="G1907" s="698"/>
    </row>
    <row r="1908" spans="1:7" ht="17.25" customHeight="1" x14ac:dyDescent="0.2">
      <c r="A1908" s="341" t="s">
        <v>1145</v>
      </c>
      <c r="B1908" s="322">
        <v>1895</v>
      </c>
      <c r="C1908" s="698"/>
      <c r="D1908" s="698"/>
      <c r="E1908" s="698"/>
      <c r="F1908" s="698"/>
      <c r="G1908" s="698"/>
    </row>
    <row r="1909" spans="1:7" ht="17.25" customHeight="1" x14ac:dyDescent="0.2">
      <c r="A1909" s="341" t="s">
        <v>1145</v>
      </c>
      <c r="B1909" s="322">
        <v>1896</v>
      </c>
      <c r="C1909" s="698" t="s">
        <v>1180</v>
      </c>
      <c r="D1909" s="698" t="s">
        <v>1181</v>
      </c>
      <c r="E1909" s="698"/>
      <c r="F1909" s="698"/>
      <c r="G1909" s="698"/>
    </row>
    <row r="1910" spans="1:7" ht="17.25" customHeight="1" x14ac:dyDescent="0.2">
      <c r="A1910" s="341" t="s">
        <v>1145</v>
      </c>
      <c r="B1910" s="322">
        <v>1897</v>
      </c>
      <c r="C1910" s="698"/>
      <c r="D1910" s="698"/>
      <c r="E1910" s="698"/>
      <c r="F1910" s="698"/>
      <c r="G1910" s="698"/>
    </row>
    <row r="1911" spans="1:7" ht="17.25" customHeight="1" x14ac:dyDescent="0.2">
      <c r="A1911" s="341" t="s">
        <v>1145</v>
      </c>
      <c r="B1911" s="322">
        <v>1898</v>
      </c>
      <c r="C1911" s="698" t="s">
        <v>1182</v>
      </c>
      <c r="D1911" s="698" t="s">
        <v>1183</v>
      </c>
      <c r="E1911" s="698"/>
      <c r="F1911" s="698"/>
      <c r="G1911" s="698"/>
    </row>
    <row r="1912" spans="1:7" ht="17.25" customHeight="1" x14ac:dyDescent="0.2">
      <c r="A1912" s="341" t="s">
        <v>1145</v>
      </c>
      <c r="B1912" s="322">
        <v>1899</v>
      </c>
      <c r="C1912" s="698"/>
      <c r="D1912" s="698"/>
      <c r="E1912" s="698"/>
      <c r="F1912" s="698"/>
      <c r="G1912" s="698"/>
    </row>
    <row r="1913" spans="1:7" ht="17.25" customHeight="1" x14ac:dyDescent="0.2">
      <c r="A1913" s="341" t="s">
        <v>1145</v>
      </c>
      <c r="B1913" s="322">
        <v>1900</v>
      </c>
      <c r="C1913" s="698" t="s">
        <v>1184</v>
      </c>
      <c r="D1913" s="698" t="s">
        <v>1185</v>
      </c>
      <c r="E1913" s="698"/>
      <c r="F1913" s="698"/>
      <c r="G1913" s="698"/>
    </row>
    <row r="1914" spans="1:7" ht="17.25" customHeight="1" x14ac:dyDescent="0.2">
      <c r="A1914" s="341" t="s">
        <v>1145</v>
      </c>
      <c r="B1914" s="322">
        <v>1901</v>
      </c>
      <c r="C1914" s="698"/>
      <c r="D1914" s="698"/>
      <c r="E1914" s="698"/>
      <c r="F1914" s="698"/>
      <c r="G1914" s="698"/>
    </row>
    <row r="1915" spans="1:7" ht="17.25" customHeight="1" x14ac:dyDescent="0.2">
      <c r="A1915" s="341" t="s">
        <v>1145</v>
      </c>
      <c r="B1915" s="322">
        <v>1902</v>
      </c>
      <c r="C1915" s="698" t="s">
        <v>1186</v>
      </c>
      <c r="D1915" s="698" t="s">
        <v>1187</v>
      </c>
      <c r="E1915" s="698"/>
      <c r="F1915" s="698"/>
      <c r="G1915" s="698"/>
    </row>
    <row r="1916" spans="1:7" ht="17.25" customHeight="1" x14ac:dyDescent="0.2">
      <c r="A1916" s="341" t="s">
        <v>1145</v>
      </c>
      <c r="B1916" s="322">
        <v>1903</v>
      </c>
      <c r="C1916" s="698"/>
      <c r="D1916" s="698"/>
      <c r="E1916" s="698"/>
      <c r="F1916" s="698"/>
      <c r="G1916" s="698"/>
    </row>
    <row r="1917" spans="1:7" ht="17.25" customHeight="1" x14ac:dyDescent="0.2">
      <c r="A1917" s="341" t="s">
        <v>1145</v>
      </c>
      <c r="B1917" s="322">
        <v>1904</v>
      </c>
      <c r="C1917" s="698" t="s">
        <v>1188</v>
      </c>
      <c r="D1917" s="698" t="s">
        <v>1189</v>
      </c>
      <c r="E1917" s="698"/>
      <c r="F1917" s="698"/>
      <c r="G1917" s="698"/>
    </row>
    <row r="1918" spans="1:7" ht="17.25" customHeight="1" x14ac:dyDescent="0.2">
      <c r="A1918" s="341" t="s">
        <v>1145</v>
      </c>
      <c r="B1918" s="322">
        <v>1905</v>
      </c>
      <c r="C1918" s="698"/>
      <c r="D1918" s="698"/>
      <c r="E1918" s="698"/>
      <c r="F1918" s="698"/>
      <c r="G1918" s="698"/>
    </row>
    <row r="1919" spans="1:7" ht="17.25" customHeight="1" x14ac:dyDescent="0.2">
      <c r="A1919" s="341" t="s">
        <v>1145</v>
      </c>
      <c r="B1919" s="322">
        <v>1906</v>
      </c>
      <c r="C1919" s="698" t="s">
        <v>1190</v>
      </c>
      <c r="D1919" s="698" t="s">
        <v>1191</v>
      </c>
      <c r="E1919" s="698"/>
      <c r="F1919" s="698"/>
      <c r="G1919" s="698"/>
    </row>
    <row r="1920" spans="1:7" ht="17.25" customHeight="1" x14ac:dyDescent="0.2">
      <c r="A1920" s="341" t="s">
        <v>1145</v>
      </c>
      <c r="B1920" s="322">
        <v>1907</v>
      </c>
      <c r="C1920" s="698"/>
      <c r="D1920" s="698"/>
      <c r="E1920" s="698"/>
      <c r="F1920" s="698"/>
      <c r="G1920" s="698"/>
    </row>
    <row r="1921" spans="1:7" ht="17.25" customHeight="1" x14ac:dyDescent="0.2">
      <c r="A1921" s="341" t="s">
        <v>1145</v>
      </c>
      <c r="B1921" s="322">
        <v>1908</v>
      </c>
      <c r="C1921" s="698" t="s">
        <v>1192</v>
      </c>
      <c r="D1921" s="698" t="s">
        <v>1193</v>
      </c>
      <c r="E1921" s="698"/>
      <c r="F1921" s="698"/>
      <c r="G1921" s="698"/>
    </row>
    <row r="1922" spans="1:7" ht="17.25" customHeight="1" x14ac:dyDescent="0.2">
      <c r="A1922" s="341" t="s">
        <v>1145</v>
      </c>
      <c r="B1922" s="322">
        <v>1909</v>
      </c>
      <c r="C1922" s="698"/>
      <c r="D1922" s="698"/>
      <c r="E1922" s="698"/>
      <c r="F1922" s="698"/>
      <c r="G1922" s="698"/>
    </row>
    <row r="1923" spans="1:7" ht="16.45" customHeight="1" x14ac:dyDescent="0.2">
      <c r="A1923" s="341" t="s">
        <v>1145</v>
      </c>
      <c r="B1923" s="322">
        <v>1910</v>
      </c>
      <c r="C1923" s="698" t="s">
        <v>1194</v>
      </c>
      <c r="D1923" s="698" t="s">
        <v>1195</v>
      </c>
      <c r="E1923" s="698"/>
      <c r="F1923" s="698"/>
      <c r="G1923" s="698"/>
    </row>
    <row r="1924" spans="1:7" ht="17.25" customHeight="1" x14ac:dyDescent="0.2">
      <c r="A1924" s="341" t="s">
        <v>1145</v>
      </c>
      <c r="B1924" s="322">
        <v>1911</v>
      </c>
      <c r="C1924" s="698"/>
      <c r="D1924" s="698"/>
      <c r="E1924" s="698"/>
      <c r="F1924" s="698"/>
      <c r="G1924" s="698"/>
    </row>
    <row r="1925" spans="1:7" ht="25.05" x14ac:dyDescent="0.2">
      <c r="A1925" s="341" t="s">
        <v>1145</v>
      </c>
      <c r="B1925" s="322">
        <v>1912</v>
      </c>
      <c r="C1925" s="698" t="s">
        <v>1196</v>
      </c>
      <c r="D1925" s="698" t="s">
        <v>1197</v>
      </c>
      <c r="E1925" s="698"/>
      <c r="F1925" s="698"/>
      <c r="G1925" s="698"/>
    </row>
    <row r="1926" spans="1:7" ht="17.25" customHeight="1" x14ac:dyDescent="0.2">
      <c r="A1926" s="341" t="s">
        <v>1145</v>
      </c>
      <c r="B1926" s="322">
        <v>1913</v>
      </c>
      <c r="C1926" s="698"/>
      <c r="D1926" s="698"/>
      <c r="E1926" s="698"/>
      <c r="F1926" s="698"/>
      <c r="G1926" s="698"/>
    </row>
    <row r="1927" spans="1:7" ht="17.25" customHeight="1" x14ac:dyDescent="0.2">
      <c r="A1927" s="341" t="s">
        <v>1145</v>
      </c>
      <c r="B1927" s="322">
        <v>1914</v>
      </c>
      <c r="C1927" s="698" t="s">
        <v>641</v>
      </c>
      <c r="D1927" s="698" t="s">
        <v>1198</v>
      </c>
      <c r="E1927" s="698"/>
      <c r="F1927" s="698"/>
      <c r="G1927" s="698"/>
    </row>
    <row r="1928" spans="1:7" ht="17.25" customHeight="1" x14ac:dyDescent="0.2">
      <c r="A1928" s="341" t="s">
        <v>1145</v>
      </c>
      <c r="B1928" s="322">
        <v>1915</v>
      </c>
      <c r="C1928" s="698" t="s">
        <v>1199</v>
      </c>
      <c r="D1928" s="698" t="s">
        <v>1200</v>
      </c>
      <c r="E1928" s="698"/>
      <c r="F1928" s="698"/>
      <c r="G1928" s="698"/>
    </row>
    <row r="1929" spans="1:7" ht="17.25" customHeight="1" x14ac:dyDescent="0.2">
      <c r="A1929" s="341" t="s">
        <v>1145</v>
      </c>
      <c r="B1929" s="322">
        <v>1916</v>
      </c>
      <c r="C1929" s="698"/>
      <c r="D1929" s="698"/>
      <c r="E1929" s="698"/>
      <c r="F1929" s="698"/>
      <c r="G1929" s="698"/>
    </row>
    <row r="1930" spans="1:7" ht="17.25" customHeight="1" thickBot="1" x14ac:dyDescent="0.25">
      <c r="A1930" s="412" t="s">
        <v>1145</v>
      </c>
      <c r="B1930" s="713">
        <v>1917</v>
      </c>
      <c r="C1930" s="715" t="s">
        <v>1201</v>
      </c>
      <c r="D1930" s="715" t="s">
        <v>1202</v>
      </c>
      <c r="E1930" s="715"/>
      <c r="F1930" s="715"/>
      <c r="G1930" s="715"/>
    </row>
    <row r="1931" spans="1:7" ht="17.25" customHeight="1" thickBot="1" x14ac:dyDescent="0.25">
      <c r="A1931" s="413"/>
      <c r="B1931" s="369">
        <v>1918</v>
      </c>
      <c r="C1931" s="370"/>
      <c r="D1931" s="370"/>
      <c r="E1931" s="414"/>
      <c r="F1931" s="414"/>
      <c r="G1931" s="370"/>
    </row>
    <row r="1932" spans="1:7" ht="17.25" customHeight="1" x14ac:dyDescent="0.2">
      <c r="A1932" s="489" t="s">
        <v>1203</v>
      </c>
      <c r="B1932" s="322">
        <v>1919</v>
      </c>
      <c r="C1932" s="149"/>
      <c r="D1932" s="149"/>
      <c r="E1932" s="149"/>
      <c r="F1932" s="149"/>
      <c r="G1932" s="149"/>
    </row>
    <row r="1933" spans="1:7" ht="17.25" customHeight="1" x14ac:dyDescent="0.2">
      <c r="A1933" s="489" t="s">
        <v>1203</v>
      </c>
      <c r="B1933" s="322">
        <v>1920</v>
      </c>
      <c r="C1933" s="698"/>
      <c r="D1933" s="698"/>
      <c r="E1933" s="698"/>
      <c r="F1933" s="698"/>
      <c r="G1933" s="698"/>
    </row>
    <row r="1934" spans="1:7" ht="17.25" customHeight="1" x14ac:dyDescent="0.2">
      <c r="A1934" s="489" t="s">
        <v>1203</v>
      </c>
      <c r="B1934" s="322">
        <v>1921</v>
      </c>
      <c r="C1934" s="698"/>
      <c r="D1934" s="698"/>
      <c r="E1934" s="698"/>
      <c r="F1934" s="698"/>
      <c r="G1934" s="698"/>
    </row>
    <row r="1935" spans="1:7" ht="17.25" customHeight="1" x14ac:dyDescent="0.2">
      <c r="A1935" s="489" t="s">
        <v>1203</v>
      </c>
      <c r="B1935" s="322">
        <v>1922</v>
      </c>
      <c r="C1935" s="698"/>
      <c r="D1935" s="698"/>
      <c r="E1935" s="698"/>
      <c r="F1935" s="698"/>
      <c r="G1935" s="698"/>
    </row>
    <row r="1936" spans="1:7" ht="17.25" customHeight="1" x14ac:dyDescent="0.2">
      <c r="A1936" s="489" t="s">
        <v>1203</v>
      </c>
      <c r="B1936" s="322">
        <v>1923</v>
      </c>
      <c r="C1936" s="698"/>
      <c r="D1936" s="698"/>
      <c r="E1936" s="698"/>
      <c r="F1936" s="698"/>
      <c r="G1936" s="698"/>
    </row>
    <row r="1937" spans="1:7" ht="17.25" customHeight="1" x14ac:dyDescent="0.2">
      <c r="A1937" s="489" t="s">
        <v>1203</v>
      </c>
      <c r="B1937" s="322">
        <v>1924</v>
      </c>
      <c r="C1937" s="698"/>
      <c r="D1937" s="698"/>
      <c r="E1937" s="698"/>
      <c r="F1937" s="698"/>
      <c r="G1937" s="698"/>
    </row>
    <row r="1938" spans="1:7" ht="17.25" customHeight="1" x14ac:dyDescent="0.2">
      <c r="A1938" s="489" t="s">
        <v>1203</v>
      </c>
      <c r="B1938" s="322">
        <v>1925</v>
      </c>
      <c r="C1938" s="698"/>
      <c r="D1938" s="698"/>
      <c r="E1938" s="698"/>
      <c r="F1938" s="698"/>
      <c r="G1938" s="698"/>
    </row>
    <row r="1939" spans="1:7" ht="17.25" customHeight="1" x14ac:dyDescent="0.2">
      <c r="A1939" s="489" t="s">
        <v>1203</v>
      </c>
      <c r="B1939" s="322">
        <v>1926</v>
      </c>
      <c r="C1939" s="698"/>
      <c r="D1939" s="698"/>
      <c r="E1939" s="698"/>
      <c r="F1939" s="698"/>
      <c r="G1939" s="698"/>
    </row>
    <row r="1940" spans="1:7" ht="17.25" customHeight="1" x14ac:dyDescent="0.2">
      <c r="A1940" s="489" t="s">
        <v>1203</v>
      </c>
      <c r="B1940" s="322">
        <v>1927</v>
      </c>
      <c r="C1940" s="149" t="s">
        <v>1204</v>
      </c>
      <c r="D1940" s="149" t="s">
        <v>1205</v>
      </c>
      <c r="E1940" s="698"/>
      <c r="F1940" s="698"/>
      <c r="G1940" s="698"/>
    </row>
    <row r="1941" spans="1:7" ht="17.25" customHeight="1" x14ac:dyDescent="0.2">
      <c r="A1941" s="489" t="s">
        <v>1203</v>
      </c>
      <c r="B1941" s="322">
        <v>1928</v>
      </c>
      <c r="C1941" s="149"/>
      <c r="D1941" s="149"/>
      <c r="E1941" s="698"/>
      <c r="F1941" s="698"/>
      <c r="G1941" s="698"/>
    </row>
    <row r="1942" spans="1:7" ht="17.25" customHeight="1" x14ac:dyDescent="0.2">
      <c r="A1942" s="489" t="s">
        <v>1203</v>
      </c>
      <c r="B1942" s="322">
        <v>1929</v>
      </c>
      <c r="C1942" s="149"/>
      <c r="D1942" s="149"/>
      <c r="E1942" s="698"/>
      <c r="F1942" s="698"/>
      <c r="G1942" s="698"/>
    </row>
    <row r="1943" spans="1:7" ht="17.25" customHeight="1" x14ac:dyDescent="0.2">
      <c r="A1943" s="489" t="s">
        <v>1203</v>
      </c>
      <c r="B1943" s="322">
        <v>1930</v>
      </c>
      <c r="C1943" s="149"/>
      <c r="D1943" s="149"/>
      <c r="E1943" s="698"/>
      <c r="F1943" s="698"/>
      <c r="G1943" s="698"/>
    </row>
    <row r="1944" spans="1:7" ht="17.25" customHeight="1" x14ac:dyDescent="0.2">
      <c r="A1944" s="489" t="s">
        <v>1203</v>
      </c>
      <c r="B1944" s="322">
        <v>1931</v>
      </c>
      <c r="C1944" s="149"/>
      <c r="D1944" s="149"/>
      <c r="E1944" s="698"/>
      <c r="F1944" s="698"/>
      <c r="G1944" s="698"/>
    </row>
    <row r="1945" spans="1:7" ht="17.25" customHeight="1" x14ac:dyDescent="0.2">
      <c r="A1945" s="489" t="s">
        <v>1203</v>
      </c>
      <c r="B1945" s="322">
        <v>1932</v>
      </c>
      <c r="C1945" s="149"/>
      <c r="D1945" s="149"/>
      <c r="E1945" s="698"/>
      <c r="F1945" s="698"/>
      <c r="G1945" s="698"/>
    </row>
    <row r="1946" spans="1:7" ht="17.25" customHeight="1" x14ac:dyDescent="0.2">
      <c r="A1946" s="489" t="s">
        <v>1203</v>
      </c>
      <c r="B1946" s="322">
        <v>1933</v>
      </c>
      <c r="C1946" s="149"/>
      <c r="D1946" s="149"/>
      <c r="E1946" s="698"/>
      <c r="F1946" s="698"/>
      <c r="G1946" s="698"/>
    </row>
    <row r="1947" spans="1:7" ht="17.25" customHeight="1" x14ac:dyDescent="0.2">
      <c r="A1947" s="489" t="s">
        <v>1203</v>
      </c>
      <c r="B1947" s="322">
        <v>1934</v>
      </c>
      <c r="C1947" s="149"/>
      <c r="D1947" s="149"/>
      <c r="E1947" s="698"/>
      <c r="F1947" s="698"/>
      <c r="G1947" s="698"/>
    </row>
    <row r="1948" spans="1:7" ht="17.25" customHeight="1" x14ac:dyDescent="0.2">
      <c r="A1948" s="489" t="s">
        <v>1203</v>
      </c>
      <c r="B1948" s="322">
        <v>1935</v>
      </c>
      <c r="C1948" s="149"/>
      <c r="D1948" s="149"/>
      <c r="E1948" s="698"/>
      <c r="F1948" s="698"/>
      <c r="G1948" s="698"/>
    </row>
    <row r="1949" spans="1:7" ht="17.25" customHeight="1" x14ac:dyDescent="0.2">
      <c r="A1949" s="489" t="s">
        <v>1203</v>
      </c>
      <c r="B1949" s="322">
        <v>1936</v>
      </c>
      <c r="C1949" s="149"/>
      <c r="D1949" s="149"/>
      <c r="E1949" s="698"/>
      <c r="F1949" s="698"/>
      <c r="G1949" s="698"/>
    </row>
    <row r="1950" spans="1:7" ht="17.25" customHeight="1" x14ac:dyDescent="0.2">
      <c r="A1950" s="489" t="s">
        <v>1203</v>
      </c>
      <c r="B1950" s="322">
        <v>1937</v>
      </c>
      <c r="C1950" s="149"/>
      <c r="D1950" s="149"/>
      <c r="E1950" s="698"/>
      <c r="F1950" s="698"/>
      <c r="G1950" s="698"/>
    </row>
    <row r="1951" spans="1:7" ht="50.1" x14ac:dyDescent="0.2">
      <c r="A1951" s="489" t="s">
        <v>1203</v>
      </c>
      <c r="B1951" s="322">
        <v>1938</v>
      </c>
      <c r="C1951" s="149" t="s">
        <v>1206</v>
      </c>
      <c r="D1951" s="149" t="s">
        <v>1207</v>
      </c>
      <c r="E1951" s="698"/>
      <c r="F1951" s="698"/>
      <c r="G1951" s="698"/>
    </row>
    <row r="1952" spans="1:7" ht="17.25" customHeight="1" x14ac:dyDescent="0.2">
      <c r="A1952" s="489" t="s">
        <v>1203</v>
      </c>
      <c r="B1952" s="322">
        <v>1939</v>
      </c>
      <c r="C1952" s="149"/>
      <c r="D1952" s="149"/>
      <c r="E1952" s="698"/>
      <c r="F1952" s="698"/>
      <c r="G1952" s="698"/>
    </row>
    <row r="1953" spans="1:7" ht="17.25" customHeight="1" x14ac:dyDescent="0.2">
      <c r="A1953" s="489" t="s">
        <v>1203</v>
      </c>
      <c r="B1953" s="322">
        <v>1940</v>
      </c>
      <c r="C1953" s="149"/>
      <c r="D1953" s="149"/>
      <c r="E1953" s="698"/>
      <c r="F1953" s="698"/>
      <c r="G1953" s="698"/>
    </row>
    <row r="1954" spans="1:7" ht="17.25" customHeight="1" x14ac:dyDescent="0.2">
      <c r="A1954" s="489" t="s">
        <v>1203</v>
      </c>
      <c r="B1954" s="322">
        <v>1941</v>
      </c>
      <c r="C1954" s="149"/>
      <c r="D1954" s="149"/>
      <c r="E1954" s="698"/>
      <c r="F1954" s="698"/>
      <c r="G1954" s="698"/>
    </row>
    <row r="1955" spans="1:7" ht="17.25" customHeight="1" x14ac:dyDescent="0.2">
      <c r="A1955" s="489" t="s">
        <v>1203</v>
      </c>
      <c r="B1955" s="322">
        <v>1942</v>
      </c>
      <c r="C1955" s="149" t="s">
        <v>1208</v>
      </c>
      <c r="D1955" s="149" t="s">
        <v>1208</v>
      </c>
      <c r="E1955" s="698"/>
      <c r="F1955" s="698"/>
      <c r="G1955" s="698"/>
    </row>
    <row r="1956" spans="1:7" ht="17.25" customHeight="1" x14ac:dyDescent="0.2">
      <c r="A1956" s="489" t="s">
        <v>1203</v>
      </c>
      <c r="B1956" s="322">
        <v>1943</v>
      </c>
      <c r="C1956" s="149" t="s">
        <v>1209</v>
      </c>
      <c r="D1956" s="149" t="s">
        <v>1209</v>
      </c>
      <c r="E1956" s="698"/>
      <c r="F1956" s="698"/>
      <c r="G1956" s="698"/>
    </row>
    <row r="1957" spans="1:7" ht="17.25" customHeight="1" x14ac:dyDescent="0.2">
      <c r="A1957" s="489" t="s">
        <v>1203</v>
      </c>
      <c r="B1957" s="322">
        <v>1944</v>
      </c>
      <c r="C1957" s="149" t="s">
        <v>1210</v>
      </c>
      <c r="D1957" s="149" t="s">
        <v>1210</v>
      </c>
      <c r="E1957" s="698"/>
      <c r="F1957" s="698"/>
      <c r="G1957" s="698"/>
    </row>
    <row r="1958" spans="1:7" ht="17.25" customHeight="1" x14ac:dyDescent="0.2">
      <c r="A1958" s="489" t="s">
        <v>1203</v>
      </c>
      <c r="B1958" s="322">
        <v>1945</v>
      </c>
      <c r="C1958" s="149"/>
      <c r="D1958" s="149"/>
      <c r="E1958" s="698"/>
      <c r="F1958" s="698"/>
      <c r="G1958" s="698"/>
    </row>
    <row r="1959" spans="1:7" ht="17.25" customHeight="1" x14ac:dyDescent="0.2">
      <c r="A1959" s="489" t="s">
        <v>1203</v>
      </c>
      <c r="B1959" s="322">
        <v>1946</v>
      </c>
      <c r="C1959" s="149"/>
      <c r="D1959" s="149"/>
      <c r="E1959" s="698"/>
      <c r="F1959" s="698"/>
      <c r="G1959" s="698"/>
    </row>
    <row r="1960" spans="1:7" ht="17.25" customHeight="1" x14ac:dyDescent="0.2">
      <c r="A1960" s="489" t="s">
        <v>1203</v>
      </c>
      <c r="B1960" s="322">
        <v>1947</v>
      </c>
      <c r="C1960" s="149"/>
      <c r="D1960" s="149"/>
      <c r="E1960" s="698"/>
      <c r="F1960" s="698"/>
      <c r="G1960" s="698"/>
    </row>
    <row r="1961" spans="1:7" ht="17.25" customHeight="1" x14ac:dyDescent="0.2">
      <c r="A1961" s="490" t="s">
        <v>1203</v>
      </c>
      <c r="B1961" s="491">
        <v>1948</v>
      </c>
      <c r="C1961" s="492"/>
      <c r="D1961" s="492"/>
      <c r="E1961" s="752"/>
      <c r="F1961" s="752"/>
      <c r="G1961" s="752"/>
    </row>
    <row r="1962" spans="1:7" ht="17.25" customHeight="1" x14ac:dyDescent="0.2">
      <c r="A1962" s="489" t="s">
        <v>1211</v>
      </c>
      <c r="B1962" s="322">
        <v>1949</v>
      </c>
      <c r="C1962" s="149"/>
      <c r="D1962" s="149"/>
      <c r="E1962" s="149"/>
      <c r="F1962" s="149"/>
      <c r="G1962" s="149"/>
    </row>
    <row r="1963" spans="1:7" ht="17.25" customHeight="1" x14ac:dyDescent="0.2">
      <c r="A1963" s="489" t="s">
        <v>1211</v>
      </c>
      <c r="B1963" s="322">
        <v>1950</v>
      </c>
      <c r="C1963" s="149"/>
      <c r="D1963" s="149"/>
      <c r="E1963" s="698"/>
      <c r="F1963" s="698"/>
      <c r="G1963" s="698"/>
    </row>
    <row r="1964" spans="1:7" ht="17.25" customHeight="1" x14ac:dyDescent="0.2">
      <c r="A1964" s="489" t="s">
        <v>1211</v>
      </c>
      <c r="B1964" s="322">
        <v>1951</v>
      </c>
      <c r="C1964" s="149"/>
      <c r="D1964" s="149"/>
      <c r="E1964" s="698"/>
      <c r="F1964" s="698"/>
      <c r="G1964" s="698"/>
    </row>
    <row r="1965" spans="1:7" ht="17.25" customHeight="1" x14ac:dyDescent="0.2">
      <c r="A1965" s="489" t="s">
        <v>1211</v>
      </c>
      <c r="B1965" s="322">
        <v>1952</v>
      </c>
      <c r="C1965" s="698" t="s">
        <v>1212</v>
      </c>
      <c r="D1965" s="698" t="s">
        <v>1213</v>
      </c>
      <c r="E1965" s="698"/>
      <c r="F1965" s="698"/>
      <c r="G1965" s="698"/>
    </row>
    <row r="1966" spans="1:7" ht="33.049999999999997" customHeight="1" x14ac:dyDescent="0.2">
      <c r="A1966" s="489" t="s">
        <v>1211</v>
      </c>
      <c r="B1966" s="322">
        <v>1953</v>
      </c>
      <c r="C1966" s="149" t="s">
        <v>203</v>
      </c>
      <c r="D1966" s="149" t="s">
        <v>204</v>
      </c>
      <c r="E1966" s="698"/>
      <c r="F1966" s="698"/>
      <c r="G1966" s="698"/>
    </row>
    <row r="1967" spans="1:7" ht="17.25" customHeight="1" x14ac:dyDescent="0.2">
      <c r="A1967" s="489" t="s">
        <v>1211</v>
      </c>
      <c r="B1967" s="322">
        <v>1954</v>
      </c>
      <c r="C1967" s="149"/>
      <c r="D1967" s="149"/>
      <c r="E1967" s="698"/>
      <c r="F1967" s="698"/>
      <c r="G1967" s="698"/>
    </row>
    <row r="1968" spans="1:7" ht="41.95" customHeight="1" x14ac:dyDescent="0.2">
      <c r="A1968" s="489" t="s">
        <v>1211</v>
      </c>
      <c r="B1968" s="322">
        <v>1955</v>
      </c>
      <c r="C1968" s="698" t="s">
        <v>1214</v>
      </c>
      <c r="D1968" s="698" t="s">
        <v>1215</v>
      </c>
      <c r="E1968" s="698"/>
      <c r="F1968" s="698"/>
      <c r="G1968" s="698"/>
    </row>
    <row r="1969" spans="1:7" ht="17.25" customHeight="1" x14ac:dyDescent="0.2">
      <c r="A1969" s="489" t="s">
        <v>1211</v>
      </c>
      <c r="B1969" s="322">
        <v>1956</v>
      </c>
      <c r="C1969" s="149"/>
      <c r="D1969" s="149"/>
      <c r="E1969" s="698"/>
      <c r="F1969" s="698"/>
      <c r="G1969" s="698"/>
    </row>
    <row r="1970" spans="1:7" ht="17.25" customHeight="1" x14ac:dyDescent="0.2">
      <c r="A1970" s="489" t="s">
        <v>1211</v>
      </c>
      <c r="B1970" s="322">
        <v>1957</v>
      </c>
      <c r="C1970" s="698"/>
      <c r="D1970" s="698"/>
      <c r="E1970" s="698"/>
      <c r="F1970" s="698"/>
      <c r="G1970" s="698"/>
    </row>
    <row r="1971" spans="1:7" ht="17.25" customHeight="1" x14ac:dyDescent="0.2">
      <c r="A1971" s="489" t="s">
        <v>1211</v>
      </c>
      <c r="B1971" s="322">
        <v>1958</v>
      </c>
      <c r="C1971" s="701" t="s">
        <v>1216</v>
      </c>
      <c r="D1971" s="702" t="s">
        <v>1217</v>
      </c>
      <c r="E1971" s="698"/>
      <c r="F1971" s="698"/>
      <c r="G1971" s="698"/>
    </row>
    <row r="1972" spans="1:7" ht="17.25" customHeight="1" x14ac:dyDescent="0.2">
      <c r="A1972" s="489" t="s">
        <v>1211</v>
      </c>
      <c r="B1972" s="322">
        <v>1959</v>
      </c>
      <c r="C1972" s="701" t="s">
        <v>1218</v>
      </c>
      <c r="D1972" s="702" t="s">
        <v>1219</v>
      </c>
      <c r="E1972" s="698"/>
      <c r="F1972" s="698"/>
      <c r="G1972" s="698"/>
    </row>
    <row r="1973" spans="1:7" ht="17.25" customHeight="1" x14ac:dyDescent="0.2">
      <c r="A1973" s="489" t="s">
        <v>1211</v>
      </c>
      <c r="B1973" s="322">
        <v>1960</v>
      </c>
      <c r="C1973" s="701" t="s">
        <v>1220</v>
      </c>
      <c r="D1973" s="702" t="s">
        <v>1221</v>
      </c>
      <c r="E1973" s="698"/>
      <c r="F1973" s="698"/>
      <c r="G1973" s="698"/>
    </row>
    <row r="1974" spans="1:7" ht="17.25" customHeight="1" x14ac:dyDescent="0.2">
      <c r="A1974" s="489" t="s">
        <v>1211</v>
      </c>
      <c r="B1974" s="322">
        <v>1961</v>
      </c>
      <c r="C1974" s="705" t="s">
        <v>1222</v>
      </c>
      <c r="D1974" s="705" t="s">
        <v>1223</v>
      </c>
      <c r="E1974" s="698"/>
      <c r="F1974" s="698"/>
      <c r="G1974" s="698"/>
    </row>
    <row r="1975" spans="1:7" ht="17.25" customHeight="1" x14ac:dyDescent="0.2">
      <c r="A1975" s="489" t="s">
        <v>1211</v>
      </c>
      <c r="B1975" s="322">
        <v>1962</v>
      </c>
      <c r="C1975" s="707" t="s">
        <v>1224</v>
      </c>
      <c r="D1975" s="707" t="s">
        <v>1225</v>
      </c>
      <c r="E1975" s="698"/>
      <c r="F1975" s="698"/>
      <c r="G1975" s="698"/>
    </row>
    <row r="1976" spans="1:7" ht="17.25" customHeight="1" x14ac:dyDescent="0.2">
      <c r="A1976" s="489" t="s">
        <v>1211</v>
      </c>
      <c r="B1976" s="322">
        <v>1963</v>
      </c>
      <c r="C1976" s="698"/>
      <c r="D1976" s="698"/>
      <c r="E1976" s="698"/>
      <c r="F1976" s="698"/>
      <c r="G1976" s="698"/>
    </row>
    <row r="1977" spans="1:7" ht="17.25" customHeight="1" x14ac:dyDescent="0.2">
      <c r="A1977" s="489" t="s">
        <v>1211</v>
      </c>
      <c r="B1977" s="322">
        <v>1964</v>
      </c>
      <c r="C1977" s="698"/>
      <c r="D1977" s="698"/>
      <c r="E1977" s="698"/>
      <c r="F1977" s="698"/>
      <c r="G1977" s="698"/>
    </row>
    <row r="1978" spans="1:7" ht="17.25" customHeight="1" x14ac:dyDescent="0.2">
      <c r="A1978" s="489" t="s">
        <v>1211</v>
      </c>
      <c r="B1978" s="493">
        <v>1965</v>
      </c>
      <c r="C1978" s="739" t="s">
        <v>80</v>
      </c>
      <c r="D1978" s="739" t="s">
        <v>81</v>
      </c>
      <c r="E1978" s="739"/>
      <c r="F1978" s="739"/>
      <c r="G1978" s="739"/>
    </row>
    <row r="1979" spans="1:7" ht="17.25" customHeight="1" x14ac:dyDescent="0.2">
      <c r="A1979" s="489" t="s">
        <v>1211</v>
      </c>
      <c r="B1979" s="493">
        <v>1966</v>
      </c>
      <c r="C1979" s="739" t="s">
        <v>1226</v>
      </c>
      <c r="D1979" s="739" t="s">
        <v>1227</v>
      </c>
      <c r="E1979" s="739"/>
      <c r="F1979" s="739"/>
      <c r="G1979" s="739"/>
    </row>
    <row r="1980" spans="1:7" ht="50.1" x14ac:dyDescent="0.2">
      <c r="A1980" s="489" t="s">
        <v>1211</v>
      </c>
      <c r="B1980" s="331">
        <v>1967</v>
      </c>
      <c r="C1980" s="759" t="s">
        <v>1228</v>
      </c>
      <c r="D1980" s="698"/>
      <c r="E1980" s="698"/>
      <c r="F1980" s="698"/>
      <c r="G1980" s="698"/>
    </row>
    <row r="1981" spans="1:7" ht="50.1" x14ac:dyDescent="0.2">
      <c r="A1981" s="489" t="s">
        <v>1211</v>
      </c>
      <c r="B1981" s="331">
        <v>1968</v>
      </c>
      <c r="C1981" s="759" t="s">
        <v>1229</v>
      </c>
      <c r="D1981" s="698"/>
      <c r="E1981" s="698"/>
      <c r="F1981" s="698"/>
      <c r="G1981" s="698"/>
    </row>
    <row r="1982" spans="1:7" ht="54" customHeight="1" x14ac:dyDescent="0.2">
      <c r="A1982" s="489" t="s">
        <v>1211</v>
      </c>
      <c r="B1982" s="322">
        <v>1969</v>
      </c>
      <c r="C1982" s="705" t="s">
        <v>1230</v>
      </c>
      <c r="D1982" s="698" t="s">
        <v>1231</v>
      </c>
      <c r="E1982" s="698"/>
      <c r="F1982" s="698"/>
      <c r="G1982" s="698"/>
    </row>
    <row r="1983" spans="1:7" ht="50.1" customHeight="1" x14ac:dyDescent="0.2">
      <c r="A1983" s="489" t="s">
        <v>1211</v>
      </c>
      <c r="B1983" s="322">
        <v>1970</v>
      </c>
      <c r="C1983" s="705" t="s">
        <v>1232</v>
      </c>
      <c r="D1983" s="705" t="s">
        <v>1233</v>
      </c>
      <c r="E1983" s="698"/>
      <c r="F1983" s="698"/>
      <c r="G1983" s="698"/>
    </row>
    <row r="1984" spans="1:7" ht="17.25" customHeight="1" x14ac:dyDescent="0.2">
      <c r="A1984" s="489" t="s">
        <v>1211</v>
      </c>
      <c r="B1984" s="322">
        <v>1971</v>
      </c>
      <c r="C1984" s="698"/>
      <c r="D1984" s="698"/>
      <c r="E1984" s="698"/>
      <c r="F1984" s="698"/>
      <c r="G1984" s="698"/>
    </row>
    <row r="1985" spans="1:7" ht="17.25" customHeight="1" x14ac:dyDescent="0.2">
      <c r="A1985" s="489" t="s">
        <v>1211</v>
      </c>
      <c r="B1985" s="493">
        <v>1972</v>
      </c>
      <c r="C1985" s="739" t="s">
        <v>230</v>
      </c>
      <c r="D1985" s="739" t="s">
        <v>1234</v>
      </c>
      <c r="E1985" s="739"/>
      <c r="F1985" s="739"/>
      <c r="G1985" s="739"/>
    </row>
    <row r="1986" spans="1:7" ht="17.25" customHeight="1" x14ac:dyDescent="0.2">
      <c r="A1986" s="489" t="s">
        <v>1211</v>
      </c>
      <c r="B1986" s="493">
        <v>1973</v>
      </c>
      <c r="C1986" s="739" t="s">
        <v>187</v>
      </c>
      <c r="D1986" s="739" t="s">
        <v>188</v>
      </c>
      <c r="E1986" s="739"/>
      <c r="F1986" s="739"/>
      <c r="G1986" s="739"/>
    </row>
    <row r="1987" spans="1:7" ht="69.849999999999994" customHeight="1" x14ac:dyDescent="0.2">
      <c r="A1987" s="489" t="s">
        <v>1211</v>
      </c>
      <c r="B1987" s="493">
        <v>1974</v>
      </c>
      <c r="C1987" s="698" t="s">
        <v>1235</v>
      </c>
      <c r="D1987" s="698" t="s">
        <v>1236</v>
      </c>
      <c r="E1987" s="698"/>
      <c r="F1987" s="698"/>
      <c r="G1987" s="698"/>
    </row>
    <row r="1988" spans="1:7" ht="36.65" customHeight="1" x14ac:dyDescent="0.2">
      <c r="A1988" s="489" t="s">
        <v>1211</v>
      </c>
      <c r="B1988" s="493">
        <v>1975</v>
      </c>
      <c r="C1988" s="698" t="s">
        <v>1237</v>
      </c>
      <c r="D1988" s="698" t="s">
        <v>1238</v>
      </c>
      <c r="E1988" s="698"/>
      <c r="F1988" s="698"/>
      <c r="G1988" s="698"/>
    </row>
    <row r="1989" spans="1:7" ht="17.25" customHeight="1" x14ac:dyDescent="0.2">
      <c r="A1989" s="489" t="s">
        <v>1211</v>
      </c>
      <c r="B1989" s="322">
        <v>1976</v>
      </c>
      <c r="C1989" s="698"/>
      <c r="D1989" s="698"/>
      <c r="E1989" s="698"/>
      <c r="F1989" s="698"/>
      <c r="G1989" s="698"/>
    </row>
    <row r="1990" spans="1:7" ht="17.25" customHeight="1" x14ac:dyDescent="0.2">
      <c r="A1990" s="489" t="s">
        <v>1211</v>
      </c>
      <c r="B1990" s="322">
        <v>1977</v>
      </c>
      <c r="C1990" s="698"/>
      <c r="D1990" s="698"/>
      <c r="E1990" s="698"/>
      <c r="F1990" s="698"/>
      <c r="G1990" s="698"/>
    </row>
    <row r="1991" spans="1:7" ht="17.25" customHeight="1" x14ac:dyDescent="0.2">
      <c r="A1991" s="489" t="s">
        <v>1211</v>
      </c>
      <c r="B1991" s="322">
        <v>1978</v>
      </c>
      <c r="C1991" s="698"/>
      <c r="D1991" s="698"/>
      <c r="E1991" s="698"/>
      <c r="F1991" s="698"/>
      <c r="G1991" s="698"/>
    </row>
    <row r="1992" spans="1:7" ht="17.25" customHeight="1" x14ac:dyDescent="0.2">
      <c r="A1992" s="489" t="s">
        <v>1211</v>
      </c>
      <c r="B1992" s="493">
        <v>1979</v>
      </c>
      <c r="C1992" s="739" t="s">
        <v>82</v>
      </c>
      <c r="D1992" s="739" t="s">
        <v>83</v>
      </c>
      <c r="E1992" s="739"/>
      <c r="F1992" s="739"/>
      <c r="G1992" s="739"/>
    </row>
    <row r="1993" spans="1:7" ht="17.25" customHeight="1" x14ac:dyDescent="0.2">
      <c r="A1993" s="489" t="s">
        <v>1211</v>
      </c>
      <c r="B1993" s="331">
        <v>1980</v>
      </c>
      <c r="C1993" s="698"/>
      <c r="D1993" s="698"/>
      <c r="E1993" s="698"/>
      <c r="F1993" s="698"/>
      <c r="G1993" s="698"/>
    </row>
    <row r="1994" spans="1:7" ht="12.55" x14ac:dyDescent="0.2">
      <c r="A1994" s="489" t="s">
        <v>1211</v>
      </c>
      <c r="B1994" s="331">
        <v>1981</v>
      </c>
      <c r="C1994" s="698"/>
      <c r="D1994" s="698"/>
      <c r="E1994" s="698"/>
      <c r="F1994" s="698"/>
      <c r="G1994" s="698"/>
    </row>
    <row r="1995" spans="1:7" ht="12.55" x14ac:dyDescent="0.2">
      <c r="A1995" s="489" t="s">
        <v>1211</v>
      </c>
      <c r="B1995" s="331">
        <v>1982</v>
      </c>
      <c r="C1995" s="698"/>
      <c r="D1995" s="698"/>
      <c r="E1995" s="698"/>
      <c r="F1995" s="698"/>
      <c r="G1995" s="698"/>
    </row>
    <row r="1996" spans="1:7" ht="17.25" customHeight="1" x14ac:dyDescent="0.2">
      <c r="A1996" s="489" t="s">
        <v>1211</v>
      </c>
      <c r="B1996" s="493">
        <v>1983</v>
      </c>
      <c r="C1996" s="739" t="s">
        <v>1239</v>
      </c>
      <c r="D1996" s="739" t="s">
        <v>1240</v>
      </c>
      <c r="E1996" s="739"/>
      <c r="F1996" s="739"/>
      <c r="G1996" s="739"/>
    </row>
    <row r="1997" spans="1:7" ht="34.15" customHeight="1" x14ac:dyDescent="0.2">
      <c r="A1997" s="489" t="s">
        <v>1211</v>
      </c>
      <c r="B1997" s="493">
        <v>1984</v>
      </c>
      <c r="C1997" s="698" t="s">
        <v>1241</v>
      </c>
      <c r="D1997" s="698" t="s">
        <v>1242</v>
      </c>
      <c r="E1997" s="698"/>
      <c r="F1997" s="698"/>
      <c r="G1997" s="698"/>
    </row>
    <row r="1998" spans="1:7" ht="46.2" customHeight="1" x14ac:dyDescent="0.2">
      <c r="A1998" s="489" t="s">
        <v>1211</v>
      </c>
      <c r="B1998" s="493">
        <v>1985</v>
      </c>
      <c r="C1998" s="698" t="s">
        <v>1243</v>
      </c>
      <c r="D1998" s="698" t="s">
        <v>1244</v>
      </c>
      <c r="E1998" s="698"/>
      <c r="F1998" s="698"/>
      <c r="G1998" s="698"/>
    </row>
    <row r="1999" spans="1:7" ht="23.95" customHeight="1" x14ac:dyDescent="0.2">
      <c r="A1999" s="489" t="s">
        <v>1211</v>
      </c>
      <c r="B1999" s="493">
        <v>1986</v>
      </c>
      <c r="C1999" s="739" t="s">
        <v>254</v>
      </c>
      <c r="D1999" s="739" t="s">
        <v>255</v>
      </c>
      <c r="E1999" s="739"/>
      <c r="F1999" s="739"/>
      <c r="G1999" s="698"/>
    </row>
    <row r="2000" spans="1:7" ht="32.1" customHeight="1" x14ac:dyDescent="0.2">
      <c r="A2000" s="489"/>
      <c r="B2000" s="331">
        <v>1987</v>
      </c>
      <c r="C2000" s="698" t="s">
        <v>1245</v>
      </c>
      <c r="D2000" s="698" t="s">
        <v>1246</v>
      </c>
      <c r="E2000" s="698"/>
      <c r="F2000" s="698"/>
      <c r="G2000" s="698"/>
    </row>
    <row r="2001" spans="1:7" ht="17.25" customHeight="1" x14ac:dyDescent="0.2">
      <c r="A2001" s="489" t="s">
        <v>1211</v>
      </c>
      <c r="B2001" s="331">
        <v>1988</v>
      </c>
      <c r="C2001" s="698" t="s">
        <v>1247</v>
      </c>
      <c r="D2001" s="698" t="s">
        <v>1248</v>
      </c>
      <c r="E2001" s="698"/>
      <c r="F2001" s="698"/>
      <c r="G2001" s="698"/>
    </row>
    <row r="2002" spans="1:7" ht="17.25" customHeight="1" x14ac:dyDescent="0.2">
      <c r="A2002" s="489" t="s">
        <v>1211</v>
      </c>
      <c r="B2002" s="493">
        <v>1989</v>
      </c>
      <c r="C2002" s="739" t="s">
        <v>1249</v>
      </c>
      <c r="D2002" s="739" t="s">
        <v>81</v>
      </c>
      <c r="E2002" s="739"/>
      <c r="F2002" s="739"/>
      <c r="G2002" s="739"/>
    </row>
    <row r="2003" spans="1:7" ht="41.35" customHeight="1" x14ac:dyDescent="0.2">
      <c r="A2003" s="489" t="s">
        <v>1211</v>
      </c>
      <c r="B2003" s="493">
        <v>1990</v>
      </c>
      <c r="C2003" s="698" t="s">
        <v>1250</v>
      </c>
      <c r="D2003" s="698" t="s">
        <v>1251</v>
      </c>
      <c r="E2003" s="698"/>
      <c r="F2003" s="698"/>
      <c r="G2003" s="698"/>
    </row>
    <row r="2004" spans="1:7" ht="94.25" customHeight="1" x14ac:dyDescent="0.2">
      <c r="A2004" s="489" t="s">
        <v>1211</v>
      </c>
      <c r="B2004" s="493">
        <v>1991</v>
      </c>
      <c r="C2004" s="730" t="s">
        <v>1252</v>
      </c>
      <c r="D2004" s="730" t="s">
        <v>1253</v>
      </c>
      <c r="E2004" s="698"/>
      <c r="F2004" s="698"/>
      <c r="G2004" s="698"/>
    </row>
    <row r="2005" spans="1:7" ht="44.15" customHeight="1" x14ac:dyDescent="0.2">
      <c r="A2005" s="489" t="s">
        <v>1211</v>
      </c>
      <c r="B2005" s="331">
        <v>1992</v>
      </c>
      <c r="C2005" s="698"/>
      <c r="D2005" s="698"/>
      <c r="E2005" s="698"/>
      <c r="F2005" s="698"/>
      <c r="G2005" s="698"/>
    </row>
    <row r="2006" spans="1:7" ht="17.25" customHeight="1" x14ac:dyDescent="0.2">
      <c r="A2006" s="489"/>
      <c r="B2006" s="331">
        <v>1993</v>
      </c>
      <c r="C2006" s="698"/>
      <c r="D2006" s="698"/>
      <c r="E2006" s="698"/>
      <c r="F2006" s="698"/>
      <c r="G2006" s="698"/>
    </row>
    <row r="2007" spans="1:7" ht="17.25" customHeight="1" x14ac:dyDescent="0.2">
      <c r="A2007" s="489" t="s">
        <v>1211</v>
      </c>
      <c r="B2007" s="331">
        <v>1994</v>
      </c>
      <c r="C2007" s="698"/>
      <c r="D2007" s="698"/>
      <c r="E2007" s="698"/>
      <c r="F2007" s="698"/>
      <c r="G2007" s="698"/>
    </row>
    <row r="2008" spans="1:7" ht="17.25" customHeight="1" x14ac:dyDescent="0.2">
      <c r="A2008" s="489" t="s">
        <v>1211</v>
      </c>
      <c r="B2008" s="493">
        <v>1995</v>
      </c>
      <c r="C2008" s="739" t="s">
        <v>1254</v>
      </c>
      <c r="D2008" s="739" t="s">
        <v>1255</v>
      </c>
      <c r="E2008" s="739"/>
      <c r="F2008" s="739"/>
      <c r="G2008" s="739"/>
    </row>
    <row r="2009" spans="1:7" ht="38.049999999999997" customHeight="1" x14ac:dyDescent="0.2">
      <c r="A2009" s="489" t="s">
        <v>1211</v>
      </c>
      <c r="B2009" s="493">
        <v>1996</v>
      </c>
      <c r="C2009" s="698" t="s">
        <v>1256</v>
      </c>
      <c r="D2009" s="698" t="s">
        <v>1257</v>
      </c>
      <c r="E2009" s="698"/>
      <c r="F2009" s="698"/>
      <c r="G2009" s="698"/>
    </row>
    <row r="2010" spans="1:7" ht="32.75" customHeight="1" x14ac:dyDescent="0.2">
      <c r="A2010" s="489" t="s">
        <v>1211</v>
      </c>
      <c r="B2010" s="493">
        <v>1997</v>
      </c>
      <c r="C2010" s="698" t="s">
        <v>1258</v>
      </c>
      <c r="D2010" s="698" t="s">
        <v>1259</v>
      </c>
      <c r="E2010" s="698"/>
      <c r="F2010" s="698"/>
      <c r="G2010" s="698"/>
    </row>
    <row r="2011" spans="1:7" ht="17.25" customHeight="1" x14ac:dyDescent="0.2">
      <c r="A2011" s="489" t="s">
        <v>1211</v>
      </c>
      <c r="B2011" s="331">
        <v>1998</v>
      </c>
      <c r="C2011" s="698"/>
      <c r="D2011" s="698"/>
      <c r="E2011" s="698"/>
      <c r="F2011" s="698"/>
      <c r="G2011" s="698"/>
    </row>
    <row r="2012" spans="1:7" ht="17.25" customHeight="1" x14ac:dyDescent="0.2">
      <c r="A2012" s="489"/>
      <c r="B2012" s="331">
        <v>1999</v>
      </c>
      <c r="C2012" s="698"/>
      <c r="D2012" s="698"/>
      <c r="E2012" s="698"/>
      <c r="F2012" s="698"/>
      <c r="G2012" s="698"/>
    </row>
    <row r="2013" spans="1:7" ht="17.25" customHeight="1" x14ac:dyDescent="0.2">
      <c r="A2013" s="489" t="s">
        <v>1211</v>
      </c>
      <c r="B2013" s="331">
        <v>2000</v>
      </c>
      <c r="C2013" s="698"/>
      <c r="D2013" s="698"/>
      <c r="E2013" s="698"/>
      <c r="F2013" s="698"/>
      <c r="G2013" s="698"/>
    </row>
    <row r="2014" spans="1:7" ht="17.25" customHeight="1" x14ac:dyDescent="0.2">
      <c r="A2014" s="489" t="s">
        <v>1211</v>
      </c>
      <c r="B2014" s="493">
        <v>2001</v>
      </c>
      <c r="C2014" s="739" t="s">
        <v>1260</v>
      </c>
      <c r="D2014" s="739" t="s">
        <v>1261</v>
      </c>
      <c r="E2014" s="739"/>
      <c r="F2014" s="739"/>
      <c r="G2014" s="739"/>
    </row>
    <row r="2015" spans="1:7" ht="35.25" customHeight="1" x14ac:dyDescent="0.2">
      <c r="A2015" s="489" t="s">
        <v>1211</v>
      </c>
      <c r="B2015" s="493">
        <v>2002</v>
      </c>
      <c r="C2015" s="698" t="s">
        <v>1262</v>
      </c>
      <c r="D2015" s="698" t="s">
        <v>1263</v>
      </c>
      <c r="E2015" s="698"/>
      <c r="F2015" s="698"/>
      <c r="G2015" s="698"/>
    </row>
    <row r="2016" spans="1:7" ht="60.6" customHeight="1" x14ac:dyDescent="0.2">
      <c r="A2016" s="489" t="s">
        <v>1211</v>
      </c>
      <c r="B2016" s="493">
        <v>2003</v>
      </c>
      <c r="C2016" s="698" t="s">
        <v>1264</v>
      </c>
      <c r="D2016" s="698" t="s">
        <v>1265</v>
      </c>
      <c r="E2016" s="698"/>
      <c r="F2016" s="698"/>
      <c r="G2016" s="698"/>
    </row>
    <row r="2017" spans="1:7" ht="38.200000000000003" customHeight="1" x14ac:dyDescent="0.2">
      <c r="A2017" s="489"/>
      <c r="B2017" s="331">
        <v>2004</v>
      </c>
      <c r="C2017" s="698"/>
      <c r="D2017" s="698"/>
      <c r="E2017" s="698"/>
      <c r="F2017" s="698"/>
      <c r="G2017" s="698"/>
    </row>
    <row r="2018" spans="1:7" ht="17.25" customHeight="1" x14ac:dyDescent="0.2">
      <c r="A2018" s="489" t="s">
        <v>1211</v>
      </c>
      <c r="B2018" s="331">
        <v>2005</v>
      </c>
      <c r="C2018" s="698"/>
      <c r="D2018" s="698"/>
      <c r="E2018" s="698"/>
      <c r="F2018" s="698"/>
      <c r="G2018" s="698"/>
    </row>
    <row r="2019" spans="1:7" ht="17.25" customHeight="1" x14ac:dyDescent="0.2">
      <c r="A2019" s="489" t="s">
        <v>1211</v>
      </c>
      <c r="B2019" s="331">
        <v>2006</v>
      </c>
      <c r="C2019" s="698"/>
      <c r="D2019" s="698"/>
      <c r="E2019" s="698"/>
      <c r="F2019" s="698"/>
      <c r="G2019" s="698"/>
    </row>
    <row r="2020" spans="1:7" ht="17.25" customHeight="1" x14ac:dyDescent="0.2">
      <c r="A2020" s="489" t="s">
        <v>1211</v>
      </c>
      <c r="B2020" s="493">
        <v>2007</v>
      </c>
      <c r="C2020" s="739" t="s">
        <v>1266</v>
      </c>
      <c r="D2020" s="739" t="s">
        <v>1267</v>
      </c>
      <c r="E2020" s="739"/>
      <c r="F2020" s="739"/>
      <c r="G2020" s="739"/>
    </row>
    <row r="2021" spans="1:7" ht="25.05" x14ac:dyDescent="0.2">
      <c r="A2021" s="489" t="s">
        <v>1211</v>
      </c>
      <c r="B2021" s="493">
        <v>2008</v>
      </c>
      <c r="C2021" s="698" t="s">
        <v>1268</v>
      </c>
      <c r="D2021" s="698" t="s">
        <v>1269</v>
      </c>
      <c r="E2021" s="698"/>
      <c r="F2021" s="698"/>
      <c r="G2021" s="698"/>
    </row>
    <row r="2022" spans="1:7" ht="35.700000000000003" customHeight="1" x14ac:dyDescent="0.2">
      <c r="A2022" s="489" t="s">
        <v>1211</v>
      </c>
      <c r="B2022" s="493">
        <v>2009</v>
      </c>
      <c r="C2022" s="698" t="s">
        <v>1270</v>
      </c>
      <c r="D2022" s="698" t="s">
        <v>1271</v>
      </c>
      <c r="E2022" s="698"/>
      <c r="F2022" s="698"/>
      <c r="G2022" s="698"/>
    </row>
    <row r="2023" spans="1:7" ht="12.55" x14ac:dyDescent="0.2">
      <c r="A2023" s="489"/>
      <c r="B2023" s="331">
        <v>2010</v>
      </c>
      <c r="C2023" s="698"/>
      <c r="D2023" s="698"/>
      <c r="E2023" s="698"/>
      <c r="F2023" s="698"/>
      <c r="G2023" s="698"/>
    </row>
    <row r="2024" spans="1:7" ht="17.25" customHeight="1" x14ac:dyDescent="0.2">
      <c r="A2024" s="489" t="s">
        <v>1211</v>
      </c>
      <c r="B2024" s="331">
        <v>2011</v>
      </c>
      <c r="C2024" s="698"/>
      <c r="D2024" s="698"/>
      <c r="E2024" s="698"/>
      <c r="F2024" s="698"/>
      <c r="G2024" s="698"/>
    </row>
    <row r="2025" spans="1:7" ht="17.25" customHeight="1" x14ac:dyDescent="0.2">
      <c r="A2025" s="489" t="s">
        <v>1211</v>
      </c>
      <c r="B2025" s="331">
        <v>2012</v>
      </c>
      <c r="C2025" s="698"/>
      <c r="D2025" s="698"/>
      <c r="E2025" s="698"/>
      <c r="F2025" s="698"/>
      <c r="G2025" s="698"/>
    </row>
    <row r="2026" spans="1:7" ht="17.25" customHeight="1" x14ac:dyDescent="0.2">
      <c r="A2026" s="489" t="s">
        <v>1211</v>
      </c>
      <c r="B2026" s="493">
        <v>2013</v>
      </c>
      <c r="C2026" s="760" t="s">
        <v>1272</v>
      </c>
      <c r="D2026" s="760" t="s">
        <v>1272</v>
      </c>
      <c r="E2026" s="760"/>
      <c r="F2026" s="760"/>
      <c r="G2026" s="760"/>
    </row>
    <row r="2027" spans="1:7" ht="17.25" customHeight="1" x14ac:dyDescent="0.2">
      <c r="A2027" s="489" t="s">
        <v>1211</v>
      </c>
      <c r="B2027" s="493">
        <v>2014</v>
      </c>
      <c r="C2027" s="761" t="s">
        <v>1273</v>
      </c>
      <c r="D2027" s="761" t="s">
        <v>1274</v>
      </c>
      <c r="E2027" s="761"/>
      <c r="F2027" s="761"/>
      <c r="G2027" s="761"/>
    </row>
    <row r="2028" spans="1:7" ht="75.150000000000006" x14ac:dyDescent="0.2">
      <c r="A2028" s="489" t="s">
        <v>1211</v>
      </c>
      <c r="B2028" s="493">
        <v>2015</v>
      </c>
      <c r="C2028" s="761" t="s">
        <v>1275</v>
      </c>
      <c r="D2028" s="761" t="s">
        <v>1276</v>
      </c>
      <c r="E2028" s="761"/>
      <c r="F2028" s="761"/>
      <c r="G2028" s="761"/>
    </row>
    <row r="2029" spans="1:7" ht="17.25" customHeight="1" x14ac:dyDescent="0.2">
      <c r="A2029" s="489" t="s">
        <v>1211</v>
      </c>
      <c r="B2029" s="331">
        <v>2016</v>
      </c>
      <c r="C2029" s="761"/>
      <c r="D2029" s="761"/>
      <c r="E2029" s="761"/>
      <c r="F2029" s="761"/>
      <c r="G2029" s="761"/>
    </row>
    <row r="2030" spans="1:7" ht="17.25" customHeight="1" x14ac:dyDescent="0.2">
      <c r="A2030" s="489"/>
      <c r="B2030" s="331">
        <v>2017</v>
      </c>
      <c r="C2030" s="761"/>
      <c r="D2030" s="761"/>
      <c r="E2030" s="761"/>
      <c r="F2030" s="761"/>
      <c r="G2030" s="761"/>
    </row>
    <row r="2031" spans="1:7" ht="17.25" customHeight="1" x14ac:dyDescent="0.2">
      <c r="A2031" s="489" t="s">
        <v>1211</v>
      </c>
      <c r="B2031" s="331">
        <v>2018</v>
      </c>
      <c r="C2031" s="761"/>
      <c r="D2031" s="761"/>
      <c r="E2031" s="761"/>
      <c r="F2031" s="761"/>
      <c r="G2031" s="761"/>
    </row>
    <row r="2032" spans="1:7" ht="17.25" customHeight="1" x14ac:dyDescent="0.2">
      <c r="A2032" s="489" t="s">
        <v>1211</v>
      </c>
      <c r="B2032" s="493">
        <v>2019</v>
      </c>
      <c r="C2032" s="760" t="s">
        <v>1277</v>
      </c>
      <c r="D2032" s="760" t="s">
        <v>1278</v>
      </c>
      <c r="E2032" s="760"/>
      <c r="F2032" s="760"/>
      <c r="G2032" s="760"/>
    </row>
    <row r="2033" spans="1:7" ht="32.1" customHeight="1" x14ac:dyDescent="0.2">
      <c r="A2033" s="489" t="s">
        <v>1211</v>
      </c>
      <c r="B2033" s="493">
        <v>2020</v>
      </c>
      <c r="C2033" s="761" t="s">
        <v>1279</v>
      </c>
      <c r="D2033" s="761" t="s">
        <v>1280</v>
      </c>
      <c r="E2033" s="761"/>
      <c r="F2033" s="761"/>
      <c r="G2033" s="761"/>
    </row>
    <row r="2034" spans="1:7" ht="27.1" customHeight="1" x14ac:dyDescent="0.2">
      <c r="A2034" s="489" t="s">
        <v>1211</v>
      </c>
      <c r="B2034" s="493">
        <v>2021</v>
      </c>
      <c r="C2034" s="761" t="s">
        <v>1281</v>
      </c>
      <c r="D2034" s="761" t="s">
        <v>1282</v>
      </c>
      <c r="E2034" s="761"/>
      <c r="F2034" s="761"/>
      <c r="G2034" s="761"/>
    </row>
    <row r="2035" spans="1:7" ht="17.25" customHeight="1" x14ac:dyDescent="0.2">
      <c r="A2035" s="489"/>
      <c r="B2035" s="331">
        <v>2022</v>
      </c>
      <c r="C2035" s="761"/>
      <c r="D2035" s="761"/>
      <c r="E2035" s="761"/>
      <c r="F2035" s="761"/>
      <c r="G2035" s="761"/>
    </row>
    <row r="2036" spans="1:7" ht="17.25" customHeight="1" x14ac:dyDescent="0.2">
      <c r="A2036" s="489" t="s">
        <v>1211</v>
      </c>
      <c r="B2036" s="331">
        <v>2023</v>
      </c>
      <c r="C2036" s="761"/>
      <c r="D2036" s="761"/>
      <c r="E2036" s="761"/>
      <c r="F2036" s="761"/>
      <c r="G2036" s="761"/>
    </row>
    <row r="2037" spans="1:7" ht="17.25" customHeight="1" x14ac:dyDescent="0.2">
      <c r="A2037" s="489" t="s">
        <v>1211</v>
      </c>
      <c r="B2037" s="331">
        <v>2024</v>
      </c>
      <c r="C2037" s="761"/>
      <c r="D2037" s="761"/>
      <c r="E2037" s="761"/>
      <c r="F2037" s="761"/>
      <c r="G2037" s="761"/>
    </row>
    <row r="2038" spans="1:7" ht="17.25" customHeight="1" x14ac:dyDescent="0.2">
      <c r="A2038" s="489" t="s">
        <v>1211</v>
      </c>
      <c r="B2038" s="493">
        <v>2025</v>
      </c>
      <c r="C2038" s="760" t="s">
        <v>1277</v>
      </c>
      <c r="D2038" s="760" t="s">
        <v>1278</v>
      </c>
      <c r="E2038" s="760"/>
      <c r="F2038" s="760"/>
      <c r="G2038" s="760"/>
    </row>
    <row r="2039" spans="1:7" ht="32.75" customHeight="1" x14ac:dyDescent="0.2">
      <c r="A2039" s="489" t="s">
        <v>1211</v>
      </c>
      <c r="B2039" s="493">
        <v>2026</v>
      </c>
      <c r="C2039" s="761" t="s">
        <v>1283</v>
      </c>
      <c r="D2039" s="761" t="s">
        <v>1284</v>
      </c>
      <c r="E2039" s="761"/>
      <c r="F2039" s="761"/>
      <c r="G2039" s="761"/>
    </row>
    <row r="2040" spans="1:7" ht="45.1" customHeight="1" x14ac:dyDescent="0.2">
      <c r="A2040" s="489" t="s">
        <v>1211</v>
      </c>
      <c r="B2040" s="493">
        <v>2027</v>
      </c>
      <c r="C2040" s="762" t="s">
        <v>1285</v>
      </c>
      <c r="D2040" s="762" t="s">
        <v>1286</v>
      </c>
      <c r="E2040" s="761"/>
      <c r="F2040" s="761"/>
      <c r="G2040" s="761"/>
    </row>
    <row r="2041" spans="1:7" ht="17.25" customHeight="1" x14ac:dyDescent="0.2">
      <c r="A2041" s="489" t="s">
        <v>1211</v>
      </c>
      <c r="B2041" s="331">
        <v>2028</v>
      </c>
      <c r="C2041" s="761"/>
      <c r="D2041" s="761"/>
      <c r="E2041" s="761"/>
      <c r="F2041" s="761"/>
      <c r="G2041" s="761"/>
    </row>
    <row r="2042" spans="1:7" ht="17.25" customHeight="1" x14ac:dyDescent="0.2">
      <c r="A2042" s="489" t="s">
        <v>1211</v>
      </c>
      <c r="B2042" s="331">
        <v>2029</v>
      </c>
      <c r="C2042" s="761"/>
      <c r="D2042" s="761"/>
      <c r="E2042" s="761"/>
      <c r="F2042" s="761"/>
      <c r="G2042" s="761"/>
    </row>
    <row r="2043" spans="1:7" ht="17.25" customHeight="1" x14ac:dyDescent="0.2">
      <c r="A2043" s="489" t="s">
        <v>1211</v>
      </c>
      <c r="B2043" s="331">
        <v>2030</v>
      </c>
      <c r="C2043" s="761"/>
      <c r="D2043" s="761"/>
      <c r="E2043" s="761"/>
      <c r="F2043" s="761"/>
      <c r="G2043" s="761"/>
    </row>
    <row r="2044" spans="1:7" ht="17.25" customHeight="1" x14ac:dyDescent="0.2">
      <c r="A2044" s="489" t="s">
        <v>1211</v>
      </c>
      <c r="B2044" s="331">
        <v>2031</v>
      </c>
      <c r="C2044" s="761"/>
      <c r="D2044" s="761"/>
      <c r="E2044" s="761"/>
      <c r="F2044" s="761"/>
      <c r="G2044" s="761"/>
    </row>
    <row r="2045" spans="1:7" ht="17.25" customHeight="1" x14ac:dyDescent="0.2">
      <c r="A2045" s="489" t="s">
        <v>1211</v>
      </c>
      <c r="B2045" s="331">
        <v>2032</v>
      </c>
      <c r="C2045" s="761"/>
      <c r="D2045" s="761"/>
      <c r="E2045" s="761"/>
      <c r="F2045" s="761"/>
      <c r="G2045" s="761"/>
    </row>
    <row r="2046" spans="1:7" ht="17.25" customHeight="1" x14ac:dyDescent="0.2">
      <c r="A2046" s="489" t="s">
        <v>1211</v>
      </c>
      <c r="B2046" s="331">
        <v>2033</v>
      </c>
      <c r="C2046" s="761"/>
      <c r="D2046" s="761"/>
      <c r="E2046" s="761"/>
      <c r="F2046" s="761"/>
      <c r="G2046" s="761"/>
    </row>
    <row r="2047" spans="1:7" ht="17.25" customHeight="1" x14ac:dyDescent="0.2">
      <c r="A2047" s="489" t="s">
        <v>1211</v>
      </c>
      <c r="B2047" s="493">
        <v>2034</v>
      </c>
      <c r="C2047" s="760" t="s">
        <v>84</v>
      </c>
      <c r="D2047" s="760" t="s">
        <v>85</v>
      </c>
      <c r="E2047" s="760"/>
      <c r="F2047" s="760"/>
      <c r="G2047" s="760"/>
    </row>
    <row r="2048" spans="1:7" ht="17.25" customHeight="1" x14ac:dyDescent="0.2">
      <c r="A2048" s="489" t="s">
        <v>1211</v>
      </c>
      <c r="B2048" s="331">
        <v>2035</v>
      </c>
      <c r="C2048" s="761"/>
      <c r="D2048" s="761"/>
      <c r="E2048" s="761"/>
      <c r="F2048" s="761"/>
      <c r="G2048" s="761"/>
    </row>
    <row r="2049" spans="1:7" ht="17.25" customHeight="1" x14ac:dyDescent="0.2">
      <c r="A2049" s="489" t="s">
        <v>1211</v>
      </c>
      <c r="B2049" s="331">
        <v>2036</v>
      </c>
      <c r="C2049" s="761"/>
      <c r="D2049" s="761"/>
      <c r="E2049" s="761"/>
      <c r="F2049" s="761"/>
      <c r="G2049" s="761"/>
    </row>
    <row r="2050" spans="1:7" ht="17.25" customHeight="1" x14ac:dyDescent="0.2">
      <c r="A2050" s="489" t="s">
        <v>1211</v>
      </c>
      <c r="B2050" s="331">
        <v>2037</v>
      </c>
      <c r="C2050" s="761"/>
      <c r="D2050" s="761"/>
      <c r="E2050" s="761"/>
      <c r="F2050" s="761"/>
      <c r="G2050" s="761"/>
    </row>
    <row r="2051" spans="1:7" ht="17.25" customHeight="1" x14ac:dyDescent="0.2">
      <c r="A2051" s="489" t="s">
        <v>1211</v>
      </c>
      <c r="B2051" s="493">
        <v>2038</v>
      </c>
      <c r="C2051" s="760" t="s">
        <v>1287</v>
      </c>
      <c r="D2051" s="763" t="s">
        <v>290</v>
      </c>
      <c r="E2051" s="760"/>
      <c r="F2051" s="760"/>
      <c r="G2051" s="760"/>
    </row>
    <row r="2052" spans="1:7" ht="17.25" customHeight="1" x14ac:dyDescent="0.2">
      <c r="A2052" s="489" t="s">
        <v>1211</v>
      </c>
      <c r="B2052" s="493">
        <v>2039</v>
      </c>
      <c r="C2052" s="761" t="s">
        <v>1288</v>
      </c>
      <c r="D2052" s="761" t="s">
        <v>1289</v>
      </c>
      <c r="E2052" s="761"/>
      <c r="F2052" s="761"/>
      <c r="G2052" s="761"/>
    </row>
    <row r="2053" spans="1:7" ht="17.25" customHeight="1" x14ac:dyDescent="0.2">
      <c r="A2053" s="489" t="s">
        <v>1211</v>
      </c>
      <c r="B2053" s="493">
        <v>2040</v>
      </c>
      <c r="C2053" s="761" t="s">
        <v>1290</v>
      </c>
      <c r="D2053" s="761" t="s">
        <v>1291</v>
      </c>
      <c r="E2053" s="761"/>
      <c r="F2053" s="761"/>
      <c r="G2053" s="761"/>
    </row>
    <row r="2054" spans="1:7" ht="17.25" customHeight="1" x14ac:dyDescent="0.2">
      <c r="A2054" s="489" t="s">
        <v>1211</v>
      </c>
      <c r="B2054" s="331">
        <v>2041</v>
      </c>
      <c r="C2054" s="761"/>
      <c r="D2054" s="761"/>
      <c r="E2054" s="761"/>
      <c r="F2054" s="761"/>
      <c r="G2054" s="761"/>
    </row>
    <row r="2055" spans="1:7" ht="17.25" customHeight="1" x14ac:dyDescent="0.2">
      <c r="A2055" s="489" t="s">
        <v>1211</v>
      </c>
      <c r="B2055" s="331">
        <v>2042</v>
      </c>
      <c r="C2055" s="761"/>
      <c r="D2055" s="761"/>
      <c r="E2055" s="761"/>
      <c r="F2055" s="761"/>
      <c r="G2055" s="761"/>
    </row>
    <row r="2056" spans="1:7" ht="17.25" customHeight="1" x14ac:dyDescent="0.2">
      <c r="A2056" s="489" t="s">
        <v>1211</v>
      </c>
      <c r="B2056" s="331">
        <v>2043</v>
      </c>
      <c r="C2056" s="761"/>
      <c r="D2056" s="761"/>
      <c r="E2056" s="761"/>
      <c r="F2056" s="761"/>
      <c r="G2056" s="761"/>
    </row>
    <row r="2057" spans="1:7" ht="17.25" customHeight="1" x14ac:dyDescent="0.2">
      <c r="A2057" s="489" t="s">
        <v>1211</v>
      </c>
      <c r="B2057" s="331">
        <v>2044</v>
      </c>
      <c r="C2057" s="761"/>
      <c r="D2057" s="761"/>
      <c r="E2057" s="761"/>
      <c r="F2057" s="761"/>
      <c r="G2057" s="761"/>
    </row>
    <row r="2058" spans="1:7" ht="17.25" customHeight="1" x14ac:dyDescent="0.2">
      <c r="A2058" s="489" t="s">
        <v>1211</v>
      </c>
      <c r="B2058" s="331">
        <v>2045</v>
      </c>
      <c r="C2058" s="761"/>
      <c r="D2058" s="761"/>
      <c r="E2058" s="761"/>
      <c r="F2058" s="761"/>
      <c r="G2058" s="761"/>
    </row>
    <row r="2059" spans="1:7" ht="17.25" customHeight="1" x14ac:dyDescent="0.2">
      <c r="A2059" s="489" t="s">
        <v>1211</v>
      </c>
      <c r="B2059" s="331">
        <v>2046</v>
      </c>
      <c r="C2059" s="761"/>
      <c r="D2059" s="761"/>
      <c r="E2059" s="761"/>
      <c r="F2059" s="761"/>
      <c r="G2059" s="761"/>
    </row>
    <row r="2060" spans="1:7" ht="17.25" customHeight="1" x14ac:dyDescent="0.2">
      <c r="A2060" s="489" t="s">
        <v>1211</v>
      </c>
      <c r="B2060" s="331">
        <v>2047</v>
      </c>
      <c r="C2060" s="761"/>
      <c r="D2060" s="761"/>
      <c r="E2060" s="761"/>
      <c r="F2060" s="761"/>
      <c r="G2060" s="761"/>
    </row>
    <row r="2061" spans="1:7" ht="17.25" customHeight="1" x14ac:dyDescent="0.2">
      <c r="A2061" s="489" t="s">
        <v>1211</v>
      </c>
      <c r="B2061" s="331">
        <v>2048</v>
      </c>
      <c r="C2061" s="761"/>
      <c r="D2061" s="761"/>
      <c r="E2061" s="761"/>
      <c r="F2061" s="761"/>
      <c r="G2061" s="761"/>
    </row>
    <row r="2062" spans="1:7" ht="17.25" customHeight="1" x14ac:dyDescent="0.2">
      <c r="A2062" s="489" t="s">
        <v>1211</v>
      </c>
      <c r="B2062" s="331">
        <v>2049</v>
      </c>
      <c r="C2062" s="761"/>
      <c r="D2062" s="761"/>
      <c r="E2062" s="761"/>
      <c r="F2062" s="761"/>
      <c r="G2062" s="761"/>
    </row>
    <row r="2063" spans="1:7" ht="17.25" customHeight="1" x14ac:dyDescent="0.2">
      <c r="A2063" s="489" t="s">
        <v>1211</v>
      </c>
      <c r="B2063" s="331">
        <v>2050</v>
      </c>
      <c r="C2063" s="761"/>
      <c r="D2063" s="761"/>
      <c r="E2063" s="761"/>
      <c r="F2063" s="761"/>
      <c r="G2063" s="761"/>
    </row>
    <row r="2064" spans="1:7" ht="17.25" customHeight="1" x14ac:dyDescent="0.2">
      <c r="A2064" s="489" t="s">
        <v>1211</v>
      </c>
      <c r="B2064" s="331">
        <v>2051</v>
      </c>
      <c r="C2064" s="761"/>
      <c r="D2064" s="761"/>
      <c r="E2064" s="761"/>
      <c r="F2064" s="761"/>
      <c r="G2064" s="761"/>
    </row>
    <row r="2065" spans="1:7" ht="17.25" customHeight="1" x14ac:dyDescent="0.2">
      <c r="A2065" s="489" t="s">
        <v>1211</v>
      </c>
      <c r="B2065" s="331">
        <v>2052</v>
      </c>
      <c r="C2065" s="761"/>
      <c r="D2065" s="761"/>
      <c r="E2065" s="761"/>
      <c r="F2065" s="761"/>
      <c r="G2065" s="761"/>
    </row>
    <row r="2066" spans="1:7" ht="17.25" customHeight="1" x14ac:dyDescent="0.2">
      <c r="A2066" s="489" t="s">
        <v>1211</v>
      </c>
      <c r="B2066" s="493">
        <v>2053</v>
      </c>
      <c r="C2066" s="760" t="s">
        <v>86</v>
      </c>
      <c r="D2066" s="760" t="s">
        <v>87</v>
      </c>
      <c r="E2066" s="760"/>
      <c r="F2066" s="760"/>
      <c r="G2066" s="760"/>
    </row>
    <row r="2067" spans="1:7" ht="17.25" customHeight="1" x14ac:dyDescent="0.2">
      <c r="A2067" s="489" t="s">
        <v>1211</v>
      </c>
      <c r="B2067" s="331">
        <v>2054</v>
      </c>
      <c r="C2067" s="761"/>
      <c r="D2067" s="761"/>
      <c r="E2067" s="761"/>
      <c r="F2067" s="761"/>
      <c r="G2067" s="761"/>
    </row>
    <row r="2068" spans="1:7" ht="17.25" customHeight="1" x14ac:dyDescent="0.2">
      <c r="A2068" s="489" t="s">
        <v>1211</v>
      </c>
      <c r="B2068" s="331">
        <v>2055</v>
      </c>
      <c r="C2068" s="761"/>
      <c r="D2068" s="761"/>
      <c r="E2068" s="761"/>
      <c r="F2068" s="761"/>
      <c r="G2068" s="761"/>
    </row>
    <row r="2069" spans="1:7" ht="17.25" customHeight="1" x14ac:dyDescent="0.2">
      <c r="A2069" s="489" t="s">
        <v>1211</v>
      </c>
      <c r="B2069" s="331">
        <v>2056</v>
      </c>
      <c r="C2069" s="761"/>
      <c r="D2069" s="761"/>
      <c r="E2069" s="761"/>
      <c r="F2069" s="761"/>
      <c r="G2069" s="761"/>
    </row>
    <row r="2070" spans="1:7" ht="17.25" customHeight="1" x14ac:dyDescent="0.2">
      <c r="A2070" s="489" t="s">
        <v>1211</v>
      </c>
      <c r="B2070" s="331">
        <v>2057</v>
      </c>
      <c r="C2070" s="761"/>
      <c r="D2070" s="761"/>
      <c r="E2070" s="761"/>
      <c r="F2070" s="761"/>
      <c r="G2070" s="761"/>
    </row>
    <row r="2071" spans="1:7" ht="17.25" customHeight="1" x14ac:dyDescent="0.2">
      <c r="A2071" s="489" t="s">
        <v>1211</v>
      </c>
      <c r="B2071" s="331">
        <v>2058</v>
      </c>
      <c r="C2071" s="761"/>
      <c r="D2071" s="761"/>
      <c r="E2071" s="761"/>
      <c r="F2071" s="761"/>
      <c r="G2071" s="761"/>
    </row>
    <row r="2072" spans="1:7" ht="17.25" customHeight="1" x14ac:dyDescent="0.2">
      <c r="A2072" s="489" t="s">
        <v>1211</v>
      </c>
      <c r="B2072" s="331">
        <v>2059</v>
      </c>
      <c r="C2072" s="761"/>
      <c r="D2072" s="761"/>
      <c r="E2072" s="761"/>
      <c r="F2072" s="761"/>
      <c r="G2072" s="761"/>
    </row>
    <row r="2073" spans="1:7" ht="17.25" customHeight="1" x14ac:dyDescent="0.2">
      <c r="A2073" s="489" t="s">
        <v>1211</v>
      </c>
      <c r="B2073" s="331">
        <v>2060</v>
      </c>
      <c r="C2073" s="761"/>
      <c r="D2073" s="761"/>
      <c r="E2073" s="761"/>
      <c r="F2073" s="761"/>
      <c r="G2073" s="761"/>
    </row>
    <row r="2074" spans="1:7" ht="17.25" customHeight="1" x14ac:dyDescent="0.2">
      <c r="A2074" s="489" t="s">
        <v>1211</v>
      </c>
      <c r="B2074" s="331">
        <v>2061</v>
      </c>
      <c r="C2074" s="761"/>
      <c r="D2074" s="761"/>
      <c r="E2074" s="761"/>
      <c r="F2074" s="761"/>
      <c r="G2074" s="761"/>
    </row>
    <row r="2075" spans="1:7" ht="17.25" customHeight="1" x14ac:dyDescent="0.2">
      <c r="A2075" s="489" t="s">
        <v>1211</v>
      </c>
      <c r="B2075" s="331">
        <v>2062</v>
      </c>
      <c r="C2075" s="761"/>
      <c r="D2075" s="761"/>
      <c r="E2075" s="761"/>
      <c r="F2075" s="761"/>
      <c r="G2075" s="761"/>
    </row>
    <row r="2076" spans="1:7" ht="17.25" customHeight="1" x14ac:dyDescent="0.2">
      <c r="A2076" s="489" t="s">
        <v>1211</v>
      </c>
      <c r="B2076" s="331">
        <v>2063</v>
      </c>
      <c r="C2076" s="761"/>
      <c r="D2076" s="761"/>
      <c r="E2076" s="761"/>
      <c r="F2076" s="761"/>
      <c r="G2076" s="761"/>
    </row>
    <row r="2077" spans="1:7" ht="17.25" customHeight="1" x14ac:dyDescent="0.2">
      <c r="A2077" s="489" t="s">
        <v>1211</v>
      </c>
      <c r="B2077" s="331">
        <v>2064</v>
      </c>
      <c r="C2077" s="761"/>
      <c r="D2077" s="761"/>
      <c r="E2077" s="761"/>
      <c r="F2077" s="761"/>
      <c r="G2077" s="761"/>
    </row>
    <row r="2078" spans="1:7" ht="17.25" customHeight="1" x14ac:dyDescent="0.2">
      <c r="A2078" s="489" t="s">
        <v>1211</v>
      </c>
      <c r="B2078" s="331">
        <v>2065</v>
      </c>
      <c r="C2078" s="761"/>
      <c r="D2078" s="761"/>
      <c r="E2078" s="761"/>
      <c r="F2078" s="761"/>
      <c r="G2078" s="761"/>
    </row>
    <row r="2079" spans="1:7" ht="17.25" customHeight="1" x14ac:dyDescent="0.2">
      <c r="A2079" s="494" t="s">
        <v>1211</v>
      </c>
      <c r="B2079" s="322">
        <v>2066</v>
      </c>
      <c r="C2079" s="698"/>
      <c r="D2079" s="698"/>
      <c r="E2079" s="698"/>
      <c r="F2079" s="698"/>
      <c r="G2079" s="698"/>
    </row>
    <row r="2080" spans="1:7" ht="17.25" customHeight="1" x14ac:dyDescent="0.2">
      <c r="A2080" s="489" t="s">
        <v>1211</v>
      </c>
      <c r="B2080" s="331">
        <v>2067</v>
      </c>
      <c r="C2080" s="149"/>
      <c r="D2080" s="149"/>
      <c r="E2080" s="149"/>
      <c r="F2080" s="149"/>
      <c r="G2080" s="149"/>
    </row>
    <row r="2081" spans="1:7" ht="17.25" customHeight="1" x14ac:dyDescent="0.2">
      <c r="A2081" s="489" t="s">
        <v>1211</v>
      </c>
      <c r="B2081" s="331">
        <v>2068</v>
      </c>
      <c r="C2081" s="698"/>
      <c r="D2081" s="698"/>
      <c r="E2081" s="698"/>
      <c r="F2081" s="698"/>
      <c r="G2081" s="698"/>
    </row>
    <row r="2082" spans="1:7" ht="17.25" customHeight="1" x14ac:dyDescent="0.2">
      <c r="A2082" s="489" t="s">
        <v>1211</v>
      </c>
      <c r="B2082" s="331">
        <v>2069</v>
      </c>
      <c r="C2082" s="698"/>
      <c r="D2082" s="698"/>
      <c r="E2082" s="698"/>
      <c r="F2082" s="698"/>
      <c r="G2082" s="698"/>
    </row>
    <row r="2083" spans="1:7" ht="17.25" customHeight="1" x14ac:dyDescent="0.2">
      <c r="A2083" s="494" t="s">
        <v>1211</v>
      </c>
      <c r="B2083" s="322">
        <v>2070</v>
      </c>
      <c r="C2083" s="698"/>
      <c r="D2083" s="698"/>
      <c r="E2083" s="698"/>
      <c r="F2083" s="698"/>
      <c r="G2083" s="698"/>
    </row>
    <row r="2084" spans="1:7" ht="17.25" customHeight="1" x14ac:dyDescent="0.2">
      <c r="A2084" s="489" t="s">
        <v>1211</v>
      </c>
      <c r="B2084" s="331">
        <v>2071</v>
      </c>
      <c r="C2084" s="698"/>
      <c r="D2084" s="698"/>
      <c r="E2084" s="698"/>
      <c r="F2084" s="698"/>
      <c r="G2084" s="698"/>
    </row>
    <row r="2085" spans="1:7" ht="17.25" customHeight="1" x14ac:dyDescent="0.2">
      <c r="A2085" s="489" t="s">
        <v>1211</v>
      </c>
      <c r="B2085" s="331">
        <v>2072</v>
      </c>
      <c r="C2085" s="698"/>
      <c r="D2085" s="698"/>
      <c r="E2085" s="698"/>
      <c r="F2085" s="698"/>
      <c r="G2085" s="698"/>
    </row>
    <row r="2086" spans="1:7" ht="17.25" customHeight="1" x14ac:dyDescent="0.2">
      <c r="A2086" s="489" t="s">
        <v>1211</v>
      </c>
      <c r="B2086" s="331">
        <v>2073</v>
      </c>
      <c r="C2086" s="698"/>
      <c r="D2086" s="698"/>
      <c r="E2086" s="698"/>
      <c r="F2086" s="698"/>
      <c r="G2086" s="698"/>
    </row>
    <row r="2087" spans="1:7" ht="17.25" customHeight="1" x14ac:dyDescent="0.2">
      <c r="A2087" s="494" t="s">
        <v>1211</v>
      </c>
      <c r="B2087" s="322">
        <v>2074</v>
      </c>
      <c r="C2087" s="698"/>
      <c r="D2087" s="698"/>
      <c r="E2087" s="698"/>
      <c r="F2087" s="698"/>
      <c r="G2087" s="698"/>
    </row>
    <row r="2088" spans="1:7" ht="17.25" customHeight="1" x14ac:dyDescent="0.2">
      <c r="A2088" s="489" t="s">
        <v>1211</v>
      </c>
      <c r="B2088" s="331">
        <v>2075</v>
      </c>
      <c r="C2088" s="698"/>
      <c r="D2088" s="698"/>
      <c r="E2088" s="698"/>
      <c r="F2088" s="698"/>
      <c r="G2088" s="698"/>
    </row>
    <row r="2089" spans="1:7" ht="17.25" customHeight="1" x14ac:dyDescent="0.2">
      <c r="A2089" s="489" t="s">
        <v>1211</v>
      </c>
      <c r="B2089" s="331">
        <v>2076</v>
      </c>
      <c r="C2089" s="698"/>
      <c r="D2089" s="698"/>
      <c r="E2089" s="698"/>
      <c r="F2089" s="698"/>
      <c r="G2089" s="698"/>
    </row>
    <row r="2090" spans="1:7" ht="17.25" customHeight="1" x14ac:dyDescent="0.2">
      <c r="A2090" s="489" t="s">
        <v>1211</v>
      </c>
      <c r="B2090" s="331">
        <v>2077</v>
      </c>
      <c r="C2090" s="698"/>
      <c r="D2090" s="698"/>
      <c r="E2090" s="698"/>
      <c r="F2090" s="698"/>
      <c r="G2090" s="698"/>
    </row>
    <row r="2091" spans="1:7" ht="17.25" customHeight="1" x14ac:dyDescent="0.2">
      <c r="A2091" s="494" t="s">
        <v>1211</v>
      </c>
      <c r="B2091" s="322">
        <v>2078</v>
      </c>
      <c r="C2091" s="698"/>
      <c r="D2091" s="698"/>
      <c r="E2091" s="698"/>
      <c r="F2091" s="698"/>
      <c r="G2091" s="698"/>
    </row>
    <row r="2092" spans="1:7" ht="17.25" customHeight="1" x14ac:dyDescent="0.2">
      <c r="A2092" s="489" t="s">
        <v>1211</v>
      </c>
      <c r="B2092" s="331">
        <v>2079</v>
      </c>
      <c r="C2092" s="698"/>
      <c r="D2092" s="698"/>
      <c r="E2092" s="698"/>
      <c r="F2092" s="698"/>
      <c r="G2092" s="698"/>
    </row>
    <row r="2093" spans="1:7" ht="17.25" customHeight="1" x14ac:dyDescent="0.2">
      <c r="A2093" s="489" t="s">
        <v>1211</v>
      </c>
      <c r="B2093" s="331">
        <v>2080</v>
      </c>
      <c r="C2093" s="698"/>
      <c r="D2093" s="698"/>
      <c r="E2093" s="698"/>
      <c r="F2093" s="698"/>
      <c r="G2093" s="698"/>
    </row>
    <row r="2094" spans="1:7" ht="17.25" customHeight="1" x14ac:dyDescent="0.2">
      <c r="A2094" s="490" t="s">
        <v>1211</v>
      </c>
      <c r="B2094" s="495">
        <v>2081</v>
      </c>
      <c r="C2094" s="752"/>
      <c r="D2094" s="752"/>
      <c r="E2094" s="752"/>
      <c r="F2094" s="752"/>
      <c r="G2094" s="752"/>
    </row>
    <row r="2095" spans="1:7" ht="17.25" customHeight="1" x14ac:dyDescent="0.2">
      <c r="A2095" s="489" t="s">
        <v>1292</v>
      </c>
      <c r="B2095" s="322">
        <v>2082</v>
      </c>
      <c r="C2095" s="149"/>
      <c r="D2095" s="149"/>
      <c r="E2095" s="149"/>
      <c r="F2095" s="149"/>
      <c r="G2095" s="149"/>
    </row>
    <row r="2096" spans="1:7" ht="17.25" customHeight="1" x14ac:dyDescent="0.2">
      <c r="A2096" s="489" t="s">
        <v>1292</v>
      </c>
      <c r="B2096" s="322">
        <v>2083</v>
      </c>
      <c r="C2096" s="698"/>
      <c r="D2096" s="698"/>
      <c r="E2096" s="698"/>
      <c r="F2096" s="698"/>
      <c r="G2096" s="698"/>
    </row>
    <row r="2097" spans="1:7" ht="17.25" customHeight="1" x14ac:dyDescent="0.2">
      <c r="A2097" s="489" t="s">
        <v>1292</v>
      </c>
      <c r="B2097" s="322">
        <v>2084</v>
      </c>
      <c r="C2097" s="698"/>
      <c r="D2097" s="698"/>
      <c r="E2097" s="698"/>
      <c r="F2097" s="698"/>
      <c r="G2097" s="698"/>
    </row>
    <row r="2098" spans="1:7" ht="17.25" customHeight="1" x14ac:dyDescent="0.2">
      <c r="A2098" s="489" t="s">
        <v>1292</v>
      </c>
      <c r="B2098" s="493">
        <v>2085</v>
      </c>
      <c r="C2098" s="739" t="s">
        <v>1293</v>
      </c>
      <c r="D2098" s="739" t="s">
        <v>1294</v>
      </c>
      <c r="E2098" s="739"/>
      <c r="F2098" s="739"/>
      <c r="G2098" s="698"/>
    </row>
    <row r="2099" spans="1:7" ht="25.05" x14ac:dyDescent="0.2">
      <c r="A2099" s="489" t="s">
        <v>1292</v>
      </c>
      <c r="B2099" s="322">
        <v>2086</v>
      </c>
      <c r="C2099" s="149" t="s">
        <v>203</v>
      </c>
      <c r="D2099" s="149" t="s">
        <v>204</v>
      </c>
      <c r="E2099" s="698"/>
      <c r="F2099" s="698"/>
      <c r="G2099" s="698"/>
    </row>
    <row r="2100" spans="1:7" ht="17.25" customHeight="1" x14ac:dyDescent="0.2">
      <c r="A2100" s="489" t="s">
        <v>1292</v>
      </c>
      <c r="B2100" s="322">
        <v>2087</v>
      </c>
      <c r="C2100" s="149"/>
      <c r="D2100" s="149"/>
      <c r="E2100" s="698"/>
      <c r="F2100" s="698"/>
      <c r="G2100" s="698"/>
    </row>
    <row r="2101" spans="1:7" ht="17.25" customHeight="1" x14ac:dyDescent="0.2">
      <c r="A2101" s="489" t="s">
        <v>1292</v>
      </c>
      <c r="B2101" s="322">
        <v>2088</v>
      </c>
      <c r="C2101" s="149"/>
      <c r="D2101" s="149"/>
      <c r="E2101" s="698"/>
      <c r="F2101" s="698"/>
      <c r="G2101" s="698"/>
    </row>
    <row r="2102" spans="1:7" ht="17.25" customHeight="1" x14ac:dyDescent="0.2">
      <c r="A2102" s="489" t="s">
        <v>1292</v>
      </c>
      <c r="B2102" s="322">
        <v>2089</v>
      </c>
      <c r="C2102" s="149"/>
      <c r="D2102" s="149"/>
      <c r="E2102" s="698"/>
      <c r="F2102" s="698"/>
      <c r="G2102" s="698"/>
    </row>
    <row r="2103" spans="1:7" ht="32.25" customHeight="1" x14ac:dyDescent="0.2">
      <c r="A2103" s="489" t="s">
        <v>1292</v>
      </c>
      <c r="B2103" s="322">
        <v>2090</v>
      </c>
      <c r="C2103" s="698" t="s">
        <v>1295</v>
      </c>
      <c r="D2103" s="698" t="s">
        <v>1296</v>
      </c>
      <c r="E2103" s="698"/>
      <c r="F2103" s="698"/>
      <c r="G2103" s="698"/>
    </row>
    <row r="2104" spans="1:7" ht="17.25" customHeight="1" x14ac:dyDescent="0.2">
      <c r="A2104" s="489" t="s">
        <v>1292</v>
      </c>
      <c r="B2104" s="322">
        <v>2091</v>
      </c>
      <c r="C2104" s="698"/>
      <c r="D2104" s="698"/>
      <c r="E2104" s="698"/>
      <c r="F2104" s="698"/>
      <c r="G2104" s="698"/>
    </row>
    <row r="2105" spans="1:7" ht="17.25" customHeight="1" x14ac:dyDescent="0.2">
      <c r="A2105" s="489" t="s">
        <v>1292</v>
      </c>
      <c r="B2105" s="322">
        <v>2092</v>
      </c>
      <c r="C2105" s="698"/>
      <c r="D2105" s="698"/>
      <c r="E2105" s="698"/>
      <c r="F2105" s="698"/>
      <c r="G2105" s="698"/>
    </row>
    <row r="2106" spans="1:7" ht="17.25" customHeight="1" x14ac:dyDescent="0.2">
      <c r="A2106" s="489" t="s">
        <v>1292</v>
      </c>
      <c r="B2106" s="322">
        <v>2093</v>
      </c>
      <c r="C2106" s="698"/>
      <c r="D2106" s="698"/>
      <c r="E2106" s="698"/>
      <c r="F2106" s="698"/>
      <c r="G2106" s="698"/>
    </row>
    <row r="2107" spans="1:7" ht="17.25" customHeight="1" x14ac:dyDescent="0.2">
      <c r="A2107" s="489" t="s">
        <v>1292</v>
      </c>
      <c r="B2107" s="322">
        <v>2094</v>
      </c>
      <c r="C2107" s="698"/>
      <c r="D2107" s="698"/>
      <c r="E2107" s="698"/>
      <c r="F2107" s="698"/>
      <c r="G2107" s="698"/>
    </row>
    <row r="2108" spans="1:7" ht="17.25" customHeight="1" x14ac:dyDescent="0.2">
      <c r="A2108" s="489" t="s">
        <v>1292</v>
      </c>
      <c r="B2108" s="322">
        <v>2095</v>
      </c>
      <c r="C2108" s="698"/>
      <c r="D2108" s="698"/>
      <c r="E2108" s="698"/>
      <c r="F2108" s="698"/>
      <c r="G2108" s="698"/>
    </row>
    <row r="2109" spans="1:7" ht="17.25" customHeight="1" x14ac:dyDescent="0.2">
      <c r="A2109" s="489" t="s">
        <v>1292</v>
      </c>
      <c r="B2109" s="322">
        <v>2096</v>
      </c>
      <c r="C2109" s="698"/>
      <c r="D2109" s="698"/>
      <c r="E2109" s="698"/>
      <c r="F2109" s="698"/>
      <c r="G2109" s="698"/>
    </row>
    <row r="2110" spans="1:7" ht="17.25" customHeight="1" x14ac:dyDescent="0.2">
      <c r="A2110" s="489" t="s">
        <v>1292</v>
      </c>
      <c r="B2110" s="493">
        <v>2097</v>
      </c>
      <c r="C2110" s="739" t="s">
        <v>80</v>
      </c>
      <c r="D2110" s="739" t="s">
        <v>81</v>
      </c>
      <c r="E2110" s="739"/>
      <c r="F2110" s="739"/>
      <c r="G2110" s="739"/>
    </row>
    <row r="2111" spans="1:7" ht="12.55" x14ac:dyDescent="0.2">
      <c r="A2111" s="489" t="s">
        <v>1292</v>
      </c>
      <c r="B2111" s="493">
        <v>2098</v>
      </c>
      <c r="C2111" s="739" t="s">
        <v>1226</v>
      </c>
      <c r="D2111" s="739" t="s">
        <v>1227</v>
      </c>
      <c r="E2111" s="739"/>
      <c r="F2111" s="739"/>
      <c r="G2111" s="739"/>
    </row>
    <row r="2112" spans="1:7" ht="50.1" x14ac:dyDescent="0.2">
      <c r="A2112" s="489" t="s">
        <v>1292</v>
      </c>
      <c r="B2112" s="493">
        <v>2099</v>
      </c>
      <c r="C2112" s="759" t="s">
        <v>1297</v>
      </c>
      <c r="D2112" s="698"/>
      <c r="E2112" s="698"/>
      <c r="F2112" s="698"/>
      <c r="G2112" s="698"/>
    </row>
    <row r="2113" spans="1:7" ht="50.1" x14ac:dyDescent="0.2">
      <c r="A2113" s="489" t="s">
        <v>1292</v>
      </c>
      <c r="B2113" s="493">
        <v>2100</v>
      </c>
      <c r="C2113" s="759" t="s">
        <v>1298</v>
      </c>
      <c r="D2113" s="698"/>
      <c r="E2113" s="698"/>
      <c r="F2113" s="698"/>
      <c r="G2113" s="698"/>
    </row>
    <row r="2114" spans="1:7" ht="17.25" customHeight="1" x14ac:dyDescent="0.2">
      <c r="A2114" s="489" t="s">
        <v>1292</v>
      </c>
      <c r="B2114" s="322">
        <v>2101</v>
      </c>
      <c r="C2114" s="698"/>
      <c r="D2114" s="698"/>
      <c r="E2114" s="698"/>
      <c r="F2114" s="698"/>
      <c r="G2114" s="698"/>
    </row>
    <row r="2115" spans="1:7" ht="17.25" customHeight="1" x14ac:dyDescent="0.2">
      <c r="A2115" s="489" t="s">
        <v>1292</v>
      </c>
      <c r="B2115" s="322">
        <v>2102</v>
      </c>
      <c r="C2115" s="698"/>
      <c r="D2115" s="698"/>
      <c r="E2115" s="698"/>
      <c r="F2115" s="698"/>
      <c r="G2115" s="698"/>
    </row>
    <row r="2116" spans="1:7" ht="17.25" customHeight="1" x14ac:dyDescent="0.2">
      <c r="A2116" s="489" t="s">
        <v>1292</v>
      </c>
      <c r="B2116" s="322">
        <v>2103</v>
      </c>
      <c r="C2116" s="698"/>
      <c r="D2116" s="698"/>
      <c r="E2116" s="698"/>
      <c r="F2116" s="698"/>
      <c r="G2116" s="698"/>
    </row>
    <row r="2117" spans="1:7" ht="17.25" customHeight="1" x14ac:dyDescent="0.2">
      <c r="A2117" s="489" t="s">
        <v>1292</v>
      </c>
      <c r="B2117" s="322">
        <v>2104</v>
      </c>
      <c r="C2117" s="739" t="s">
        <v>230</v>
      </c>
      <c r="D2117" s="739" t="s">
        <v>1234</v>
      </c>
      <c r="E2117" s="739"/>
      <c r="F2117" s="739"/>
      <c r="G2117" s="739"/>
    </row>
    <row r="2118" spans="1:7" ht="17.25" customHeight="1" x14ac:dyDescent="0.2">
      <c r="A2118" s="489" t="s">
        <v>1292</v>
      </c>
      <c r="B2118" s="322">
        <v>2105</v>
      </c>
      <c r="C2118" s="739" t="s">
        <v>187</v>
      </c>
      <c r="D2118" s="739" t="s">
        <v>188</v>
      </c>
      <c r="E2118" s="739"/>
      <c r="F2118" s="739"/>
      <c r="G2118" s="739"/>
    </row>
    <row r="2119" spans="1:7" ht="73.099999999999994" customHeight="1" x14ac:dyDescent="0.2">
      <c r="A2119" s="489" t="s">
        <v>1292</v>
      </c>
      <c r="B2119" s="322">
        <v>2106</v>
      </c>
      <c r="C2119" s="698" t="s">
        <v>1299</v>
      </c>
      <c r="D2119" s="698" t="s">
        <v>1300</v>
      </c>
      <c r="E2119" s="698"/>
      <c r="F2119" s="698"/>
      <c r="G2119" s="698"/>
    </row>
    <row r="2120" spans="1:7" ht="32.75" customHeight="1" x14ac:dyDescent="0.2">
      <c r="A2120" s="489" t="s">
        <v>1292</v>
      </c>
      <c r="B2120" s="322">
        <v>2107</v>
      </c>
      <c r="C2120" s="698" t="s">
        <v>1301</v>
      </c>
      <c r="D2120" s="698" t="s">
        <v>1302</v>
      </c>
      <c r="E2120" s="698"/>
      <c r="F2120" s="698"/>
      <c r="G2120" s="698"/>
    </row>
    <row r="2121" spans="1:7" ht="17.25" customHeight="1" x14ac:dyDescent="0.2">
      <c r="A2121" s="489" t="s">
        <v>1292</v>
      </c>
      <c r="B2121" s="322">
        <v>2108</v>
      </c>
      <c r="C2121" s="706"/>
      <c r="D2121" s="706"/>
      <c r="E2121" s="698"/>
      <c r="F2121" s="698"/>
      <c r="G2121" s="698"/>
    </row>
    <row r="2122" spans="1:7" ht="17.25" customHeight="1" x14ac:dyDescent="0.2">
      <c r="A2122" s="489" t="s">
        <v>1292</v>
      </c>
      <c r="B2122" s="322">
        <v>2109</v>
      </c>
      <c r="C2122" s="698"/>
      <c r="D2122" s="698"/>
      <c r="E2122" s="698"/>
      <c r="F2122" s="698"/>
      <c r="G2122" s="698"/>
    </row>
    <row r="2123" spans="1:7" ht="17.25" customHeight="1" x14ac:dyDescent="0.2">
      <c r="A2123" s="489" t="s">
        <v>1292</v>
      </c>
      <c r="B2123" s="322">
        <v>2110</v>
      </c>
      <c r="C2123" s="698"/>
      <c r="D2123" s="698"/>
      <c r="E2123" s="698"/>
      <c r="F2123" s="698"/>
      <c r="G2123" s="698"/>
    </row>
    <row r="2124" spans="1:7" ht="17.25" customHeight="1" x14ac:dyDescent="0.2">
      <c r="A2124" s="489" t="s">
        <v>1292</v>
      </c>
      <c r="B2124" s="322">
        <v>2111</v>
      </c>
      <c r="C2124" s="739" t="s">
        <v>82</v>
      </c>
      <c r="D2124" s="739" t="s">
        <v>83</v>
      </c>
      <c r="E2124" s="739"/>
      <c r="F2124" s="739"/>
      <c r="G2124" s="739"/>
    </row>
    <row r="2125" spans="1:7" ht="17.25" customHeight="1" x14ac:dyDescent="0.2">
      <c r="A2125" s="489" t="s">
        <v>1292</v>
      </c>
      <c r="B2125" s="322">
        <v>2112</v>
      </c>
      <c r="C2125" s="739" t="s">
        <v>320</v>
      </c>
      <c r="D2125" s="739" t="s">
        <v>321</v>
      </c>
      <c r="E2125" s="739"/>
      <c r="F2125" s="739"/>
      <c r="G2125" s="698"/>
    </row>
    <row r="2126" spans="1:7" ht="37.6" x14ac:dyDescent="0.2">
      <c r="A2126" s="489" t="s">
        <v>1292</v>
      </c>
      <c r="B2126" s="322">
        <v>2113</v>
      </c>
      <c r="C2126" s="698" t="s">
        <v>1303</v>
      </c>
      <c r="D2126" s="698" t="s">
        <v>1304</v>
      </c>
      <c r="E2126" s="698"/>
      <c r="F2126" s="698"/>
      <c r="G2126" s="698"/>
    </row>
    <row r="2127" spans="1:7" ht="31.15" customHeight="1" x14ac:dyDescent="0.2">
      <c r="A2127" s="489" t="s">
        <v>1292</v>
      </c>
      <c r="B2127" s="322">
        <v>2114</v>
      </c>
      <c r="C2127" s="698" t="s">
        <v>1305</v>
      </c>
      <c r="D2127" s="698" t="s">
        <v>1306</v>
      </c>
      <c r="E2127" s="698"/>
      <c r="F2127" s="698"/>
      <c r="G2127" s="698"/>
    </row>
    <row r="2128" spans="1:7" ht="17.25" customHeight="1" x14ac:dyDescent="0.2">
      <c r="A2128" s="489" t="s">
        <v>1292</v>
      </c>
      <c r="B2128" s="493">
        <v>2115</v>
      </c>
      <c r="C2128" s="739" t="s">
        <v>1307</v>
      </c>
      <c r="D2128" s="739" t="s">
        <v>1240</v>
      </c>
      <c r="E2128" s="739"/>
      <c r="F2128" s="739"/>
      <c r="G2128" s="739"/>
    </row>
    <row r="2129" spans="1:7" ht="58.55" customHeight="1" x14ac:dyDescent="0.2">
      <c r="A2129" s="489" t="s">
        <v>1292</v>
      </c>
      <c r="B2129" s="493">
        <v>2116</v>
      </c>
      <c r="C2129" s="698" t="s">
        <v>1308</v>
      </c>
      <c r="D2129" s="698" t="s">
        <v>1309</v>
      </c>
      <c r="E2129" s="698"/>
      <c r="F2129" s="698"/>
      <c r="G2129" s="698"/>
    </row>
    <row r="2130" spans="1:7" ht="57" customHeight="1" x14ac:dyDescent="0.2">
      <c r="A2130" s="489" t="s">
        <v>1292</v>
      </c>
      <c r="B2130" s="493">
        <v>2117</v>
      </c>
      <c r="C2130" s="698" t="s">
        <v>1310</v>
      </c>
      <c r="D2130" s="698" t="s">
        <v>1311</v>
      </c>
      <c r="E2130" s="698"/>
      <c r="F2130" s="698"/>
      <c r="G2130" s="698"/>
    </row>
    <row r="2131" spans="1:7" ht="17.25" customHeight="1" x14ac:dyDescent="0.2">
      <c r="A2131" s="489" t="s">
        <v>1292</v>
      </c>
      <c r="B2131" s="322">
        <v>2118</v>
      </c>
      <c r="C2131" s="698"/>
      <c r="D2131" s="698"/>
      <c r="E2131" s="698"/>
      <c r="F2131" s="698"/>
      <c r="G2131" s="698"/>
    </row>
    <row r="2132" spans="1:7" ht="17.25" customHeight="1" x14ac:dyDescent="0.2">
      <c r="A2132" s="489" t="s">
        <v>1292</v>
      </c>
      <c r="B2132" s="322">
        <v>2119</v>
      </c>
      <c r="C2132" s="698"/>
      <c r="D2132" s="698"/>
      <c r="E2132" s="698"/>
      <c r="F2132" s="698"/>
      <c r="G2132" s="698"/>
    </row>
    <row r="2133" spans="1:7" ht="17.25" customHeight="1" x14ac:dyDescent="0.2">
      <c r="A2133" s="489" t="s">
        <v>1292</v>
      </c>
      <c r="B2133" s="322">
        <v>2120</v>
      </c>
      <c r="C2133" s="698"/>
      <c r="D2133" s="698"/>
      <c r="E2133" s="698"/>
      <c r="F2133" s="698"/>
      <c r="G2133" s="698"/>
    </row>
    <row r="2134" spans="1:7" ht="17.25" customHeight="1" x14ac:dyDescent="0.2">
      <c r="A2134" s="489" t="s">
        <v>1292</v>
      </c>
      <c r="B2134" s="493">
        <v>2121</v>
      </c>
      <c r="C2134" s="739" t="s">
        <v>1249</v>
      </c>
      <c r="D2134" s="739" t="s">
        <v>81</v>
      </c>
      <c r="E2134" s="496"/>
      <c r="F2134" s="496"/>
      <c r="G2134" s="496"/>
    </row>
    <row r="2135" spans="1:7" ht="17.25" customHeight="1" x14ac:dyDescent="0.2">
      <c r="A2135" s="489" t="s">
        <v>1292</v>
      </c>
      <c r="B2135" s="493">
        <v>2122</v>
      </c>
      <c r="C2135" s="698" t="s">
        <v>1312</v>
      </c>
      <c r="D2135" s="698" t="s">
        <v>1313</v>
      </c>
      <c r="E2135" s="698"/>
      <c r="F2135" s="698"/>
      <c r="G2135" s="698"/>
    </row>
    <row r="2136" spans="1:7" ht="111.6" customHeight="1" x14ac:dyDescent="0.2">
      <c r="A2136" s="489" t="s">
        <v>1292</v>
      </c>
      <c r="B2136" s="493">
        <v>2123</v>
      </c>
      <c r="C2136" s="730" t="s">
        <v>1314</v>
      </c>
      <c r="D2136" s="730" t="s">
        <v>1315</v>
      </c>
      <c r="E2136" s="698"/>
      <c r="F2136" s="698"/>
      <c r="G2136" s="698"/>
    </row>
    <row r="2137" spans="1:7" ht="17.25" customHeight="1" x14ac:dyDescent="0.2">
      <c r="A2137" s="489" t="s">
        <v>1292</v>
      </c>
      <c r="B2137" s="322">
        <v>2124</v>
      </c>
      <c r="C2137" s="698"/>
      <c r="D2137" s="698"/>
      <c r="E2137" s="698"/>
      <c r="F2137" s="698"/>
      <c r="G2137" s="698"/>
    </row>
    <row r="2138" spans="1:7" ht="17.25" customHeight="1" x14ac:dyDescent="0.2">
      <c r="A2138" s="489" t="s">
        <v>1292</v>
      </c>
      <c r="B2138" s="322">
        <v>2125</v>
      </c>
      <c r="C2138" s="698"/>
      <c r="D2138" s="698"/>
      <c r="E2138" s="698"/>
      <c r="F2138" s="698"/>
      <c r="G2138" s="698"/>
    </row>
    <row r="2139" spans="1:7" ht="17.25" customHeight="1" x14ac:dyDescent="0.2">
      <c r="A2139" s="489" t="s">
        <v>1292</v>
      </c>
      <c r="B2139" s="322">
        <v>2126</v>
      </c>
      <c r="C2139" s="698"/>
      <c r="D2139" s="698"/>
      <c r="E2139" s="698"/>
      <c r="F2139" s="698"/>
      <c r="G2139" s="698"/>
    </row>
    <row r="2140" spans="1:7" ht="17.25" customHeight="1" x14ac:dyDescent="0.2">
      <c r="A2140" s="489" t="s">
        <v>1292</v>
      </c>
      <c r="B2140" s="493">
        <v>2127</v>
      </c>
      <c r="C2140" s="739" t="s">
        <v>224</v>
      </c>
      <c r="D2140" s="739" t="s">
        <v>225</v>
      </c>
      <c r="E2140" s="739"/>
      <c r="F2140" s="739"/>
      <c r="G2140" s="698"/>
    </row>
    <row r="2141" spans="1:7" ht="37.6" x14ac:dyDescent="0.2">
      <c r="A2141" s="489" t="s">
        <v>1292</v>
      </c>
      <c r="B2141" s="493">
        <v>2128</v>
      </c>
      <c r="C2141" s="698" t="s">
        <v>1316</v>
      </c>
      <c r="D2141" s="698" t="s">
        <v>1317</v>
      </c>
      <c r="E2141" s="698"/>
      <c r="F2141" s="698"/>
      <c r="G2141" s="698"/>
    </row>
    <row r="2142" spans="1:7" ht="30.7" customHeight="1" x14ac:dyDescent="0.2">
      <c r="A2142" s="489" t="s">
        <v>1292</v>
      </c>
      <c r="B2142" s="493">
        <v>2129</v>
      </c>
      <c r="C2142" s="698" t="s">
        <v>1318</v>
      </c>
      <c r="D2142" s="698" t="s">
        <v>1319</v>
      </c>
      <c r="E2142" s="698"/>
      <c r="F2142" s="698"/>
      <c r="G2142" s="698"/>
    </row>
    <row r="2143" spans="1:7" ht="17.25" customHeight="1" x14ac:dyDescent="0.2">
      <c r="A2143" s="489" t="s">
        <v>1292</v>
      </c>
      <c r="B2143" s="322">
        <v>2130</v>
      </c>
      <c r="C2143" s="698"/>
      <c r="D2143" s="698"/>
      <c r="E2143" s="698"/>
      <c r="F2143" s="698"/>
      <c r="G2143" s="698"/>
    </row>
    <row r="2144" spans="1:7" ht="17.25" customHeight="1" x14ac:dyDescent="0.2">
      <c r="A2144" s="489" t="s">
        <v>1292</v>
      </c>
      <c r="B2144" s="322">
        <v>2131</v>
      </c>
      <c r="C2144" s="698"/>
      <c r="D2144" s="698"/>
      <c r="E2144" s="698"/>
      <c r="F2144" s="698"/>
      <c r="G2144" s="698"/>
    </row>
    <row r="2145" spans="1:7" ht="17.25" customHeight="1" x14ac:dyDescent="0.2">
      <c r="A2145" s="489" t="s">
        <v>1292</v>
      </c>
      <c r="B2145" s="322">
        <v>2132</v>
      </c>
      <c r="C2145" s="698"/>
      <c r="D2145" s="698"/>
      <c r="E2145" s="698"/>
      <c r="F2145" s="698"/>
      <c r="G2145" s="698"/>
    </row>
    <row r="2146" spans="1:7" ht="17.25" customHeight="1" x14ac:dyDescent="0.2">
      <c r="A2146" s="489" t="s">
        <v>1292</v>
      </c>
      <c r="B2146" s="493">
        <v>2133</v>
      </c>
      <c r="C2146" s="739" t="s">
        <v>1254</v>
      </c>
      <c r="D2146" s="739" t="s">
        <v>1255</v>
      </c>
      <c r="E2146" s="739"/>
      <c r="F2146" s="739"/>
      <c r="G2146" s="739"/>
    </row>
    <row r="2147" spans="1:7" ht="29.6" customHeight="1" x14ac:dyDescent="0.2">
      <c r="A2147" s="489" t="s">
        <v>1292</v>
      </c>
      <c r="B2147" s="493">
        <v>2134</v>
      </c>
      <c r="C2147" s="698" t="s">
        <v>1320</v>
      </c>
      <c r="D2147" s="698" t="s">
        <v>1321</v>
      </c>
      <c r="E2147" s="698"/>
      <c r="F2147" s="698"/>
      <c r="G2147" s="698"/>
    </row>
    <row r="2148" spans="1:7" ht="25.05" x14ac:dyDescent="0.2">
      <c r="A2148" s="489" t="s">
        <v>1292</v>
      </c>
      <c r="B2148" s="493">
        <v>2135</v>
      </c>
      <c r="C2148" s="698" t="s">
        <v>1322</v>
      </c>
      <c r="D2148" s="698" t="s">
        <v>1323</v>
      </c>
      <c r="E2148" s="698"/>
      <c r="F2148" s="698"/>
      <c r="G2148" s="698"/>
    </row>
    <row r="2149" spans="1:7" ht="17.25" customHeight="1" x14ac:dyDescent="0.2">
      <c r="A2149" s="489" t="s">
        <v>1292</v>
      </c>
      <c r="B2149" s="322">
        <v>2136</v>
      </c>
      <c r="C2149" s="698"/>
      <c r="D2149" s="698"/>
      <c r="E2149" s="698"/>
      <c r="F2149" s="698"/>
      <c r="G2149" s="698"/>
    </row>
    <row r="2150" spans="1:7" ht="17.25" customHeight="1" x14ac:dyDescent="0.2">
      <c r="A2150" s="489" t="s">
        <v>1292</v>
      </c>
      <c r="B2150" s="322">
        <v>2137</v>
      </c>
      <c r="C2150" s="698"/>
      <c r="D2150" s="698"/>
      <c r="E2150" s="698"/>
      <c r="F2150" s="698"/>
      <c r="G2150" s="698"/>
    </row>
    <row r="2151" spans="1:7" ht="17.25" customHeight="1" x14ac:dyDescent="0.2">
      <c r="A2151" s="489" t="s">
        <v>1292</v>
      </c>
      <c r="B2151" s="322">
        <v>2138</v>
      </c>
      <c r="C2151" s="698"/>
      <c r="D2151" s="698"/>
      <c r="E2151" s="698"/>
      <c r="F2151" s="698"/>
      <c r="G2151" s="698"/>
    </row>
    <row r="2152" spans="1:7" ht="17.25" customHeight="1" x14ac:dyDescent="0.2">
      <c r="A2152" s="489" t="s">
        <v>1292</v>
      </c>
      <c r="B2152" s="493">
        <v>2139</v>
      </c>
      <c r="C2152" s="739" t="s">
        <v>1324</v>
      </c>
      <c r="D2152" s="739" t="s">
        <v>1325</v>
      </c>
      <c r="E2152" s="739"/>
      <c r="F2152" s="739"/>
      <c r="G2152" s="739"/>
    </row>
    <row r="2153" spans="1:7" ht="21" customHeight="1" x14ac:dyDescent="0.2">
      <c r="A2153" s="489" t="s">
        <v>1292</v>
      </c>
      <c r="B2153" s="493">
        <v>2140</v>
      </c>
      <c r="C2153" s="698" t="s">
        <v>1326</v>
      </c>
      <c r="D2153" s="698" t="s">
        <v>1327</v>
      </c>
      <c r="E2153" s="698"/>
      <c r="F2153" s="698"/>
      <c r="G2153" s="698"/>
    </row>
    <row r="2154" spans="1:7" ht="31.15" customHeight="1" x14ac:dyDescent="0.2">
      <c r="A2154" s="489" t="s">
        <v>1292</v>
      </c>
      <c r="B2154" s="493">
        <v>2141</v>
      </c>
      <c r="C2154" s="698" t="s">
        <v>1328</v>
      </c>
      <c r="D2154" s="698" t="s">
        <v>1271</v>
      </c>
      <c r="E2154" s="698"/>
      <c r="F2154" s="698"/>
      <c r="G2154" s="698"/>
    </row>
    <row r="2155" spans="1:7" ht="17.25" customHeight="1" x14ac:dyDescent="0.2">
      <c r="A2155" s="489" t="s">
        <v>1292</v>
      </c>
      <c r="B2155" s="322">
        <v>2142</v>
      </c>
      <c r="C2155" s="698"/>
      <c r="D2155" s="698"/>
      <c r="E2155" s="698"/>
      <c r="F2155" s="698"/>
      <c r="G2155" s="698"/>
    </row>
    <row r="2156" spans="1:7" ht="17.25" customHeight="1" x14ac:dyDescent="0.2">
      <c r="A2156" s="489" t="s">
        <v>1292</v>
      </c>
      <c r="B2156" s="322">
        <v>2143</v>
      </c>
      <c r="C2156" s="698"/>
      <c r="D2156" s="698"/>
      <c r="E2156" s="698"/>
      <c r="F2156" s="698"/>
      <c r="G2156" s="698"/>
    </row>
    <row r="2157" spans="1:7" ht="17.25" customHeight="1" x14ac:dyDescent="0.2">
      <c r="A2157" s="489" t="s">
        <v>1292</v>
      </c>
      <c r="B2157" s="322">
        <v>2144</v>
      </c>
      <c r="C2157" s="698"/>
      <c r="D2157" s="698"/>
      <c r="E2157" s="698"/>
      <c r="F2157" s="698"/>
      <c r="G2157" s="698"/>
    </row>
    <row r="2158" spans="1:7" ht="17.25" customHeight="1" x14ac:dyDescent="0.2">
      <c r="A2158" s="489" t="s">
        <v>1292</v>
      </c>
      <c r="B2158" s="493">
        <v>2145</v>
      </c>
      <c r="C2158" s="739" t="s">
        <v>1272</v>
      </c>
      <c r="D2158" s="739" t="s">
        <v>1272</v>
      </c>
      <c r="E2158" s="739"/>
      <c r="F2158" s="739"/>
      <c r="G2158" s="739"/>
    </row>
    <row r="2159" spans="1:7" ht="17.25" customHeight="1" x14ac:dyDescent="0.2">
      <c r="A2159" s="489" t="s">
        <v>1292</v>
      </c>
      <c r="B2159" s="493">
        <v>2146</v>
      </c>
      <c r="C2159" s="698" t="s">
        <v>1273</v>
      </c>
      <c r="D2159" s="698" t="s">
        <v>1274</v>
      </c>
      <c r="E2159" s="698"/>
      <c r="F2159" s="698"/>
      <c r="G2159" s="698"/>
    </row>
    <row r="2160" spans="1:7" ht="45.1" customHeight="1" x14ac:dyDescent="0.2">
      <c r="A2160" s="489" t="s">
        <v>1292</v>
      </c>
      <c r="B2160" s="493">
        <v>2147</v>
      </c>
      <c r="C2160" s="698" t="s">
        <v>1329</v>
      </c>
      <c r="D2160" s="698" t="s">
        <v>1330</v>
      </c>
      <c r="E2160" s="698"/>
      <c r="F2160" s="698"/>
      <c r="G2160" s="698"/>
    </row>
    <row r="2161" spans="1:7" ht="17.25" customHeight="1" x14ac:dyDescent="0.2">
      <c r="A2161" s="489" t="s">
        <v>1292</v>
      </c>
      <c r="B2161" s="322">
        <v>2148</v>
      </c>
      <c r="C2161" s="698"/>
      <c r="D2161" s="698"/>
      <c r="E2161" s="698"/>
      <c r="F2161" s="698"/>
      <c r="G2161" s="698"/>
    </row>
    <row r="2162" spans="1:7" ht="17.25" customHeight="1" x14ac:dyDescent="0.2">
      <c r="A2162" s="489" t="s">
        <v>1292</v>
      </c>
      <c r="B2162" s="322">
        <v>2149</v>
      </c>
      <c r="C2162" s="698"/>
      <c r="D2162" s="698"/>
      <c r="E2162" s="698"/>
      <c r="F2162" s="698"/>
      <c r="G2162" s="698"/>
    </row>
    <row r="2163" spans="1:7" ht="17.25" customHeight="1" x14ac:dyDescent="0.2">
      <c r="A2163" s="489" t="s">
        <v>1292</v>
      </c>
      <c r="B2163" s="322">
        <v>2150</v>
      </c>
      <c r="C2163" s="698"/>
      <c r="D2163" s="698"/>
      <c r="E2163" s="698"/>
      <c r="F2163" s="698"/>
      <c r="G2163" s="698"/>
    </row>
    <row r="2164" spans="1:7" ht="17.25" customHeight="1" x14ac:dyDescent="0.2">
      <c r="A2164" s="489" t="s">
        <v>1292</v>
      </c>
      <c r="B2164" s="493">
        <v>2151</v>
      </c>
      <c r="C2164" s="739" t="s">
        <v>1277</v>
      </c>
      <c r="D2164" s="739" t="s">
        <v>1278</v>
      </c>
      <c r="E2164" s="739"/>
      <c r="F2164" s="739"/>
      <c r="G2164" s="739"/>
    </row>
    <row r="2165" spans="1:7" ht="37.6" x14ac:dyDescent="0.2">
      <c r="A2165" s="489" t="s">
        <v>1292</v>
      </c>
      <c r="B2165" s="493">
        <v>2152</v>
      </c>
      <c r="C2165" s="698" t="s">
        <v>1331</v>
      </c>
      <c r="D2165" s="698" t="s">
        <v>1332</v>
      </c>
      <c r="E2165" s="698"/>
      <c r="F2165" s="698"/>
      <c r="G2165" s="698"/>
    </row>
    <row r="2166" spans="1:7" ht="63.1" customHeight="1" x14ac:dyDescent="0.2">
      <c r="A2166" s="489" t="s">
        <v>1292</v>
      </c>
      <c r="B2166" s="493">
        <v>2153</v>
      </c>
      <c r="C2166" s="698" t="s">
        <v>1333</v>
      </c>
      <c r="D2166" s="698" t="s">
        <v>1334</v>
      </c>
      <c r="E2166" s="698"/>
      <c r="F2166" s="698"/>
      <c r="G2166" s="698"/>
    </row>
    <row r="2167" spans="1:7" ht="17.25" customHeight="1" x14ac:dyDescent="0.2">
      <c r="A2167" s="489" t="s">
        <v>1292</v>
      </c>
      <c r="B2167" s="322">
        <v>2154</v>
      </c>
      <c r="C2167" s="698"/>
      <c r="D2167" s="698"/>
      <c r="E2167" s="698"/>
      <c r="F2167" s="698"/>
      <c r="G2167" s="698"/>
    </row>
    <row r="2168" spans="1:7" ht="17.25" customHeight="1" x14ac:dyDescent="0.2">
      <c r="A2168" s="489" t="s">
        <v>1292</v>
      </c>
      <c r="B2168" s="322">
        <v>2155</v>
      </c>
      <c r="C2168" s="698"/>
      <c r="D2168" s="698"/>
      <c r="E2168" s="698"/>
      <c r="F2168" s="698"/>
      <c r="G2168" s="698"/>
    </row>
    <row r="2169" spans="1:7" ht="17.25" customHeight="1" x14ac:dyDescent="0.2">
      <c r="A2169" s="489" t="s">
        <v>1292</v>
      </c>
      <c r="B2169" s="322">
        <v>2156</v>
      </c>
      <c r="C2169" s="698"/>
      <c r="D2169" s="698"/>
      <c r="E2169" s="698"/>
      <c r="F2169" s="698"/>
      <c r="G2169" s="698"/>
    </row>
    <row r="2170" spans="1:7" ht="17.25" customHeight="1" x14ac:dyDescent="0.2">
      <c r="A2170" s="489" t="s">
        <v>1292</v>
      </c>
      <c r="B2170" s="493">
        <v>2157</v>
      </c>
      <c r="C2170" s="739" t="s">
        <v>1335</v>
      </c>
      <c r="D2170" s="739" t="s">
        <v>1336</v>
      </c>
      <c r="E2170" s="739"/>
      <c r="F2170" s="739"/>
      <c r="G2170" s="739"/>
    </row>
    <row r="2171" spans="1:7" ht="29.15" customHeight="1" x14ac:dyDescent="0.2">
      <c r="A2171" s="489" t="s">
        <v>1292</v>
      </c>
      <c r="B2171" s="493">
        <v>2158</v>
      </c>
      <c r="C2171" s="698" t="s">
        <v>1337</v>
      </c>
      <c r="D2171" s="698" t="s">
        <v>1338</v>
      </c>
      <c r="E2171" s="698"/>
      <c r="F2171" s="698"/>
      <c r="G2171" s="698"/>
    </row>
    <row r="2172" spans="1:7" ht="67.5" customHeight="1" x14ac:dyDescent="0.2">
      <c r="A2172" s="489" t="s">
        <v>1292</v>
      </c>
      <c r="B2172" s="493">
        <v>2159</v>
      </c>
      <c r="C2172" s="730" t="s">
        <v>1339</v>
      </c>
      <c r="D2172" s="730" t="s">
        <v>1340</v>
      </c>
      <c r="E2172" s="698"/>
      <c r="F2172" s="698"/>
      <c r="G2172" s="698"/>
    </row>
    <row r="2173" spans="1:7" ht="17.25" customHeight="1" x14ac:dyDescent="0.2">
      <c r="A2173" s="489" t="s">
        <v>1292</v>
      </c>
      <c r="B2173" s="322">
        <v>2160</v>
      </c>
      <c r="C2173" s="698"/>
      <c r="D2173" s="698"/>
      <c r="E2173" s="698"/>
      <c r="F2173" s="698"/>
      <c r="G2173" s="698"/>
    </row>
    <row r="2174" spans="1:7" ht="17.25" customHeight="1" x14ac:dyDescent="0.2">
      <c r="A2174" s="489" t="s">
        <v>1292</v>
      </c>
      <c r="B2174" s="322">
        <v>2161</v>
      </c>
      <c r="C2174" s="698"/>
      <c r="D2174" s="698"/>
      <c r="E2174" s="698"/>
      <c r="F2174" s="698"/>
      <c r="G2174" s="698"/>
    </row>
    <row r="2175" spans="1:7" ht="17.25" customHeight="1" x14ac:dyDescent="0.2">
      <c r="A2175" s="489" t="s">
        <v>1292</v>
      </c>
      <c r="B2175" s="322">
        <v>2162</v>
      </c>
      <c r="C2175" s="698"/>
      <c r="D2175" s="698"/>
      <c r="E2175" s="698"/>
      <c r="F2175" s="698"/>
      <c r="G2175" s="698"/>
    </row>
    <row r="2176" spans="1:7" ht="17.25" customHeight="1" x14ac:dyDescent="0.2">
      <c r="A2176" s="489" t="s">
        <v>1292</v>
      </c>
      <c r="B2176" s="322">
        <v>2163</v>
      </c>
      <c r="C2176" s="698"/>
      <c r="D2176" s="698"/>
      <c r="E2176" s="698"/>
      <c r="F2176" s="698"/>
      <c r="G2176" s="698"/>
    </row>
    <row r="2177" spans="1:7" ht="17.25" customHeight="1" x14ac:dyDescent="0.2">
      <c r="A2177" s="489" t="s">
        <v>1292</v>
      </c>
      <c r="B2177" s="322">
        <v>2164</v>
      </c>
      <c r="C2177" s="698"/>
      <c r="D2177" s="698"/>
      <c r="E2177" s="698"/>
      <c r="F2177" s="698"/>
      <c r="G2177" s="698"/>
    </row>
    <row r="2178" spans="1:7" ht="17.25" customHeight="1" x14ac:dyDescent="0.2">
      <c r="A2178" s="489" t="s">
        <v>1292</v>
      </c>
      <c r="B2178" s="322">
        <v>2165</v>
      </c>
      <c r="C2178" s="698"/>
      <c r="D2178" s="698"/>
      <c r="E2178" s="698"/>
      <c r="F2178" s="698"/>
      <c r="G2178" s="698"/>
    </row>
    <row r="2179" spans="1:7" ht="17.25" customHeight="1" x14ac:dyDescent="0.2">
      <c r="A2179" s="489" t="s">
        <v>1292</v>
      </c>
      <c r="B2179" s="493">
        <v>2166</v>
      </c>
      <c r="C2179" s="739" t="s">
        <v>84</v>
      </c>
      <c r="D2179" s="739" t="s">
        <v>85</v>
      </c>
      <c r="E2179" s="739"/>
      <c r="F2179" s="739"/>
      <c r="G2179" s="739"/>
    </row>
    <row r="2180" spans="1:7" ht="17.25" customHeight="1" x14ac:dyDescent="0.2">
      <c r="A2180" s="489" t="s">
        <v>1292</v>
      </c>
      <c r="B2180" s="322">
        <v>2167</v>
      </c>
      <c r="C2180" s="698"/>
      <c r="D2180" s="698"/>
      <c r="E2180" s="698"/>
      <c r="F2180" s="698"/>
      <c r="G2180" s="698"/>
    </row>
    <row r="2181" spans="1:7" ht="17.25" customHeight="1" x14ac:dyDescent="0.2">
      <c r="A2181" s="489" t="s">
        <v>1292</v>
      </c>
      <c r="B2181" s="322">
        <v>2168</v>
      </c>
      <c r="C2181" s="698"/>
      <c r="D2181" s="698"/>
      <c r="E2181" s="698"/>
      <c r="F2181" s="698"/>
      <c r="G2181" s="698"/>
    </row>
    <row r="2182" spans="1:7" ht="17.25" customHeight="1" x14ac:dyDescent="0.2">
      <c r="A2182" s="489" t="s">
        <v>1292</v>
      </c>
      <c r="B2182" s="322">
        <v>2169</v>
      </c>
      <c r="C2182" s="698"/>
      <c r="D2182" s="698"/>
      <c r="E2182" s="698"/>
      <c r="F2182" s="698"/>
      <c r="G2182" s="698"/>
    </row>
    <row r="2183" spans="1:7" ht="17.25" customHeight="1" x14ac:dyDescent="0.2">
      <c r="A2183" s="489" t="s">
        <v>1292</v>
      </c>
      <c r="B2183" s="322">
        <v>2170</v>
      </c>
      <c r="C2183" s="698"/>
      <c r="D2183" s="698"/>
      <c r="E2183" s="698"/>
      <c r="F2183" s="698"/>
      <c r="G2183" s="698"/>
    </row>
    <row r="2184" spans="1:7" ht="17.25" customHeight="1" x14ac:dyDescent="0.2">
      <c r="A2184" s="489" t="s">
        <v>1292</v>
      </c>
      <c r="B2184" s="322">
        <v>2171</v>
      </c>
      <c r="C2184" s="698"/>
      <c r="D2184" s="698"/>
      <c r="E2184" s="698"/>
      <c r="F2184" s="698"/>
      <c r="G2184" s="698"/>
    </row>
    <row r="2185" spans="1:7" ht="17.25" customHeight="1" x14ac:dyDescent="0.2">
      <c r="A2185" s="489" t="s">
        <v>1292</v>
      </c>
      <c r="B2185" s="322">
        <v>2172</v>
      </c>
      <c r="C2185" s="698"/>
      <c r="D2185" s="698"/>
      <c r="E2185" s="698"/>
      <c r="F2185" s="698"/>
      <c r="G2185" s="698"/>
    </row>
    <row r="2186" spans="1:7" ht="17.25" customHeight="1" x14ac:dyDescent="0.2">
      <c r="A2186" s="489" t="s">
        <v>1292</v>
      </c>
      <c r="B2186" s="322">
        <v>2173</v>
      </c>
      <c r="C2186" s="760" t="s">
        <v>86</v>
      </c>
      <c r="D2186" s="760" t="s">
        <v>87</v>
      </c>
      <c r="E2186" s="739"/>
      <c r="F2186" s="739"/>
      <c r="G2186" s="739"/>
    </row>
    <row r="2187" spans="1:7" ht="17.25" customHeight="1" x14ac:dyDescent="0.2">
      <c r="A2187" s="489" t="s">
        <v>1292</v>
      </c>
      <c r="B2187" s="322">
        <v>2174</v>
      </c>
      <c r="C2187" s="698"/>
      <c r="D2187" s="698"/>
      <c r="E2187" s="698"/>
      <c r="F2187" s="698"/>
      <c r="G2187" s="698"/>
    </row>
    <row r="2188" spans="1:7" ht="17.25" customHeight="1" x14ac:dyDescent="0.2">
      <c r="A2188" s="489" t="s">
        <v>1292</v>
      </c>
      <c r="B2188" s="322">
        <v>2175</v>
      </c>
      <c r="C2188" s="698"/>
      <c r="D2188" s="698"/>
      <c r="E2188" s="698"/>
      <c r="F2188" s="698"/>
      <c r="G2188" s="698"/>
    </row>
    <row r="2189" spans="1:7" ht="17.25" customHeight="1" x14ac:dyDescent="0.2">
      <c r="A2189" s="489" t="s">
        <v>1292</v>
      </c>
      <c r="B2189" s="322">
        <v>2176</v>
      </c>
      <c r="C2189" s="698"/>
      <c r="D2189" s="698"/>
      <c r="E2189" s="698"/>
      <c r="F2189" s="698"/>
      <c r="G2189" s="698"/>
    </row>
    <row r="2190" spans="1:7" ht="17.25" customHeight="1" x14ac:dyDescent="0.2">
      <c r="A2190" s="489" t="s">
        <v>1292</v>
      </c>
      <c r="B2190" s="322">
        <v>2177</v>
      </c>
      <c r="C2190" s="698"/>
      <c r="D2190" s="698"/>
      <c r="E2190" s="698"/>
      <c r="F2190" s="698"/>
      <c r="G2190" s="698"/>
    </row>
    <row r="2191" spans="1:7" ht="17.25" customHeight="1" x14ac:dyDescent="0.2">
      <c r="A2191" s="489" t="s">
        <v>1292</v>
      </c>
      <c r="B2191" s="322">
        <v>2178</v>
      </c>
      <c r="C2191" s="698"/>
      <c r="D2191" s="698"/>
      <c r="E2191" s="698"/>
      <c r="F2191" s="698"/>
      <c r="G2191" s="698"/>
    </row>
    <row r="2192" spans="1:7" ht="17.25" customHeight="1" x14ac:dyDescent="0.2">
      <c r="A2192" s="489" t="s">
        <v>1292</v>
      </c>
      <c r="B2192" s="322">
        <v>2179</v>
      </c>
      <c r="C2192" s="698"/>
      <c r="D2192" s="698"/>
      <c r="E2192" s="698"/>
      <c r="F2192" s="698"/>
      <c r="G2192" s="698"/>
    </row>
    <row r="2193" spans="1:7" ht="17.25" customHeight="1" x14ac:dyDescent="0.2">
      <c r="A2193" s="489" t="s">
        <v>1292</v>
      </c>
      <c r="B2193" s="322">
        <v>2180</v>
      </c>
      <c r="C2193" s="698"/>
      <c r="D2193" s="698"/>
      <c r="E2193" s="698"/>
      <c r="F2193" s="698"/>
      <c r="G2193" s="698"/>
    </row>
    <row r="2194" spans="1:7" ht="17.25" customHeight="1" x14ac:dyDescent="0.2">
      <c r="A2194" s="489" t="s">
        <v>1292</v>
      </c>
      <c r="B2194" s="322">
        <v>2181</v>
      </c>
      <c r="C2194" s="698"/>
      <c r="D2194" s="698"/>
      <c r="E2194" s="698"/>
      <c r="F2194" s="698"/>
      <c r="G2194" s="698"/>
    </row>
    <row r="2195" spans="1:7" ht="17.25" customHeight="1" x14ac:dyDescent="0.2">
      <c r="A2195" s="489" t="s">
        <v>1292</v>
      </c>
      <c r="B2195" s="322">
        <v>2182</v>
      </c>
      <c r="C2195" s="698"/>
      <c r="D2195" s="698"/>
      <c r="E2195" s="698"/>
      <c r="F2195" s="698"/>
      <c r="G2195" s="698"/>
    </row>
    <row r="2196" spans="1:7" ht="17.25" customHeight="1" x14ac:dyDescent="0.2">
      <c r="A2196" s="489" t="s">
        <v>1292</v>
      </c>
      <c r="B2196" s="322">
        <v>2183</v>
      </c>
      <c r="C2196" s="698"/>
      <c r="D2196" s="698"/>
      <c r="E2196" s="698"/>
      <c r="F2196" s="698"/>
      <c r="G2196" s="698"/>
    </row>
    <row r="2197" spans="1:7" ht="17.25" customHeight="1" x14ac:dyDescent="0.2">
      <c r="A2197" s="489" t="s">
        <v>1292</v>
      </c>
      <c r="B2197" s="322">
        <v>2184</v>
      </c>
      <c r="C2197" s="698"/>
      <c r="D2197" s="698"/>
      <c r="E2197" s="698"/>
      <c r="F2197" s="698"/>
      <c r="G2197" s="698"/>
    </row>
    <row r="2198" spans="1:7" ht="17.25" customHeight="1" x14ac:dyDescent="0.2">
      <c r="A2198" s="489" t="s">
        <v>1292</v>
      </c>
      <c r="B2198" s="322">
        <v>2185</v>
      </c>
      <c r="C2198" s="698"/>
      <c r="D2198" s="698"/>
      <c r="E2198" s="698"/>
      <c r="F2198" s="698"/>
      <c r="G2198" s="698"/>
    </row>
    <row r="2199" spans="1:7" ht="17.25" customHeight="1" x14ac:dyDescent="0.2">
      <c r="A2199" s="489" t="s">
        <v>1292</v>
      </c>
      <c r="B2199" s="322">
        <v>2186</v>
      </c>
      <c r="C2199" s="698"/>
      <c r="D2199" s="698"/>
      <c r="E2199" s="698"/>
      <c r="F2199" s="698"/>
      <c r="G2199" s="698"/>
    </row>
    <row r="2200" spans="1:7" ht="17.25" customHeight="1" x14ac:dyDescent="0.2">
      <c r="A2200" s="489" t="s">
        <v>1292</v>
      </c>
      <c r="B2200" s="322">
        <v>2187</v>
      </c>
      <c r="C2200" s="698"/>
      <c r="D2200" s="698"/>
      <c r="E2200" s="698"/>
      <c r="F2200" s="698"/>
      <c r="G2200" s="698"/>
    </row>
    <row r="2201" spans="1:7" ht="17.25" customHeight="1" x14ac:dyDescent="0.2">
      <c r="A2201" s="489" t="s">
        <v>1292</v>
      </c>
      <c r="B2201" s="322">
        <v>2188</v>
      </c>
      <c r="C2201" s="698"/>
      <c r="D2201" s="698"/>
      <c r="E2201" s="698"/>
      <c r="F2201" s="698"/>
      <c r="G2201" s="698"/>
    </row>
    <row r="2202" spans="1:7" ht="17.25" customHeight="1" x14ac:dyDescent="0.2">
      <c r="A2202" s="489" t="s">
        <v>1292</v>
      </c>
      <c r="B2202" s="322">
        <v>2189</v>
      </c>
      <c r="C2202" s="698"/>
      <c r="D2202" s="698"/>
      <c r="E2202" s="698"/>
      <c r="F2202" s="698"/>
      <c r="G2202" s="698"/>
    </row>
    <row r="2203" spans="1:7" ht="17.25" customHeight="1" x14ac:dyDescent="0.2">
      <c r="A2203" s="489" t="s">
        <v>1292</v>
      </c>
      <c r="B2203" s="322">
        <v>2190</v>
      </c>
      <c r="C2203" s="698"/>
      <c r="D2203" s="698"/>
      <c r="E2203" s="698"/>
      <c r="F2203" s="698"/>
      <c r="G2203" s="698"/>
    </row>
    <row r="2204" spans="1:7" ht="17.25" customHeight="1" x14ac:dyDescent="0.2">
      <c r="A2204" s="489" t="s">
        <v>1292</v>
      </c>
      <c r="B2204" s="322">
        <v>2191</v>
      </c>
      <c r="C2204" s="698"/>
      <c r="D2204" s="698"/>
      <c r="E2204" s="698"/>
      <c r="F2204" s="698"/>
      <c r="G2204" s="698"/>
    </row>
    <row r="2205" spans="1:7" ht="17.25" customHeight="1" x14ac:dyDescent="0.2">
      <c r="A2205" s="489" t="s">
        <v>1292</v>
      </c>
      <c r="B2205" s="322">
        <v>2192</v>
      </c>
      <c r="C2205" s="698"/>
      <c r="D2205" s="698"/>
      <c r="E2205" s="698"/>
      <c r="F2205" s="698"/>
      <c r="G2205" s="698"/>
    </row>
    <row r="2206" spans="1:7" ht="17.25" customHeight="1" x14ac:dyDescent="0.2">
      <c r="A2206" s="489" t="s">
        <v>1292</v>
      </c>
      <c r="B2206" s="322">
        <v>2193</v>
      </c>
      <c r="C2206" s="698"/>
      <c r="D2206" s="698"/>
      <c r="E2206" s="698"/>
      <c r="F2206" s="698"/>
      <c r="G2206" s="698"/>
    </row>
    <row r="2207" spans="1:7" ht="17.25" customHeight="1" x14ac:dyDescent="0.2">
      <c r="A2207" s="489" t="s">
        <v>1292</v>
      </c>
      <c r="B2207" s="322">
        <v>2194</v>
      </c>
      <c r="C2207" s="698"/>
      <c r="D2207" s="698"/>
      <c r="E2207" s="698"/>
      <c r="F2207" s="698"/>
      <c r="G2207" s="698"/>
    </row>
    <row r="2208" spans="1:7" ht="17.25" customHeight="1" x14ac:dyDescent="0.2">
      <c r="A2208" s="489" t="s">
        <v>1292</v>
      </c>
      <c r="B2208" s="322">
        <v>2195</v>
      </c>
      <c r="C2208" s="698"/>
      <c r="D2208" s="698"/>
      <c r="E2208" s="698"/>
      <c r="F2208" s="698"/>
      <c r="G2208" s="698"/>
    </row>
    <row r="2209" spans="1:7" ht="17.25" customHeight="1" x14ac:dyDescent="0.2">
      <c r="A2209" s="489" t="s">
        <v>1292</v>
      </c>
      <c r="B2209" s="322">
        <v>2196</v>
      </c>
      <c r="C2209" s="698"/>
      <c r="D2209" s="698"/>
      <c r="E2209" s="698"/>
      <c r="F2209" s="698"/>
      <c r="G2209" s="698"/>
    </row>
    <row r="2210" spans="1:7" ht="17.25" customHeight="1" x14ac:dyDescent="0.2">
      <c r="A2210" s="489" t="s">
        <v>1292</v>
      </c>
      <c r="B2210" s="322">
        <v>2197</v>
      </c>
      <c r="C2210" s="698"/>
      <c r="D2210" s="698"/>
      <c r="E2210" s="698"/>
      <c r="F2210" s="698"/>
      <c r="G2210" s="698"/>
    </row>
    <row r="2211" spans="1:7" ht="17.25" customHeight="1" x14ac:dyDescent="0.2">
      <c r="A2211" s="489" t="s">
        <v>1292</v>
      </c>
      <c r="B2211" s="322">
        <v>2198</v>
      </c>
      <c r="C2211" s="698"/>
      <c r="D2211" s="698"/>
      <c r="E2211" s="698"/>
      <c r="F2211" s="698"/>
      <c r="G2211" s="698"/>
    </row>
    <row r="2212" spans="1:7" ht="17.25" customHeight="1" x14ac:dyDescent="0.2">
      <c r="A2212" s="489" t="s">
        <v>1292</v>
      </c>
      <c r="B2212" s="322">
        <v>2199</v>
      </c>
      <c r="C2212" s="698"/>
      <c r="D2212" s="698"/>
      <c r="E2212" s="698"/>
      <c r="F2212" s="698"/>
      <c r="G2212" s="698"/>
    </row>
    <row r="2213" spans="1:7" ht="17.25" customHeight="1" x14ac:dyDescent="0.2">
      <c r="A2213" s="489" t="s">
        <v>1292</v>
      </c>
      <c r="B2213" s="322">
        <v>2200</v>
      </c>
      <c r="C2213" s="698"/>
      <c r="D2213" s="698"/>
      <c r="E2213" s="698"/>
      <c r="F2213" s="698"/>
      <c r="G2213" s="698"/>
    </row>
    <row r="2214" spans="1:7" ht="17.25" customHeight="1" x14ac:dyDescent="0.2">
      <c r="A2214" s="489" t="s">
        <v>1292</v>
      </c>
      <c r="B2214" s="322">
        <v>2201</v>
      </c>
      <c r="C2214" s="698"/>
      <c r="D2214" s="698"/>
      <c r="E2214" s="698"/>
      <c r="F2214" s="698"/>
      <c r="G2214" s="698"/>
    </row>
    <row r="2215" spans="1:7" ht="17.25" customHeight="1" x14ac:dyDescent="0.2">
      <c r="A2215" s="489" t="s">
        <v>1292</v>
      </c>
      <c r="B2215" s="322">
        <v>2202</v>
      </c>
      <c r="C2215" s="698"/>
      <c r="D2215" s="698"/>
      <c r="E2215" s="698"/>
      <c r="F2215" s="698"/>
      <c r="G2215" s="698"/>
    </row>
    <row r="2216" spans="1:7" ht="17.25" customHeight="1" x14ac:dyDescent="0.2">
      <c r="A2216" s="490" t="s">
        <v>1292</v>
      </c>
      <c r="B2216" s="491">
        <v>2203</v>
      </c>
      <c r="C2216" s="752"/>
      <c r="D2216" s="752"/>
      <c r="E2216" s="752"/>
      <c r="F2216" s="752"/>
      <c r="G2216" s="752"/>
    </row>
    <row r="2217" spans="1:7" ht="17.25" customHeight="1" x14ac:dyDescent="0.2">
      <c r="A2217" s="489" t="s">
        <v>1341</v>
      </c>
      <c r="B2217" s="322">
        <v>2204</v>
      </c>
      <c r="C2217" s="149"/>
      <c r="D2217" s="149"/>
      <c r="E2217" s="149"/>
      <c r="F2217" s="149"/>
      <c r="G2217" s="149"/>
    </row>
    <row r="2218" spans="1:7" ht="17.25" customHeight="1" x14ac:dyDescent="0.2">
      <c r="A2218" s="489" t="s">
        <v>1341</v>
      </c>
      <c r="B2218" s="322">
        <v>2205</v>
      </c>
      <c r="C2218" s="698"/>
      <c r="D2218" s="698"/>
      <c r="E2218" s="698"/>
      <c r="F2218" s="698"/>
      <c r="G2218" s="698"/>
    </row>
    <row r="2219" spans="1:7" ht="17.25" customHeight="1" x14ac:dyDescent="0.2">
      <c r="A2219" s="489" t="s">
        <v>1341</v>
      </c>
      <c r="B2219" s="322">
        <v>2206</v>
      </c>
      <c r="C2219" s="698"/>
      <c r="D2219" s="698"/>
      <c r="E2219" s="698"/>
      <c r="F2219" s="698"/>
      <c r="G2219" s="698"/>
    </row>
    <row r="2220" spans="1:7" ht="28.5" customHeight="1" x14ac:dyDescent="0.2">
      <c r="A2220" s="489" t="s">
        <v>1341</v>
      </c>
      <c r="B2220" s="322">
        <v>2207</v>
      </c>
      <c r="C2220" s="706" t="s">
        <v>1342</v>
      </c>
      <c r="D2220" s="698" t="s">
        <v>1343</v>
      </c>
      <c r="E2220" s="698"/>
      <c r="F2220" s="698"/>
      <c r="G2220" s="698"/>
    </row>
    <row r="2221" spans="1:7" ht="17.25" customHeight="1" x14ac:dyDescent="0.2">
      <c r="A2221" s="489" t="s">
        <v>1341</v>
      </c>
      <c r="B2221" s="322">
        <v>2208</v>
      </c>
      <c r="C2221" s="698"/>
      <c r="D2221" s="698"/>
      <c r="E2221" s="698"/>
      <c r="F2221" s="698"/>
      <c r="G2221" s="698"/>
    </row>
    <row r="2222" spans="1:7" ht="17.25" customHeight="1" x14ac:dyDescent="0.2">
      <c r="A2222" s="489" t="s">
        <v>1341</v>
      </c>
      <c r="B2222" s="322">
        <v>2209</v>
      </c>
      <c r="C2222" s="698"/>
      <c r="D2222" s="698"/>
      <c r="E2222" s="698"/>
      <c r="F2222" s="698"/>
      <c r="G2222" s="698"/>
    </row>
    <row r="2223" spans="1:7" ht="17.25" customHeight="1" x14ac:dyDescent="0.2">
      <c r="A2223" s="489" t="s">
        <v>1341</v>
      </c>
      <c r="B2223" s="322">
        <v>2210</v>
      </c>
      <c r="C2223" s="698"/>
      <c r="D2223" s="698"/>
      <c r="E2223" s="698"/>
      <c r="F2223" s="698"/>
      <c r="G2223" s="698"/>
    </row>
    <row r="2224" spans="1:7" ht="17.25" customHeight="1" x14ac:dyDescent="0.2">
      <c r="A2224" s="489" t="s">
        <v>1341</v>
      </c>
      <c r="B2224" s="322">
        <v>2211</v>
      </c>
      <c r="C2224" s="698" t="s">
        <v>1344</v>
      </c>
      <c r="D2224" s="698" t="s">
        <v>1345</v>
      </c>
      <c r="E2224" s="698"/>
      <c r="F2224" s="698"/>
      <c r="G2224" s="698"/>
    </row>
    <row r="2225" spans="1:7" ht="17.25" customHeight="1" x14ac:dyDescent="0.2">
      <c r="A2225" s="489" t="s">
        <v>1341</v>
      </c>
      <c r="B2225" s="322">
        <v>2212</v>
      </c>
      <c r="C2225" s="698"/>
      <c r="D2225" s="698"/>
      <c r="E2225" s="698"/>
      <c r="F2225" s="698"/>
      <c r="G2225" s="698"/>
    </row>
    <row r="2226" spans="1:7" ht="17.25" customHeight="1" x14ac:dyDescent="0.2">
      <c r="A2226" s="489" t="s">
        <v>1341</v>
      </c>
      <c r="B2226" s="322">
        <v>2213</v>
      </c>
      <c r="C2226" s="698"/>
      <c r="D2226" s="698"/>
      <c r="E2226" s="698"/>
      <c r="F2226" s="698"/>
      <c r="G2226" s="698"/>
    </row>
    <row r="2227" spans="1:7" ht="17.25" customHeight="1" x14ac:dyDescent="0.2">
      <c r="A2227" s="489" t="s">
        <v>1341</v>
      </c>
      <c r="B2227" s="322">
        <v>2214</v>
      </c>
      <c r="C2227" s="698"/>
      <c r="D2227" s="698"/>
      <c r="E2227" s="698"/>
      <c r="F2227" s="698"/>
      <c r="G2227" s="698"/>
    </row>
    <row r="2228" spans="1:7" ht="46.2" customHeight="1" x14ac:dyDescent="0.2">
      <c r="A2228" s="489" t="s">
        <v>1341</v>
      </c>
      <c r="B2228" s="322">
        <v>2215</v>
      </c>
      <c r="C2228" s="698" t="s">
        <v>1346</v>
      </c>
      <c r="D2228" s="698" t="s">
        <v>1347</v>
      </c>
      <c r="E2228" s="698"/>
      <c r="F2228" s="698"/>
      <c r="G2228" s="698"/>
    </row>
    <row r="2229" spans="1:7" ht="17.25" customHeight="1" x14ac:dyDescent="0.2">
      <c r="A2229" s="489" t="s">
        <v>1341</v>
      </c>
      <c r="B2229" s="322">
        <v>2216</v>
      </c>
      <c r="C2229" s="698"/>
      <c r="D2229" s="698"/>
      <c r="E2229" s="698"/>
      <c r="F2229" s="698"/>
      <c r="G2229" s="698"/>
    </row>
    <row r="2230" spans="1:7" ht="17.25" customHeight="1" x14ac:dyDescent="0.2">
      <c r="A2230" s="489" t="s">
        <v>1341</v>
      </c>
      <c r="B2230" s="322">
        <v>2217</v>
      </c>
      <c r="C2230" s="698"/>
      <c r="D2230" s="698"/>
      <c r="E2230" s="698"/>
      <c r="F2230" s="698"/>
      <c r="G2230" s="698"/>
    </row>
    <row r="2231" spans="1:7" ht="17.25" customHeight="1" x14ac:dyDescent="0.2">
      <c r="A2231" s="489" t="s">
        <v>1341</v>
      </c>
      <c r="B2231" s="322">
        <v>2218</v>
      </c>
      <c r="C2231" s="698"/>
      <c r="D2231" s="698"/>
      <c r="E2231" s="698"/>
      <c r="F2231" s="698"/>
      <c r="G2231" s="698"/>
    </row>
    <row r="2232" spans="1:7" ht="17.25" customHeight="1" x14ac:dyDescent="0.2">
      <c r="A2232" s="489" t="s">
        <v>1341</v>
      </c>
      <c r="B2232" s="493">
        <v>2219</v>
      </c>
      <c r="C2232" s="739" t="s">
        <v>230</v>
      </c>
      <c r="D2232" s="739" t="s">
        <v>1234</v>
      </c>
      <c r="E2232" s="739"/>
      <c r="F2232" s="739"/>
      <c r="G2232" s="739"/>
    </row>
    <row r="2233" spans="1:7" ht="17.25" customHeight="1" x14ac:dyDescent="0.2">
      <c r="A2233" s="489" t="s">
        <v>1341</v>
      </c>
      <c r="B2233" s="493">
        <v>2220</v>
      </c>
      <c r="C2233" s="739" t="s">
        <v>187</v>
      </c>
      <c r="D2233" s="739" t="s">
        <v>188</v>
      </c>
      <c r="E2233" s="739"/>
      <c r="F2233" s="739"/>
      <c r="G2233" s="739"/>
    </row>
    <row r="2234" spans="1:7" ht="75.150000000000006" x14ac:dyDescent="0.2">
      <c r="A2234" s="489" t="s">
        <v>1341</v>
      </c>
      <c r="B2234" s="493">
        <v>2221</v>
      </c>
      <c r="C2234" s="698" t="s">
        <v>1348</v>
      </c>
      <c r="D2234" s="698" t="s">
        <v>1349</v>
      </c>
      <c r="E2234" s="698"/>
      <c r="F2234" s="698"/>
      <c r="G2234" s="698"/>
    </row>
    <row r="2235" spans="1:7" ht="32.75" customHeight="1" x14ac:dyDescent="0.2">
      <c r="A2235" s="489" t="s">
        <v>1341</v>
      </c>
      <c r="B2235" s="493">
        <v>2222</v>
      </c>
      <c r="C2235" s="698" t="s">
        <v>1301</v>
      </c>
      <c r="D2235" s="698" t="s">
        <v>1350</v>
      </c>
      <c r="E2235" s="698"/>
      <c r="F2235" s="698"/>
      <c r="G2235" s="698"/>
    </row>
    <row r="2236" spans="1:7" ht="17.25" customHeight="1" x14ac:dyDescent="0.2">
      <c r="A2236" s="489" t="s">
        <v>1341</v>
      </c>
      <c r="B2236" s="322">
        <v>2223</v>
      </c>
      <c r="C2236" s="698"/>
      <c r="D2236" s="698"/>
      <c r="E2236" s="698"/>
      <c r="F2236" s="698"/>
      <c r="G2236" s="698"/>
    </row>
    <row r="2237" spans="1:7" ht="17.25" customHeight="1" x14ac:dyDescent="0.2">
      <c r="A2237" s="489" t="s">
        <v>1341</v>
      </c>
      <c r="B2237" s="322">
        <v>2224</v>
      </c>
      <c r="C2237" s="698"/>
      <c r="D2237" s="698"/>
      <c r="E2237" s="698"/>
      <c r="F2237" s="698"/>
      <c r="G2237" s="698"/>
    </row>
    <row r="2238" spans="1:7" ht="17.25" customHeight="1" x14ac:dyDescent="0.2">
      <c r="A2238" s="489" t="s">
        <v>1341</v>
      </c>
      <c r="B2238" s="322">
        <v>2225</v>
      </c>
      <c r="C2238" s="698"/>
      <c r="D2238" s="698"/>
      <c r="E2238" s="698"/>
      <c r="F2238" s="698"/>
      <c r="G2238" s="698"/>
    </row>
    <row r="2239" spans="1:7" ht="17.25" customHeight="1" x14ac:dyDescent="0.2">
      <c r="A2239" s="489" t="s">
        <v>1341</v>
      </c>
      <c r="B2239" s="322">
        <v>2226</v>
      </c>
      <c r="C2239" s="739" t="s">
        <v>82</v>
      </c>
      <c r="D2239" s="739" t="s">
        <v>83</v>
      </c>
      <c r="E2239" s="739"/>
      <c r="F2239" s="739"/>
      <c r="G2239" s="739"/>
    </row>
    <row r="2240" spans="1:7" ht="17.25" customHeight="1" x14ac:dyDescent="0.2">
      <c r="A2240" s="489" t="s">
        <v>1341</v>
      </c>
      <c r="B2240" s="322">
        <v>2227</v>
      </c>
      <c r="C2240" s="698" t="s">
        <v>320</v>
      </c>
      <c r="D2240" s="698" t="s">
        <v>321</v>
      </c>
      <c r="E2240" s="698"/>
      <c r="F2240" s="698"/>
      <c r="G2240" s="698"/>
    </row>
    <row r="2241" spans="1:7" ht="44.65" customHeight="1" x14ac:dyDescent="0.2">
      <c r="A2241" s="489" t="s">
        <v>1341</v>
      </c>
      <c r="B2241" s="322">
        <v>2228</v>
      </c>
      <c r="C2241" s="698" t="s">
        <v>1351</v>
      </c>
      <c r="D2241" s="698" t="s">
        <v>1352</v>
      </c>
      <c r="E2241" s="698"/>
      <c r="F2241" s="698"/>
      <c r="G2241" s="698"/>
    </row>
    <row r="2242" spans="1:7" ht="38.700000000000003" customHeight="1" x14ac:dyDescent="0.2">
      <c r="A2242" s="489" t="s">
        <v>1341</v>
      </c>
      <c r="B2242" s="322">
        <v>2229</v>
      </c>
      <c r="C2242" s="698" t="s">
        <v>1353</v>
      </c>
      <c r="D2242" s="698" t="s">
        <v>1354</v>
      </c>
      <c r="E2242" s="698"/>
      <c r="F2242" s="698"/>
      <c r="G2242" s="698"/>
    </row>
    <row r="2243" spans="1:7" ht="17.25" customHeight="1" x14ac:dyDescent="0.2">
      <c r="A2243" s="489" t="s">
        <v>1341</v>
      </c>
      <c r="B2243" s="493">
        <v>2230</v>
      </c>
      <c r="C2243" s="739" t="s">
        <v>230</v>
      </c>
      <c r="D2243" s="739" t="s">
        <v>1234</v>
      </c>
      <c r="E2243" s="739"/>
      <c r="F2243" s="739"/>
      <c r="G2243" s="739"/>
    </row>
    <row r="2244" spans="1:7" ht="39.799999999999997" customHeight="1" x14ac:dyDescent="0.2">
      <c r="A2244" s="489" t="s">
        <v>1341</v>
      </c>
      <c r="B2244" s="493">
        <v>2231</v>
      </c>
      <c r="C2244" s="698" t="s">
        <v>1355</v>
      </c>
      <c r="D2244" s="698" t="s">
        <v>1356</v>
      </c>
      <c r="E2244" s="698"/>
      <c r="F2244" s="698"/>
      <c r="G2244" s="698"/>
    </row>
    <row r="2245" spans="1:7" ht="51.05" customHeight="1" x14ac:dyDescent="0.2">
      <c r="A2245" s="489" t="s">
        <v>1341</v>
      </c>
      <c r="B2245" s="493">
        <v>2232</v>
      </c>
      <c r="C2245" s="730" t="s">
        <v>1357</v>
      </c>
      <c r="D2245" s="730" t="s">
        <v>1358</v>
      </c>
      <c r="E2245" s="698"/>
      <c r="F2245" s="698"/>
      <c r="G2245" s="698"/>
    </row>
    <row r="2246" spans="1:7" ht="17.25" customHeight="1" x14ac:dyDescent="0.2">
      <c r="A2246" s="489" t="s">
        <v>1341</v>
      </c>
      <c r="B2246" s="322">
        <v>2233</v>
      </c>
      <c r="C2246" s="698"/>
      <c r="D2246" s="698"/>
      <c r="E2246" s="698"/>
      <c r="F2246" s="698"/>
      <c r="G2246" s="698"/>
    </row>
    <row r="2247" spans="1:7" ht="17.25" customHeight="1" x14ac:dyDescent="0.2">
      <c r="A2247" s="489" t="s">
        <v>1341</v>
      </c>
      <c r="B2247" s="322">
        <v>2234</v>
      </c>
      <c r="C2247" s="698"/>
      <c r="D2247" s="698"/>
      <c r="E2247" s="698"/>
      <c r="F2247" s="698"/>
      <c r="G2247" s="698"/>
    </row>
    <row r="2248" spans="1:7" ht="17.25" customHeight="1" x14ac:dyDescent="0.2">
      <c r="A2248" s="489" t="s">
        <v>1341</v>
      </c>
      <c r="B2248" s="322">
        <v>2235</v>
      </c>
      <c r="C2248" s="698"/>
      <c r="D2248" s="698"/>
      <c r="E2248" s="698"/>
      <c r="F2248" s="698"/>
      <c r="G2248" s="698"/>
    </row>
    <row r="2249" spans="1:7" ht="17.25" customHeight="1" x14ac:dyDescent="0.2">
      <c r="A2249" s="489" t="s">
        <v>1341</v>
      </c>
      <c r="B2249" s="493">
        <v>2236</v>
      </c>
      <c r="C2249" s="739" t="s">
        <v>1359</v>
      </c>
      <c r="D2249" s="739" t="s">
        <v>1359</v>
      </c>
      <c r="E2249" s="739"/>
      <c r="F2249" s="739"/>
      <c r="G2249" s="739"/>
    </row>
    <row r="2250" spans="1:7" ht="59.65" customHeight="1" x14ac:dyDescent="0.2">
      <c r="A2250" s="489" t="s">
        <v>1341</v>
      </c>
      <c r="B2250" s="493">
        <v>2237</v>
      </c>
      <c r="C2250" s="698" t="s">
        <v>1360</v>
      </c>
      <c r="D2250" s="698" t="s">
        <v>1361</v>
      </c>
      <c r="E2250" s="698"/>
      <c r="F2250" s="698"/>
      <c r="G2250" s="698"/>
    </row>
    <row r="2251" spans="1:7" ht="123.05" customHeight="1" x14ac:dyDescent="0.2">
      <c r="A2251" s="489" t="s">
        <v>1341</v>
      </c>
      <c r="B2251" s="493">
        <v>2238</v>
      </c>
      <c r="C2251" s="698" t="s">
        <v>1362</v>
      </c>
      <c r="D2251" s="698" t="s">
        <v>1363</v>
      </c>
      <c r="E2251" s="698"/>
      <c r="F2251" s="698"/>
      <c r="G2251" s="698"/>
    </row>
    <row r="2252" spans="1:7" ht="17.25" customHeight="1" x14ac:dyDescent="0.2">
      <c r="A2252" s="489" t="s">
        <v>1341</v>
      </c>
      <c r="B2252" s="322">
        <v>2239</v>
      </c>
      <c r="C2252" s="698"/>
      <c r="D2252" s="698"/>
      <c r="E2252" s="698"/>
      <c r="F2252" s="698"/>
      <c r="G2252" s="698"/>
    </row>
    <row r="2253" spans="1:7" ht="17.25" customHeight="1" x14ac:dyDescent="0.2">
      <c r="A2253" s="489" t="s">
        <v>1341</v>
      </c>
      <c r="B2253" s="322">
        <v>2240</v>
      </c>
      <c r="C2253" s="698"/>
      <c r="D2253" s="698"/>
      <c r="E2253" s="698"/>
      <c r="F2253" s="698"/>
      <c r="G2253" s="698"/>
    </row>
    <row r="2254" spans="1:7" ht="17.25" customHeight="1" x14ac:dyDescent="0.2">
      <c r="A2254" s="489" t="s">
        <v>1341</v>
      </c>
      <c r="B2254" s="322">
        <v>2241</v>
      </c>
      <c r="C2254" s="698"/>
      <c r="D2254" s="698"/>
      <c r="E2254" s="698"/>
      <c r="F2254" s="698"/>
      <c r="G2254" s="698"/>
    </row>
    <row r="2255" spans="1:7" ht="17.25" customHeight="1" x14ac:dyDescent="0.2">
      <c r="A2255" s="489" t="s">
        <v>1341</v>
      </c>
      <c r="B2255" s="493">
        <v>2242</v>
      </c>
      <c r="C2255" s="739" t="s">
        <v>1364</v>
      </c>
      <c r="D2255" s="739" t="s">
        <v>1365</v>
      </c>
      <c r="E2255" s="739"/>
      <c r="F2255" s="739"/>
      <c r="G2255" s="739"/>
    </row>
    <row r="2256" spans="1:7" ht="17.25" customHeight="1" x14ac:dyDescent="0.2">
      <c r="A2256" s="489" t="s">
        <v>1341</v>
      </c>
      <c r="B2256" s="493">
        <v>2243</v>
      </c>
      <c r="C2256" s="698" t="s">
        <v>1366</v>
      </c>
      <c r="D2256" s="698" t="s">
        <v>1367</v>
      </c>
      <c r="E2256" s="698"/>
      <c r="F2256" s="698"/>
      <c r="G2256" s="698"/>
    </row>
    <row r="2257" spans="1:7" ht="17.25" customHeight="1" x14ac:dyDescent="0.2">
      <c r="A2257" s="489" t="s">
        <v>1341</v>
      </c>
      <c r="B2257" s="493">
        <v>2244</v>
      </c>
      <c r="C2257" s="698" t="s">
        <v>1368</v>
      </c>
      <c r="D2257" s="698" t="s">
        <v>1369</v>
      </c>
      <c r="E2257" s="698"/>
      <c r="F2257" s="698"/>
      <c r="G2257" s="698"/>
    </row>
    <row r="2258" spans="1:7" ht="17.25" customHeight="1" x14ac:dyDescent="0.2">
      <c r="A2258" s="489" t="s">
        <v>1341</v>
      </c>
      <c r="B2258" s="337">
        <v>2245</v>
      </c>
      <c r="C2258" s="696" t="s">
        <v>1370</v>
      </c>
      <c r="D2258" s="696" t="s">
        <v>1371</v>
      </c>
      <c r="E2258" s="698"/>
      <c r="F2258" s="698"/>
      <c r="G2258" s="698"/>
    </row>
    <row r="2259" spans="1:7" ht="17.25" customHeight="1" x14ac:dyDescent="0.2">
      <c r="A2259" s="489" t="s">
        <v>1341</v>
      </c>
      <c r="B2259" s="322">
        <v>2246</v>
      </c>
      <c r="C2259" s="698" t="s">
        <v>1372</v>
      </c>
      <c r="D2259" s="698" t="s">
        <v>1373</v>
      </c>
      <c r="E2259" s="698"/>
      <c r="F2259" s="698"/>
      <c r="G2259" s="698"/>
    </row>
    <row r="2260" spans="1:7" ht="17.25" customHeight="1" x14ac:dyDescent="0.2">
      <c r="A2260" s="489" t="s">
        <v>1341</v>
      </c>
      <c r="B2260" s="322">
        <v>2247</v>
      </c>
      <c r="C2260" s="698" t="s">
        <v>1374</v>
      </c>
      <c r="D2260" s="698" t="s">
        <v>1375</v>
      </c>
      <c r="E2260" s="698"/>
      <c r="F2260" s="698"/>
      <c r="G2260" s="698"/>
    </row>
    <row r="2261" spans="1:7" ht="17.25" customHeight="1" x14ac:dyDescent="0.2">
      <c r="A2261" s="489" t="s">
        <v>1341</v>
      </c>
      <c r="B2261" s="493">
        <v>2248</v>
      </c>
      <c r="C2261" s="739" t="s">
        <v>1376</v>
      </c>
      <c r="D2261" s="739" t="s">
        <v>1376</v>
      </c>
      <c r="E2261" s="739"/>
      <c r="F2261" s="739"/>
      <c r="G2261" s="739"/>
    </row>
    <row r="2262" spans="1:7" ht="28.5" customHeight="1" x14ac:dyDescent="0.2">
      <c r="A2262" s="489" t="s">
        <v>1341</v>
      </c>
      <c r="B2262" s="493">
        <v>2249</v>
      </c>
      <c r="C2262" s="698" t="s">
        <v>1377</v>
      </c>
      <c r="D2262" s="698" t="s">
        <v>1378</v>
      </c>
      <c r="E2262" s="698"/>
      <c r="F2262" s="698"/>
      <c r="G2262" s="698"/>
    </row>
    <row r="2263" spans="1:7" ht="25.05" x14ac:dyDescent="0.2">
      <c r="A2263" s="489" t="s">
        <v>1341</v>
      </c>
      <c r="B2263" s="493">
        <v>2250</v>
      </c>
      <c r="C2263" s="698" t="s">
        <v>1379</v>
      </c>
      <c r="D2263" s="698" t="s">
        <v>1380</v>
      </c>
      <c r="E2263" s="698"/>
      <c r="F2263" s="698"/>
      <c r="G2263" s="698"/>
    </row>
    <row r="2264" spans="1:7" ht="17.25" customHeight="1" x14ac:dyDescent="0.2">
      <c r="A2264" s="489" t="s">
        <v>1341</v>
      </c>
      <c r="B2264" s="322">
        <v>2251</v>
      </c>
      <c r="C2264" s="698"/>
      <c r="D2264" s="698"/>
      <c r="E2264" s="698"/>
      <c r="F2264" s="698"/>
      <c r="G2264" s="698"/>
    </row>
    <row r="2265" spans="1:7" ht="17.25" customHeight="1" x14ac:dyDescent="0.2">
      <c r="A2265" s="489" t="s">
        <v>1341</v>
      </c>
      <c r="B2265" s="322">
        <v>2252</v>
      </c>
      <c r="C2265" s="698"/>
      <c r="D2265" s="698"/>
      <c r="E2265" s="698"/>
      <c r="F2265" s="698"/>
      <c r="G2265" s="698"/>
    </row>
    <row r="2266" spans="1:7" ht="17.25" customHeight="1" x14ac:dyDescent="0.2">
      <c r="A2266" s="489" t="s">
        <v>1341</v>
      </c>
      <c r="B2266" s="322">
        <v>2253</v>
      </c>
      <c r="C2266" s="698"/>
      <c r="D2266" s="698"/>
      <c r="E2266" s="698"/>
      <c r="F2266" s="698"/>
      <c r="G2266" s="698"/>
    </row>
    <row r="2267" spans="1:7" ht="17.25" customHeight="1" x14ac:dyDescent="0.2">
      <c r="A2267" s="489" t="s">
        <v>1341</v>
      </c>
      <c r="B2267" s="493">
        <v>2254</v>
      </c>
      <c r="C2267" s="739" t="s">
        <v>337</v>
      </c>
      <c r="D2267" s="739" t="s">
        <v>1381</v>
      </c>
      <c r="E2267" s="739"/>
      <c r="F2267" s="739"/>
      <c r="G2267" s="739"/>
    </row>
    <row r="2268" spans="1:7" ht="51.05" customHeight="1" x14ac:dyDescent="0.2">
      <c r="A2268" s="489" t="s">
        <v>1341</v>
      </c>
      <c r="B2268" s="493">
        <v>2255</v>
      </c>
      <c r="C2268" s="698" t="s">
        <v>1382</v>
      </c>
      <c r="D2268" s="698" t="s">
        <v>1383</v>
      </c>
      <c r="E2268" s="698"/>
      <c r="F2268" s="698"/>
      <c r="G2268" s="698"/>
    </row>
    <row r="2269" spans="1:7" ht="24.75" customHeight="1" x14ac:dyDescent="0.2">
      <c r="A2269" s="489" t="s">
        <v>1341</v>
      </c>
      <c r="B2269" s="493">
        <v>2256</v>
      </c>
      <c r="C2269" s="698" t="s">
        <v>1384</v>
      </c>
      <c r="D2269" s="698" t="s">
        <v>1385</v>
      </c>
      <c r="E2269" s="698"/>
      <c r="F2269" s="698"/>
      <c r="G2269" s="698"/>
    </row>
    <row r="2270" spans="1:7" ht="17.25" customHeight="1" x14ac:dyDescent="0.2">
      <c r="A2270" s="489" t="s">
        <v>1341</v>
      </c>
      <c r="B2270" s="322">
        <v>2257</v>
      </c>
      <c r="C2270" s="698"/>
      <c r="D2270" s="698"/>
      <c r="E2270" s="698"/>
      <c r="F2270" s="698"/>
      <c r="G2270" s="698"/>
    </row>
    <row r="2271" spans="1:7" ht="17.25" customHeight="1" x14ac:dyDescent="0.2">
      <c r="A2271" s="489" t="s">
        <v>1341</v>
      </c>
      <c r="B2271" s="322">
        <v>2258</v>
      </c>
      <c r="C2271" s="149"/>
      <c r="D2271" s="149"/>
      <c r="E2271" s="149"/>
      <c r="F2271" s="149"/>
      <c r="G2271" s="149"/>
    </row>
    <row r="2272" spans="1:7" ht="17.25" customHeight="1" x14ac:dyDescent="0.2">
      <c r="A2272" s="489" t="s">
        <v>1341</v>
      </c>
      <c r="B2272" s="322">
        <v>2259</v>
      </c>
      <c r="C2272" s="698"/>
      <c r="D2272" s="698"/>
      <c r="E2272" s="698"/>
      <c r="F2272" s="698"/>
      <c r="G2272" s="698"/>
    </row>
    <row r="2273" spans="1:7" ht="17.25" customHeight="1" x14ac:dyDescent="0.2">
      <c r="A2273" s="489" t="s">
        <v>1341</v>
      </c>
      <c r="B2273" s="493">
        <v>2260</v>
      </c>
      <c r="C2273" s="739" t="s">
        <v>1386</v>
      </c>
      <c r="D2273" s="739" t="s">
        <v>1387</v>
      </c>
      <c r="E2273" s="739"/>
      <c r="F2273" s="739"/>
      <c r="G2273" s="739"/>
    </row>
    <row r="2274" spans="1:7" ht="33.65" customHeight="1" x14ac:dyDescent="0.2">
      <c r="A2274" s="489" t="s">
        <v>1341</v>
      </c>
      <c r="B2274" s="493">
        <v>2261</v>
      </c>
      <c r="C2274" s="698" t="s">
        <v>1388</v>
      </c>
      <c r="D2274" s="698" t="s">
        <v>1389</v>
      </c>
      <c r="E2274" s="698"/>
      <c r="F2274" s="698"/>
      <c r="G2274" s="698"/>
    </row>
    <row r="2275" spans="1:7" ht="73.099999999999994" customHeight="1" x14ac:dyDescent="0.2">
      <c r="A2275" s="489" t="s">
        <v>1341</v>
      </c>
      <c r="B2275" s="493">
        <v>2262</v>
      </c>
      <c r="C2275" s="698" t="s">
        <v>1390</v>
      </c>
      <c r="D2275" s="698" t="s">
        <v>1391</v>
      </c>
      <c r="E2275" s="698"/>
      <c r="F2275" s="698"/>
      <c r="G2275" s="698"/>
    </row>
    <row r="2276" spans="1:7" ht="46.2" customHeight="1" x14ac:dyDescent="0.2">
      <c r="A2276" s="489" t="s">
        <v>1341</v>
      </c>
      <c r="B2276" s="322">
        <v>2263</v>
      </c>
      <c r="C2276" s="710" t="s">
        <v>1392</v>
      </c>
      <c r="D2276" s="698"/>
      <c r="E2276" s="698"/>
      <c r="F2276" s="698"/>
      <c r="G2276" s="698"/>
    </row>
    <row r="2277" spans="1:7" ht="17.25" customHeight="1" x14ac:dyDescent="0.2">
      <c r="A2277" s="489" t="s">
        <v>1341</v>
      </c>
      <c r="B2277" s="322">
        <v>2264</v>
      </c>
      <c r="C2277" s="698"/>
      <c r="D2277" s="698"/>
      <c r="E2277" s="698"/>
      <c r="F2277" s="698"/>
      <c r="G2277" s="698"/>
    </row>
    <row r="2278" spans="1:7" ht="17.25" customHeight="1" x14ac:dyDescent="0.2">
      <c r="A2278" s="489" t="s">
        <v>1341</v>
      </c>
      <c r="B2278" s="322">
        <v>2265</v>
      </c>
      <c r="C2278" s="698"/>
      <c r="D2278" s="698"/>
      <c r="E2278" s="698"/>
      <c r="F2278" s="698"/>
      <c r="G2278" s="698"/>
    </row>
    <row r="2279" spans="1:7" ht="17.25" customHeight="1" x14ac:dyDescent="0.2">
      <c r="A2279" s="489" t="s">
        <v>1341</v>
      </c>
      <c r="B2279" s="493">
        <v>2266</v>
      </c>
      <c r="C2279" s="739" t="s">
        <v>1393</v>
      </c>
      <c r="D2279" s="739" t="s">
        <v>1225</v>
      </c>
      <c r="E2279" s="739"/>
      <c r="F2279" s="739"/>
      <c r="G2279" s="739"/>
    </row>
    <row r="2280" spans="1:7" ht="20.05" customHeight="1" x14ac:dyDescent="0.2">
      <c r="A2280" s="489" t="s">
        <v>1341</v>
      </c>
      <c r="B2280" s="493">
        <v>2267</v>
      </c>
      <c r="C2280" s="698" t="s">
        <v>1394</v>
      </c>
      <c r="D2280" s="698" t="s">
        <v>1395</v>
      </c>
      <c r="E2280" s="698"/>
      <c r="F2280" s="698"/>
      <c r="G2280" s="698"/>
    </row>
    <row r="2281" spans="1:7" ht="190.5" customHeight="1" x14ac:dyDescent="0.2">
      <c r="A2281" s="489" t="s">
        <v>1341</v>
      </c>
      <c r="B2281" s="493">
        <v>2268</v>
      </c>
      <c r="C2281" s="730" t="s">
        <v>1396</v>
      </c>
      <c r="D2281" s="730" t="s">
        <v>1397</v>
      </c>
      <c r="E2281" s="698"/>
      <c r="F2281" s="698"/>
      <c r="G2281" s="698"/>
    </row>
    <row r="2282" spans="1:7" ht="17.25" customHeight="1" x14ac:dyDescent="0.2">
      <c r="A2282" s="489" t="s">
        <v>1341</v>
      </c>
      <c r="B2282" s="493">
        <v>2269</v>
      </c>
      <c r="C2282" s="739"/>
      <c r="D2282" s="739"/>
      <c r="E2282" s="698"/>
      <c r="F2282" s="706"/>
      <c r="G2282" s="698"/>
    </row>
    <row r="2283" spans="1:7" ht="59.2" customHeight="1" x14ac:dyDescent="0.2">
      <c r="A2283" s="489" t="s">
        <v>1341</v>
      </c>
      <c r="B2283" s="322">
        <v>2270</v>
      </c>
      <c r="C2283" s="698"/>
      <c r="D2283" s="698"/>
      <c r="E2283" s="698"/>
      <c r="F2283" s="698"/>
      <c r="G2283" s="698"/>
    </row>
    <row r="2284" spans="1:7" ht="46.5" customHeight="1" x14ac:dyDescent="0.2">
      <c r="A2284" s="489" t="s">
        <v>1341</v>
      </c>
      <c r="B2284" s="322">
        <v>2271</v>
      </c>
      <c r="C2284" s="698"/>
      <c r="D2284" s="698"/>
      <c r="E2284" s="698"/>
      <c r="F2284" s="698"/>
      <c r="G2284" s="698"/>
    </row>
    <row r="2285" spans="1:7" ht="17.25" customHeight="1" x14ac:dyDescent="0.2">
      <c r="A2285" s="489" t="s">
        <v>1341</v>
      </c>
      <c r="B2285" s="493">
        <v>2272</v>
      </c>
      <c r="C2285" s="739" t="s">
        <v>1398</v>
      </c>
      <c r="D2285" s="739" t="s">
        <v>321</v>
      </c>
      <c r="E2285" s="739"/>
      <c r="F2285" s="739"/>
      <c r="G2285" s="739"/>
    </row>
    <row r="2286" spans="1:7" ht="37.6" x14ac:dyDescent="0.2">
      <c r="A2286" s="489" t="s">
        <v>1341</v>
      </c>
      <c r="B2286" s="493">
        <v>2273</v>
      </c>
      <c r="C2286" s="698" t="s">
        <v>1351</v>
      </c>
      <c r="D2286" s="698" t="s">
        <v>1399</v>
      </c>
      <c r="E2286" s="698"/>
      <c r="F2286" s="698"/>
      <c r="G2286" s="698"/>
    </row>
    <row r="2287" spans="1:7" ht="30.7" customHeight="1" x14ac:dyDescent="0.2">
      <c r="A2287" s="489" t="s">
        <v>1341</v>
      </c>
      <c r="B2287" s="493">
        <v>2274</v>
      </c>
      <c r="C2287" s="698" t="s">
        <v>1353</v>
      </c>
      <c r="D2287" s="698" t="s">
        <v>1400</v>
      </c>
      <c r="E2287" s="698"/>
      <c r="F2287" s="698"/>
      <c r="G2287" s="698"/>
    </row>
    <row r="2288" spans="1:7" ht="17.25" customHeight="1" x14ac:dyDescent="0.2">
      <c r="A2288" s="489" t="s">
        <v>1341</v>
      </c>
      <c r="B2288" s="322">
        <v>2275</v>
      </c>
      <c r="C2288" s="698"/>
      <c r="D2288" s="698"/>
      <c r="E2288" s="698"/>
      <c r="F2288" s="698"/>
      <c r="G2288" s="698"/>
    </row>
    <row r="2289" spans="1:7" ht="17.25" customHeight="1" x14ac:dyDescent="0.2">
      <c r="A2289" s="489" t="s">
        <v>1341</v>
      </c>
      <c r="B2289" s="322">
        <v>2276</v>
      </c>
      <c r="C2289" s="698"/>
      <c r="D2289" s="698"/>
      <c r="E2289" s="698"/>
      <c r="F2289" s="698"/>
      <c r="G2289" s="698"/>
    </row>
    <row r="2290" spans="1:7" ht="17.25" customHeight="1" x14ac:dyDescent="0.2">
      <c r="A2290" s="489" t="s">
        <v>1341</v>
      </c>
      <c r="B2290" s="322">
        <v>2277</v>
      </c>
      <c r="C2290" s="698"/>
      <c r="D2290" s="698"/>
      <c r="E2290" s="698"/>
      <c r="F2290" s="698"/>
      <c r="G2290" s="698"/>
    </row>
    <row r="2291" spans="1:7" ht="17.25" customHeight="1" x14ac:dyDescent="0.2">
      <c r="A2291" s="489" t="s">
        <v>1341</v>
      </c>
      <c r="B2291" s="322">
        <v>2278</v>
      </c>
      <c r="C2291" s="698"/>
      <c r="D2291" s="698"/>
      <c r="E2291" s="698"/>
      <c r="F2291" s="698"/>
      <c r="G2291" s="698"/>
    </row>
    <row r="2292" spans="1:7" ht="17.25" customHeight="1" x14ac:dyDescent="0.2">
      <c r="A2292" s="489" t="s">
        <v>1341</v>
      </c>
      <c r="B2292" s="322">
        <v>2279</v>
      </c>
      <c r="C2292" s="698"/>
      <c r="D2292" s="698"/>
      <c r="E2292" s="698"/>
      <c r="F2292" s="698"/>
      <c r="G2292" s="698"/>
    </row>
    <row r="2293" spans="1:7" ht="17.25" customHeight="1" x14ac:dyDescent="0.2">
      <c r="A2293" s="489" t="s">
        <v>1341</v>
      </c>
      <c r="B2293" s="322">
        <v>2280</v>
      </c>
      <c r="C2293" s="698"/>
      <c r="D2293" s="698"/>
      <c r="E2293" s="698"/>
      <c r="F2293" s="698"/>
      <c r="G2293" s="698"/>
    </row>
    <row r="2294" spans="1:7" ht="17.25" customHeight="1" x14ac:dyDescent="0.2">
      <c r="A2294" s="489" t="s">
        <v>1341</v>
      </c>
      <c r="B2294" s="493">
        <v>2281</v>
      </c>
      <c r="C2294" s="739" t="s">
        <v>84</v>
      </c>
      <c r="D2294" s="739" t="s">
        <v>85</v>
      </c>
      <c r="E2294" s="739"/>
      <c r="F2294" s="739"/>
      <c r="G2294" s="739"/>
    </row>
    <row r="2295" spans="1:7" ht="17.25" customHeight="1" x14ac:dyDescent="0.2">
      <c r="A2295" s="489" t="s">
        <v>1341</v>
      </c>
      <c r="B2295" s="322">
        <v>2282</v>
      </c>
      <c r="C2295" s="698"/>
      <c r="D2295" s="698"/>
      <c r="E2295" s="698"/>
      <c r="F2295" s="698"/>
      <c r="G2295" s="698"/>
    </row>
    <row r="2296" spans="1:7" ht="17.25" customHeight="1" x14ac:dyDescent="0.2">
      <c r="A2296" s="489" t="s">
        <v>1341</v>
      </c>
      <c r="B2296" s="322">
        <v>2283</v>
      </c>
      <c r="C2296" s="698"/>
      <c r="D2296" s="698"/>
      <c r="E2296" s="698"/>
      <c r="F2296" s="698"/>
      <c r="G2296" s="698"/>
    </row>
    <row r="2297" spans="1:7" ht="17.25" customHeight="1" x14ac:dyDescent="0.2">
      <c r="A2297" s="489" t="s">
        <v>1341</v>
      </c>
      <c r="B2297" s="322">
        <v>2284</v>
      </c>
      <c r="C2297" s="698"/>
      <c r="D2297" s="698"/>
      <c r="E2297" s="698"/>
      <c r="F2297" s="698"/>
      <c r="G2297" s="698"/>
    </row>
    <row r="2298" spans="1:7" ht="17.25" customHeight="1" x14ac:dyDescent="0.2">
      <c r="A2298" s="489" t="s">
        <v>1341</v>
      </c>
      <c r="B2298" s="493">
        <v>2285</v>
      </c>
      <c r="C2298" s="739" t="s">
        <v>1401</v>
      </c>
      <c r="D2298" s="739" t="s">
        <v>1016</v>
      </c>
      <c r="E2298" s="739"/>
      <c r="F2298" s="739"/>
      <c r="G2298" s="739"/>
    </row>
    <row r="2299" spans="1:7" ht="34.15" customHeight="1" x14ac:dyDescent="0.2">
      <c r="A2299" s="489" t="s">
        <v>1341</v>
      </c>
      <c r="B2299" s="493">
        <v>2286</v>
      </c>
      <c r="C2299" s="698" t="s">
        <v>1402</v>
      </c>
      <c r="D2299" s="698" t="s">
        <v>1403</v>
      </c>
      <c r="E2299" s="698"/>
      <c r="F2299" s="698"/>
      <c r="G2299" s="698"/>
    </row>
    <row r="2300" spans="1:7" ht="32.75" customHeight="1" x14ac:dyDescent="0.2">
      <c r="A2300" s="489" t="s">
        <v>1341</v>
      </c>
      <c r="B2300" s="493">
        <v>2287</v>
      </c>
      <c r="C2300" s="730" t="s">
        <v>1404</v>
      </c>
      <c r="D2300" s="730" t="s">
        <v>1405</v>
      </c>
      <c r="E2300" s="698"/>
      <c r="F2300" s="698"/>
      <c r="G2300" s="698"/>
    </row>
    <row r="2301" spans="1:7" ht="17.25" customHeight="1" x14ac:dyDescent="0.2">
      <c r="A2301" s="489" t="s">
        <v>1341</v>
      </c>
      <c r="B2301" s="322">
        <v>2288</v>
      </c>
      <c r="C2301" s="698"/>
      <c r="D2301" s="698"/>
      <c r="E2301" s="698"/>
      <c r="F2301" s="698"/>
      <c r="G2301" s="698"/>
    </row>
    <row r="2302" spans="1:7" ht="17.25" customHeight="1" x14ac:dyDescent="0.2">
      <c r="A2302" s="489" t="s">
        <v>1341</v>
      </c>
      <c r="B2302" s="322">
        <v>2289</v>
      </c>
      <c r="C2302" s="698"/>
      <c r="D2302" s="698"/>
      <c r="E2302" s="698"/>
      <c r="F2302" s="698"/>
      <c r="G2302" s="698"/>
    </row>
    <row r="2303" spans="1:7" ht="17.25" customHeight="1" x14ac:dyDescent="0.2">
      <c r="A2303" s="489" t="s">
        <v>1341</v>
      </c>
      <c r="B2303" s="322">
        <v>2290</v>
      </c>
      <c r="C2303" s="698"/>
      <c r="D2303" s="698"/>
      <c r="E2303" s="698"/>
      <c r="F2303" s="698"/>
      <c r="G2303" s="698"/>
    </row>
    <row r="2304" spans="1:7" ht="17.25" customHeight="1" x14ac:dyDescent="0.2">
      <c r="A2304" s="489" t="s">
        <v>1341</v>
      </c>
      <c r="B2304" s="493">
        <v>2291</v>
      </c>
      <c r="C2304" s="739" t="s">
        <v>1406</v>
      </c>
      <c r="D2304" s="739" t="s">
        <v>290</v>
      </c>
      <c r="E2304" s="739"/>
      <c r="F2304" s="739"/>
      <c r="G2304" s="739"/>
    </row>
    <row r="2305" spans="1:7" ht="28.5" customHeight="1" x14ac:dyDescent="0.2">
      <c r="A2305" s="489" t="s">
        <v>1341</v>
      </c>
      <c r="B2305" s="322">
        <v>2292</v>
      </c>
      <c r="C2305" s="698" t="s">
        <v>1407</v>
      </c>
      <c r="D2305" s="698" t="s">
        <v>1408</v>
      </c>
      <c r="E2305" s="698"/>
      <c r="F2305" s="698"/>
      <c r="G2305" s="698"/>
    </row>
    <row r="2306" spans="1:7" ht="32.1" customHeight="1" x14ac:dyDescent="0.2">
      <c r="A2306" s="489" t="s">
        <v>1341</v>
      </c>
      <c r="B2306" s="322">
        <v>2293</v>
      </c>
      <c r="C2306" s="698" t="s">
        <v>1409</v>
      </c>
      <c r="D2306" s="698" t="s">
        <v>1410</v>
      </c>
      <c r="E2306" s="698"/>
      <c r="F2306" s="698"/>
      <c r="G2306" s="698"/>
    </row>
    <row r="2307" spans="1:7" ht="17.25" customHeight="1" x14ac:dyDescent="0.2">
      <c r="A2307" s="489" t="s">
        <v>1341</v>
      </c>
      <c r="B2307" s="322">
        <v>2294</v>
      </c>
      <c r="C2307" s="698"/>
      <c r="D2307" s="698"/>
      <c r="E2307" s="698"/>
      <c r="F2307" s="698"/>
      <c r="G2307" s="698"/>
    </row>
    <row r="2308" spans="1:7" ht="17.25" customHeight="1" x14ac:dyDescent="0.2">
      <c r="A2308" s="489" t="s">
        <v>1341</v>
      </c>
      <c r="B2308" s="322">
        <v>2295</v>
      </c>
      <c r="C2308" s="698"/>
      <c r="D2308" s="698"/>
      <c r="E2308" s="698"/>
      <c r="F2308" s="698"/>
      <c r="G2308" s="698"/>
    </row>
    <row r="2309" spans="1:7" ht="17.25" customHeight="1" x14ac:dyDescent="0.2">
      <c r="A2309" s="489" t="s">
        <v>1341</v>
      </c>
      <c r="B2309" s="322">
        <v>2296</v>
      </c>
      <c r="C2309" s="698"/>
      <c r="D2309" s="698"/>
      <c r="E2309" s="698"/>
      <c r="F2309" s="698"/>
      <c r="G2309" s="698"/>
    </row>
    <row r="2310" spans="1:7" ht="17.25" customHeight="1" x14ac:dyDescent="0.2">
      <c r="A2310" s="489" t="s">
        <v>1341</v>
      </c>
      <c r="B2310" s="322">
        <v>2297</v>
      </c>
      <c r="C2310" s="698"/>
      <c r="D2310" s="698"/>
      <c r="E2310" s="698"/>
      <c r="F2310" s="698"/>
      <c r="G2310" s="698"/>
    </row>
    <row r="2311" spans="1:7" ht="17.25" customHeight="1" x14ac:dyDescent="0.2">
      <c r="A2311" s="489" t="s">
        <v>1341</v>
      </c>
      <c r="B2311" s="322">
        <v>2298</v>
      </c>
      <c r="C2311" s="698"/>
      <c r="D2311" s="698"/>
      <c r="E2311" s="698"/>
      <c r="F2311" s="698"/>
      <c r="G2311" s="698"/>
    </row>
    <row r="2312" spans="1:7" ht="17.25" customHeight="1" x14ac:dyDescent="0.2">
      <c r="A2312" s="489" t="s">
        <v>1341</v>
      </c>
      <c r="B2312" s="322">
        <v>2299</v>
      </c>
      <c r="C2312" s="698"/>
      <c r="D2312" s="698"/>
      <c r="E2312" s="698"/>
      <c r="F2312" s="698"/>
      <c r="G2312" s="698"/>
    </row>
    <row r="2313" spans="1:7" ht="17.25" customHeight="1" x14ac:dyDescent="0.2">
      <c r="A2313" s="489" t="s">
        <v>1341</v>
      </c>
      <c r="B2313" s="322">
        <v>2300</v>
      </c>
      <c r="C2313" s="698"/>
      <c r="D2313" s="698"/>
      <c r="E2313" s="698"/>
      <c r="F2313" s="698"/>
      <c r="G2313" s="698"/>
    </row>
    <row r="2314" spans="1:7" ht="17.25" customHeight="1" x14ac:dyDescent="0.2">
      <c r="A2314" s="489" t="s">
        <v>1341</v>
      </c>
      <c r="B2314" s="322">
        <v>2301</v>
      </c>
      <c r="C2314" s="698"/>
      <c r="D2314" s="698"/>
      <c r="E2314" s="698"/>
      <c r="F2314" s="698"/>
      <c r="G2314" s="698"/>
    </row>
    <row r="2315" spans="1:7" ht="17.25" customHeight="1" x14ac:dyDescent="0.2">
      <c r="A2315" s="489" t="s">
        <v>1341</v>
      </c>
      <c r="B2315" s="322">
        <v>2302</v>
      </c>
      <c r="C2315" s="698"/>
      <c r="D2315" s="698"/>
      <c r="E2315" s="698"/>
      <c r="F2315" s="698"/>
      <c r="G2315" s="698"/>
    </row>
    <row r="2316" spans="1:7" ht="17.25" customHeight="1" x14ac:dyDescent="0.2">
      <c r="A2316" s="489" t="s">
        <v>1341</v>
      </c>
      <c r="B2316" s="322">
        <v>2303</v>
      </c>
      <c r="C2316" s="698"/>
      <c r="D2316" s="698"/>
      <c r="E2316" s="698"/>
      <c r="F2316" s="698"/>
      <c r="G2316" s="698"/>
    </row>
    <row r="2317" spans="1:7" ht="17.25" customHeight="1" x14ac:dyDescent="0.2">
      <c r="A2317" s="489" t="s">
        <v>1341</v>
      </c>
      <c r="B2317" s="322">
        <v>2304</v>
      </c>
      <c r="C2317" s="698"/>
      <c r="D2317" s="698"/>
      <c r="E2317" s="698"/>
      <c r="F2317" s="698"/>
      <c r="G2317" s="698"/>
    </row>
    <row r="2318" spans="1:7" ht="17.25" customHeight="1" x14ac:dyDescent="0.2">
      <c r="A2318" s="489" t="s">
        <v>1341</v>
      </c>
      <c r="B2318" s="322">
        <v>2305</v>
      </c>
      <c r="C2318" s="698"/>
      <c r="D2318" s="698"/>
      <c r="E2318" s="698"/>
      <c r="F2318" s="698"/>
      <c r="G2318" s="698"/>
    </row>
    <row r="2319" spans="1:7" ht="17.25" customHeight="1" x14ac:dyDescent="0.2">
      <c r="A2319" s="489" t="s">
        <v>1341</v>
      </c>
      <c r="B2319" s="322">
        <v>2306</v>
      </c>
      <c r="C2319" s="698"/>
      <c r="D2319" s="698"/>
      <c r="E2319" s="698"/>
      <c r="F2319" s="698"/>
      <c r="G2319" s="698"/>
    </row>
    <row r="2320" spans="1:7" ht="17.25" customHeight="1" x14ac:dyDescent="0.2">
      <c r="A2320" s="489" t="s">
        <v>1341</v>
      </c>
      <c r="B2320" s="322">
        <v>2307</v>
      </c>
      <c r="C2320" s="698"/>
      <c r="D2320" s="698"/>
      <c r="E2320" s="698"/>
      <c r="F2320" s="698"/>
      <c r="G2320" s="698"/>
    </row>
    <row r="2321" spans="1:7" ht="17.25" customHeight="1" x14ac:dyDescent="0.2">
      <c r="A2321" s="489" t="s">
        <v>1341</v>
      </c>
      <c r="B2321" s="322">
        <v>2308</v>
      </c>
      <c r="C2321" s="698"/>
      <c r="D2321" s="698"/>
      <c r="E2321" s="698"/>
      <c r="F2321" s="698"/>
      <c r="G2321" s="698"/>
    </row>
    <row r="2322" spans="1:7" ht="17.25" customHeight="1" x14ac:dyDescent="0.2">
      <c r="A2322" s="489" t="s">
        <v>1341</v>
      </c>
      <c r="B2322" s="322">
        <v>2309</v>
      </c>
      <c r="C2322" s="698"/>
      <c r="D2322" s="698"/>
      <c r="E2322" s="698"/>
      <c r="F2322" s="698"/>
      <c r="G2322" s="698"/>
    </row>
    <row r="2323" spans="1:7" ht="17.25" customHeight="1" x14ac:dyDescent="0.2">
      <c r="A2323" s="489" t="s">
        <v>1341</v>
      </c>
      <c r="B2323" s="322">
        <v>2310</v>
      </c>
      <c r="C2323" s="698"/>
      <c r="D2323" s="698"/>
      <c r="E2323" s="698"/>
      <c r="F2323" s="698"/>
      <c r="G2323" s="698"/>
    </row>
    <row r="2324" spans="1:7" ht="17.25" customHeight="1" x14ac:dyDescent="0.2">
      <c r="A2324" s="489" t="s">
        <v>1341</v>
      </c>
      <c r="B2324" s="322">
        <v>2311</v>
      </c>
      <c r="C2324" s="698"/>
      <c r="D2324" s="698"/>
      <c r="E2324" s="698"/>
      <c r="F2324" s="698"/>
      <c r="G2324" s="698"/>
    </row>
    <row r="2325" spans="1:7" ht="17.25" customHeight="1" x14ac:dyDescent="0.2">
      <c r="A2325" s="489" t="s">
        <v>1341</v>
      </c>
      <c r="B2325" s="322">
        <v>2312</v>
      </c>
      <c r="C2325" s="698"/>
      <c r="D2325" s="698"/>
      <c r="E2325" s="698"/>
      <c r="F2325" s="698"/>
      <c r="G2325" s="698"/>
    </row>
    <row r="2326" spans="1:7" ht="17.25" customHeight="1" x14ac:dyDescent="0.2">
      <c r="A2326" s="489" t="s">
        <v>1341</v>
      </c>
      <c r="B2326" s="322">
        <v>2313</v>
      </c>
      <c r="C2326" s="698"/>
      <c r="D2326" s="698"/>
      <c r="E2326" s="698"/>
      <c r="F2326" s="698"/>
      <c r="G2326" s="698"/>
    </row>
    <row r="2327" spans="1:7" ht="17.25" customHeight="1" x14ac:dyDescent="0.2">
      <c r="A2327" s="489" t="s">
        <v>1341</v>
      </c>
      <c r="B2327" s="322">
        <v>2314</v>
      </c>
      <c r="C2327" s="698"/>
      <c r="D2327" s="698"/>
      <c r="E2327" s="698"/>
      <c r="F2327" s="698"/>
      <c r="G2327" s="698"/>
    </row>
    <row r="2328" spans="1:7" ht="17.25" customHeight="1" x14ac:dyDescent="0.2">
      <c r="A2328" s="489" t="s">
        <v>1341</v>
      </c>
      <c r="B2328" s="322">
        <v>2315</v>
      </c>
      <c r="C2328" s="698"/>
      <c r="D2328" s="698"/>
      <c r="E2328" s="698"/>
      <c r="F2328" s="698"/>
      <c r="G2328" s="698"/>
    </row>
    <row r="2329" spans="1:7" ht="17.25" customHeight="1" x14ac:dyDescent="0.2">
      <c r="A2329" s="489" t="s">
        <v>1341</v>
      </c>
      <c r="B2329" s="322">
        <v>2316</v>
      </c>
      <c r="C2329" s="698"/>
      <c r="D2329" s="698"/>
      <c r="E2329" s="698"/>
      <c r="F2329" s="698"/>
      <c r="G2329" s="698"/>
    </row>
    <row r="2330" spans="1:7" ht="17.25" customHeight="1" x14ac:dyDescent="0.2">
      <c r="A2330" s="489" t="s">
        <v>1341</v>
      </c>
      <c r="B2330" s="322">
        <v>2317</v>
      </c>
      <c r="C2330" s="698"/>
      <c r="D2330" s="698"/>
      <c r="E2330" s="698"/>
      <c r="F2330" s="698"/>
      <c r="G2330" s="698"/>
    </row>
    <row r="2331" spans="1:7" ht="17.25" customHeight="1" x14ac:dyDescent="0.2">
      <c r="A2331" s="489" t="s">
        <v>1341</v>
      </c>
      <c r="B2331" s="322">
        <v>2318</v>
      </c>
      <c r="C2331" s="698"/>
      <c r="D2331" s="698"/>
      <c r="E2331" s="698"/>
      <c r="F2331" s="698"/>
      <c r="G2331" s="698"/>
    </row>
    <row r="2332" spans="1:7" ht="17.25" customHeight="1" x14ac:dyDescent="0.2">
      <c r="A2332" s="489" t="s">
        <v>1341</v>
      </c>
      <c r="B2332" s="322">
        <v>2319</v>
      </c>
      <c r="C2332" s="698"/>
      <c r="D2332" s="698"/>
      <c r="E2332" s="698"/>
      <c r="F2332" s="698"/>
      <c r="G2332" s="698"/>
    </row>
    <row r="2333" spans="1:7" ht="17.25" customHeight="1" x14ac:dyDescent="0.2">
      <c r="A2333" s="489" t="s">
        <v>1341</v>
      </c>
      <c r="B2333" s="322">
        <v>2320</v>
      </c>
      <c r="C2333" s="698"/>
      <c r="D2333" s="698"/>
      <c r="E2333" s="698"/>
      <c r="F2333" s="698"/>
      <c r="G2333" s="698"/>
    </row>
    <row r="2334" spans="1:7" ht="17.25" customHeight="1" x14ac:dyDescent="0.2">
      <c r="A2334" s="489" t="s">
        <v>1341</v>
      </c>
      <c r="B2334" s="322">
        <v>2321</v>
      </c>
      <c r="C2334" s="698"/>
      <c r="D2334" s="698"/>
      <c r="E2334" s="698"/>
      <c r="F2334" s="698"/>
      <c r="G2334" s="698"/>
    </row>
    <row r="2335" spans="1:7" ht="17.25" customHeight="1" x14ac:dyDescent="0.2">
      <c r="A2335" s="520" t="s">
        <v>1411</v>
      </c>
      <c r="B2335" s="322">
        <v>2322</v>
      </c>
      <c r="C2335" s="696" t="s">
        <v>1412</v>
      </c>
      <c r="D2335" s="696" t="s">
        <v>1412</v>
      </c>
      <c r="E2335" s="698"/>
      <c r="F2335" s="698"/>
      <c r="G2335" s="698"/>
    </row>
    <row r="2336" spans="1:7" ht="17.25" customHeight="1" x14ac:dyDescent="0.2">
      <c r="A2336" s="520" t="s">
        <v>1411</v>
      </c>
      <c r="B2336" s="322">
        <v>2323</v>
      </c>
      <c r="C2336" s="698"/>
      <c r="D2336" s="698"/>
      <c r="E2336" s="698"/>
      <c r="F2336" s="698"/>
      <c r="G2336" s="698"/>
    </row>
    <row r="2337" spans="1:7" ht="17.25" customHeight="1" x14ac:dyDescent="0.2">
      <c r="A2337" s="520" t="s">
        <v>1411</v>
      </c>
      <c r="B2337" s="322">
        <v>2324</v>
      </c>
      <c r="C2337" s="696" t="s">
        <v>1413</v>
      </c>
      <c r="D2337" s="696" t="s">
        <v>1414</v>
      </c>
      <c r="E2337" s="698"/>
      <c r="F2337" s="698"/>
      <c r="G2337" s="698"/>
    </row>
    <row r="2338" spans="1:7" ht="67.150000000000006" customHeight="1" x14ac:dyDescent="0.2">
      <c r="A2338" s="520" t="s">
        <v>1411</v>
      </c>
      <c r="B2338" s="322">
        <v>2325</v>
      </c>
      <c r="C2338" s="698" t="s">
        <v>1415</v>
      </c>
      <c r="D2338" s="698" t="s">
        <v>1416</v>
      </c>
      <c r="E2338" s="698"/>
      <c r="F2338" s="698"/>
      <c r="G2338" s="698"/>
    </row>
    <row r="2339" spans="1:7" ht="100.2" x14ac:dyDescent="0.2">
      <c r="A2339" s="520" t="s">
        <v>1411</v>
      </c>
      <c r="B2339" s="322">
        <v>2326</v>
      </c>
      <c r="C2339" s="730" t="s">
        <v>1417</v>
      </c>
      <c r="D2339" s="730" t="s">
        <v>1418</v>
      </c>
      <c r="E2339" s="698"/>
      <c r="F2339" s="698"/>
      <c r="G2339" s="698"/>
    </row>
    <row r="2340" spans="1:7" ht="17.25" customHeight="1" x14ac:dyDescent="0.2">
      <c r="A2340" s="520" t="s">
        <v>1411</v>
      </c>
      <c r="B2340" s="322">
        <v>2327</v>
      </c>
      <c r="C2340" s="696" t="s">
        <v>1419</v>
      </c>
      <c r="D2340" s="696" t="s">
        <v>1420</v>
      </c>
      <c r="E2340" s="698"/>
      <c r="F2340" s="698"/>
      <c r="G2340" s="698"/>
    </row>
    <row r="2341" spans="1:7" ht="17.25" customHeight="1" x14ac:dyDescent="0.2">
      <c r="A2341" s="520" t="s">
        <v>1411</v>
      </c>
      <c r="B2341" s="322">
        <v>2328</v>
      </c>
      <c r="C2341" s="698" t="s">
        <v>1421</v>
      </c>
      <c r="D2341" s="698" t="s">
        <v>1422</v>
      </c>
      <c r="E2341" s="698"/>
      <c r="F2341" s="698"/>
      <c r="G2341" s="698"/>
    </row>
    <row r="2342" spans="1:7" ht="87.65" x14ac:dyDescent="0.2">
      <c r="A2342" s="520" t="s">
        <v>1411</v>
      </c>
      <c r="B2342" s="322">
        <v>2329</v>
      </c>
      <c r="C2342" s="730" t="s">
        <v>1423</v>
      </c>
      <c r="D2342" s="730" t="s">
        <v>1424</v>
      </c>
      <c r="E2342" s="698"/>
      <c r="F2342" s="698"/>
      <c r="G2342" s="698"/>
    </row>
    <row r="2343" spans="1:7" ht="17.25" customHeight="1" x14ac:dyDescent="0.2">
      <c r="A2343" s="520" t="s">
        <v>1411</v>
      </c>
      <c r="B2343" s="322">
        <v>2330</v>
      </c>
      <c r="C2343" s="696" t="s">
        <v>1425</v>
      </c>
      <c r="D2343" s="696" t="s">
        <v>1426</v>
      </c>
      <c r="E2343" s="698"/>
      <c r="F2343" s="698"/>
      <c r="G2343" s="698"/>
    </row>
    <row r="2344" spans="1:7" ht="17.25" customHeight="1" x14ac:dyDescent="0.2">
      <c r="A2344" s="520" t="s">
        <v>1411</v>
      </c>
      <c r="B2344" s="322">
        <v>2331</v>
      </c>
      <c r="C2344" s="698" t="s">
        <v>1427</v>
      </c>
      <c r="D2344" s="698" t="s">
        <v>1428</v>
      </c>
      <c r="E2344" s="698"/>
      <c r="F2344" s="698"/>
      <c r="G2344" s="698"/>
    </row>
    <row r="2345" spans="1:7" ht="75.150000000000006" x14ac:dyDescent="0.2">
      <c r="A2345" s="520" t="s">
        <v>1411</v>
      </c>
      <c r="B2345" s="322">
        <v>2332</v>
      </c>
      <c r="C2345" s="730" t="s">
        <v>1429</v>
      </c>
      <c r="D2345" s="811" t="s">
        <v>1430</v>
      </c>
      <c r="E2345" s="812"/>
      <c r="F2345" s="813"/>
      <c r="G2345" s="698"/>
    </row>
    <row r="2346" spans="1:7" ht="17.25" customHeight="1" x14ac:dyDescent="0.2">
      <c r="A2346" s="520" t="s">
        <v>1411</v>
      </c>
      <c r="B2346" s="322">
        <v>2333</v>
      </c>
      <c r="C2346" s="696" t="s">
        <v>1431</v>
      </c>
      <c r="D2346" s="696" t="s">
        <v>1432</v>
      </c>
      <c r="E2346" s="698"/>
      <c r="F2346" s="698"/>
      <c r="G2346" s="698"/>
    </row>
    <row r="2347" spans="1:7" ht="17.25" customHeight="1" x14ac:dyDescent="0.2">
      <c r="A2347" s="520" t="s">
        <v>1411</v>
      </c>
      <c r="B2347" s="322">
        <v>2334</v>
      </c>
      <c r="C2347" s="698" t="s">
        <v>1433</v>
      </c>
      <c r="D2347" s="698" t="s">
        <v>1434</v>
      </c>
      <c r="E2347" s="698"/>
      <c r="F2347" s="698"/>
      <c r="G2347" s="698"/>
    </row>
    <row r="2348" spans="1:7" ht="50.1" x14ac:dyDescent="0.2">
      <c r="A2348" s="520" t="s">
        <v>1411</v>
      </c>
      <c r="B2348" s="322">
        <v>2335</v>
      </c>
      <c r="C2348" s="730" t="s">
        <v>1435</v>
      </c>
      <c r="D2348" s="730" t="s">
        <v>1436</v>
      </c>
      <c r="E2348" s="698"/>
      <c r="F2348" s="698"/>
      <c r="G2348" s="698"/>
    </row>
    <row r="2349" spans="1:7" ht="17.25" customHeight="1" x14ac:dyDescent="0.2">
      <c r="A2349" s="520" t="s">
        <v>1411</v>
      </c>
      <c r="B2349" s="322">
        <v>2336</v>
      </c>
      <c r="C2349" s="696" t="s">
        <v>1437</v>
      </c>
      <c r="D2349" s="696" t="s">
        <v>1437</v>
      </c>
      <c r="E2349" s="698"/>
      <c r="F2349" s="698"/>
      <c r="G2349" s="698"/>
    </row>
    <row r="2350" spans="1:7" ht="17.25" customHeight="1" x14ac:dyDescent="0.2">
      <c r="A2350" s="520" t="s">
        <v>1411</v>
      </c>
      <c r="B2350" s="322">
        <v>2337</v>
      </c>
      <c r="C2350" s="698" t="s">
        <v>1438</v>
      </c>
      <c r="D2350" s="698" t="s">
        <v>1439</v>
      </c>
      <c r="E2350" s="698"/>
      <c r="F2350" s="698"/>
      <c r="G2350" s="698"/>
    </row>
    <row r="2351" spans="1:7" ht="75.150000000000006" x14ac:dyDescent="0.2">
      <c r="A2351" s="520" t="s">
        <v>1411</v>
      </c>
      <c r="B2351" s="322">
        <v>2338</v>
      </c>
      <c r="C2351" s="730" t="s">
        <v>1440</v>
      </c>
      <c r="D2351" s="730" t="s">
        <v>1441</v>
      </c>
      <c r="E2351" s="698"/>
      <c r="F2351" s="698"/>
      <c r="G2351" s="698"/>
    </row>
    <row r="2352" spans="1:7" ht="17.25" customHeight="1" x14ac:dyDescent="0.2">
      <c r="A2352" s="520" t="s">
        <v>1411</v>
      </c>
      <c r="B2352" s="322">
        <v>2339</v>
      </c>
      <c r="C2352" s="696" t="s">
        <v>1442</v>
      </c>
      <c r="D2352" s="696" t="s">
        <v>1443</v>
      </c>
      <c r="E2352" s="698"/>
      <c r="F2352" s="698"/>
      <c r="G2352" s="698"/>
    </row>
    <row r="2353" spans="1:7" ht="25.05" x14ac:dyDescent="0.2">
      <c r="A2353" s="520" t="s">
        <v>1411</v>
      </c>
      <c r="B2353" s="322">
        <v>2340</v>
      </c>
      <c r="C2353" s="698" t="s">
        <v>1444</v>
      </c>
      <c r="D2353" s="698" t="s">
        <v>1445</v>
      </c>
      <c r="E2353" s="698"/>
      <c r="F2353" s="698"/>
      <c r="G2353" s="698"/>
    </row>
    <row r="2354" spans="1:7" ht="37.6" x14ac:dyDescent="0.2">
      <c r="A2354" s="520" t="s">
        <v>1411</v>
      </c>
      <c r="B2354" s="322">
        <v>2341</v>
      </c>
      <c r="C2354" s="730" t="s">
        <v>1446</v>
      </c>
      <c r="D2354" s="730" t="s">
        <v>1447</v>
      </c>
      <c r="E2354" s="698"/>
      <c r="F2354" s="698"/>
      <c r="G2354" s="698"/>
    </row>
    <row r="2355" spans="1:7" ht="17.25" customHeight="1" x14ac:dyDescent="0.2">
      <c r="A2355" s="520" t="s">
        <v>1411</v>
      </c>
      <c r="B2355" s="322">
        <v>2342</v>
      </c>
      <c r="C2355" s="696" t="s">
        <v>1448</v>
      </c>
      <c r="D2355" s="696" t="s">
        <v>1449</v>
      </c>
      <c r="E2355" s="698"/>
      <c r="F2355" s="698"/>
      <c r="G2355" s="698"/>
    </row>
    <row r="2356" spans="1:7" ht="50.1" x14ac:dyDescent="0.2">
      <c r="A2356" s="520" t="s">
        <v>1411</v>
      </c>
      <c r="B2356" s="322">
        <v>2343</v>
      </c>
      <c r="C2356" s="698" t="s">
        <v>1450</v>
      </c>
      <c r="D2356" s="698" t="s">
        <v>1451</v>
      </c>
      <c r="E2356" s="698"/>
      <c r="F2356" s="698"/>
      <c r="G2356" s="698"/>
    </row>
    <row r="2357" spans="1:7" ht="50.1" x14ac:dyDescent="0.2">
      <c r="A2357" s="520" t="s">
        <v>1411</v>
      </c>
      <c r="B2357" s="322">
        <v>2344</v>
      </c>
      <c r="C2357" s="730" t="s">
        <v>1452</v>
      </c>
      <c r="D2357" s="730" t="s">
        <v>1453</v>
      </c>
      <c r="E2357" s="698"/>
      <c r="F2357" s="698"/>
      <c r="G2357" s="698"/>
    </row>
    <row r="2358" spans="1:7" ht="65.3" customHeight="1" x14ac:dyDescent="0.2">
      <c r="A2358" s="520" t="s">
        <v>1411</v>
      </c>
      <c r="B2358" s="322">
        <v>2345</v>
      </c>
      <c r="C2358" s="698" t="s">
        <v>1454</v>
      </c>
      <c r="D2358" s="698" t="s">
        <v>1455</v>
      </c>
      <c r="E2358" s="698"/>
      <c r="F2358" s="698"/>
      <c r="G2358" s="698"/>
    </row>
    <row r="2359" spans="1:7" ht="75.150000000000006" x14ac:dyDescent="0.2">
      <c r="A2359" s="520" t="s">
        <v>1411</v>
      </c>
      <c r="B2359" s="322">
        <v>2346</v>
      </c>
      <c r="C2359" s="730" t="s">
        <v>2294</v>
      </c>
      <c r="D2359" s="730" t="s">
        <v>2295</v>
      </c>
      <c r="E2359" s="698"/>
      <c r="F2359" s="698"/>
      <c r="G2359" s="698"/>
    </row>
    <row r="2360" spans="1:7" ht="12.55" x14ac:dyDescent="0.2">
      <c r="A2360" s="520" t="s">
        <v>1411</v>
      </c>
      <c r="B2360" s="322">
        <v>2347</v>
      </c>
      <c r="C2360" s="730"/>
      <c r="D2360" s="698"/>
      <c r="E2360" s="698"/>
      <c r="F2360" s="698"/>
      <c r="G2360" s="698"/>
    </row>
    <row r="2361" spans="1:7" ht="17.25" customHeight="1" x14ac:dyDescent="0.2">
      <c r="A2361" s="520" t="s">
        <v>1411</v>
      </c>
      <c r="B2361" s="322">
        <v>2348</v>
      </c>
      <c r="C2361" s="698"/>
      <c r="D2361" s="698"/>
      <c r="E2361" s="698"/>
      <c r="F2361" s="698"/>
      <c r="G2361" s="698"/>
    </row>
    <row r="2362" spans="1:7" ht="17.25" customHeight="1" x14ac:dyDescent="0.2">
      <c r="A2362" s="520" t="s">
        <v>1411</v>
      </c>
      <c r="B2362" s="322">
        <v>2349</v>
      </c>
      <c r="C2362" s="698"/>
      <c r="D2362" s="698"/>
      <c r="E2362" s="698"/>
      <c r="F2362" s="698"/>
      <c r="G2362" s="698"/>
    </row>
    <row r="2363" spans="1:7" ht="17.25" customHeight="1" x14ac:dyDescent="0.2">
      <c r="A2363" s="520" t="s">
        <v>1411</v>
      </c>
      <c r="B2363" s="322">
        <v>2350</v>
      </c>
      <c r="C2363" s="698"/>
      <c r="D2363" s="698"/>
      <c r="E2363" s="698"/>
      <c r="F2363" s="698"/>
      <c r="G2363" s="698"/>
    </row>
    <row r="2364" spans="1:7" ht="17.25" customHeight="1" x14ac:dyDescent="0.2">
      <c r="A2364" s="520" t="s">
        <v>1411</v>
      </c>
      <c r="B2364" s="322">
        <v>2351</v>
      </c>
      <c r="C2364" s="698"/>
      <c r="D2364" s="698"/>
      <c r="E2364" s="698"/>
      <c r="F2364" s="698"/>
      <c r="G2364" s="698"/>
    </row>
    <row r="2365" spans="1:7" ht="17.25" customHeight="1" x14ac:dyDescent="0.2">
      <c r="A2365" s="520" t="s">
        <v>1411</v>
      </c>
      <c r="B2365" s="322">
        <v>2352</v>
      </c>
      <c r="C2365" s="698"/>
      <c r="D2365" s="698"/>
      <c r="E2365" s="698"/>
      <c r="F2365" s="698"/>
      <c r="G2365" s="698"/>
    </row>
    <row r="2366" spans="1:7" ht="17.25" customHeight="1" x14ac:dyDescent="0.2">
      <c r="A2366" s="520" t="s">
        <v>1411</v>
      </c>
      <c r="B2366" s="322">
        <v>2353</v>
      </c>
      <c r="C2366" s="698"/>
      <c r="D2366" s="698"/>
      <c r="E2366" s="698"/>
      <c r="F2366" s="698"/>
      <c r="G2366" s="698"/>
    </row>
    <row r="2367" spans="1:7" ht="17.25" customHeight="1" x14ac:dyDescent="0.2">
      <c r="A2367" s="520" t="s">
        <v>1411</v>
      </c>
      <c r="B2367" s="322">
        <v>2354</v>
      </c>
      <c r="C2367" s="698"/>
      <c r="D2367" s="698"/>
      <c r="E2367" s="698"/>
      <c r="F2367" s="698"/>
      <c r="G2367" s="698"/>
    </row>
    <row r="2368" spans="1:7" ht="17.25" customHeight="1" x14ac:dyDescent="0.2">
      <c r="A2368" s="520" t="s">
        <v>1411</v>
      </c>
      <c r="B2368" s="322">
        <v>2355</v>
      </c>
      <c r="C2368" s="698"/>
      <c r="D2368" s="698"/>
      <c r="E2368" s="698"/>
      <c r="F2368" s="698"/>
      <c r="G2368" s="698"/>
    </row>
    <row r="2369" spans="1:7" ht="17.25" customHeight="1" x14ac:dyDescent="0.2">
      <c r="A2369" s="520" t="s">
        <v>1411</v>
      </c>
      <c r="B2369" s="322">
        <v>2356</v>
      </c>
      <c r="C2369" s="698"/>
      <c r="D2369" s="698"/>
      <c r="E2369" s="698"/>
      <c r="F2369" s="698"/>
      <c r="G2369" s="698"/>
    </row>
    <row r="2370" spans="1:7" ht="17.25" customHeight="1" x14ac:dyDescent="0.2">
      <c r="A2370" s="520" t="s">
        <v>1411</v>
      </c>
      <c r="B2370" s="322">
        <v>2357</v>
      </c>
      <c r="C2370" s="698"/>
      <c r="D2370" s="698"/>
      <c r="E2370" s="698"/>
      <c r="F2370" s="698"/>
      <c r="G2370" s="698"/>
    </row>
    <row r="2371" spans="1:7" ht="17.25" customHeight="1" x14ac:dyDescent="0.2">
      <c r="A2371" s="520" t="s">
        <v>1411</v>
      </c>
      <c r="B2371" s="322">
        <v>2358</v>
      </c>
      <c r="C2371" s="698"/>
      <c r="D2371" s="698"/>
      <c r="E2371" s="698"/>
      <c r="F2371" s="698"/>
      <c r="G2371" s="698"/>
    </row>
    <row r="2372" spans="1:7" ht="17.25" customHeight="1" x14ac:dyDescent="0.2">
      <c r="A2372" s="520" t="s">
        <v>1411</v>
      </c>
      <c r="B2372" s="322">
        <v>2359</v>
      </c>
      <c r="C2372" s="698"/>
      <c r="D2372" s="698"/>
      <c r="E2372" s="698"/>
      <c r="F2372" s="698"/>
      <c r="G2372" s="698"/>
    </row>
    <row r="2373" spans="1:7" ht="17.25" customHeight="1" x14ac:dyDescent="0.2">
      <c r="A2373" s="520" t="s">
        <v>1411</v>
      </c>
      <c r="B2373" s="322">
        <v>2360</v>
      </c>
      <c r="C2373" s="698"/>
      <c r="D2373" s="698"/>
      <c r="E2373" s="698"/>
      <c r="F2373" s="698"/>
      <c r="G2373" s="698"/>
    </row>
    <row r="2374" spans="1:7" ht="17.25" customHeight="1" x14ac:dyDescent="0.2">
      <c r="A2374" s="520" t="s">
        <v>1411</v>
      </c>
      <c r="B2374" s="322">
        <v>2361</v>
      </c>
      <c r="C2374" s="698"/>
      <c r="D2374" s="698"/>
      <c r="E2374" s="698"/>
      <c r="F2374" s="698"/>
      <c r="G2374" s="698"/>
    </row>
    <row r="2375" spans="1:7" ht="17.25" customHeight="1" x14ac:dyDescent="0.2">
      <c r="A2375" s="520" t="s">
        <v>1411</v>
      </c>
      <c r="B2375" s="322">
        <v>2362</v>
      </c>
      <c r="C2375" s="698"/>
      <c r="D2375" s="698"/>
      <c r="E2375" s="698"/>
      <c r="F2375" s="698"/>
      <c r="G2375" s="698"/>
    </row>
    <row r="2376" spans="1:7" ht="17.25" customHeight="1" x14ac:dyDescent="0.2">
      <c r="A2376" s="520" t="s">
        <v>1411</v>
      </c>
      <c r="B2376" s="322">
        <v>2363</v>
      </c>
      <c r="C2376" s="698"/>
      <c r="D2376" s="698"/>
      <c r="E2376" s="698"/>
      <c r="F2376" s="698"/>
      <c r="G2376" s="698"/>
    </row>
    <row r="2377" spans="1:7" ht="17.25" customHeight="1" x14ac:dyDescent="0.2">
      <c r="A2377" s="547"/>
      <c r="B2377" s="322">
        <v>2364</v>
      </c>
      <c r="C2377" s="698"/>
      <c r="D2377" s="698"/>
      <c r="E2377" s="698"/>
      <c r="F2377" s="698"/>
      <c r="G2377" s="698"/>
    </row>
    <row r="2378" spans="1:7" ht="17.25" customHeight="1" x14ac:dyDescent="0.2">
      <c r="A2378" s="341" t="s">
        <v>1456</v>
      </c>
      <c r="B2378" s="322">
        <v>2365</v>
      </c>
      <c r="C2378" s="698" t="s">
        <v>1457</v>
      </c>
      <c r="D2378" s="698"/>
      <c r="E2378" s="698"/>
      <c r="F2378" s="698"/>
      <c r="G2378" s="698"/>
    </row>
    <row r="2379" spans="1:7" ht="17.25" customHeight="1" x14ac:dyDescent="0.2">
      <c r="A2379" s="341" t="s">
        <v>1456</v>
      </c>
      <c r="B2379" s="322">
        <v>2366</v>
      </c>
      <c r="C2379" s="698" t="s">
        <v>1458</v>
      </c>
      <c r="D2379" s="698" t="s">
        <v>39</v>
      </c>
      <c r="E2379" s="698"/>
      <c r="F2379" s="698"/>
      <c r="G2379" s="698"/>
    </row>
    <row r="2380" spans="1:7" ht="17.25" customHeight="1" x14ac:dyDescent="0.2">
      <c r="A2380" s="341" t="s">
        <v>1456</v>
      </c>
      <c r="B2380" s="322">
        <v>2367</v>
      </c>
      <c r="C2380" s="698" t="s">
        <v>1459</v>
      </c>
      <c r="D2380" s="698" t="s">
        <v>1460</v>
      </c>
      <c r="E2380" s="698"/>
      <c r="F2380" s="698"/>
      <c r="G2380" s="698"/>
    </row>
    <row r="2381" spans="1:7" ht="17.25" customHeight="1" x14ac:dyDescent="0.2">
      <c r="A2381" s="341" t="s">
        <v>1456</v>
      </c>
      <c r="B2381" s="322">
        <v>2368</v>
      </c>
      <c r="C2381" s="698" t="s">
        <v>1461</v>
      </c>
      <c r="D2381" s="698" t="s">
        <v>1462</v>
      </c>
      <c r="E2381" s="698"/>
      <c r="F2381" s="698"/>
      <c r="G2381" s="698"/>
    </row>
    <row r="2382" spans="1:7" ht="17.25" customHeight="1" x14ac:dyDescent="0.2">
      <c r="A2382" s="341" t="s">
        <v>1456</v>
      </c>
      <c r="B2382" s="322">
        <v>2369</v>
      </c>
      <c r="C2382" s="698" t="s">
        <v>1463</v>
      </c>
      <c r="D2382" s="698" t="s">
        <v>1464</v>
      </c>
      <c r="E2382" s="698"/>
      <c r="F2382" s="698"/>
      <c r="G2382" s="698"/>
    </row>
    <row r="2383" spans="1:7" ht="17.25" customHeight="1" x14ac:dyDescent="0.2">
      <c r="A2383" s="341" t="s">
        <v>1456</v>
      </c>
      <c r="B2383" s="322">
        <v>2370</v>
      </c>
      <c r="C2383" s="698" t="s">
        <v>1465</v>
      </c>
      <c r="D2383" s="698" t="s">
        <v>1466</v>
      </c>
      <c r="E2383" s="698"/>
      <c r="F2383" s="698"/>
      <c r="G2383" s="698"/>
    </row>
    <row r="2384" spans="1:7" ht="17.25" customHeight="1" x14ac:dyDescent="0.2">
      <c r="A2384" s="341" t="s">
        <v>1456</v>
      </c>
      <c r="B2384" s="322">
        <v>2371</v>
      </c>
      <c r="C2384" s="698" t="s">
        <v>1467</v>
      </c>
      <c r="D2384" s="698" t="s">
        <v>1468</v>
      </c>
      <c r="E2384" s="698"/>
      <c r="F2384" s="698"/>
      <c r="G2384" s="698"/>
    </row>
    <row r="2385" spans="1:7" ht="17.25" customHeight="1" x14ac:dyDescent="0.2">
      <c r="A2385" s="341" t="s">
        <v>1456</v>
      </c>
      <c r="B2385" s="322">
        <v>2372</v>
      </c>
      <c r="C2385" s="698"/>
      <c r="D2385" s="698"/>
      <c r="E2385" s="698"/>
      <c r="F2385" s="698"/>
      <c r="G2385" s="698"/>
    </row>
    <row r="2386" spans="1:7" ht="17.25" customHeight="1" x14ac:dyDescent="0.2">
      <c r="A2386" s="341" t="s">
        <v>1456</v>
      </c>
      <c r="B2386" s="322">
        <v>2373</v>
      </c>
      <c r="C2386" s="698"/>
      <c r="D2386" s="698"/>
      <c r="E2386" s="698"/>
      <c r="F2386" s="698"/>
      <c r="G2386" s="698"/>
    </row>
    <row r="2387" spans="1:7" ht="17.25" customHeight="1" x14ac:dyDescent="0.2">
      <c r="A2387" s="341" t="s">
        <v>1456</v>
      </c>
      <c r="B2387" s="322">
        <v>2374</v>
      </c>
      <c r="C2387" s="698"/>
      <c r="D2387" s="698"/>
      <c r="E2387" s="698"/>
      <c r="F2387" s="698"/>
      <c r="G2387" s="698"/>
    </row>
    <row r="2388" spans="1:7" ht="17.25" customHeight="1" x14ac:dyDescent="0.2">
      <c r="A2388" s="341" t="s">
        <v>1456</v>
      </c>
      <c r="B2388" s="322">
        <v>2375</v>
      </c>
      <c r="C2388" s="698"/>
      <c r="D2388" s="698"/>
      <c r="E2388" s="698"/>
      <c r="F2388" s="698"/>
      <c r="G2388" s="698"/>
    </row>
    <row r="2389" spans="1:7" ht="17.25" customHeight="1" x14ac:dyDescent="0.2">
      <c r="A2389" s="341" t="s">
        <v>1456</v>
      </c>
      <c r="B2389" s="322">
        <v>2376</v>
      </c>
      <c r="C2389" s="698"/>
      <c r="D2389" s="698"/>
      <c r="E2389" s="698"/>
      <c r="F2389" s="698"/>
      <c r="G2389" s="698"/>
    </row>
    <row r="2390" spans="1:7" ht="17.25" customHeight="1" x14ac:dyDescent="0.2">
      <c r="A2390" s="341" t="s">
        <v>1456</v>
      </c>
      <c r="B2390" s="322">
        <v>2377</v>
      </c>
      <c r="C2390" s="698"/>
      <c r="D2390" s="698"/>
      <c r="E2390" s="698"/>
      <c r="F2390" s="698"/>
      <c r="G2390" s="698"/>
    </row>
    <row r="2391" spans="1:7" ht="17.25" customHeight="1" x14ac:dyDescent="0.2">
      <c r="A2391" s="341" t="s">
        <v>1456</v>
      </c>
      <c r="B2391" s="322">
        <v>2378</v>
      </c>
      <c r="C2391" s="698"/>
      <c r="D2391" s="698"/>
      <c r="E2391" s="698"/>
      <c r="F2391" s="698"/>
      <c r="G2391" s="698"/>
    </row>
    <row r="2392" spans="1:7" ht="17.25" customHeight="1" x14ac:dyDescent="0.2">
      <c r="A2392" s="547"/>
      <c r="B2392" s="322">
        <v>2379</v>
      </c>
      <c r="C2392" s="698"/>
      <c r="D2392" s="698"/>
      <c r="E2392" s="698"/>
      <c r="F2392" s="698"/>
      <c r="G2392" s="698"/>
    </row>
    <row r="2393" spans="1:7" ht="17.25" customHeight="1" x14ac:dyDescent="0.2">
      <c r="A2393" s="547"/>
      <c r="B2393" s="322">
        <v>2380</v>
      </c>
      <c r="C2393" s="698"/>
      <c r="D2393" s="698"/>
      <c r="E2393" s="698"/>
      <c r="F2393" s="698"/>
      <c r="G2393" s="698"/>
    </row>
    <row r="2394" spans="1:7" ht="17.25" customHeight="1" x14ac:dyDescent="0.2">
      <c r="A2394" s="547"/>
      <c r="B2394" s="322">
        <v>2381</v>
      </c>
      <c r="C2394" s="698"/>
      <c r="D2394" s="698"/>
      <c r="E2394" s="698"/>
      <c r="F2394" s="698"/>
      <c r="G2394" s="698"/>
    </row>
    <row r="2395" spans="1:7" ht="17.25" customHeight="1" x14ac:dyDescent="0.2">
      <c r="A2395" s="547"/>
      <c r="B2395" s="322">
        <v>2382</v>
      </c>
      <c r="C2395" s="698"/>
      <c r="D2395" s="698"/>
      <c r="E2395" s="698"/>
      <c r="F2395" s="698"/>
      <c r="G2395" s="698"/>
    </row>
    <row r="2396" spans="1:7" ht="17.25" customHeight="1" x14ac:dyDescent="0.2">
      <c r="A2396" s="547"/>
      <c r="B2396" s="322">
        <v>2383</v>
      </c>
      <c r="C2396" s="698"/>
      <c r="D2396" s="698"/>
      <c r="E2396" s="698"/>
      <c r="F2396" s="698"/>
      <c r="G2396" s="698"/>
    </row>
    <row r="2397" spans="1:7" ht="17.25" customHeight="1" x14ac:dyDescent="0.2">
      <c r="A2397" s="547"/>
      <c r="B2397" s="322">
        <v>2384</v>
      </c>
      <c r="C2397" s="698"/>
      <c r="D2397" s="698"/>
      <c r="E2397" s="698"/>
      <c r="F2397" s="698"/>
      <c r="G2397" s="698"/>
    </row>
    <row r="2398" spans="1:7" ht="17.25" customHeight="1" x14ac:dyDescent="0.2">
      <c r="A2398" s="547"/>
      <c r="B2398" s="322">
        <v>2385</v>
      </c>
      <c r="C2398" s="698"/>
      <c r="D2398" s="698"/>
      <c r="E2398" s="698"/>
      <c r="F2398" s="698"/>
      <c r="G2398" s="698"/>
    </row>
    <row r="2399" spans="1:7" ht="17.25" customHeight="1" x14ac:dyDescent="0.2">
      <c r="A2399" s="547"/>
      <c r="B2399" s="322">
        <v>2386</v>
      </c>
      <c r="C2399" s="698"/>
      <c r="D2399" s="698"/>
      <c r="E2399" s="698"/>
      <c r="F2399" s="698"/>
      <c r="G2399" s="698"/>
    </row>
    <row r="2400" spans="1:7" ht="17.25" customHeight="1" x14ac:dyDescent="0.2">
      <c r="A2400" s="547"/>
      <c r="B2400" s="322">
        <v>2387</v>
      </c>
      <c r="C2400" s="698"/>
      <c r="D2400" s="698"/>
      <c r="E2400" s="698"/>
      <c r="F2400" s="698"/>
      <c r="G2400" s="698"/>
    </row>
    <row r="2401" spans="1:7" ht="17.25" customHeight="1" x14ac:dyDescent="0.2">
      <c r="A2401" s="547"/>
      <c r="B2401" s="322">
        <v>2388</v>
      </c>
      <c r="C2401" s="698"/>
      <c r="D2401" s="698"/>
      <c r="E2401" s="698"/>
      <c r="F2401" s="698"/>
      <c r="G2401" s="698"/>
    </row>
    <row r="2402" spans="1:7" ht="17.25" customHeight="1" x14ac:dyDescent="0.2">
      <c r="A2402" s="547"/>
      <c r="B2402" s="322">
        <v>2389</v>
      </c>
      <c r="C2402" s="698"/>
      <c r="D2402" s="698"/>
      <c r="E2402" s="698"/>
      <c r="F2402" s="698"/>
      <c r="G2402" s="698"/>
    </row>
    <row r="2403" spans="1:7" ht="17.25" customHeight="1" x14ac:dyDescent="0.2">
      <c r="A2403" s="547"/>
      <c r="B2403" s="322">
        <v>2390</v>
      </c>
      <c r="C2403" s="698"/>
      <c r="D2403" s="698"/>
      <c r="E2403" s="698"/>
      <c r="F2403" s="698"/>
      <c r="G2403" s="698"/>
    </row>
    <row r="2404" spans="1:7" ht="17.25" customHeight="1" x14ac:dyDescent="0.2">
      <c r="A2404" s="547"/>
      <c r="B2404" s="322">
        <v>2391</v>
      </c>
      <c r="C2404" s="698"/>
      <c r="D2404" s="698"/>
      <c r="E2404" s="698"/>
      <c r="F2404" s="698"/>
      <c r="G2404" s="698"/>
    </row>
    <row r="2405" spans="1:7" ht="17.25" customHeight="1" x14ac:dyDescent="0.2">
      <c r="A2405" s="547"/>
      <c r="B2405" s="322">
        <v>2392</v>
      </c>
      <c r="C2405" s="698"/>
      <c r="D2405" s="698"/>
      <c r="E2405" s="698"/>
      <c r="F2405" s="698"/>
      <c r="G2405" s="698"/>
    </row>
    <row r="2406" spans="1:7" ht="17.25" customHeight="1" x14ac:dyDescent="0.2">
      <c r="A2406" s="547"/>
      <c r="B2406" s="322">
        <v>2393</v>
      </c>
      <c r="C2406" s="698"/>
      <c r="D2406" s="698"/>
      <c r="E2406" s="698"/>
      <c r="F2406" s="698"/>
      <c r="G2406" s="698"/>
    </row>
    <row r="2407" spans="1:7" ht="17.25" customHeight="1" x14ac:dyDescent="0.2">
      <c r="A2407" s="547"/>
      <c r="B2407" s="322">
        <v>2394</v>
      </c>
      <c r="C2407" s="698"/>
      <c r="D2407" s="698"/>
      <c r="E2407" s="698"/>
      <c r="F2407" s="698"/>
      <c r="G2407" s="698"/>
    </row>
    <row r="2408" spans="1:7" ht="17.25" customHeight="1" x14ac:dyDescent="0.2">
      <c r="A2408" s="547"/>
      <c r="B2408" s="322">
        <v>2395</v>
      </c>
      <c r="C2408" s="698"/>
      <c r="D2408" s="698"/>
      <c r="E2408" s="698"/>
      <c r="F2408" s="698"/>
      <c r="G2408" s="698"/>
    </row>
    <row r="2409" spans="1:7" ht="17.25" customHeight="1" x14ac:dyDescent="0.2">
      <c r="A2409" s="547"/>
      <c r="B2409" s="322">
        <v>2396</v>
      </c>
      <c r="C2409" s="698"/>
      <c r="D2409" s="698"/>
      <c r="E2409" s="698"/>
      <c r="F2409" s="698"/>
      <c r="G2409" s="698"/>
    </row>
    <row r="2410" spans="1:7" ht="17.25" customHeight="1" x14ac:dyDescent="0.2">
      <c r="A2410" s="547"/>
      <c r="B2410" s="322">
        <v>2397</v>
      </c>
      <c r="C2410" s="698"/>
      <c r="D2410" s="698"/>
      <c r="E2410" s="698"/>
      <c r="F2410" s="698"/>
      <c r="G2410" s="698"/>
    </row>
    <row r="2411" spans="1:7" ht="17.25" customHeight="1" x14ac:dyDescent="0.2">
      <c r="A2411" s="547"/>
      <c r="B2411" s="322">
        <v>2398</v>
      </c>
      <c r="C2411" s="698"/>
      <c r="D2411" s="698"/>
      <c r="E2411" s="698"/>
      <c r="F2411" s="698"/>
      <c r="G2411" s="698"/>
    </row>
    <row r="2412" spans="1:7" ht="17.25" customHeight="1" x14ac:dyDescent="0.2">
      <c r="A2412" s="547"/>
      <c r="B2412" s="322">
        <v>2399</v>
      </c>
      <c r="C2412" s="698"/>
      <c r="D2412" s="698"/>
      <c r="E2412" s="698"/>
      <c r="F2412" s="698"/>
      <c r="G2412" s="698"/>
    </row>
    <row r="2413" spans="1:7" ht="17.25" customHeight="1" x14ac:dyDescent="0.2">
      <c r="A2413" s="547"/>
      <c r="B2413" s="322">
        <v>2400</v>
      </c>
      <c r="C2413" s="698"/>
      <c r="D2413" s="698"/>
      <c r="E2413" s="698"/>
      <c r="F2413" s="698"/>
      <c r="G2413" s="698"/>
    </row>
    <row r="2414" spans="1:7" ht="17.25" customHeight="1" x14ac:dyDescent="0.2">
      <c r="A2414" s="547"/>
      <c r="B2414" s="322">
        <v>2401</v>
      </c>
      <c r="C2414" s="698"/>
      <c r="D2414" s="698"/>
      <c r="E2414" s="698"/>
      <c r="F2414" s="698"/>
      <c r="G2414" s="698"/>
    </row>
    <row r="2415" spans="1:7" ht="17.25" customHeight="1" x14ac:dyDescent="0.2">
      <c r="A2415" s="547"/>
      <c r="B2415" s="322">
        <v>2402</v>
      </c>
      <c r="C2415" s="698"/>
      <c r="D2415" s="698"/>
      <c r="E2415" s="698"/>
      <c r="F2415" s="698"/>
      <c r="G2415" s="698"/>
    </row>
    <row r="2416" spans="1:7" ht="17.25" customHeight="1" x14ac:dyDescent="0.2">
      <c r="A2416" s="547"/>
      <c r="B2416" s="322">
        <v>2403</v>
      </c>
      <c r="C2416" s="698"/>
      <c r="D2416" s="698"/>
      <c r="E2416" s="698"/>
      <c r="F2416" s="698"/>
      <c r="G2416" s="698"/>
    </row>
    <row r="2417" spans="1:7" ht="17.25" customHeight="1" x14ac:dyDescent="0.2">
      <c r="A2417" s="547"/>
      <c r="B2417" s="322">
        <v>2404</v>
      </c>
      <c r="C2417" s="698"/>
      <c r="D2417" s="698"/>
      <c r="E2417" s="698"/>
      <c r="F2417" s="698"/>
      <c r="G2417" s="698"/>
    </row>
    <row r="2418" spans="1:7" ht="17.25" customHeight="1" x14ac:dyDescent="0.2">
      <c r="A2418" s="547"/>
      <c r="B2418" s="322">
        <v>2405</v>
      </c>
      <c r="C2418" s="698"/>
      <c r="D2418" s="698"/>
      <c r="E2418" s="698"/>
      <c r="F2418" s="698"/>
      <c r="G2418" s="698"/>
    </row>
    <row r="2419" spans="1:7" ht="17.25" customHeight="1" x14ac:dyDescent="0.2">
      <c r="A2419" s="547"/>
      <c r="B2419" s="322">
        <v>2406</v>
      </c>
      <c r="C2419" s="698"/>
      <c r="D2419" s="698"/>
      <c r="E2419" s="698"/>
      <c r="F2419" s="698"/>
      <c r="G2419" s="698"/>
    </row>
    <row r="2420" spans="1:7" ht="17.25" customHeight="1" x14ac:dyDescent="0.2">
      <c r="A2420" s="547"/>
      <c r="B2420" s="322">
        <v>2407</v>
      </c>
      <c r="C2420" s="698"/>
      <c r="D2420" s="698"/>
      <c r="E2420" s="698"/>
      <c r="F2420" s="698"/>
      <c r="G2420" s="698"/>
    </row>
    <row r="2421" spans="1:7" ht="17.25" customHeight="1" x14ac:dyDescent="0.2">
      <c r="A2421" s="547"/>
      <c r="B2421" s="322">
        <v>2408</v>
      </c>
      <c r="C2421" s="698"/>
      <c r="D2421" s="698"/>
      <c r="E2421" s="698"/>
      <c r="F2421" s="698"/>
      <c r="G2421" s="698"/>
    </row>
    <row r="2422" spans="1:7" ht="17.25" customHeight="1" x14ac:dyDescent="0.2">
      <c r="A2422" s="547"/>
      <c r="B2422" s="322">
        <v>2409</v>
      </c>
      <c r="C2422" s="698"/>
      <c r="D2422" s="698"/>
      <c r="E2422" s="698"/>
      <c r="F2422" s="698"/>
      <c r="G2422" s="698"/>
    </row>
    <row r="2423" spans="1:7" ht="17.25" customHeight="1" x14ac:dyDescent="0.2">
      <c r="A2423" s="547"/>
      <c r="B2423" s="322">
        <v>2410</v>
      </c>
      <c r="C2423" s="698"/>
      <c r="D2423" s="698"/>
      <c r="E2423" s="698"/>
      <c r="F2423" s="698"/>
      <c r="G2423" s="698"/>
    </row>
    <row r="2424" spans="1:7" ht="17.25" customHeight="1" x14ac:dyDescent="0.2">
      <c r="A2424" s="547"/>
      <c r="B2424" s="322">
        <v>2411</v>
      </c>
      <c r="C2424" s="698"/>
      <c r="D2424" s="698"/>
      <c r="E2424" s="698"/>
      <c r="F2424" s="698"/>
      <c r="G2424" s="698"/>
    </row>
    <row r="2425" spans="1:7" ht="17.25" customHeight="1" x14ac:dyDescent="0.2">
      <c r="A2425" s="547"/>
      <c r="B2425" s="322">
        <v>2412</v>
      </c>
      <c r="C2425" s="698"/>
      <c r="D2425" s="698"/>
      <c r="E2425" s="698"/>
      <c r="F2425" s="698"/>
      <c r="G2425" s="698"/>
    </row>
    <row r="2426" spans="1:7" ht="17.25" customHeight="1" x14ac:dyDescent="0.2">
      <c r="A2426" s="547"/>
      <c r="B2426" s="322">
        <v>2413</v>
      </c>
      <c r="C2426" s="698"/>
      <c r="D2426" s="698"/>
      <c r="E2426" s="698"/>
      <c r="F2426" s="698"/>
      <c r="G2426" s="698"/>
    </row>
    <row r="2427" spans="1:7" ht="17.25" customHeight="1" x14ac:dyDescent="0.2">
      <c r="A2427" s="547"/>
      <c r="B2427" s="322">
        <v>2414</v>
      </c>
      <c r="C2427" s="698"/>
      <c r="D2427" s="698"/>
      <c r="E2427" s="698"/>
      <c r="F2427" s="698"/>
      <c r="G2427" s="698"/>
    </row>
    <row r="2428" spans="1:7" ht="17.25" customHeight="1" x14ac:dyDescent="0.2">
      <c r="A2428" s="547"/>
      <c r="B2428" s="322">
        <v>2415</v>
      </c>
      <c r="C2428" s="698"/>
      <c r="D2428" s="698"/>
      <c r="E2428" s="698"/>
      <c r="F2428" s="698"/>
      <c r="G2428" s="698"/>
    </row>
    <row r="2429" spans="1:7" ht="17.25" customHeight="1" x14ac:dyDescent="0.2">
      <c r="A2429" s="547"/>
      <c r="B2429" s="322">
        <v>2416</v>
      </c>
      <c r="C2429" s="698"/>
      <c r="D2429" s="698"/>
      <c r="E2429" s="698"/>
      <c r="F2429" s="698"/>
      <c r="G2429" s="698"/>
    </row>
    <row r="2430" spans="1:7" ht="17.25" customHeight="1" x14ac:dyDescent="0.2">
      <c r="A2430" s="547"/>
      <c r="B2430" s="322">
        <v>2417</v>
      </c>
      <c r="C2430" s="698"/>
      <c r="D2430" s="698"/>
      <c r="E2430" s="698"/>
      <c r="F2430" s="698"/>
      <c r="G2430" s="698"/>
    </row>
    <row r="2431" spans="1:7" ht="17.25" customHeight="1" x14ac:dyDescent="0.2">
      <c r="A2431" s="547"/>
      <c r="B2431" s="322">
        <v>2418</v>
      </c>
      <c r="C2431" s="698"/>
      <c r="D2431" s="698"/>
      <c r="E2431" s="698"/>
      <c r="F2431" s="698"/>
      <c r="G2431" s="698"/>
    </row>
    <row r="2432" spans="1:7" ht="17.25" customHeight="1" x14ac:dyDescent="0.2">
      <c r="A2432" s="547"/>
      <c r="B2432" s="322">
        <v>2419</v>
      </c>
      <c r="C2432" s="698"/>
      <c r="D2432" s="698"/>
      <c r="E2432" s="698"/>
      <c r="F2432" s="698"/>
      <c r="G2432" s="698"/>
    </row>
    <row r="2433" spans="1:7" ht="17.25" customHeight="1" x14ac:dyDescent="0.2">
      <c r="A2433" s="547"/>
      <c r="B2433" s="322">
        <v>2420</v>
      </c>
      <c r="C2433" s="698"/>
      <c r="D2433" s="698"/>
      <c r="E2433" s="698"/>
      <c r="F2433" s="698"/>
      <c r="G2433" s="698"/>
    </row>
    <row r="2434" spans="1:7" ht="17.25" customHeight="1" x14ac:dyDescent="0.2">
      <c r="A2434" s="547"/>
      <c r="B2434" s="322">
        <v>2421</v>
      </c>
      <c r="C2434" s="698"/>
      <c r="D2434" s="698"/>
      <c r="E2434" s="698"/>
      <c r="F2434" s="698"/>
      <c r="G2434" s="698"/>
    </row>
    <row r="2435" spans="1:7" ht="17.25" customHeight="1" x14ac:dyDescent="0.2">
      <c r="A2435" s="547"/>
      <c r="B2435" s="322">
        <v>2422</v>
      </c>
      <c r="C2435" s="698"/>
      <c r="D2435" s="698"/>
      <c r="E2435" s="698"/>
      <c r="F2435" s="698"/>
      <c r="G2435" s="698"/>
    </row>
    <row r="2436" spans="1:7" ht="17.25" customHeight="1" x14ac:dyDescent="0.2">
      <c r="A2436" s="547"/>
      <c r="B2436" s="322">
        <v>2423</v>
      </c>
      <c r="C2436" s="698"/>
      <c r="D2436" s="698"/>
      <c r="E2436" s="698"/>
      <c r="F2436" s="698"/>
      <c r="G2436" s="698"/>
    </row>
    <row r="2437" spans="1:7" ht="17.25" customHeight="1" x14ac:dyDescent="0.2">
      <c r="A2437" s="547"/>
      <c r="B2437" s="322">
        <v>2424</v>
      </c>
      <c r="C2437" s="698"/>
      <c r="D2437" s="698"/>
      <c r="E2437" s="698"/>
      <c r="F2437" s="698"/>
      <c r="G2437" s="698"/>
    </row>
    <row r="2438" spans="1:7" ht="17.25" customHeight="1" x14ac:dyDescent="0.2">
      <c r="A2438" s="547"/>
      <c r="B2438" s="322">
        <v>2425</v>
      </c>
      <c r="C2438" s="698"/>
      <c r="D2438" s="698"/>
      <c r="E2438" s="698"/>
      <c r="F2438" s="698"/>
      <c r="G2438" s="698"/>
    </row>
    <row r="2439" spans="1:7" ht="17.25" customHeight="1" x14ac:dyDescent="0.2">
      <c r="A2439" s="547"/>
      <c r="B2439" s="322">
        <v>2426</v>
      </c>
      <c r="C2439" s="698"/>
      <c r="D2439" s="698"/>
      <c r="E2439" s="698"/>
      <c r="F2439" s="698"/>
      <c r="G2439" s="698"/>
    </row>
    <row r="2440" spans="1:7" ht="17.25" customHeight="1" x14ac:dyDescent="0.2">
      <c r="A2440" s="547"/>
      <c r="B2440" s="322">
        <v>2427</v>
      </c>
      <c r="C2440" s="698"/>
      <c r="D2440" s="698"/>
      <c r="E2440" s="698"/>
      <c r="F2440" s="698"/>
      <c r="G2440" s="698"/>
    </row>
    <row r="2441" spans="1:7" ht="17.25" customHeight="1" x14ac:dyDescent="0.2">
      <c r="A2441" s="547"/>
      <c r="B2441" s="322">
        <v>2428</v>
      </c>
      <c r="C2441" s="698"/>
      <c r="D2441" s="698"/>
      <c r="E2441" s="698"/>
      <c r="F2441" s="698"/>
      <c r="G2441" s="698"/>
    </row>
    <row r="2442" spans="1:7" ht="17.25" customHeight="1" x14ac:dyDescent="0.2">
      <c r="A2442" s="547"/>
      <c r="B2442" s="322">
        <v>2429</v>
      </c>
      <c r="C2442" s="698"/>
      <c r="D2442" s="698"/>
      <c r="E2442" s="698"/>
      <c r="F2442" s="698"/>
      <c r="G2442" s="698"/>
    </row>
    <row r="2443" spans="1:7" ht="17.25" customHeight="1" x14ac:dyDescent="0.2">
      <c r="A2443" s="547"/>
      <c r="B2443" s="322">
        <v>2430</v>
      </c>
      <c r="C2443" s="698"/>
      <c r="D2443" s="698"/>
      <c r="E2443" s="698"/>
      <c r="F2443" s="698"/>
      <c r="G2443" s="698"/>
    </row>
    <row r="2444" spans="1:7" ht="17.25" customHeight="1" x14ac:dyDescent="0.2">
      <c r="A2444" s="547"/>
      <c r="B2444" s="322">
        <v>2431</v>
      </c>
      <c r="C2444" s="698"/>
      <c r="D2444" s="698"/>
      <c r="E2444" s="698"/>
      <c r="F2444" s="698"/>
      <c r="G2444" s="698"/>
    </row>
    <row r="2445" spans="1:7" ht="17.25" customHeight="1" x14ac:dyDescent="0.2">
      <c r="A2445" s="547"/>
      <c r="B2445" s="322">
        <v>2432</v>
      </c>
      <c r="C2445" s="698"/>
      <c r="D2445" s="698"/>
      <c r="E2445" s="698"/>
      <c r="F2445" s="698"/>
      <c r="G2445" s="698"/>
    </row>
    <row r="2446" spans="1:7" ht="17.25" customHeight="1" x14ac:dyDescent="0.2">
      <c r="A2446" s="547"/>
      <c r="B2446" s="322">
        <v>2433</v>
      </c>
      <c r="C2446" s="698"/>
      <c r="D2446" s="698"/>
      <c r="E2446" s="698"/>
      <c r="F2446" s="698"/>
      <c r="G2446" s="698"/>
    </row>
    <row r="2447" spans="1:7" ht="17.25" customHeight="1" x14ac:dyDescent="0.2">
      <c r="A2447" s="547"/>
      <c r="B2447" s="322">
        <v>2434</v>
      </c>
      <c r="C2447" s="698"/>
      <c r="D2447" s="698"/>
      <c r="E2447" s="698"/>
      <c r="F2447" s="698"/>
      <c r="G2447" s="698"/>
    </row>
    <row r="2448" spans="1:7" ht="17.25" customHeight="1" x14ac:dyDescent="0.2">
      <c r="A2448" s="547"/>
      <c r="B2448" s="322">
        <v>2435</v>
      </c>
      <c r="C2448" s="698"/>
      <c r="D2448" s="698"/>
      <c r="E2448" s="698"/>
      <c r="F2448" s="698"/>
      <c r="G2448" s="698"/>
    </row>
    <row r="2449" spans="1:7" ht="17.25" customHeight="1" x14ac:dyDescent="0.2">
      <c r="A2449" s="547"/>
      <c r="B2449" s="322">
        <v>2436</v>
      </c>
      <c r="C2449" s="698"/>
      <c r="D2449" s="698"/>
      <c r="E2449" s="698"/>
      <c r="F2449" s="698"/>
      <c r="G2449" s="698"/>
    </row>
    <row r="2450" spans="1:7" ht="17.25" customHeight="1" x14ac:dyDescent="0.2">
      <c r="A2450" s="547"/>
      <c r="B2450" s="322">
        <v>2437</v>
      </c>
      <c r="C2450" s="698"/>
      <c r="D2450" s="698"/>
      <c r="E2450" s="698"/>
      <c r="F2450" s="698"/>
      <c r="G2450" s="698"/>
    </row>
    <row r="2451" spans="1:7" ht="17.25" customHeight="1" x14ac:dyDescent="0.2">
      <c r="A2451" s="547"/>
      <c r="B2451" s="322">
        <v>2438</v>
      </c>
      <c r="C2451" s="698"/>
      <c r="D2451" s="698"/>
      <c r="E2451" s="698"/>
      <c r="F2451" s="698"/>
      <c r="G2451" s="698"/>
    </row>
    <row r="2452" spans="1:7" ht="17.25" customHeight="1" x14ac:dyDescent="0.2">
      <c r="A2452" s="547"/>
      <c r="B2452" s="322">
        <v>2439</v>
      </c>
      <c r="C2452" s="698"/>
      <c r="D2452" s="698"/>
      <c r="E2452" s="698"/>
      <c r="F2452" s="698"/>
      <c r="G2452" s="698"/>
    </row>
    <row r="2453" spans="1:7" ht="17.25" customHeight="1" x14ac:dyDescent="0.2">
      <c r="A2453" s="547"/>
      <c r="B2453" s="322">
        <v>2440</v>
      </c>
      <c r="C2453" s="698"/>
      <c r="D2453" s="698"/>
      <c r="E2453" s="698"/>
      <c r="F2453" s="698"/>
      <c r="G2453" s="698"/>
    </row>
    <row r="2454" spans="1:7" ht="17.25" customHeight="1" x14ac:dyDescent="0.2">
      <c r="A2454" s="547"/>
      <c r="B2454" s="322">
        <v>2441</v>
      </c>
      <c r="C2454" s="698"/>
      <c r="D2454" s="698"/>
      <c r="E2454" s="698"/>
      <c r="F2454" s="698"/>
      <c r="G2454" s="698"/>
    </row>
    <row r="2455" spans="1:7" ht="17.25" customHeight="1" x14ac:dyDescent="0.2">
      <c r="A2455" s="547"/>
      <c r="B2455" s="322">
        <v>2442</v>
      </c>
      <c r="C2455" s="698"/>
      <c r="D2455" s="698"/>
      <c r="E2455" s="698"/>
      <c r="F2455" s="698"/>
      <c r="G2455" s="698"/>
    </row>
    <row r="2456" spans="1:7" ht="17.25" customHeight="1" x14ac:dyDescent="0.2">
      <c r="A2456" s="547"/>
      <c r="B2456" s="322">
        <v>2443</v>
      </c>
      <c r="C2456" s="698"/>
      <c r="D2456" s="698"/>
      <c r="E2456" s="698"/>
      <c r="F2456" s="698"/>
      <c r="G2456" s="698"/>
    </row>
    <row r="2457" spans="1:7" ht="17.25" customHeight="1" x14ac:dyDescent="0.2">
      <c r="A2457" s="547"/>
      <c r="B2457" s="322">
        <v>2444</v>
      </c>
      <c r="C2457" s="698"/>
      <c r="D2457" s="698"/>
      <c r="E2457" s="698"/>
      <c r="F2457" s="698"/>
      <c r="G2457" s="698"/>
    </row>
    <row r="2458" spans="1:7" ht="17.25" customHeight="1" x14ac:dyDescent="0.2">
      <c r="A2458" s="547"/>
      <c r="B2458" s="322">
        <v>2445</v>
      </c>
      <c r="C2458" s="698"/>
      <c r="D2458" s="698"/>
      <c r="E2458" s="698"/>
      <c r="F2458" s="698"/>
      <c r="G2458" s="698"/>
    </row>
    <row r="2459" spans="1:7" ht="17.25" customHeight="1" x14ac:dyDescent="0.2">
      <c r="A2459" s="547"/>
      <c r="B2459" s="322">
        <v>2446</v>
      </c>
      <c r="C2459" s="698"/>
      <c r="D2459" s="698"/>
      <c r="E2459" s="698"/>
      <c r="F2459" s="698"/>
      <c r="G2459" s="698"/>
    </row>
    <row r="2460" spans="1:7" ht="17.25" customHeight="1" x14ac:dyDescent="0.2">
      <c r="A2460" s="547"/>
      <c r="B2460" s="322">
        <v>2447</v>
      </c>
      <c r="C2460" s="698"/>
      <c r="D2460" s="698"/>
      <c r="E2460" s="698"/>
      <c r="F2460" s="698"/>
      <c r="G2460" s="698"/>
    </row>
    <row r="2461" spans="1:7" ht="17.25" customHeight="1" x14ac:dyDescent="0.2">
      <c r="A2461" s="547"/>
      <c r="B2461" s="322">
        <v>2448</v>
      </c>
      <c r="C2461" s="698"/>
      <c r="D2461" s="698"/>
      <c r="E2461" s="698"/>
      <c r="F2461" s="698"/>
      <c r="G2461" s="698"/>
    </row>
    <row r="2462" spans="1:7" ht="17.25" customHeight="1" x14ac:dyDescent="0.2">
      <c r="A2462" s="547"/>
      <c r="B2462" s="322">
        <v>2449</v>
      </c>
      <c r="C2462" s="698"/>
      <c r="D2462" s="698"/>
      <c r="E2462" s="698"/>
      <c r="F2462" s="698"/>
      <c r="G2462" s="698"/>
    </row>
    <row r="2463" spans="1:7" ht="17.25" customHeight="1" x14ac:dyDescent="0.2">
      <c r="A2463" s="547"/>
      <c r="B2463" s="322">
        <v>2450</v>
      </c>
      <c r="C2463" s="698"/>
      <c r="D2463" s="698"/>
      <c r="E2463" s="698"/>
      <c r="F2463" s="698"/>
      <c r="G2463" s="698"/>
    </row>
    <row r="2464" spans="1:7" ht="17.25" customHeight="1" x14ac:dyDescent="0.2">
      <c r="A2464" s="547"/>
      <c r="B2464" s="322">
        <v>2451</v>
      </c>
      <c r="C2464" s="698"/>
      <c r="D2464" s="698"/>
      <c r="E2464" s="698"/>
      <c r="F2464" s="698"/>
      <c r="G2464" s="698"/>
    </row>
    <row r="2465" spans="1:7" ht="17.25" customHeight="1" x14ac:dyDescent="0.2">
      <c r="A2465" s="547"/>
      <c r="B2465" s="322">
        <v>2452</v>
      </c>
      <c r="C2465" s="698"/>
      <c r="D2465" s="698"/>
      <c r="E2465" s="698"/>
      <c r="F2465" s="698"/>
      <c r="G2465" s="698"/>
    </row>
    <row r="2466" spans="1:7" ht="17.25" customHeight="1" x14ac:dyDescent="0.2">
      <c r="A2466" s="547"/>
      <c r="B2466" s="322">
        <v>2453</v>
      </c>
      <c r="C2466" s="698"/>
      <c r="D2466" s="698"/>
      <c r="E2466" s="698"/>
      <c r="F2466" s="698"/>
      <c r="G2466" s="698"/>
    </row>
    <row r="2467" spans="1:7" ht="17.25" customHeight="1" x14ac:dyDescent="0.2">
      <c r="A2467" s="547"/>
      <c r="B2467" s="322">
        <v>2454</v>
      </c>
      <c r="C2467" s="698"/>
      <c r="D2467" s="698"/>
      <c r="E2467" s="698"/>
      <c r="F2467" s="698"/>
      <c r="G2467" s="698"/>
    </row>
    <row r="2468" spans="1:7" ht="17.25" customHeight="1" x14ac:dyDescent="0.2">
      <c r="A2468" s="547"/>
      <c r="B2468" s="322">
        <v>2455</v>
      </c>
      <c r="C2468" s="698"/>
      <c r="D2468" s="698"/>
      <c r="E2468" s="698"/>
      <c r="F2468" s="698"/>
      <c r="G2468" s="698"/>
    </row>
    <row r="2469" spans="1:7" ht="17.25" customHeight="1" x14ac:dyDescent="0.2">
      <c r="A2469" s="547"/>
      <c r="B2469" s="322">
        <v>2456</v>
      </c>
      <c r="C2469" s="698"/>
      <c r="D2469" s="698"/>
      <c r="E2469" s="698"/>
      <c r="F2469" s="698"/>
      <c r="G2469" s="698"/>
    </row>
    <row r="2470" spans="1:7" ht="17.25" customHeight="1" x14ac:dyDescent="0.2">
      <c r="A2470" s="547"/>
      <c r="B2470" s="322">
        <v>2457</v>
      </c>
      <c r="C2470" s="698"/>
      <c r="D2470" s="698"/>
      <c r="E2470" s="698"/>
      <c r="F2470" s="698"/>
      <c r="G2470" s="698"/>
    </row>
    <row r="2471" spans="1:7" ht="17.25" customHeight="1" x14ac:dyDescent="0.2">
      <c r="A2471" s="547"/>
      <c r="B2471" s="322">
        <v>2458</v>
      </c>
      <c r="C2471" s="698"/>
      <c r="D2471" s="698"/>
      <c r="E2471" s="698"/>
      <c r="F2471" s="698"/>
      <c r="G2471" s="698"/>
    </row>
    <row r="2472" spans="1:7" ht="17.25" customHeight="1" x14ac:dyDescent="0.2">
      <c r="A2472" s="547"/>
      <c r="B2472" s="322">
        <v>2459</v>
      </c>
      <c r="C2472" s="698"/>
      <c r="D2472" s="698"/>
      <c r="E2472" s="698"/>
      <c r="F2472" s="698"/>
      <c r="G2472" s="698"/>
    </row>
    <row r="2473" spans="1:7" ht="17.25" customHeight="1" x14ac:dyDescent="0.2">
      <c r="A2473" s="547"/>
      <c r="B2473" s="322">
        <v>2460</v>
      </c>
      <c r="C2473" s="698"/>
      <c r="D2473" s="698"/>
      <c r="E2473" s="698"/>
      <c r="F2473" s="698"/>
      <c r="G2473" s="698"/>
    </row>
    <row r="2474" spans="1:7" ht="17.25" customHeight="1" x14ac:dyDescent="0.2">
      <c r="A2474" s="547"/>
      <c r="B2474" s="322">
        <v>2461</v>
      </c>
      <c r="C2474" s="698"/>
      <c r="D2474" s="698"/>
      <c r="E2474" s="698"/>
      <c r="F2474" s="698"/>
      <c r="G2474" s="698"/>
    </row>
    <row r="2475" spans="1:7" ht="17.25" customHeight="1" x14ac:dyDescent="0.2">
      <c r="A2475" s="547"/>
      <c r="B2475" s="322">
        <v>2462</v>
      </c>
      <c r="C2475" s="698"/>
      <c r="D2475" s="698"/>
      <c r="E2475" s="698"/>
      <c r="F2475" s="698"/>
      <c r="G2475" s="698"/>
    </row>
    <row r="2476" spans="1:7" ht="17.25" customHeight="1" x14ac:dyDescent="0.2">
      <c r="A2476" s="547"/>
      <c r="B2476" s="322">
        <v>2463</v>
      </c>
      <c r="C2476" s="698"/>
      <c r="D2476" s="698"/>
      <c r="E2476" s="698"/>
      <c r="F2476" s="698"/>
      <c r="G2476" s="698"/>
    </row>
    <row r="2477" spans="1:7" ht="17.25" customHeight="1" x14ac:dyDescent="0.2">
      <c r="A2477" s="547"/>
      <c r="B2477" s="322">
        <v>2464</v>
      </c>
      <c r="C2477" s="698"/>
      <c r="D2477" s="698"/>
      <c r="E2477" s="698"/>
      <c r="F2477" s="698"/>
      <c r="G2477" s="698"/>
    </row>
    <row r="2478" spans="1:7" ht="17.25" customHeight="1" x14ac:dyDescent="0.2">
      <c r="A2478" s="547"/>
      <c r="B2478" s="322">
        <v>2465</v>
      </c>
      <c r="C2478" s="698"/>
      <c r="D2478" s="698"/>
      <c r="E2478" s="698"/>
      <c r="F2478" s="698"/>
      <c r="G2478" s="698"/>
    </row>
    <row r="2479" spans="1:7" ht="17.25" customHeight="1" x14ac:dyDescent="0.2">
      <c r="A2479" s="547"/>
      <c r="B2479" s="322">
        <v>2466</v>
      </c>
      <c r="C2479" s="698"/>
      <c r="D2479" s="698"/>
      <c r="E2479" s="698"/>
      <c r="F2479" s="698"/>
      <c r="G2479" s="698"/>
    </row>
    <row r="2480" spans="1:7" ht="17.25" customHeight="1" x14ac:dyDescent="0.2">
      <c r="A2480" s="547"/>
      <c r="B2480" s="322">
        <v>2467</v>
      </c>
      <c r="C2480" s="698"/>
      <c r="D2480" s="698"/>
      <c r="E2480" s="698"/>
      <c r="F2480" s="698"/>
      <c r="G2480" s="698"/>
    </row>
    <row r="2481" spans="1:7" ht="17.25" customHeight="1" x14ac:dyDescent="0.2">
      <c r="A2481" s="547"/>
      <c r="B2481" s="322">
        <v>2468</v>
      </c>
      <c r="C2481" s="698"/>
      <c r="D2481" s="698"/>
      <c r="E2481" s="698"/>
      <c r="F2481" s="698"/>
      <c r="G2481" s="698"/>
    </row>
    <row r="2482" spans="1:7" ht="17.25" customHeight="1" x14ac:dyDescent="0.2">
      <c r="A2482" s="547"/>
      <c r="B2482" s="322">
        <v>2469</v>
      </c>
      <c r="C2482" s="698"/>
      <c r="D2482" s="698"/>
      <c r="E2482" s="698"/>
      <c r="F2482" s="698"/>
      <c r="G2482" s="698"/>
    </row>
    <row r="2483" spans="1:7" ht="17.25" customHeight="1" x14ac:dyDescent="0.2">
      <c r="A2483" s="547"/>
      <c r="B2483" s="322">
        <v>2470</v>
      </c>
      <c r="C2483" s="698"/>
      <c r="D2483" s="698"/>
      <c r="E2483" s="698"/>
      <c r="F2483" s="698"/>
      <c r="G2483" s="698"/>
    </row>
    <row r="2484" spans="1:7" ht="17.25" customHeight="1" x14ac:dyDescent="0.2">
      <c r="A2484" s="547"/>
      <c r="B2484" s="322">
        <v>2471</v>
      </c>
      <c r="C2484" s="698"/>
      <c r="D2484" s="698"/>
      <c r="E2484" s="698"/>
      <c r="F2484" s="698"/>
      <c r="G2484" s="698"/>
    </row>
    <row r="2485" spans="1:7" ht="17.25" customHeight="1" x14ac:dyDescent="0.2">
      <c r="A2485" s="547"/>
      <c r="B2485" s="322">
        <v>2472</v>
      </c>
      <c r="C2485" s="698"/>
      <c r="D2485" s="698"/>
      <c r="E2485" s="698"/>
      <c r="F2485" s="698"/>
      <c r="G2485" s="698"/>
    </row>
    <row r="2486" spans="1:7" ht="17.25" customHeight="1" x14ac:dyDescent="0.2">
      <c r="A2486" s="547"/>
      <c r="B2486" s="322">
        <v>2473</v>
      </c>
      <c r="C2486" s="698"/>
      <c r="D2486" s="698"/>
      <c r="E2486" s="698"/>
      <c r="F2486" s="698"/>
      <c r="G2486" s="698"/>
    </row>
    <row r="2487" spans="1:7" ht="17.25" customHeight="1" x14ac:dyDescent="0.2">
      <c r="A2487" s="547"/>
      <c r="B2487" s="322">
        <v>2474</v>
      </c>
      <c r="C2487" s="698"/>
      <c r="D2487" s="698"/>
      <c r="E2487" s="698"/>
      <c r="F2487" s="698"/>
      <c r="G2487" s="698"/>
    </row>
    <row r="2488" spans="1:7" ht="17.25" customHeight="1" x14ac:dyDescent="0.2">
      <c r="A2488" s="547"/>
      <c r="B2488" s="322">
        <v>2475</v>
      </c>
      <c r="C2488" s="698"/>
      <c r="D2488" s="698"/>
      <c r="E2488" s="698"/>
      <c r="F2488" s="698"/>
      <c r="G2488" s="698"/>
    </row>
    <row r="2489" spans="1:7" ht="17.25" customHeight="1" x14ac:dyDescent="0.2">
      <c r="A2489" s="547"/>
      <c r="B2489" s="322">
        <v>2476</v>
      </c>
      <c r="C2489" s="698"/>
      <c r="D2489" s="698"/>
      <c r="E2489" s="698"/>
      <c r="F2489" s="698"/>
      <c r="G2489" s="698"/>
    </row>
    <row r="2490" spans="1:7" ht="17.25" customHeight="1" x14ac:dyDescent="0.2">
      <c r="A2490" s="547"/>
      <c r="B2490" s="322">
        <v>2477</v>
      </c>
      <c r="C2490" s="698"/>
      <c r="D2490" s="698"/>
      <c r="E2490" s="698"/>
      <c r="F2490" s="698"/>
      <c r="G2490" s="698"/>
    </row>
    <row r="2491" spans="1:7" ht="17.25" customHeight="1" x14ac:dyDescent="0.2">
      <c r="A2491" s="547"/>
      <c r="B2491" s="322">
        <v>2478</v>
      </c>
      <c r="C2491" s="698"/>
      <c r="D2491" s="698"/>
      <c r="E2491" s="698"/>
      <c r="F2491" s="698"/>
      <c r="G2491" s="698"/>
    </row>
    <row r="2492" spans="1:7" ht="17.25" customHeight="1" x14ac:dyDescent="0.2">
      <c r="A2492" s="547"/>
      <c r="B2492" s="322">
        <v>2479</v>
      </c>
      <c r="C2492" s="698"/>
      <c r="D2492" s="698"/>
      <c r="E2492" s="698"/>
      <c r="F2492" s="698"/>
      <c r="G2492" s="698"/>
    </row>
    <row r="2493" spans="1:7" ht="17.25" customHeight="1" x14ac:dyDescent="0.2">
      <c r="A2493" s="547"/>
      <c r="B2493" s="322">
        <v>2480</v>
      </c>
      <c r="C2493" s="698"/>
      <c r="D2493" s="698"/>
      <c r="E2493" s="698"/>
      <c r="F2493" s="698"/>
      <c r="G2493" s="698"/>
    </row>
    <row r="2494" spans="1:7" ht="17.25" customHeight="1" x14ac:dyDescent="0.2">
      <c r="A2494" s="547"/>
      <c r="B2494" s="322">
        <v>2481</v>
      </c>
      <c r="C2494" s="698"/>
      <c r="D2494" s="698"/>
      <c r="E2494" s="698"/>
      <c r="F2494" s="698"/>
      <c r="G2494" s="698"/>
    </row>
    <row r="2495" spans="1:7" ht="17.25" customHeight="1" x14ac:dyDescent="0.2">
      <c r="A2495" s="547"/>
      <c r="B2495" s="322">
        <v>2482</v>
      </c>
      <c r="C2495" s="698"/>
      <c r="D2495" s="698"/>
      <c r="E2495" s="698"/>
      <c r="F2495" s="698"/>
      <c r="G2495" s="698"/>
    </row>
    <row r="2496" spans="1:7" ht="17.25" customHeight="1" x14ac:dyDescent="0.2">
      <c r="A2496" s="547"/>
      <c r="B2496" s="322">
        <v>2483</v>
      </c>
      <c r="C2496" s="698"/>
      <c r="D2496" s="698"/>
      <c r="E2496" s="698"/>
      <c r="F2496" s="698"/>
      <c r="G2496" s="698"/>
    </row>
    <row r="2497" spans="1:7" ht="17.25" customHeight="1" x14ac:dyDescent="0.2">
      <c r="A2497" s="547"/>
      <c r="B2497" s="322">
        <v>2484</v>
      </c>
      <c r="C2497" s="698"/>
      <c r="D2497" s="698"/>
      <c r="E2497" s="698"/>
      <c r="F2497" s="698"/>
      <c r="G2497" s="698"/>
    </row>
    <row r="2498" spans="1:7" ht="17.25" customHeight="1" x14ac:dyDescent="0.2">
      <c r="A2498" s="547"/>
      <c r="B2498" s="322">
        <v>2485</v>
      </c>
      <c r="C2498" s="698"/>
      <c r="D2498" s="698"/>
      <c r="E2498" s="698"/>
      <c r="F2498" s="698"/>
      <c r="G2498" s="698"/>
    </row>
    <row r="2499" spans="1:7" ht="17.25" customHeight="1" x14ac:dyDescent="0.2">
      <c r="A2499" s="547"/>
      <c r="B2499" s="322">
        <v>2486</v>
      </c>
      <c r="C2499" s="698"/>
      <c r="D2499" s="698"/>
      <c r="E2499" s="698"/>
      <c r="F2499" s="698"/>
      <c r="G2499" s="698"/>
    </row>
    <row r="2500" spans="1:7" ht="17.25" customHeight="1" x14ac:dyDescent="0.2">
      <c r="A2500" s="547"/>
      <c r="B2500" s="322">
        <v>2487</v>
      </c>
      <c r="C2500" s="698"/>
      <c r="D2500" s="698"/>
      <c r="E2500" s="698"/>
      <c r="F2500" s="698"/>
      <c r="G2500" s="698"/>
    </row>
    <row r="2501" spans="1:7" ht="17.25" customHeight="1" x14ac:dyDescent="0.2">
      <c r="A2501" s="547"/>
      <c r="B2501" s="322">
        <v>2488</v>
      </c>
      <c r="C2501" s="698"/>
      <c r="D2501" s="698"/>
      <c r="E2501" s="698"/>
      <c r="F2501" s="698"/>
      <c r="G2501" s="698"/>
    </row>
    <row r="2502" spans="1:7" ht="17.25" customHeight="1" x14ac:dyDescent="0.2">
      <c r="A2502" s="547"/>
      <c r="B2502" s="322">
        <v>2489</v>
      </c>
      <c r="C2502" s="698"/>
      <c r="D2502" s="698"/>
      <c r="E2502" s="698"/>
      <c r="F2502" s="698"/>
      <c r="G2502" s="698"/>
    </row>
    <row r="2503" spans="1:7" ht="17.25" customHeight="1" x14ac:dyDescent="0.2">
      <c r="A2503" s="547"/>
      <c r="B2503" s="322">
        <v>2490</v>
      </c>
      <c r="C2503" s="698"/>
      <c r="D2503" s="698"/>
      <c r="E2503" s="698"/>
      <c r="F2503" s="698"/>
      <c r="G2503" s="698"/>
    </row>
    <row r="2504" spans="1:7" ht="17.25" customHeight="1" x14ac:dyDescent="0.2">
      <c r="A2504" s="547"/>
      <c r="B2504" s="322">
        <v>2491</v>
      </c>
      <c r="C2504" s="698"/>
      <c r="D2504" s="698"/>
      <c r="E2504" s="698"/>
      <c r="F2504" s="698"/>
      <c r="G2504" s="698"/>
    </row>
    <row r="2505" spans="1:7" ht="17.25" customHeight="1" x14ac:dyDescent="0.2">
      <c r="A2505" s="547"/>
      <c r="B2505" s="322">
        <v>2492</v>
      </c>
      <c r="C2505" s="698"/>
      <c r="D2505" s="698"/>
      <c r="E2505" s="698"/>
      <c r="F2505" s="698"/>
      <c r="G2505" s="698"/>
    </row>
    <row r="2506" spans="1:7" ht="17.25" customHeight="1" x14ac:dyDescent="0.2">
      <c r="A2506" s="547"/>
      <c r="B2506" s="322">
        <v>2493</v>
      </c>
      <c r="C2506" s="698"/>
      <c r="D2506" s="698"/>
      <c r="E2506" s="698"/>
      <c r="F2506" s="698"/>
      <c r="G2506" s="698"/>
    </row>
    <row r="2507" spans="1:7" ht="17.25" customHeight="1" x14ac:dyDescent="0.2">
      <c r="A2507" s="547"/>
      <c r="B2507" s="322">
        <v>2494</v>
      </c>
      <c r="C2507" s="698"/>
      <c r="D2507" s="698"/>
      <c r="E2507" s="698"/>
      <c r="F2507" s="698"/>
      <c r="G2507" s="698"/>
    </row>
    <row r="2508" spans="1:7" ht="17.25" customHeight="1" x14ac:dyDescent="0.2">
      <c r="A2508" s="547"/>
      <c r="B2508" s="322">
        <v>2495</v>
      </c>
      <c r="C2508" s="698"/>
      <c r="D2508" s="698"/>
      <c r="E2508" s="698"/>
      <c r="F2508" s="698"/>
      <c r="G2508" s="698"/>
    </row>
    <row r="2509" spans="1:7" ht="17.25" customHeight="1" x14ac:dyDescent="0.2">
      <c r="A2509" s="547"/>
      <c r="B2509" s="322">
        <v>2496</v>
      </c>
      <c r="C2509" s="698"/>
      <c r="D2509" s="698"/>
      <c r="E2509" s="698"/>
      <c r="F2509" s="698"/>
      <c r="G2509" s="698"/>
    </row>
    <row r="2510" spans="1:7" ht="17.25" customHeight="1" x14ac:dyDescent="0.2">
      <c r="A2510" s="547"/>
      <c r="B2510" s="322">
        <v>2497</v>
      </c>
      <c r="C2510" s="698"/>
      <c r="D2510" s="698"/>
      <c r="E2510" s="698"/>
      <c r="F2510" s="698"/>
      <c r="G2510" s="698"/>
    </row>
    <row r="2511" spans="1:7" ht="17.25" customHeight="1" x14ac:dyDescent="0.2">
      <c r="A2511" s="547"/>
      <c r="B2511" s="322">
        <v>2498</v>
      </c>
      <c r="C2511" s="698"/>
      <c r="D2511" s="698"/>
      <c r="E2511" s="698"/>
      <c r="F2511" s="698"/>
      <c r="G2511" s="698"/>
    </row>
    <row r="2512" spans="1:7" ht="17.25" customHeight="1" x14ac:dyDescent="0.2">
      <c r="A2512" s="547"/>
      <c r="B2512" s="322">
        <v>2499</v>
      </c>
      <c r="C2512" s="698"/>
      <c r="D2512" s="698"/>
      <c r="E2512" s="698"/>
      <c r="F2512" s="698"/>
      <c r="G2512" s="698"/>
    </row>
    <row r="2513" spans="1:7" ht="17.25" customHeight="1" x14ac:dyDescent="0.2">
      <c r="A2513" s="546" t="s">
        <v>1469</v>
      </c>
      <c r="B2513" s="322">
        <v>2500</v>
      </c>
      <c r="C2513" s="544" t="s">
        <v>1470</v>
      </c>
      <c r="D2513" s="545" t="s">
        <v>1471</v>
      </c>
      <c r="E2513" s="698"/>
      <c r="F2513" s="698"/>
      <c r="G2513" s="698"/>
    </row>
    <row r="2514" spans="1:7" ht="17.25" customHeight="1" x14ac:dyDescent="0.2">
      <c r="A2514" s="546" t="s">
        <v>1472</v>
      </c>
      <c r="B2514" s="322">
        <v>2501</v>
      </c>
      <c r="C2514" s="544" t="s">
        <v>1472</v>
      </c>
      <c r="D2514" s="545" t="s">
        <v>1472</v>
      </c>
      <c r="E2514" s="698"/>
      <c r="F2514" s="698"/>
      <c r="G2514" s="698"/>
    </row>
    <row r="2515" spans="1:7" ht="17.25" customHeight="1" x14ac:dyDescent="0.2">
      <c r="A2515" s="546" t="s">
        <v>1473</v>
      </c>
      <c r="B2515" s="322">
        <v>2502</v>
      </c>
      <c r="C2515" s="544" t="s">
        <v>1473</v>
      </c>
      <c r="D2515" s="545" t="s">
        <v>1474</v>
      </c>
      <c r="E2515" s="698"/>
      <c r="F2515" s="698"/>
      <c r="G2515" s="698"/>
    </row>
    <row r="2516" spans="1:7" ht="17.25" customHeight="1" x14ac:dyDescent="0.2">
      <c r="A2516" s="546" t="s">
        <v>1475</v>
      </c>
      <c r="B2516" s="322">
        <v>2503</v>
      </c>
      <c r="C2516" s="544" t="s">
        <v>1475</v>
      </c>
      <c r="D2516" s="545" t="s">
        <v>1476</v>
      </c>
      <c r="E2516" s="698"/>
      <c r="F2516" s="698"/>
      <c r="G2516" s="698"/>
    </row>
    <row r="2517" spans="1:7" ht="17.25" customHeight="1" x14ac:dyDescent="0.2">
      <c r="A2517" s="546" t="s">
        <v>1477</v>
      </c>
      <c r="B2517" s="322">
        <v>2504</v>
      </c>
      <c r="C2517" s="544" t="s">
        <v>1477</v>
      </c>
      <c r="D2517" s="545" t="s">
        <v>1478</v>
      </c>
      <c r="E2517" s="698"/>
      <c r="F2517" s="698"/>
      <c r="G2517" s="698"/>
    </row>
    <row r="2518" spans="1:7" ht="17.25" customHeight="1" x14ac:dyDescent="0.2">
      <c r="A2518" s="546" t="s">
        <v>1479</v>
      </c>
      <c r="B2518" s="322">
        <v>2505</v>
      </c>
      <c r="C2518" s="544" t="s">
        <v>1479</v>
      </c>
      <c r="D2518" s="545" t="s">
        <v>1480</v>
      </c>
      <c r="E2518" s="698"/>
      <c r="F2518" s="698"/>
      <c r="G2518" s="698"/>
    </row>
    <row r="2519" spans="1:7" ht="17.25" customHeight="1" x14ac:dyDescent="0.2">
      <c r="A2519" s="546" t="s">
        <v>1481</v>
      </c>
      <c r="B2519" s="322">
        <v>2506</v>
      </c>
      <c r="C2519" s="544" t="s">
        <v>1481</v>
      </c>
      <c r="D2519" s="545" t="s">
        <v>1482</v>
      </c>
      <c r="E2519" s="698"/>
      <c r="F2519" s="698"/>
      <c r="G2519" s="698"/>
    </row>
    <row r="2520" spans="1:7" ht="17.25" customHeight="1" x14ac:dyDescent="0.2">
      <c r="A2520" s="546" t="s">
        <v>1483</v>
      </c>
      <c r="B2520" s="322">
        <v>2507</v>
      </c>
      <c r="C2520" s="544" t="s">
        <v>1483</v>
      </c>
      <c r="D2520" s="545" t="s">
        <v>1484</v>
      </c>
      <c r="E2520" s="698"/>
      <c r="F2520" s="698"/>
      <c r="G2520" s="698"/>
    </row>
    <row r="2521" spans="1:7" ht="17.25" customHeight="1" x14ac:dyDescent="0.2">
      <c r="A2521" s="546" t="s">
        <v>1485</v>
      </c>
      <c r="B2521" s="322">
        <v>2508</v>
      </c>
      <c r="C2521" s="544" t="s">
        <v>1485</v>
      </c>
      <c r="D2521" s="545" t="s">
        <v>1486</v>
      </c>
      <c r="E2521" s="544"/>
      <c r="F2521" s="698"/>
      <c r="G2521" s="698"/>
    </row>
    <row r="2522" spans="1:7" ht="17.25" customHeight="1" x14ac:dyDescent="0.2">
      <c r="A2522" s="546" t="s">
        <v>1487</v>
      </c>
      <c r="B2522" s="322">
        <v>2509</v>
      </c>
      <c r="C2522" s="544" t="s">
        <v>1487</v>
      </c>
      <c r="D2522" s="545" t="s">
        <v>1488</v>
      </c>
      <c r="E2522" s="544"/>
      <c r="F2522" s="698"/>
      <c r="G2522" s="698"/>
    </row>
    <row r="2523" spans="1:7" ht="17.25" customHeight="1" x14ac:dyDescent="0.2">
      <c r="A2523" s="546" t="s">
        <v>1489</v>
      </c>
      <c r="B2523" s="322">
        <v>2510</v>
      </c>
      <c r="C2523" s="544" t="s">
        <v>1489</v>
      </c>
      <c r="D2523" s="545" t="s">
        <v>1490</v>
      </c>
      <c r="E2523" s="544"/>
      <c r="F2523" s="698"/>
      <c r="G2523" s="698"/>
    </row>
    <row r="2524" spans="1:7" ht="17.25" customHeight="1" x14ac:dyDescent="0.2">
      <c r="A2524" s="546" t="s">
        <v>1491</v>
      </c>
      <c r="B2524" s="322">
        <v>2511</v>
      </c>
      <c r="C2524" s="544" t="s">
        <v>1491</v>
      </c>
      <c r="D2524" s="545" t="s">
        <v>1492</v>
      </c>
      <c r="E2524" s="544"/>
      <c r="F2524" s="698"/>
      <c r="G2524" s="698"/>
    </row>
    <row r="2525" spans="1:7" ht="17.25" customHeight="1" x14ac:dyDescent="0.2">
      <c r="A2525" s="546" t="s">
        <v>1493</v>
      </c>
      <c r="B2525" s="322">
        <v>2512</v>
      </c>
      <c r="C2525" s="544" t="s">
        <v>1493</v>
      </c>
      <c r="D2525" s="545" t="s">
        <v>1493</v>
      </c>
      <c r="E2525" s="544"/>
      <c r="F2525" s="698"/>
      <c r="G2525" s="698"/>
    </row>
    <row r="2526" spans="1:7" ht="17.25" customHeight="1" x14ac:dyDescent="0.2">
      <c r="A2526" s="546" t="s">
        <v>1494</v>
      </c>
      <c r="B2526" s="322">
        <v>2513</v>
      </c>
      <c r="C2526" s="544" t="s">
        <v>1494</v>
      </c>
      <c r="D2526" s="545" t="s">
        <v>1495</v>
      </c>
      <c r="E2526" s="544"/>
      <c r="F2526" s="698"/>
      <c r="G2526" s="698"/>
    </row>
    <row r="2527" spans="1:7" ht="17.25" customHeight="1" x14ac:dyDescent="0.2">
      <c r="A2527" s="546" t="s">
        <v>1496</v>
      </c>
      <c r="B2527" s="322">
        <v>2514</v>
      </c>
      <c r="C2527" s="544" t="s">
        <v>1496</v>
      </c>
      <c r="D2527" s="545" t="s">
        <v>1497</v>
      </c>
      <c r="E2527" s="544"/>
      <c r="F2527" s="698"/>
      <c r="G2527" s="698"/>
    </row>
    <row r="2528" spans="1:7" ht="17.25" customHeight="1" x14ac:dyDescent="0.2">
      <c r="A2528" s="546" t="s">
        <v>1498</v>
      </c>
      <c r="B2528" s="322">
        <v>2515</v>
      </c>
      <c r="C2528" s="544" t="s">
        <v>1498</v>
      </c>
      <c r="D2528" s="545" t="s">
        <v>1499</v>
      </c>
      <c r="E2528" s="544"/>
      <c r="F2528" s="698"/>
      <c r="G2528" s="698"/>
    </row>
    <row r="2529" spans="1:7" ht="17.25" customHeight="1" x14ac:dyDescent="0.2">
      <c r="A2529" s="546" t="s">
        <v>1500</v>
      </c>
      <c r="B2529" s="322">
        <v>2516</v>
      </c>
      <c r="C2529" s="544" t="s">
        <v>1500</v>
      </c>
      <c r="D2529" s="545" t="s">
        <v>1499</v>
      </c>
      <c r="E2529" s="544"/>
      <c r="F2529" s="698"/>
      <c r="G2529" s="698"/>
    </row>
    <row r="2530" spans="1:7" ht="17.25" customHeight="1" x14ac:dyDescent="0.2">
      <c r="A2530" s="546" t="s">
        <v>1501</v>
      </c>
      <c r="B2530" s="322">
        <v>2517</v>
      </c>
      <c r="C2530" s="544" t="s">
        <v>1501</v>
      </c>
      <c r="D2530" s="545" t="s">
        <v>1502</v>
      </c>
      <c r="E2530" s="544"/>
      <c r="F2530" s="698"/>
      <c r="G2530" s="698"/>
    </row>
    <row r="2531" spans="1:7" ht="17.25" customHeight="1" x14ac:dyDescent="0.2">
      <c r="A2531" s="546"/>
      <c r="B2531" s="322">
        <v>2518</v>
      </c>
      <c r="C2531" s="544"/>
      <c r="D2531" s="545"/>
      <c r="E2531" s="544"/>
      <c r="F2531" s="698"/>
      <c r="G2531" s="698"/>
    </row>
    <row r="2532" spans="1:7" ht="17.25" customHeight="1" x14ac:dyDescent="0.2">
      <c r="A2532" s="546"/>
      <c r="B2532" s="322">
        <v>2519</v>
      </c>
      <c r="C2532" s="544"/>
      <c r="D2532" s="545"/>
      <c r="E2532" s="544"/>
      <c r="F2532" s="698"/>
      <c r="G2532" s="698"/>
    </row>
    <row r="2533" spans="1:7" ht="17.25" customHeight="1" x14ac:dyDescent="0.2">
      <c r="A2533" s="546"/>
      <c r="B2533" s="322">
        <v>2520</v>
      </c>
      <c r="C2533" s="544"/>
      <c r="D2533" s="545"/>
      <c r="E2533" s="544"/>
      <c r="F2533" s="698"/>
      <c r="G2533" s="698"/>
    </row>
    <row r="2534" spans="1:7" ht="17.25" customHeight="1" thickBot="1" x14ac:dyDescent="0.25">
      <c r="A2534" s="412"/>
      <c r="B2534" s="328"/>
      <c r="C2534" s="414"/>
      <c r="D2534" s="414"/>
      <c r="E2534" s="414"/>
      <c r="F2534" s="414"/>
      <c r="G2534" s="414"/>
    </row>
  </sheetData>
  <autoFilter ref="A13:F2533" xr:uid="{00000000-0009-0000-0000-000000000000}"/>
  <dataConsolidate link="1"/>
  <mergeCells count="1">
    <mergeCell ref="D2345:F2345"/>
  </mergeCells>
  <phoneticPr fontId="21" type="noConversion"/>
  <printOptions horizontalCentered="1"/>
  <pageMargins left="0.70866141732283472" right="0.55118110236220474" top="0.98425196850393704" bottom="0.9055118110236221" header="0.23622047244094491" footer="0.27559055118110237"/>
  <pageSetup paperSize="9" scale="1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5601" r:id="rId6" name="Button 1">
              <controlPr defaultSize="0" print="0" autoFill="0" autoPict="0" macro="[0]!back">
                <anchor>
                  <from>
                    <xdr:col>4</xdr:col>
                    <xdr:colOff>2329732</xdr:colOff>
                    <xdr:row>5</xdr:row>
                    <xdr:rowOff>63610</xdr:rowOff>
                  </from>
                  <to>
                    <xdr:col>4</xdr:col>
                    <xdr:colOff>2989690</xdr:colOff>
                    <xdr:row>6</xdr:row>
                    <xdr:rowOff>95416</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857" id="{AF0874C9-B1C4-4D54-AAF5-BB8713EF5B08}">
            <xm:f>SQG_1!$Z$22=$F$4</xm:f>
            <x14:dxf/>
          </x14:cfRule>
          <xm:sqref>C218:AD219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theme="8" tint="0.39997558519241921"/>
    <pageSetUpPr fitToPage="1"/>
  </sheetPr>
  <dimension ref="A1:BJ71"/>
  <sheetViews>
    <sheetView showGridLines="0" zoomScaleNormal="100" zoomScaleSheetLayoutView="100" zoomScalePageLayoutView="70" workbookViewId="0">
      <pane ySplit="2" topLeftCell="A48" activePane="bottomLeft" state="frozen"/>
      <selection activeCell="M164" sqref="M164:T166"/>
      <selection pane="bottomLeft" activeCell="M164" sqref="M164:T166"/>
    </sheetView>
  </sheetViews>
  <sheetFormatPr baseColWidth="10" defaultColWidth="5.3984375" defaultRowHeight="13.15" x14ac:dyDescent="0.25"/>
  <cols>
    <col min="38" max="51" width="5.3984375" customWidth="1"/>
    <col min="52" max="55" width="5.3984375" hidden="1" customWidth="1"/>
    <col min="56" max="57" width="5.3984375" style="3" hidden="1" customWidth="1"/>
    <col min="58" max="60" width="5.3984375" hidden="1" customWidth="1"/>
    <col min="61" max="63" width="5.3984375" customWidth="1"/>
  </cols>
  <sheetData>
    <row r="1" spans="1:57" ht="17.7" customHeight="1" x14ac:dyDescent="0.25">
      <c r="A1" s="153"/>
      <c r="B1" s="1139" t="str">
        <f>HLOOKUP(LANGUAGE!$B$2,LANGUAGE!$C$14:$G$1500,386)</f>
        <v>Supplier Quality Gate 1</v>
      </c>
      <c r="C1" s="1139"/>
      <c r="D1" s="1139"/>
      <c r="E1" s="1139"/>
      <c r="F1" s="1139"/>
      <c r="G1" s="1139"/>
      <c r="H1" s="1139"/>
      <c r="I1" s="1139"/>
      <c r="J1" s="1139"/>
      <c r="K1" s="1139"/>
      <c r="L1" s="1139"/>
      <c r="M1" s="1139"/>
      <c r="N1" s="1139"/>
      <c r="O1" s="1139"/>
      <c r="P1" s="1024" t="s">
        <v>2</v>
      </c>
      <c r="Q1" s="1024"/>
      <c r="R1" s="1024"/>
      <c r="S1" s="134"/>
      <c r="T1" s="134"/>
      <c r="U1" s="134"/>
      <c r="V1" s="134"/>
      <c r="W1" s="134"/>
      <c r="X1" s="134"/>
      <c r="Y1" s="134"/>
      <c r="Z1" s="174"/>
      <c r="AA1" s="174"/>
      <c r="AB1" s="174"/>
      <c r="AC1" s="174"/>
      <c r="AD1" s="174"/>
      <c r="AE1" s="174"/>
      <c r="AF1" s="174"/>
      <c r="AG1" s="174"/>
      <c r="AH1" s="174"/>
      <c r="AI1" s="174"/>
      <c r="AJ1" s="174"/>
      <c r="AK1" s="174"/>
    </row>
    <row r="2" spans="1:57" ht="17.7" customHeight="1" x14ac:dyDescent="0.25">
      <c r="A2" s="153"/>
      <c r="B2" s="1139"/>
      <c r="C2" s="1139"/>
      <c r="D2" s="1139"/>
      <c r="E2" s="1139"/>
      <c r="F2" s="1139"/>
      <c r="G2" s="1139"/>
      <c r="H2" s="1139"/>
      <c r="I2" s="1139"/>
      <c r="J2" s="1139"/>
      <c r="K2" s="1139"/>
      <c r="L2" s="1139"/>
      <c r="M2" s="1139"/>
      <c r="N2" s="1139"/>
      <c r="O2" s="1139"/>
      <c r="P2" s="1024" t="s">
        <v>1774</v>
      </c>
      <c r="Q2" s="1024"/>
      <c r="R2" s="1024"/>
      <c r="S2" s="134"/>
      <c r="T2" s="134"/>
      <c r="U2" s="134"/>
      <c r="V2" s="134"/>
      <c r="W2" s="134"/>
      <c r="X2" s="134"/>
      <c r="Y2" s="134"/>
      <c r="Z2" s="174"/>
      <c r="AA2" s="174"/>
      <c r="AB2" s="174"/>
      <c r="AC2" s="174"/>
      <c r="AD2" s="174"/>
      <c r="AE2" s="174"/>
      <c r="AF2" s="174"/>
      <c r="AG2" s="174"/>
      <c r="AH2" s="174"/>
      <c r="AI2" s="174"/>
      <c r="AJ2" s="174"/>
      <c r="AK2" s="174"/>
    </row>
    <row r="3" spans="1:57" ht="17.7" customHeight="1" x14ac:dyDescent="0.25">
      <c r="B3" s="201" t="str">
        <f>HLOOKUP(LANGUAGE!$B$2,LANGUAGE!$C$14:$G$1500,387)</f>
        <v>Target: All required information/ documents are available at the project kick-off.</v>
      </c>
      <c r="C3" s="30"/>
      <c r="D3" s="30"/>
      <c r="E3" s="30"/>
      <c r="F3" s="30"/>
      <c r="G3" s="30"/>
      <c r="H3" s="30"/>
      <c r="I3" s="30"/>
      <c r="J3" s="30"/>
      <c r="K3" s="30"/>
      <c r="L3" s="30"/>
      <c r="M3" s="30"/>
      <c r="N3" s="30"/>
      <c r="O3" s="30"/>
      <c r="P3" s="30"/>
      <c r="Q3" s="221" t="str">
        <f>HLOOKUP(LANGUAGE!$B$2,LANGUAGE!$C$14:$G$1500,2)</f>
        <v>Attention!!!        Only yellow fields has to be filled</v>
      </c>
      <c r="R3" s="30"/>
      <c r="S3" s="30"/>
      <c r="T3" s="30"/>
      <c r="U3" s="30"/>
      <c r="V3" s="30"/>
      <c r="W3" s="30"/>
      <c r="X3" s="30"/>
      <c r="Y3" s="30"/>
      <c r="Z3" s="30"/>
      <c r="AA3" s="30"/>
      <c r="AB3" s="30"/>
      <c r="AC3" s="30"/>
      <c r="AD3" s="30"/>
      <c r="AE3" s="30"/>
      <c r="AF3" s="30"/>
      <c r="AG3" s="30"/>
    </row>
    <row r="4" spans="1:57" ht="17.7" customHeight="1" thickBot="1" x14ac:dyDescent="0.3">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row>
    <row r="5" spans="1:57" ht="17.7" customHeight="1" x14ac:dyDescent="0.25">
      <c r="B5" s="1050" t="str">
        <f>HLOOKUP(LANGUAGE!$B$2,LANGUAGE!$C$14:$G$1500,12)</f>
        <v>Project Data</v>
      </c>
      <c r="C5" s="1051"/>
      <c r="D5" s="1051"/>
      <c r="E5" s="1051"/>
      <c r="F5" s="1051"/>
      <c r="G5" s="1051"/>
      <c r="H5" s="1051"/>
      <c r="I5" s="1051"/>
      <c r="J5" s="1051"/>
      <c r="K5" s="1051"/>
      <c r="L5" s="1051"/>
      <c r="M5" s="1051"/>
      <c r="N5" s="1051"/>
      <c r="O5" s="1052"/>
      <c r="P5" s="252"/>
      <c r="Q5" s="1050" t="str">
        <f>HLOOKUP(LANGUAGE!$B$2,LANGUAGE!$C$14:$G$1500,27)</f>
        <v>Supplier Data</v>
      </c>
      <c r="R5" s="1051"/>
      <c r="S5" s="1051"/>
      <c r="T5" s="1051"/>
      <c r="U5" s="1051"/>
      <c r="V5" s="1051"/>
      <c r="W5" s="1051"/>
      <c r="X5" s="1051"/>
      <c r="Y5" s="1051"/>
      <c r="Z5" s="1051"/>
      <c r="AA5" s="1051"/>
      <c r="AB5" s="1051"/>
      <c r="AC5" s="1051"/>
      <c r="AD5" s="1051"/>
      <c r="AE5" s="1052"/>
      <c r="AF5" s="252"/>
      <c r="AG5" s="1266" t="str">
        <f>HLOOKUP(LANGUAGE!$B$2,LANGUAGE!$C$14:$G$1500,21)</f>
        <v>Date</v>
      </c>
      <c r="AH5" s="1267"/>
      <c r="AI5" s="1267"/>
      <c r="AJ5" s="1267"/>
      <c r="AK5" s="1268"/>
      <c r="BD5"/>
      <c r="BE5"/>
    </row>
    <row r="6" spans="1:57" ht="17.7" customHeight="1" x14ac:dyDescent="0.25">
      <c r="B6" s="1585" t="str">
        <f>HLOOKUP(LANGUAGE!$B$2,LANGUAGE!$C$14:$G$1500,13)</f>
        <v>Project</v>
      </c>
      <c r="C6" s="1586"/>
      <c r="D6" s="1586"/>
      <c r="E6" s="1586"/>
      <c r="F6" s="1586"/>
      <c r="G6" s="1587" t="str">
        <f>IF(Basic_Data!F6&lt;&gt;"",CONCATENATE(Basic_Data!F6," / ",Basic_Data!F7,""),"")</f>
        <v/>
      </c>
      <c r="H6" s="1587"/>
      <c r="I6" s="1587"/>
      <c r="J6" s="1587"/>
      <c r="K6" s="1587"/>
      <c r="L6" s="1587"/>
      <c r="M6" s="1587"/>
      <c r="N6" s="1587"/>
      <c r="O6" s="1588"/>
      <c r="P6" s="252"/>
      <c r="Q6" s="1585" t="str">
        <f>HLOOKUP(LANGUAGE!$B$2,LANGUAGE!$C$14:$G$1500,28)</f>
        <v>Supplier</v>
      </c>
      <c r="R6" s="1586"/>
      <c r="S6" s="1586"/>
      <c r="T6" s="1586"/>
      <c r="U6" s="1586"/>
      <c r="V6" s="1587" t="str">
        <f>IF(Basic_Data!R6&lt;&gt;"",CONCATENATE(Basic_Data!R6," (",Basic_Data!R7,")"),"")</f>
        <v/>
      </c>
      <c r="W6" s="1587"/>
      <c r="X6" s="1587"/>
      <c r="Y6" s="1587"/>
      <c r="Z6" s="1587"/>
      <c r="AA6" s="1587"/>
      <c r="AB6" s="1587"/>
      <c r="AC6" s="1587"/>
      <c r="AD6" s="1587"/>
      <c r="AE6" s="1588"/>
      <c r="AF6" s="252"/>
      <c r="AG6" s="1273"/>
      <c r="AH6" s="1274"/>
      <c r="AI6" s="1274"/>
      <c r="AJ6" s="1274"/>
      <c r="AK6" s="1275"/>
      <c r="BD6"/>
      <c r="BE6"/>
    </row>
    <row r="7" spans="1:57" ht="17.7" customHeight="1" thickBot="1" x14ac:dyDescent="0.3">
      <c r="B7" s="1563" t="str">
        <f>HLOOKUP(LANGUAGE!$B$2,LANGUAGE!$C$14:$G$1500,14)</f>
        <v>Part Name(s)</v>
      </c>
      <c r="C7" s="1564"/>
      <c r="D7" s="1564"/>
      <c r="E7" s="1564"/>
      <c r="F7" s="1564"/>
      <c r="G7" s="1589" t="str">
        <f>IF(Basic_Data!F8&lt;&gt;"",Basic_Data!F8,"")</f>
        <v/>
      </c>
      <c r="H7" s="1589"/>
      <c r="I7" s="1589"/>
      <c r="J7" s="1589"/>
      <c r="K7" s="1589"/>
      <c r="L7" s="1589"/>
      <c r="M7" s="1589"/>
      <c r="N7" s="1589"/>
      <c r="O7" s="1590"/>
      <c r="P7" s="252"/>
      <c r="Q7" s="1563" t="str">
        <f>HLOOKUP(LANGUAGE!$B$2,LANGUAGE!$C$14:$G$1500,29)</f>
        <v>Address</v>
      </c>
      <c r="R7" s="1564"/>
      <c r="S7" s="1564"/>
      <c r="T7" s="1564"/>
      <c r="U7" s="1564"/>
      <c r="V7" s="1589" t="str">
        <f>IF(Basic_Data!R8&lt;&gt;"",CONCATENATE(Basic_Data!R8,", ",Basic_Data!R9,", ",Basic_Data!R10,""),"")</f>
        <v/>
      </c>
      <c r="W7" s="1589"/>
      <c r="X7" s="1589"/>
      <c r="Y7" s="1589"/>
      <c r="Z7" s="1589"/>
      <c r="AA7" s="1589"/>
      <c r="AB7" s="1589"/>
      <c r="AC7" s="1589"/>
      <c r="AD7" s="1589"/>
      <c r="AE7" s="1590"/>
      <c r="AF7" s="252"/>
      <c r="AG7" s="1276"/>
      <c r="AH7" s="1277"/>
      <c r="AI7" s="1277"/>
      <c r="AJ7" s="1277"/>
      <c r="AK7" s="1278"/>
      <c r="BA7" s="3"/>
      <c r="BD7"/>
      <c r="BE7"/>
    </row>
    <row r="8" spans="1:57" ht="17.7" customHeight="1" thickBot="1" x14ac:dyDescent="0.3">
      <c r="B8" s="657"/>
      <c r="C8" s="657"/>
      <c r="D8" s="657"/>
      <c r="E8" s="252"/>
      <c r="F8" s="252"/>
      <c r="G8" s="252"/>
      <c r="H8" s="252"/>
      <c r="I8" s="252"/>
      <c r="J8" s="252"/>
      <c r="K8" s="252"/>
      <c r="L8" s="252"/>
      <c r="M8" s="252"/>
      <c r="N8" s="252"/>
      <c r="O8" s="252"/>
      <c r="P8" s="252"/>
      <c r="Q8" s="252"/>
      <c r="R8" s="252"/>
      <c r="S8" s="657"/>
      <c r="T8" s="657"/>
      <c r="U8" s="657"/>
      <c r="V8" s="657"/>
      <c r="W8" s="252"/>
      <c r="X8" s="252"/>
      <c r="Y8" s="252"/>
      <c r="Z8" s="252"/>
      <c r="AA8" s="252"/>
      <c r="AB8" s="252"/>
      <c r="AC8" s="252"/>
      <c r="AD8" s="252"/>
      <c r="AE8" s="252"/>
      <c r="AF8" s="252"/>
      <c r="AG8" s="252"/>
      <c r="AH8" s="154"/>
      <c r="AI8" s="154"/>
      <c r="AJ8" s="252"/>
      <c r="AK8" s="252"/>
      <c r="BD8"/>
      <c r="BE8"/>
    </row>
    <row r="9" spans="1:57" ht="17.7" customHeight="1" x14ac:dyDescent="0.25">
      <c r="B9" s="1050" t="str">
        <f>HLOOKUP(LANGUAGE!$B$2,LANGUAGE!$C$14:$G$1500,40)</f>
        <v>Material Data</v>
      </c>
      <c r="C9" s="1051"/>
      <c r="D9" s="1051"/>
      <c r="E9" s="1051"/>
      <c r="F9" s="1051"/>
      <c r="G9" s="1051"/>
      <c r="H9" s="1051"/>
      <c r="I9" s="1051"/>
      <c r="J9" s="1051"/>
      <c r="K9" s="1051"/>
      <c r="L9" s="1051"/>
      <c r="M9" s="1051"/>
      <c r="N9" s="1051"/>
      <c r="O9" s="1052"/>
      <c r="P9" s="252"/>
      <c r="Q9" s="1050" t="str">
        <f>HLOOKUP(LANGUAGE!$B$2,LANGUAGE!$C$14:$G$1500,54)</f>
        <v>Deadlines</v>
      </c>
      <c r="R9" s="1051"/>
      <c r="S9" s="1051"/>
      <c r="T9" s="1051"/>
      <c r="U9" s="1051"/>
      <c r="V9" s="1051"/>
      <c r="W9" s="1051"/>
      <c r="X9" s="1051"/>
      <c r="Y9" s="1051"/>
      <c r="Z9" s="1051"/>
      <c r="AA9" s="1051"/>
      <c r="AB9" s="1051"/>
      <c r="AC9" s="1051"/>
      <c r="AD9" s="1051"/>
      <c r="AE9" s="1052"/>
      <c r="AF9" s="252"/>
      <c r="AG9" s="1427" t="str">
        <f>HLOOKUP(LANGUAGE!$B$2,LANGUAGE!$C$14:$G$1500,398)</f>
        <v>Overall status
Supplier Quality Gate 1</v>
      </c>
      <c r="AH9" s="1428"/>
      <c r="AI9" s="1428"/>
      <c r="AJ9" s="1428"/>
      <c r="AK9" s="1429"/>
      <c r="BD9"/>
      <c r="BE9"/>
    </row>
    <row r="10" spans="1:57" ht="17.7" customHeight="1" x14ac:dyDescent="0.25">
      <c r="B10" s="1287" t="str">
        <f>HLOOKUP(LANGUAGE!$B$2,LANGUAGE!$C$14:$G$1500,41)</f>
        <v>Brose Part No.</v>
      </c>
      <c r="C10" s="1288"/>
      <c r="D10" s="1288"/>
      <c r="E10" s="1288"/>
      <c r="F10" s="1288" t="str">
        <f>HLOOKUP(LANGUAGE!$B$2,LANGUAGE!$C$14:$G$1500,42)</f>
        <v>Index</v>
      </c>
      <c r="G10" s="1288"/>
      <c r="H10" s="1288"/>
      <c r="I10" s="1289" t="str">
        <f>HLOOKUP(LANGUAGE!$B$2,LANGUAGE!$C$14:$G$1500,43)</f>
        <v>Brose Drawing No.</v>
      </c>
      <c r="J10" s="1289"/>
      <c r="K10" s="1289"/>
      <c r="L10" s="1289"/>
      <c r="M10" s="1288" t="str">
        <f>HLOOKUP(LANGUAGE!$B$2,LANGUAGE!$C$14:$G$1500,42)</f>
        <v>Index</v>
      </c>
      <c r="N10" s="1288"/>
      <c r="O10" s="1290"/>
      <c r="P10" s="252"/>
      <c r="Q10" s="1291" t="str">
        <f>HLOOKUP(LANGUAGE!$B$2,LANGUAGE!$C$14:$G$1500,55)</f>
        <v>Milestones</v>
      </c>
      <c r="R10" s="1292"/>
      <c r="S10" s="1292"/>
      <c r="T10" s="1292"/>
      <c r="U10" s="1292"/>
      <c r="V10" s="1292" t="str">
        <f>HLOOKUP(LANGUAGE!$B$2,LANGUAGE!$C$14:$G$1500,56)</f>
        <v>Target date (acc. Order)</v>
      </c>
      <c r="W10" s="1292"/>
      <c r="X10" s="1292"/>
      <c r="Y10" s="1292"/>
      <c r="Z10" s="1292"/>
      <c r="AA10" s="1292" t="str">
        <f>HLOOKUP(LANGUAGE!$B$2,LANGUAGE!$C$14:$G$1500,57)</f>
        <v>Actual date (acc. Timing plan)</v>
      </c>
      <c r="AB10" s="1292"/>
      <c r="AC10" s="1292"/>
      <c r="AD10" s="1292"/>
      <c r="AE10" s="1293"/>
      <c r="AF10" s="252"/>
      <c r="AG10" s="1430"/>
      <c r="AH10" s="1203"/>
      <c r="AI10" s="1203"/>
      <c r="AJ10" s="1203"/>
      <c r="AK10" s="1204"/>
      <c r="BD10"/>
      <c r="BE10"/>
    </row>
    <row r="11" spans="1:57" ht="17.7" customHeight="1" x14ac:dyDescent="0.25">
      <c r="B11" s="1310"/>
      <c r="C11" s="1311"/>
      <c r="D11" s="1311"/>
      <c r="E11" s="1311"/>
      <c r="F11" s="1312"/>
      <c r="G11" s="1311"/>
      <c r="H11" s="1311"/>
      <c r="I11" s="1312"/>
      <c r="J11" s="1311"/>
      <c r="K11" s="1311"/>
      <c r="L11" s="1311"/>
      <c r="M11" s="1312"/>
      <c r="N11" s="1311"/>
      <c r="O11" s="1313"/>
      <c r="P11" s="252"/>
      <c r="Q11" s="1591" t="str">
        <f>HLOOKUP(LANGUAGE!$B$2,LANGUAGE!$C$14:$G$1500,58)</f>
        <v>Nominated at</v>
      </c>
      <c r="R11" s="1592"/>
      <c r="S11" s="1592"/>
      <c r="T11" s="1592"/>
      <c r="U11" s="1592"/>
      <c r="V11" s="1314"/>
      <c r="W11" s="1314"/>
      <c r="X11" s="1314"/>
      <c r="Y11" s="1314"/>
      <c r="Z11" s="1314"/>
      <c r="AA11" s="1300"/>
      <c r="AB11" s="1300"/>
      <c r="AC11" s="1300"/>
      <c r="AD11" s="1300"/>
      <c r="AE11" s="1301"/>
      <c r="AF11" s="252"/>
      <c r="AG11" s="1302" t="str">
        <f>IF(AND(BB21&gt;0,BB21&lt;5),LANGUAGE!F4,IF(BB21=5,LANGUAGE!F5,IF(BB21=6,LANGUAGE!F6,IF(BB21=10,HLOOKUP(LANGUAGE!$B$2,LANGUAGE!$C$14:$G$1500,67),""))))</f>
        <v/>
      </c>
      <c r="AH11" s="1303"/>
      <c r="AI11" s="1303"/>
      <c r="AJ11" s="1303"/>
      <c r="AK11" s="1304"/>
      <c r="BD11"/>
      <c r="BE11"/>
    </row>
    <row r="12" spans="1:57" ht="17.7" customHeight="1" x14ac:dyDescent="0.25">
      <c r="B12" s="1308"/>
      <c r="C12" s="1294"/>
      <c r="D12" s="1294"/>
      <c r="E12" s="1294"/>
      <c r="F12" s="1309"/>
      <c r="G12" s="1294"/>
      <c r="H12" s="1294"/>
      <c r="I12" s="1309"/>
      <c r="J12" s="1294"/>
      <c r="K12" s="1294"/>
      <c r="L12" s="1294"/>
      <c r="M12" s="1309"/>
      <c r="N12" s="1294"/>
      <c r="O12" s="1295"/>
      <c r="P12" s="252"/>
      <c r="Q12" s="1302" t="str">
        <f>HLOOKUP(LANGUAGE!$B$2,LANGUAGE!$C$14:$G$1500,59)</f>
        <v>Completion Tool design</v>
      </c>
      <c r="R12" s="1303"/>
      <c r="S12" s="1303"/>
      <c r="T12" s="1303"/>
      <c r="U12" s="1303"/>
      <c r="V12" s="1298"/>
      <c r="W12" s="1298"/>
      <c r="X12" s="1298"/>
      <c r="Y12" s="1298"/>
      <c r="Z12" s="1298"/>
      <c r="AA12" s="1298"/>
      <c r="AB12" s="1298"/>
      <c r="AC12" s="1298"/>
      <c r="AD12" s="1298"/>
      <c r="AE12" s="1299"/>
      <c r="AF12" s="252"/>
      <c r="AG12" s="1302"/>
      <c r="AH12" s="1303"/>
      <c r="AI12" s="1303"/>
      <c r="AJ12" s="1303"/>
      <c r="AK12" s="1304"/>
      <c r="AM12" s="225"/>
      <c r="BD12"/>
      <c r="BE12"/>
    </row>
    <row r="13" spans="1:57" ht="17.25" customHeight="1" x14ac:dyDescent="0.25">
      <c r="B13" s="1308"/>
      <c r="C13" s="1294"/>
      <c r="D13" s="1294"/>
      <c r="E13" s="1294"/>
      <c r="F13" s="1294"/>
      <c r="G13" s="1294"/>
      <c r="H13" s="1294"/>
      <c r="I13" s="1294"/>
      <c r="J13" s="1294"/>
      <c r="K13" s="1294"/>
      <c r="L13" s="1294"/>
      <c r="M13" s="1294"/>
      <c r="N13" s="1294"/>
      <c r="O13" s="1295"/>
      <c r="P13" s="252"/>
      <c r="Q13" s="1302" t="str">
        <f>HLOOKUP(LANGUAGE!$B$2,LANGUAGE!$C$14:$G$1500,60)</f>
        <v>First of tool parts</v>
      </c>
      <c r="R13" s="1303"/>
      <c r="S13" s="1303"/>
      <c r="T13" s="1303"/>
      <c r="U13" s="1303"/>
      <c r="V13" s="1298"/>
      <c r="W13" s="1298"/>
      <c r="X13" s="1298"/>
      <c r="Y13" s="1298"/>
      <c r="Z13" s="1298"/>
      <c r="AA13" s="1298"/>
      <c r="AB13" s="1298"/>
      <c r="AC13" s="1298"/>
      <c r="AD13" s="1298"/>
      <c r="AE13" s="1299"/>
      <c r="AF13" s="252"/>
      <c r="AG13" s="1302"/>
      <c r="AH13" s="1303"/>
      <c r="AI13" s="1303"/>
      <c r="AJ13" s="1303"/>
      <c r="AK13" s="1304"/>
      <c r="BD13"/>
      <c r="BE13"/>
    </row>
    <row r="14" spans="1:57" ht="17.7" customHeight="1" x14ac:dyDescent="0.25">
      <c r="B14" s="1308"/>
      <c r="C14" s="1294"/>
      <c r="D14" s="1294"/>
      <c r="E14" s="1294"/>
      <c r="F14" s="1294"/>
      <c r="G14" s="1294"/>
      <c r="H14" s="1294"/>
      <c r="I14" s="1294"/>
      <c r="J14" s="1294"/>
      <c r="K14" s="1294"/>
      <c r="L14" s="1294"/>
      <c r="M14" s="1294"/>
      <c r="N14" s="1294"/>
      <c r="O14" s="1295"/>
      <c r="P14" s="252"/>
      <c r="Q14" s="1302" t="str">
        <f>HLOOKUP(LANGUAGE!$B$2,LANGUAGE!$C$14:$G$1500,61)</f>
        <v>Special characteristics OK</v>
      </c>
      <c r="R14" s="1303"/>
      <c r="S14" s="1303"/>
      <c r="T14" s="1303"/>
      <c r="U14" s="1303"/>
      <c r="V14" s="1298"/>
      <c r="W14" s="1298"/>
      <c r="X14" s="1298"/>
      <c r="Y14" s="1298"/>
      <c r="Z14" s="1298"/>
      <c r="AA14" s="1298"/>
      <c r="AB14" s="1298"/>
      <c r="AC14" s="1298"/>
      <c r="AD14" s="1298"/>
      <c r="AE14" s="1299"/>
      <c r="AF14" s="252"/>
      <c r="AG14" s="1302"/>
      <c r="AH14" s="1303"/>
      <c r="AI14" s="1303"/>
      <c r="AJ14" s="1303"/>
      <c r="AK14" s="1304"/>
      <c r="BD14"/>
      <c r="BE14"/>
    </row>
    <row r="15" spans="1:57" ht="17.7" customHeight="1" thickBot="1" x14ac:dyDescent="0.3">
      <c r="B15" s="1315"/>
      <c r="C15" s="1316"/>
      <c r="D15" s="1316"/>
      <c r="E15" s="1316"/>
      <c r="F15" s="1316"/>
      <c r="G15" s="1316"/>
      <c r="H15" s="1316"/>
      <c r="I15" s="1316"/>
      <c r="J15" s="1316"/>
      <c r="K15" s="1316"/>
      <c r="L15" s="1316"/>
      <c r="M15" s="1316"/>
      <c r="N15" s="1316"/>
      <c r="O15" s="1317"/>
      <c r="P15" s="252"/>
      <c r="Q15" s="1305" t="str">
        <f>HLOOKUP(LANGUAGE!$B$2,LANGUAGE!$C$14:$G$1500,62)</f>
        <v>Initial sampling date</v>
      </c>
      <c r="R15" s="1306"/>
      <c r="S15" s="1306"/>
      <c r="T15" s="1306"/>
      <c r="U15" s="1306"/>
      <c r="V15" s="1320"/>
      <c r="W15" s="1320"/>
      <c r="X15" s="1320"/>
      <c r="Y15" s="1320"/>
      <c r="Z15" s="1320"/>
      <c r="AA15" s="1320"/>
      <c r="AB15" s="1320"/>
      <c r="AC15" s="1320"/>
      <c r="AD15" s="1320"/>
      <c r="AE15" s="1321"/>
      <c r="AF15" s="252"/>
      <c r="AG15" s="1305"/>
      <c r="AH15" s="1306"/>
      <c r="AI15" s="1306"/>
      <c r="AJ15" s="1306"/>
      <c r="AK15" s="1307"/>
      <c r="BD15"/>
      <c r="BE15"/>
    </row>
    <row r="16" spans="1:57" s="3" customFormat="1" ht="17.7" customHeight="1" x14ac:dyDescent="0.25">
      <c r="M16" s="155"/>
    </row>
    <row r="17" spans="2:62" s="3" customFormat="1" ht="17.7" customHeight="1" thickBot="1" x14ac:dyDescent="0.3">
      <c r="M17" s="155"/>
    </row>
    <row r="18" spans="2:62" s="3" customFormat="1" ht="17.7" customHeight="1" x14ac:dyDescent="0.25">
      <c r="B18" s="1322" t="str">
        <f>HLOOKUP(LANGUAGE!$B$2,LANGUAGE!$C$14:$G$1500,76)</f>
        <v>Commercial</v>
      </c>
      <c r="C18" s="1323"/>
      <c r="D18" s="1323"/>
      <c r="E18" s="1323"/>
      <c r="F18" s="1323"/>
      <c r="G18" s="1323"/>
      <c r="H18" s="1323"/>
      <c r="I18" s="1323"/>
      <c r="J18" s="1323"/>
      <c r="K18" s="1323"/>
      <c r="L18" s="1323"/>
      <c r="M18" s="1323"/>
      <c r="N18" s="1323"/>
      <c r="O18" s="1323"/>
      <c r="P18" s="1323"/>
      <c r="Q18" s="1323"/>
      <c r="R18" s="1323"/>
      <c r="S18" s="1323"/>
      <c r="T18" s="1323"/>
      <c r="U18" s="1323"/>
      <c r="V18" s="1323"/>
      <c r="W18" s="1323"/>
      <c r="X18" s="1323"/>
      <c r="Y18" s="1323"/>
      <c r="Z18" s="1323"/>
      <c r="AA18" s="1323"/>
      <c r="AB18" s="1323"/>
      <c r="AC18" s="1323"/>
      <c r="AD18" s="1323"/>
      <c r="AE18" s="1323"/>
      <c r="AF18" s="1323"/>
      <c r="AG18" s="1323"/>
      <c r="AH18" s="1323"/>
      <c r="AI18" s="1323"/>
      <c r="AJ18" s="1323"/>
      <c r="AK18" s="1324"/>
      <c r="BD18" s="3" t="str">
        <f>LANGUAGE!G4</f>
        <v>in progress</v>
      </c>
      <c r="BE18" s="3" t="str">
        <f>LANGUAGE!G5</f>
        <v>completed</v>
      </c>
      <c r="BI18" s="142"/>
      <c r="BJ18" s="142"/>
    </row>
    <row r="19" spans="2:62" s="3" customFormat="1" ht="17.7" customHeight="1" x14ac:dyDescent="0.25">
      <c r="B19" s="1325"/>
      <c r="C19" s="1326"/>
      <c r="D19" s="1326"/>
      <c r="E19" s="1326"/>
      <c r="F19" s="1326"/>
      <c r="G19" s="1326"/>
      <c r="H19" s="1326"/>
      <c r="I19" s="1326"/>
      <c r="J19" s="1326"/>
      <c r="K19" s="1326"/>
      <c r="L19" s="1326"/>
      <c r="M19" s="1326"/>
      <c r="N19" s="1326"/>
      <c r="O19" s="1326"/>
      <c r="P19" s="1326"/>
      <c r="Q19" s="1326"/>
      <c r="R19" s="1326"/>
      <c r="S19" s="1326"/>
      <c r="T19" s="1326"/>
      <c r="U19" s="1326"/>
      <c r="V19" s="1326"/>
      <c r="W19" s="1326"/>
      <c r="X19" s="1326"/>
      <c r="Y19" s="1326"/>
      <c r="Z19" s="1326"/>
      <c r="AA19" s="1326"/>
      <c r="AB19" s="1326"/>
      <c r="AC19" s="1326"/>
      <c r="AD19" s="1326"/>
      <c r="AE19" s="1326"/>
      <c r="AF19" s="1326"/>
      <c r="AG19" s="1326"/>
      <c r="AH19" s="1326"/>
      <c r="AI19" s="1326"/>
      <c r="AJ19" s="1326"/>
      <c r="AK19" s="1327"/>
      <c r="BI19" s="142"/>
      <c r="BJ19" s="142"/>
    </row>
    <row r="20" spans="2:62" s="3" customFormat="1" ht="17.7" customHeight="1" x14ac:dyDescent="0.25">
      <c r="B20" s="1328" t="str">
        <f>HLOOKUP(LANGUAGE!$B$2,LANGUAGE!$C$14:$G$1500,91)</f>
        <v>No.</v>
      </c>
      <c r="C20" s="1329" t="str">
        <f>HLOOKUP(LANGUAGE!$B$2,LANGUAGE!$C$14:$G$1500,73)</f>
        <v>Topic</v>
      </c>
      <c r="D20" s="1329"/>
      <c r="E20" s="1329" t="str">
        <f>HLOOKUP(LANGUAGE!$B$2,LANGUAGE!$C$14:$G$1500,92)</f>
        <v>Question</v>
      </c>
      <c r="F20" s="1329"/>
      <c r="G20" s="1329"/>
      <c r="H20" s="1329"/>
      <c r="I20" s="1329"/>
      <c r="J20" s="1329"/>
      <c r="K20" s="1329"/>
      <c r="L20" s="1329"/>
      <c r="M20" s="1329" t="str">
        <f>HLOOKUP(LANGUAGE!$B$2,LANGUAGE!$C$14:$G$1500,93)</f>
        <v>Notes</v>
      </c>
      <c r="N20" s="1329"/>
      <c r="O20" s="1329"/>
      <c r="P20" s="1329"/>
      <c r="Q20" s="1329"/>
      <c r="R20" s="1329"/>
      <c r="S20" s="1329"/>
      <c r="T20" s="1329"/>
      <c r="U20" s="1330" t="str">
        <f>HLOOKUP(LANGUAGE!$B$2,LANGUAGE!$C$14:$G$1500,114)</f>
        <v>Remarks</v>
      </c>
      <c r="V20" s="1330"/>
      <c r="W20" s="1330"/>
      <c r="X20" s="1330"/>
      <c r="Y20" s="1330"/>
      <c r="Z20" s="1329" t="str">
        <f>HLOOKUP(LANGUAGE!$B$2,LANGUAGE!$C$14:$G$1500,74)</f>
        <v>Evaluation</v>
      </c>
      <c r="AA20" s="1329"/>
      <c r="AB20" s="1329" t="str">
        <f>HLOOKUP(LANGUAGE!$B$2,LANGUAGE!$C$14:$G$1500,95)</f>
        <v>Action</v>
      </c>
      <c r="AC20" s="1329"/>
      <c r="AD20" s="1329"/>
      <c r="AE20" s="1330" t="str">
        <f>HLOOKUP(LANGUAGE!$B$2,LANGUAGE!$C$14:$G$1500,96)</f>
        <v>Responsible</v>
      </c>
      <c r="AF20" s="1330"/>
      <c r="AG20" s="1330"/>
      <c r="AH20" s="1329" t="str">
        <f>HLOOKUP(LANGUAGE!$B$2,LANGUAGE!$C$14:$G$1500,21)</f>
        <v>Date</v>
      </c>
      <c r="AI20" s="1329"/>
      <c r="AJ20" s="1329" t="str">
        <f>HLOOKUP(LANGUAGE!$B$2,LANGUAGE!$C$14:$G$1500,75)</f>
        <v>Action status</v>
      </c>
      <c r="AK20" s="1331"/>
      <c r="BI20" s="142"/>
      <c r="BJ20" s="142"/>
    </row>
    <row r="21" spans="2:62" s="3" customFormat="1" ht="17.7" customHeight="1" x14ac:dyDescent="0.25">
      <c r="B21" s="1328"/>
      <c r="C21" s="1329"/>
      <c r="D21" s="1329"/>
      <c r="E21" s="1329"/>
      <c r="F21" s="1329"/>
      <c r="G21" s="1329"/>
      <c r="H21" s="1329"/>
      <c r="I21" s="1329"/>
      <c r="J21" s="1329"/>
      <c r="K21" s="1329"/>
      <c r="L21" s="1329"/>
      <c r="M21" s="1329"/>
      <c r="N21" s="1329"/>
      <c r="O21" s="1329"/>
      <c r="P21" s="1329"/>
      <c r="Q21" s="1329"/>
      <c r="R21" s="1329"/>
      <c r="S21" s="1329"/>
      <c r="T21" s="1329"/>
      <c r="U21" s="1330"/>
      <c r="V21" s="1330"/>
      <c r="W21" s="1330"/>
      <c r="X21" s="1330"/>
      <c r="Y21" s="1330"/>
      <c r="Z21" s="1329"/>
      <c r="AA21" s="1329"/>
      <c r="AB21" s="1329"/>
      <c r="AC21" s="1329"/>
      <c r="AD21" s="1329"/>
      <c r="AE21" s="1330"/>
      <c r="AF21" s="1330"/>
      <c r="AG21" s="1330"/>
      <c r="AH21" s="1329"/>
      <c r="AI21" s="1329"/>
      <c r="AJ21" s="1329"/>
      <c r="AK21" s="1331"/>
      <c r="BB21" s="3">
        <f>MAX(BB22:BB54)</f>
        <v>0</v>
      </c>
    </row>
    <row r="22" spans="2:62" s="3" customFormat="1" ht="45.7" customHeight="1" thickBot="1" x14ac:dyDescent="0.3">
      <c r="B22" s="253" t="s">
        <v>1818</v>
      </c>
      <c r="C22" s="1392" t="str">
        <f>HLOOKUP(LANGUAGE!$B$2,LANGUAGE!$C$14:$G$1500,420)</f>
        <v>Commercial</v>
      </c>
      <c r="D22" s="1392"/>
      <c r="E22" s="1334" t="str">
        <f>HLOOKUP(LANGUAGE!$B$2,LANGUAGE!$C$14:$G$1500,421)</f>
        <v>Are valid contracts available? (Orders, development contract)</v>
      </c>
      <c r="F22" s="1334"/>
      <c r="G22" s="1334"/>
      <c r="H22" s="1334"/>
      <c r="I22" s="1334"/>
      <c r="J22" s="1334"/>
      <c r="K22" s="1334"/>
      <c r="L22" s="1334"/>
      <c r="M22" s="1334" t="str">
        <f>HLOOKUP(LANGUAGE!$B$2,LANGUAGE!$C$14:$G$1500,422)</f>
        <v>Signed order necessary.</v>
      </c>
      <c r="N22" s="1334"/>
      <c r="O22" s="1334"/>
      <c r="P22" s="1334"/>
      <c r="Q22" s="1334"/>
      <c r="R22" s="1334"/>
      <c r="S22" s="1334"/>
      <c r="T22" s="1334"/>
      <c r="U22" s="1335"/>
      <c r="V22" s="1335"/>
      <c r="W22" s="1335"/>
      <c r="X22" s="1335"/>
      <c r="Y22" s="1335"/>
      <c r="Z22" s="1336"/>
      <c r="AA22" s="1336"/>
      <c r="AB22" s="1336"/>
      <c r="AC22" s="1336"/>
      <c r="AD22" s="1336"/>
      <c r="AE22" s="1336"/>
      <c r="AF22" s="1336"/>
      <c r="AG22" s="1336"/>
      <c r="AH22" s="1337"/>
      <c r="AI22" s="1336"/>
      <c r="AJ22" s="1337"/>
      <c r="AK22" s="1338"/>
      <c r="AZ22" s="3">
        <f>IF(ISNUMBER(MATCH(Z22,LANGUAGE!$C$138:$G$138,0)),1,IF(ISNUMBER(MATCH(Z22,LANGUAGE!$C$139:$G$139,0)),2,IF(ISNUMBER(MATCH(Z22,LANGUAGE!$C$140:$G$140,0)),3,0)))</f>
        <v>0</v>
      </c>
      <c r="BA22" s="3">
        <f>IF(ISNUMBER(MATCH(AJ22,LANGUAGE!$C$141:$G$141,0)),3,IF(ISNUMBER(MATCH(AJ22,LANGUAGE!$C$142:$G$142,0)),1,0))</f>
        <v>0</v>
      </c>
      <c r="BB22" s="3">
        <f>IF(AND(AZ22&gt;1,BA22=0),10,AZ22+BA22)</f>
        <v>0</v>
      </c>
      <c r="BD22" s="3" t="str">
        <f>IF(ISNUMBER(MATCH($AJ22,LANGUAGE!$C$141:$G$141,0)),$B22,"")</f>
        <v/>
      </c>
      <c r="BE22" s="3" t="str">
        <f>IF(ISNUMBER(MATCH($AJ22,LANGUAGE!$C$142:$G$142,0)),$B22,"")</f>
        <v/>
      </c>
    </row>
    <row r="23" spans="2:62" s="3" customFormat="1" ht="17.7" customHeight="1" thickBot="1" x14ac:dyDescent="0.3">
      <c r="M23" s="155"/>
      <c r="BD23" s="3" t="str">
        <f>IF(ISNUMBER(MATCH($AJ23,LANGUAGE!$C$141:$G$141,0)),$B23,"")</f>
        <v/>
      </c>
      <c r="BE23" s="3" t="str">
        <f>IF(ISNUMBER(MATCH($AJ23,LANGUAGE!$C$142:$G$142,0)),$B23,"")</f>
        <v/>
      </c>
    </row>
    <row r="24" spans="2:62" s="3" customFormat="1" ht="17.7" customHeight="1" x14ac:dyDescent="0.25">
      <c r="B24" s="1322" t="str">
        <f>HLOOKUP(LANGUAGE!$B$2,LANGUAGE!$C$14:$G$1500,77)</f>
        <v>Project management</v>
      </c>
      <c r="C24" s="1323"/>
      <c r="D24" s="1323"/>
      <c r="E24" s="1323"/>
      <c r="F24" s="1323"/>
      <c r="G24" s="1323"/>
      <c r="H24" s="1323"/>
      <c r="I24" s="1323"/>
      <c r="J24" s="1323"/>
      <c r="K24" s="1323"/>
      <c r="L24" s="1323"/>
      <c r="M24" s="1323"/>
      <c r="N24" s="1323"/>
      <c r="O24" s="1323"/>
      <c r="P24" s="1323"/>
      <c r="Q24" s="1323"/>
      <c r="R24" s="1323"/>
      <c r="S24" s="1323"/>
      <c r="T24" s="1323"/>
      <c r="U24" s="1323"/>
      <c r="V24" s="1323"/>
      <c r="W24" s="1323"/>
      <c r="X24" s="1323"/>
      <c r="Y24" s="1323"/>
      <c r="Z24" s="1323"/>
      <c r="AA24" s="1323"/>
      <c r="AB24" s="1323"/>
      <c r="AC24" s="1323"/>
      <c r="AD24" s="1323"/>
      <c r="AE24" s="1323"/>
      <c r="AF24" s="1323"/>
      <c r="AG24" s="1323"/>
      <c r="AH24" s="1323"/>
      <c r="AI24" s="1323"/>
      <c r="AJ24" s="1323"/>
      <c r="AK24" s="1324"/>
      <c r="BD24" s="3" t="str">
        <f>IF(ISNUMBER(MATCH($AJ24,LANGUAGE!$C$141:$G$141,0)),$B24,"")</f>
        <v/>
      </c>
      <c r="BE24" s="3" t="str">
        <f>IF(ISNUMBER(MATCH($AJ24,LANGUAGE!$C$142:$G$142,0)),$B24,"")</f>
        <v/>
      </c>
    </row>
    <row r="25" spans="2:62" s="3" customFormat="1" ht="17.7" customHeight="1" x14ac:dyDescent="0.25">
      <c r="B25" s="1325"/>
      <c r="C25" s="1326"/>
      <c r="D25" s="1326"/>
      <c r="E25" s="1326"/>
      <c r="F25" s="1326"/>
      <c r="G25" s="1326"/>
      <c r="H25" s="1326"/>
      <c r="I25" s="1326"/>
      <c r="J25" s="1326"/>
      <c r="K25" s="1326"/>
      <c r="L25" s="1326"/>
      <c r="M25" s="1326"/>
      <c r="N25" s="1326"/>
      <c r="O25" s="1326"/>
      <c r="P25" s="1326"/>
      <c r="Q25" s="1326"/>
      <c r="R25" s="1326"/>
      <c r="S25" s="1326"/>
      <c r="T25" s="1326"/>
      <c r="U25" s="1326"/>
      <c r="V25" s="1326"/>
      <c r="W25" s="1326"/>
      <c r="X25" s="1326"/>
      <c r="Y25" s="1326"/>
      <c r="Z25" s="1326"/>
      <c r="AA25" s="1326"/>
      <c r="AB25" s="1326"/>
      <c r="AC25" s="1326"/>
      <c r="AD25" s="1326"/>
      <c r="AE25" s="1326"/>
      <c r="AF25" s="1326"/>
      <c r="AG25" s="1326"/>
      <c r="AH25" s="1326"/>
      <c r="AI25" s="1326"/>
      <c r="AJ25" s="1326"/>
      <c r="AK25" s="1327"/>
      <c r="BD25" s="3" t="str">
        <f>IF(ISNUMBER(MATCH($AJ25,LANGUAGE!$C$141:$G$141,0)),$B25,"")</f>
        <v/>
      </c>
      <c r="BE25" s="3" t="str">
        <f>IF(ISNUMBER(MATCH($AJ25,LANGUAGE!$C$142:$G$142,0)),$B25,"")</f>
        <v/>
      </c>
    </row>
    <row r="26" spans="2:62" s="3" customFormat="1" ht="17.7" customHeight="1" x14ac:dyDescent="0.25">
      <c r="B26" s="1328" t="str">
        <f>HLOOKUP(LANGUAGE!$B$2,LANGUAGE!$C$14:$G$1500,91)</f>
        <v>No.</v>
      </c>
      <c r="C26" s="1329" t="str">
        <f>HLOOKUP(LANGUAGE!$B$2,LANGUAGE!$C$14:$G$1500,73)</f>
        <v>Topic</v>
      </c>
      <c r="D26" s="1329"/>
      <c r="E26" s="1329" t="str">
        <f>HLOOKUP(LANGUAGE!$B$2,LANGUAGE!$C$14:$G$1500,92)</f>
        <v>Question</v>
      </c>
      <c r="F26" s="1329"/>
      <c r="G26" s="1329"/>
      <c r="H26" s="1329"/>
      <c r="I26" s="1329"/>
      <c r="J26" s="1329"/>
      <c r="K26" s="1329"/>
      <c r="L26" s="1329"/>
      <c r="M26" s="1329" t="str">
        <f>HLOOKUP(LANGUAGE!$B$2,LANGUAGE!$C$14:$G$1500,93)</f>
        <v>Notes</v>
      </c>
      <c r="N26" s="1329"/>
      <c r="O26" s="1329"/>
      <c r="P26" s="1329"/>
      <c r="Q26" s="1329"/>
      <c r="R26" s="1329"/>
      <c r="S26" s="1329"/>
      <c r="T26" s="1329"/>
      <c r="U26" s="1330" t="str">
        <f>HLOOKUP(LANGUAGE!$B$2,LANGUAGE!$C$14:$G$1500,114)</f>
        <v>Remarks</v>
      </c>
      <c r="V26" s="1330"/>
      <c r="W26" s="1330"/>
      <c r="X26" s="1330"/>
      <c r="Y26" s="1330"/>
      <c r="Z26" s="1329" t="str">
        <f>HLOOKUP(LANGUAGE!$B$2,LANGUAGE!$C$14:$G$1500,74)</f>
        <v>Evaluation</v>
      </c>
      <c r="AA26" s="1329"/>
      <c r="AB26" s="1329" t="str">
        <f>HLOOKUP(LANGUAGE!$B$2,LANGUAGE!$C$14:$G$1500,95)</f>
        <v>Action</v>
      </c>
      <c r="AC26" s="1329"/>
      <c r="AD26" s="1329"/>
      <c r="AE26" s="1330" t="str">
        <f>HLOOKUP(LANGUAGE!$B$2,LANGUAGE!$C$14:$G$1500,96)</f>
        <v>Responsible</v>
      </c>
      <c r="AF26" s="1330"/>
      <c r="AG26" s="1330"/>
      <c r="AH26" s="1329" t="str">
        <f>HLOOKUP(LANGUAGE!$B$2,LANGUAGE!$C$14:$G$1500,21)</f>
        <v>Date</v>
      </c>
      <c r="AI26" s="1329"/>
      <c r="AJ26" s="1329" t="str">
        <f>HLOOKUP(LANGUAGE!$B$2,LANGUAGE!$C$14:$G$1500,75)</f>
        <v>Action status</v>
      </c>
      <c r="AK26" s="1331"/>
      <c r="BD26" s="3" t="str">
        <f>IF(ISNUMBER(MATCH($AJ26,LANGUAGE!$C$141:$G$141,0)),$B26,"")</f>
        <v/>
      </c>
      <c r="BE26" s="3" t="str">
        <f>IF(ISNUMBER(MATCH($AJ26,LANGUAGE!$C$142:$G$142,0)),$B26,"")</f>
        <v/>
      </c>
    </row>
    <row r="27" spans="2:62" s="3" customFormat="1" ht="17.7" customHeight="1" x14ac:dyDescent="0.25">
      <c r="B27" s="1328"/>
      <c r="C27" s="1329"/>
      <c r="D27" s="1329"/>
      <c r="E27" s="1329"/>
      <c r="F27" s="1329"/>
      <c r="G27" s="1329"/>
      <c r="H27" s="1329"/>
      <c r="I27" s="1329"/>
      <c r="J27" s="1329"/>
      <c r="K27" s="1329"/>
      <c r="L27" s="1329"/>
      <c r="M27" s="1329"/>
      <c r="N27" s="1329"/>
      <c r="O27" s="1329"/>
      <c r="P27" s="1329"/>
      <c r="Q27" s="1329"/>
      <c r="R27" s="1329"/>
      <c r="S27" s="1329"/>
      <c r="T27" s="1329"/>
      <c r="U27" s="1330"/>
      <c r="V27" s="1330"/>
      <c r="W27" s="1330"/>
      <c r="X27" s="1330"/>
      <c r="Y27" s="1330"/>
      <c r="Z27" s="1329"/>
      <c r="AA27" s="1329"/>
      <c r="AB27" s="1329"/>
      <c r="AC27" s="1329"/>
      <c r="AD27" s="1329"/>
      <c r="AE27" s="1330"/>
      <c r="AF27" s="1330"/>
      <c r="AG27" s="1330"/>
      <c r="AH27" s="1329"/>
      <c r="AI27" s="1329"/>
      <c r="AJ27" s="1329"/>
      <c r="AK27" s="1331"/>
      <c r="BD27" s="132" t="str">
        <f>IF(BD28&lt;&gt;"",BD28&amp;" ","")&amp;IF(BD29&lt;&gt;"",BD29&amp;" ","")&amp;IF(BD30&lt;&gt;"",BD30&amp;" ","")&amp;IF(BD31&lt;&gt;"",BD31&amp;" ","")&amp;IF(BD32&lt;&gt;"",BD32&amp;" ","")&amp;IF(BD33&lt;&gt;"",BD33&amp;" ","")&amp;IF(BD34&lt;&gt;"",BD34&amp;" ","")&amp;IF(BD35&lt;&gt;"",BD35,"")</f>
        <v/>
      </c>
      <c r="BE27" s="132" t="str">
        <f>IF(BE28&lt;&gt;"",BE28&amp;" ","")&amp;IF(BE29&lt;&gt;"",BE29&amp;" ","")&amp;IF(BE30&lt;&gt;"",BE30&amp;" ","")&amp;IF(BE31&lt;&gt;"",BE31&amp;" ","")&amp;IF(BE32&lt;&gt;"",BE32&amp;" ","")&amp;IF(BE33&lt;&gt;"",BE33&amp;" ","")&amp;IF(BE34&lt;&gt;"",BE34&amp;" ","")&amp;IF(BE35&lt;&gt;"",BE35&amp;" ","")</f>
        <v/>
      </c>
    </row>
    <row r="28" spans="2:62" s="3" customFormat="1" ht="82.5" customHeight="1" x14ac:dyDescent="0.25">
      <c r="B28" s="254" t="s">
        <v>1798</v>
      </c>
      <c r="C28" s="1345" t="str">
        <f>HLOOKUP(LANGUAGE!$B$2,LANGUAGE!$C$14:$G$1500,430)</f>
        <v>Project timing plan</v>
      </c>
      <c r="D28" s="1345"/>
      <c r="E28" s="1347" t="str">
        <f>HLOOKUP(LANGUAGE!$B$2,LANGUAGE!$C$14:$G$1500,431)</f>
        <v>Does the supplier has timing plan that contains all milestones? 
Is the timing plan agreed with purchasing Brose?</v>
      </c>
      <c r="F28" s="1347"/>
      <c r="G28" s="1347"/>
      <c r="H28" s="1347"/>
      <c r="I28" s="1347"/>
      <c r="J28" s="1347"/>
      <c r="K28" s="1347"/>
      <c r="L28" s="1347"/>
      <c r="M28" s="1575" t="str">
        <f>HLOOKUP(LANGUAGE!$B$2,LANGUAGE!$C$14:$G$1500,432)</f>
        <v>Target/ current comparison of supplier timing plan:
- with Brose order
- with Brose quality milestones acc. FS (PEPsi)
- prelaunch and ramp-up timing to plan for Safe Launch containment
- with commissioned modifications from Brose</v>
      </c>
      <c r="N28" s="1575"/>
      <c r="O28" s="1575"/>
      <c r="P28" s="1575"/>
      <c r="Q28" s="1575"/>
      <c r="R28" s="1575"/>
      <c r="S28" s="1575"/>
      <c r="T28" s="1575"/>
      <c r="U28" s="1348"/>
      <c r="V28" s="1348"/>
      <c r="W28" s="1348"/>
      <c r="X28" s="1348"/>
      <c r="Y28" s="1348"/>
      <c r="Z28" s="1349"/>
      <c r="AA28" s="1349"/>
      <c r="AB28" s="1349"/>
      <c r="AC28" s="1349"/>
      <c r="AD28" s="1349"/>
      <c r="AE28" s="1349"/>
      <c r="AF28" s="1349"/>
      <c r="AG28" s="1349"/>
      <c r="AH28" s="1350"/>
      <c r="AI28" s="1349"/>
      <c r="AJ28" s="1350"/>
      <c r="AK28" s="1351"/>
      <c r="AZ28" s="3">
        <f>IF(ISNUMBER(MATCH(Z28,LANGUAGE!$C$138:$G$138,0)),1,IF(ISNUMBER(MATCH(Z28,LANGUAGE!$C$139:$G$139,0)),2,IF(ISNUMBER(MATCH(Z28,LANGUAGE!$C$140:$G$140,0)),3,0)))</f>
        <v>0</v>
      </c>
      <c r="BA28" s="3">
        <f>IF(ISNUMBER(MATCH(AJ28,LANGUAGE!$C$141:$G$141,0)),3,IF(ISNUMBER(MATCH(AJ28,LANGUAGE!$C$142:$G$142,0)),1,0))</f>
        <v>0</v>
      </c>
      <c r="BB28" s="3">
        <f t="shared" ref="BB28:BB54" si="0">IF(AND(AZ28&gt;1,BA28=0),10,AZ28+BA28)</f>
        <v>0</v>
      </c>
      <c r="BD28" s="3" t="str">
        <f>IF(ISNUMBER(MATCH($AJ28,LANGUAGE!$C$141:$G$141,0)),$B28,"")</f>
        <v/>
      </c>
      <c r="BE28" s="3" t="str">
        <f>IF(ISNUMBER(MATCH($AJ28,LANGUAGE!$C$142:$G$142,0)),$B28,"")</f>
        <v/>
      </c>
    </row>
    <row r="29" spans="2:62" s="3" customFormat="1" ht="34.450000000000003" customHeight="1" x14ac:dyDescent="0.25">
      <c r="B29" s="255" t="s">
        <v>1799</v>
      </c>
      <c r="C29" s="1345" t="str">
        <f>HLOOKUP(LANGUAGE!$B$2,LANGUAGE!$C$14:$G$1500,440)</f>
        <v>Actions from FS</v>
      </c>
      <c r="D29" s="1345"/>
      <c r="E29" s="1347" t="str">
        <f>HLOOKUP(LANGUAGE!$B$2,LANGUAGE!$C$14:$G$1500,441)</f>
        <v>Have been all actions from feasibilty study (FS) realised in time?</v>
      </c>
      <c r="F29" s="1347"/>
      <c r="G29" s="1347"/>
      <c r="H29" s="1347"/>
      <c r="I29" s="1347"/>
      <c r="J29" s="1347"/>
      <c r="K29" s="1347"/>
      <c r="L29" s="1347"/>
      <c r="M29" s="1347" t="str">
        <f>HLOOKUP(LANGUAGE!$B$2,LANGUAGE!$C$14:$G$1500,442)</f>
        <v>Review the action plan with the supplier.</v>
      </c>
      <c r="N29" s="1347"/>
      <c r="O29" s="1347"/>
      <c r="P29" s="1347"/>
      <c r="Q29" s="1347"/>
      <c r="R29" s="1347"/>
      <c r="S29" s="1347"/>
      <c r="T29" s="1347"/>
      <c r="U29" s="1348"/>
      <c r="V29" s="1348"/>
      <c r="W29" s="1348"/>
      <c r="X29" s="1348"/>
      <c r="Y29" s="1348"/>
      <c r="Z29" s="1349"/>
      <c r="AA29" s="1349"/>
      <c r="AB29" s="1349"/>
      <c r="AC29" s="1349"/>
      <c r="AD29" s="1349"/>
      <c r="AE29" s="1349"/>
      <c r="AF29" s="1349"/>
      <c r="AG29" s="1349"/>
      <c r="AH29" s="1350"/>
      <c r="AI29" s="1349"/>
      <c r="AJ29" s="1350"/>
      <c r="AK29" s="1351"/>
      <c r="AZ29" s="3">
        <f>IF(ISNUMBER(MATCH(Z29,LANGUAGE!$C$138:$G$138,0)),1,IF(ISNUMBER(MATCH(Z29,LANGUAGE!$C$139:$G$139,0)),2,IF(ISNUMBER(MATCH(Z29,LANGUAGE!$C$140:$G$140,0)),3,0)))</f>
        <v>0</v>
      </c>
      <c r="BA29" s="3">
        <f>IF(ISNUMBER(MATCH(AJ29,LANGUAGE!$C$141:$G$141,0)),3,IF(ISNUMBER(MATCH(AJ29,LANGUAGE!$C$142:$G$142,0)),1,0))</f>
        <v>0</v>
      </c>
      <c r="BB29" s="3">
        <f t="shared" si="0"/>
        <v>0</v>
      </c>
      <c r="BD29" s="3" t="str">
        <f>IF(ISNUMBER(MATCH($AJ29,LANGUAGE!$C$141:$G$141,0)),$B29,"")</f>
        <v/>
      </c>
      <c r="BE29" s="3" t="str">
        <f>IF(ISNUMBER(MATCH($AJ29,LANGUAGE!$C$142:$G$142,0)),$B29,"")</f>
        <v/>
      </c>
    </row>
    <row r="30" spans="2:62" s="3" customFormat="1" ht="85.5" customHeight="1" x14ac:dyDescent="0.25">
      <c r="B30" s="254" t="s">
        <v>1800</v>
      </c>
      <c r="C30" s="1345" t="str">
        <f>HLOOKUP(LANGUAGE!$B$2,LANGUAGE!$C$14:$G$1500,450)</f>
        <v>Specification</v>
      </c>
      <c r="D30" s="1345"/>
      <c r="E30" s="1347" t="str">
        <f>HLOOKUP(LANGUAGE!$B$2,LANGUAGE!$C$14:$G$1500,451)</f>
        <v>Do the supplier work with the ordered revision level of CAD and drawing?  Has the supplier received and reviewed all necessary standards and specifications relevant for the part?</v>
      </c>
      <c r="F30" s="1347"/>
      <c r="G30" s="1347"/>
      <c r="H30" s="1347"/>
      <c r="I30" s="1347"/>
      <c r="J30" s="1347"/>
      <c r="K30" s="1347"/>
      <c r="L30" s="1347"/>
      <c r="M30" s="1347" t="str">
        <f>HLOOKUP(LANGUAGE!$B$2,LANGUAGE!$C$14:$G$1500,452)</f>
        <v>Validate the correct drawing and CAD revision levels.
If drawings and CAD are not to the correct level or not available, escalation to the customer team is necessary. Rating must be "red" if correct drawing and CAD revisions are not available.
Supplier can show the required standards and specification.</v>
      </c>
      <c r="N30" s="1347"/>
      <c r="O30" s="1347"/>
      <c r="P30" s="1347"/>
      <c r="Q30" s="1347"/>
      <c r="R30" s="1347"/>
      <c r="S30" s="1347"/>
      <c r="T30" s="1347"/>
      <c r="U30" s="1348"/>
      <c r="V30" s="1348"/>
      <c r="W30" s="1348"/>
      <c r="X30" s="1348"/>
      <c r="Y30" s="1348"/>
      <c r="Z30" s="1349"/>
      <c r="AA30" s="1349"/>
      <c r="AB30" s="1349"/>
      <c r="AC30" s="1349"/>
      <c r="AD30" s="1349"/>
      <c r="AE30" s="1349"/>
      <c r="AF30" s="1349"/>
      <c r="AG30" s="1349"/>
      <c r="AH30" s="1350"/>
      <c r="AI30" s="1349"/>
      <c r="AJ30" s="1350"/>
      <c r="AK30" s="1351"/>
      <c r="AZ30" s="3">
        <f>IF(ISNUMBER(MATCH(Z30,LANGUAGE!$C$138:$G$138,0)),1,IF(ISNUMBER(MATCH(Z30,LANGUAGE!$C$139:$G$139,0)),2,IF(ISNUMBER(MATCH(Z30,LANGUAGE!$C$140:$G$140,0)),3,0)))</f>
        <v>0</v>
      </c>
      <c r="BA30" s="3">
        <f>IF(ISNUMBER(MATCH(AJ30,LANGUAGE!$C$141:$G$141,0)),3,IF(ISNUMBER(MATCH(AJ30,LANGUAGE!$C$142:$G$142,0)),1,0))</f>
        <v>0</v>
      </c>
      <c r="BB30" s="3">
        <f t="shared" si="0"/>
        <v>0</v>
      </c>
      <c r="BD30" s="3" t="str">
        <f>IF(ISNUMBER(MATCH($AJ30,LANGUAGE!$C$141:$G$141,0)),$B30,"")</f>
        <v/>
      </c>
      <c r="BE30" s="3" t="str">
        <f>IF(ISNUMBER(MATCH($AJ30,LANGUAGE!$C$142:$G$142,0)),$B30,"")</f>
        <v/>
      </c>
    </row>
    <row r="31" spans="2:62" s="3" customFormat="1" ht="30.05" customHeight="1" x14ac:dyDescent="0.25">
      <c r="B31" s="255" t="s">
        <v>1801</v>
      </c>
      <c r="C31" s="1579" t="str">
        <f>HLOOKUP(LANGUAGE!$B$2,LANGUAGE!$C$14:$G$1500,460)</f>
        <v>Feasibility study</v>
      </c>
      <c r="D31" s="1579"/>
      <c r="E31" s="1347" t="str">
        <f>HLOOKUP(LANGUAGE!$B$2,LANGUAGE!$C$14:$G$1500,461)</f>
        <v>Is a feasibility study for the actual drawing index available?</v>
      </c>
      <c r="F31" s="1347"/>
      <c r="G31" s="1347"/>
      <c r="H31" s="1347"/>
      <c r="I31" s="1347"/>
      <c r="J31" s="1347"/>
      <c r="K31" s="1347"/>
      <c r="L31" s="1347"/>
      <c r="M31" s="1347" t="str">
        <f>HLOOKUP(LANGUAGE!$B$2,LANGUAGE!$C$14:$G$1500,462)</f>
        <v>Supplier can show signed feasibility study /Feasibility study for index change.</v>
      </c>
      <c r="N31" s="1347"/>
      <c r="O31" s="1347"/>
      <c r="P31" s="1347"/>
      <c r="Q31" s="1347"/>
      <c r="R31" s="1347"/>
      <c r="S31" s="1347"/>
      <c r="T31" s="1347"/>
      <c r="U31" s="1348"/>
      <c r="V31" s="1348"/>
      <c r="W31" s="1348"/>
      <c r="X31" s="1348"/>
      <c r="Y31" s="1348"/>
      <c r="Z31" s="1349"/>
      <c r="AA31" s="1349"/>
      <c r="AB31" s="1349"/>
      <c r="AC31" s="1349"/>
      <c r="AD31" s="1349"/>
      <c r="AE31" s="1349"/>
      <c r="AF31" s="1349"/>
      <c r="AG31" s="1349"/>
      <c r="AH31" s="1350"/>
      <c r="AI31" s="1349"/>
      <c r="AJ31" s="1350"/>
      <c r="AK31" s="1351"/>
      <c r="AZ31" s="3">
        <f>IF(ISNUMBER(MATCH(Z31,LANGUAGE!$C$138:$G$138,0)),1,IF(ISNUMBER(MATCH(Z31,LANGUAGE!$C$139:$G$139,0)),2,IF(ISNUMBER(MATCH(Z31,LANGUAGE!$C$140:$G$140,0)),3,0)))</f>
        <v>0</v>
      </c>
      <c r="BA31" s="3">
        <f>IF(ISNUMBER(MATCH(AJ31,LANGUAGE!$C$141:$G$141,0)),3,IF(ISNUMBER(MATCH(AJ31,LANGUAGE!$C$142:$G$142,0)),1,0))</f>
        <v>0</v>
      </c>
      <c r="BB31" s="3">
        <f t="shared" si="0"/>
        <v>0</v>
      </c>
      <c r="BD31" s="3" t="str">
        <f>IF(ISNUMBER(MATCH($AJ31,LANGUAGE!$C$141:$G$141,0)),$B31,"")</f>
        <v/>
      </c>
      <c r="BE31" s="3" t="str">
        <f>IF(ISNUMBER(MATCH($AJ31,LANGUAGE!$C$142:$G$142,0)),$B31,"")</f>
        <v/>
      </c>
    </row>
    <row r="32" spans="2:62" s="3" customFormat="1" ht="30.05" customHeight="1" x14ac:dyDescent="0.25">
      <c r="B32" s="254" t="s">
        <v>1802</v>
      </c>
      <c r="C32" s="1345" t="str">
        <f>HLOOKUP(LANGUAGE!$B$2,LANGUAGE!$C$14:$G$1500,470)</f>
        <v>Process flow</v>
      </c>
      <c r="D32" s="1345"/>
      <c r="E32" s="1347" t="str">
        <f>HLOOKUP(LANGUAGE!$B$2,LANGUAGE!$C$14:$G$1500,471)</f>
        <v>Is a rough process flow chart for this product available?</v>
      </c>
      <c r="F32" s="1347"/>
      <c r="G32" s="1347"/>
      <c r="H32" s="1347"/>
      <c r="I32" s="1347"/>
      <c r="J32" s="1347"/>
      <c r="K32" s="1347"/>
      <c r="L32" s="1347"/>
      <c r="M32" s="1347" t="str">
        <f>HLOOKUP(LANGUAGE!$B$2,LANGUAGE!$C$14:$G$1500,472)</f>
        <v>The process flow considers all main process steps.</v>
      </c>
      <c r="N32" s="1347"/>
      <c r="O32" s="1347"/>
      <c r="P32" s="1347"/>
      <c r="Q32" s="1347"/>
      <c r="R32" s="1347"/>
      <c r="S32" s="1347"/>
      <c r="T32" s="1347"/>
      <c r="U32" s="1348"/>
      <c r="V32" s="1348"/>
      <c r="W32" s="1348"/>
      <c r="X32" s="1348"/>
      <c r="Y32" s="1348"/>
      <c r="Z32" s="1349"/>
      <c r="AA32" s="1349"/>
      <c r="AB32" s="1349"/>
      <c r="AC32" s="1349"/>
      <c r="AD32" s="1349"/>
      <c r="AE32" s="1349"/>
      <c r="AF32" s="1349"/>
      <c r="AG32" s="1349"/>
      <c r="AH32" s="1350"/>
      <c r="AI32" s="1349"/>
      <c r="AJ32" s="1350"/>
      <c r="AK32" s="1351"/>
      <c r="AZ32" s="3">
        <f>IF(ISNUMBER(MATCH(Z32,LANGUAGE!$C$138:$G$138,0)),1,IF(ISNUMBER(MATCH(Z32,LANGUAGE!$C$139:$G$139,0)),2,IF(ISNUMBER(MATCH(Z32,LANGUAGE!$C$140:$G$140,0)),3,0)))</f>
        <v>0</v>
      </c>
      <c r="BA32" s="3">
        <f>IF(ISNUMBER(MATCH(AJ32,LANGUAGE!$C$141:$G$141,0)),3,IF(ISNUMBER(MATCH(AJ32,LANGUAGE!$C$142:$G$142,0)),1,0))</f>
        <v>0</v>
      </c>
      <c r="BB32" s="3">
        <f t="shared" si="0"/>
        <v>0</v>
      </c>
      <c r="BD32" s="3" t="str">
        <f>IF(ISNUMBER(MATCH($AJ32,LANGUAGE!$C$141:$G$141,0)),$B32,"")</f>
        <v/>
      </c>
      <c r="BE32" s="3" t="str">
        <f>IF(ISNUMBER(MATCH($AJ32,LANGUAGE!$C$142:$G$142,0)),$B32,"")</f>
        <v/>
      </c>
    </row>
    <row r="33" spans="2:57" s="3" customFormat="1" ht="51.85" customHeight="1" x14ac:dyDescent="0.25">
      <c r="B33" s="255" t="s">
        <v>1803</v>
      </c>
      <c r="C33" s="1345" t="str">
        <f>HLOOKUP(LANGUAGE!$B$2,LANGUAGE!$C$14:$G$1500,480)</f>
        <v>Tooling/ process design concept</v>
      </c>
      <c r="D33" s="1345"/>
      <c r="E33" s="1347" t="str">
        <f>HLOOKUP(LANGUAGE!$B$2,LANGUAGE!$C$14:$G$1500,481)</f>
        <v>Does the planned status comply with the assigned technical concept? If "No", supplier needs to explain.</v>
      </c>
      <c r="F33" s="1347"/>
      <c r="G33" s="1347"/>
      <c r="H33" s="1347"/>
      <c r="I33" s="1347"/>
      <c r="J33" s="1347"/>
      <c r="K33" s="1347"/>
      <c r="L33" s="1347"/>
      <c r="M33" s="1347" t="str">
        <f>HLOOKUP(LANGUAGE!$B$2,LANGUAGE!$C$14:$G$1500,482)</f>
        <v>Comparison of process data sheets for the tool- and process-concept from FS 
e.g. injection points, tool steps, stamping direction</v>
      </c>
      <c r="N33" s="1347"/>
      <c r="O33" s="1347"/>
      <c r="P33" s="1347"/>
      <c r="Q33" s="1347"/>
      <c r="R33" s="1347"/>
      <c r="S33" s="1347"/>
      <c r="T33" s="1347"/>
      <c r="U33" s="1348"/>
      <c r="V33" s="1348"/>
      <c r="W33" s="1348"/>
      <c r="X33" s="1348"/>
      <c r="Y33" s="1348"/>
      <c r="Z33" s="1349"/>
      <c r="AA33" s="1349"/>
      <c r="AB33" s="1349"/>
      <c r="AC33" s="1349"/>
      <c r="AD33" s="1349"/>
      <c r="AE33" s="1349"/>
      <c r="AF33" s="1349"/>
      <c r="AG33" s="1349"/>
      <c r="AH33" s="1350"/>
      <c r="AI33" s="1349"/>
      <c r="AJ33" s="1350"/>
      <c r="AK33" s="1351"/>
      <c r="AZ33" s="3">
        <f>IF(ISNUMBER(MATCH(Z33,LANGUAGE!$C$138:$G$138,0)),1,IF(ISNUMBER(MATCH(Z33,LANGUAGE!$C$139:$G$139,0)),2,IF(ISNUMBER(MATCH(Z33,LANGUAGE!$C$140:$G$140,0)),3,0)))</f>
        <v>0</v>
      </c>
      <c r="BA33" s="3">
        <f>IF(ISNUMBER(MATCH(AJ33,LANGUAGE!$C$141:$G$141,0)),3,IF(ISNUMBER(MATCH(AJ33,LANGUAGE!$C$142:$G$142,0)),1,0))</f>
        <v>0</v>
      </c>
      <c r="BB33" s="3">
        <f t="shared" si="0"/>
        <v>0</v>
      </c>
      <c r="BD33" s="3" t="str">
        <f>IF(ISNUMBER(MATCH($AJ33,LANGUAGE!$C$141:$G$141,0)),$B33,"")</f>
        <v/>
      </c>
      <c r="BE33" s="3" t="str">
        <f>IF(ISNUMBER(MATCH($AJ33,LANGUAGE!$C$142:$G$142,0)),$B33,"")</f>
        <v/>
      </c>
    </row>
    <row r="34" spans="2:57" s="3" customFormat="1" ht="36" customHeight="1" x14ac:dyDescent="0.25">
      <c r="B34" s="254" t="s">
        <v>1804</v>
      </c>
      <c r="C34" s="1345" t="str">
        <f>HLOOKUP(LANGUAGE!$B$2,LANGUAGE!$C$14:$G$1500,490)</f>
        <v>Continuous improvement</v>
      </c>
      <c r="D34" s="1345"/>
      <c r="E34" s="1347" t="str">
        <f>HLOOKUP(LANGUAGE!$B$2,LANGUAGE!$C$14:$G$1500,491)</f>
        <v>How will be lessons learned-topics considered in this product?</v>
      </c>
      <c r="F34" s="1347"/>
      <c r="G34" s="1347"/>
      <c r="H34" s="1347"/>
      <c r="I34" s="1347"/>
      <c r="J34" s="1347"/>
      <c r="K34" s="1347"/>
      <c r="L34" s="1347"/>
      <c r="M34" s="1347" t="str">
        <f>HLOOKUP(LANGUAGE!$B$2,LANGUAGE!$C$14:$G$1500,492)</f>
        <v>Review LL records.
Confirm LL captured on FMEA.</v>
      </c>
      <c r="N34" s="1347"/>
      <c r="O34" s="1347"/>
      <c r="P34" s="1347"/>
      <c r="Q34" s="1347"/>
      <c r="R34" s="1347"/>
      <c r="S34" s="1347"/>
      <c r="T34" s="1347"/>
      <c r="U34" s="1348"/>
      <c r="V34" s="1348"/>
      <c r="W34" s="1348"/>
      <c r="X34" s="1348"/>
      <c r="Y34" s="1348"/>
      <c r="Z34" s="1349"/>
      <c r="AA34" s="1349"/>
      <c r="AB34" s="1349"/>
      <c r="AC34" s="1349"/>
      <c r="AD34" s="1349"/>
      <c r="AE34" s="1349"/>
      <c r="AF34" s="1349"/>
      <c r="AG34" s="1349"/>
      <c r="AH34" s="1350"/>
      <c r="AI34" s="1349"/>
      <c r="AJ34" s="1350"/>
      <c r="AK34" s="1351"/>
      <c r="AZ34" s="3">
        <f>IF(ISNUMBER(MATCH(Z34,LANGUAGE!$C$138:$G$138,0)),1,IF(ISNUMBER(MATCH(Z34,LANGUAGE!$C$139:$G$139,0)),2,IF(ISNUMBER(MATCH(Z34,LANGUAGE!$C$140:$G$140,0)),3,0)))</f>
        <v>0</v>
      </c>
      <c r="BA34" s="3">
        <f>IF(ISNUMBER(MATCH(AJ34,LANGUAGE!$C$141:$G$141,0)),3,IF(ISNUMBER(MATCH(AJ34,LANGUAGE!$C$142:$G$142,0)),1,0))</f>
        <v>0</v>
      </c>
      <c r="BB34" s="3">
        <f t="shared" si="0"/>
        <v>0</v>
      </c>
      <c r="BD34" s="3" t="str">
        <f>IF(ISNUMBER(MATCH($AJ34,LANGUAGE!$C$141:$G$141,0)),$B34,"")</f>
        <v/>
      </c>
      <c r="BE34" s="3" t="str">
        <f>IF(ISNUMBER(MATCH($AJ34,LANGUAGE!$C$142:$G$142,0)),$B34,"")</f>
        <v/>
      </c>
    </row>
    <row r="35" spans="2:57" s="3" customFormat="1" ht="69.849999999999994" customHeight="1" thickBot="1" x14ac:dyDescent="0.3">
      <c r="B35" s="256" t="s">
        <v>1805</v>
      </c>
      <c r="C35" s="1392" t="str">
        <f>HLOOKUP(LANGUAGE!$B$2,LANGUAGE!$C$14:$G$1500,500)</f>
        <v>Change Management</v>
      </c>
      <c r="D35" s="1392"/>
      <c r="E35" s="1334" t="str">
        <f>HLOOKUP(LANGUAGE!$B$2,LANGUAGE!$C$14:$G$1500,501)</f>
        <v>How will the supplier report changes to the product or process during development or series? Have any modifications to the project been made after acceptance of FS?</v>
      </c>
      <c r="F35" s="1334"/>
      <c r="G35" s="1334"/>
      <c r="H35" s="1334"/>
      <c r="I35" s="1334"/>
      <c r="J35" s="1334"/>
      <c r="K35" s="1334"/>
      <c r="L35" s="1334"/>
      <c r="M35" s="1334" t="str">
        <f>HLOOKUP(LANGUAGE!$B$2,LANGUAGE!$C$14:$G$1500,502)</f>
        <v>The following documents are available:
- Confirmed purchasing order
- Drawing/CAD-Model acc. order
- Confirmed feasibility study for index change 
- Updated part history list since Brose Purchase Order</v>
      </c>
      <c r="N35" s="1334"/>
      <c r="O35" s="1334"/>
      <c r="P35" s="1334"/>
      <c r="Q35" s="1334"/>
      <c r="R35" s="1334"/>
      <c r="S35" s="1334"/>
      <c r="T35" s="1334"/>
      <c r="U35" s="1335"/>
      <c r="V35" s="1335"/>
      <c r="W35" s="1335"/>
      <c r="X35" s="1335"/>
      <c r="Y35" s="1335"/>
      <c r="Z35" s="1336"/>
      <c r="AA35" s="1336"/>
      <c r="AB35" s="1336"/>
      <c r="AC35" s="1336"/>
      <c r="AD35" s="1336"/>
      <c r="AE35" s="1336"/>
      <c r="AF35" s="1336"/>
      <c r="AG35" s="1336"/>
      <c r="AH35" s="1337"/>
      <c r="AI35" s="1336"/>
      <c r="AJ35" s="1337"/>
      <c r="AK35" s="1338"/>
      <c r="AZ35" s="3">
        <f>IF(ISNUMBER(MATCH(Z35,LANGUAGE!$C$138:$G$138,0)),1,IF(ISNUMBER(MATCH(Z35,LANGUAGE!$C$139:$G$139,0)),2,IF(ISNUMBER(MATCH(Z35,LANGUAGE!$C$140:$G$140,0)),3,0)))</f>
        <v>0</v>
      </c>
      <c r="BA35" s="3">
        <f>IF(ISNUMBER(MATCH(AJ35,LANGUAGE!$C$141:$G$141,0)),3,IF(ISNUMBER(MATCH(AJ35,LANGUAGE!$C$142:$G$142,0)),1,0))</f>
        <v>0</v>
      </c>
      <c r="BB35" s="3">
        <f t="shared" si="0"/>
        <v>0</v>
      </c>
      <c r="BD35" s="3" t="str">
        <f>IF(ISNUMBER(MATCH($AJ35,LANGUAGE!$C$141:$G$141,0)),$B35,"")</f>
        <v/>
      </c>
      <c r="BE35" s="3" t="str">
        <f>IF(ISNUMBER(MATCH($AJ35,LANGUAGE!$C$142:$G$142,0)),$B35,"")</f>
        <v/>
      </c>
    </row>
    <row r="36" spans="2:57" s="3" customFormat="1" ht="17.7" customHeight="1" thickBot="1" x14ac:dyDescent="0.3">
      <c r="M36" s="155"/>
      <c r="BD36" s="3" t="str">
        <f>IF(ISNUMBER(MATCH($AJ36,LANGUAGE!$C$141:$G$141,0)),$B36,"")</f>
        <v/>
      </c>
      <c r="BE36" s="3" t="str">
        <f>IF(ISNUMBER(MATCH($AJ36,LANGUAGE!$C$142:$G$142,0)),$B36,"")</f>
        <v/>
      </c>
    </row>
    <row r="37" spans="2:57" s="3" customFormat="1" ht="17.7" customHeight="1" x14ac:dyDescent="0.25">
      <c r="B37" s="1406" t="str">
        <f>HLOOKUP(LANGUAGE!$B$2,LANGUAGE!$C$14:$G$1500,78)</f>
        <v>Quality</v>
      </c>
      <c r="C37" s="1407"/>
      <c r="D37" s="1407"/>
      <c r="E37" s="1407"/>
      <c r="F37" s="1407"/>
      <c r="G37" s="1407"/>
      <c r="H37" s="1407"/>
      <c r="I37" s="1407"/>
      <c r="J37" s="1407"/>
      <c r="K37" s="1407"/>
      <c r="L37" s="1407"/>
      <c r="M37" s="1407"/>
      <c r="N37" s="1407"/>
      <c r="O37" s="1407"/>
      <c r="P37" s="1407"/>
      <c r="Q37" s="1407"/>
      <c r="R37" s="1407"/>
      <c r="S37" s="1407"/>
      <c r="T37" s="1407"/>
      <c r="U37" s="1407"/>
      <c r="V37" s="1407"/>
      <c r="W37" s="1407"/>
      <c r="X37" s="1407"/>
      <c r="Y37" s="1407"/>
      <c r="Z37" s="1407"/>
      <c r="AA37" s="1407"/>
      <c r="AB37" s="1407"/>
      <c r="AC37" s="1407"/>
      <c r="AD37" s="1407"/>
      <c r="AE37" s="1407"/>
      <c r="AF37" s="1407"/>
      <c r="AG37" s="1407"/>
      <c r="AH37" s="1407"/>
      <c r="AI37" s="1407"/>
      <c r="AJ37" s="1407"/>
      <c r="AK37" s="1408"/>
      <c r="BD37" s="3" t="str">
        <f>IF(ISNUMBER(MATCH($AJ37,LANGUAGE!$C$141:$G$141,0)),$B37,"")</f>
        <v/>
      </c>
      <c r="BE37" s="3" t="str">
        <f>IF(ISNUMBER(MATCH($AJ37,LANGUAGE!$C$142:$G$142,0)),$B37,"")</f>
        <v/>
      </c>
    </row>
    <row r="38" spans="2:57" s="3" customFormat="1" ht="17.7" customHeight="1" x14ac:dyDescent="0.25">
      <c r="B38" s="1409"/>
      <c r="C38" s="1410"/>
      <c r="D38" s="1410"/>
      <c r="E38" s="1410"/>
      <c r="F38" s="1410"/>
      <c r="G38" s="1410"/>
      <c r="H38" s="1410"/>
      <c r="I38" s="1410"/>
      <c r="J38" s="1410"/>
      <c r="K38" s="1410"/>
      <c r="L38" s="1410"/>
      <c r="M38" s="1410"/>
      <c r="N38" s="1410"/>
      <c r="O38" s="1410"/>
      <c r="P38" s="1410"/>
      <c r="Q38" s="1410"/>
      <c r="R38" s="1410"/>
      <c r="S38" s="1410"/>
      <c r="T38" s="1410"/>
      <c r="U38" s="1410"/>
      <c r="V38" s="1410"/>
      <c r="W38" s="1410"/>
      <c r="X38" s="1410"/>
      <c r="Y38" s="1410"/>
      <c r="Z38" s="1410"/>
      <c r="AA38" s="1410"/>
      <c r="AB38" s="1410"/>
      <c r="AC38" s="1410"/>
      <c r="AD38" s="1410"/>
      <c r="AE38" s="1410"/>
      <c r="AF38" s="1410"/>
      <c r="AG38" s="1410"/>
      <c r="AH38" s="1410"/>
      <c r="AI38" s="1410"/>
      <c r="AJ38" s="1410"/>
      <c r="AK38" s="1411"/>
      <c r="BD38" s="3" t="str">
        <f>IF(ISNUMBER(MATCH($AJ38,LANGUAGE!$C$141:$G$141,0)),$B38,"")</f>
        <v/>
      </c>
      <c r="BE38" s="3" t="str">
        <f>IF(ISNUMBER(MATCH($AJ38,LANGUAGE!$C$142:$G$142,0)),$B38,"")</f>
        <v/>
      </c>
    </row>
    <row r="39" spans="2:57" s="3" customFormat="1" ht="17.7" customHeight="1" x14ac:dyDescent="0.25">
      <c r="B39" s="1002" t="str">
        <f>HLOOKUP(LANGUAGE!$B$2,LANGUAGE!$C$14:$G$1500,91)</f>
        <v>No.</v>
      </c>
      <c r="C39" s="1412" t="str">
        <f>HLOOKUP(LANGUAGE!$B$2,LANGUAGE!$C$14:$G$1500,73)</f>
        <v>Topic</v>
      </c>
      <c r="D39" s="1412"/>
      <c r="E39" s="1003" t="str">
        <f>HLOOKUP(LANGUAGE!$B$2,LANGUAGE!$C$14:$G$1500,92)</f>
        <v>Question</v>
      </c>
      <c r="F39" s="1003"/>
      <c r="G39" s="1003"/>
      <c r="H39" s="1003"/>
      <c r="I39" s="1003"/>
      <c r="J39" s="1003"/>
      <c r="K39" s="1003"/>
      <c r="L39" s="1003"/>
      <c r="M39" s="1003" t="str">
        <f>HLOOKUP(LANGUAGE!$B$2,LANGUAGE!$C$14:$G$1500,93)</f>
        <v>Notes</v>
      </c>
      <c r="N39" s="1003"/>
      <c r="O39" s="1003"/>
      <c r="P39" s="1003"/>
      <c r="Q39" s="1003"/>
      <c r="R39" s="1003"/>
      <c r="S39" s="1003"/>
      <c r="T39" s="1003"/>
      <c r="U39" s="1203" t="str">
        <f>HLOOKUP(LANGUAGE!$B$2,LANGUAGE!$C$14:$G$1500,114)</f>
        <v>Remarks</v>
      </c>
      <c r="V39" s="1203"/>
      <c r="W39" s="1203"/>
      <c r="X39" s="1203"/>
      <c r="Y39" s="1203"/>
      <c r="Z39" s="1003" t="str">
        <f>HLOOKUP(LANGUAGE!$B$2,LANGUAGE!$C$14:$G$1500,74)</f>
        <v>Evaluation</v>
      </c>
      <c r="AA39" s="1003"/>
      <c r="AB39" s="1003" t="str">
        <f>HLOOKUP(LANGUAGE!$B$2,LANGUAGE!$C$14:$G$1500,95)</f>
        <v>Action</v>
      </c>
      <c r="AC39" s="1003"/>
      <c r="AD39" s="1003"/>
      <c r="AE39" s="1203" t="str">
        <f>HLOOKUP(LANGUAGE!$B$2,LANGUAGE!$C$14:$G$1500,96)</f>
        <v>Responsible</v>
      </c>
      <c r="AF39" s="1203"/>
      <c r="AG39" s="1203"/>
      <c r="AH39" s="1003" t="str">
        <f>HLOOKUP(LANGUAGE!$B$2,LANGUAGE!$C$14:$G$1500,21)</f>
        <v>Date</v>
      </c>
      <c r="AI39" s="1003"/>
      <c r="AJ39" s="1003" t="str">
        <f>HLOOKUP(LANGUAGE!$B$2,LANGUAGE!$C$14:$G$1500,75)</f>
        <v>Action status</v>
      </c>
      <c r="AK39" s="1413"/>
      <c r="BD39" s="3" t="str">
        <f>IF(ISNUMBER(MATCH($AJ39,LANGUAGE!$C$141:$G$141,0)),$B39,"")</f>
        <v/>
      </c>
      <c r="BE39" s="3" t="str">
        <f>IF(ISNUMBER(MATCH($AJ39,LANGUAGE!$C$142:$G$142,0)),$B39,"")</f>
        <v/>
      </c>
    </row>
    <row r="40" spans="2:57" s="3" customFormat="1" ht="17.7" customHeight="1" x14ac:dyDescent="0.25">
      <c r="B40" s="1002"/>
      <c r="C40" s="1412"/>
      <c r="D40" s="1412"/>
      <c r="E40" s="1003"/>
      <c r="F40" s="1003"/>
      <c r="G40" s="1003"/>
      <c r="H40" s="1003"/>
      <c r="I40" s="1003"/>
      <c r="J40" s="1003"/>
      <c r="K40" s="1003"/>
      <c r="L40" s="1003"/>
      <c r="M40" s="1003"/>
      <c r="N40" s="1003"/>
      <c r="O40" s="1003"/>
      <c r="P40" s="1003"/>
      <c r="Q40" s="1003"/>
      <c r="R40" s="1003"/>
      <c r="S40" s="1003"/>
      <c r="T40" s="1003"/>
      <c r="U40" s="1203"/>
      <c r="V40" s="1203"/>
      <c r="W40" s="1203"/>
      <c r="X40" s="1203"/>
      <c r="Y40" s="1203"/>
      <c r="Z40" s="1003"/>
      <c r="AA40" s="1003"/>
      <c r="AB40" s="1003"/>
      <c r="AC40" s="1003"/>
      <c r="AD40" s="1003"/>
      <c r="AE40" s="1203"/>
      <c r="AF40" s="1203"/>
      <c r="AG40" s="1203"/>
      <c r="AH40" s="1003"/>
      <c r="AI40" s="1003"/>
      <c r="AJ40" s="1003"/>
      <c r="AK40" s="1413"/>
      <c r="BD40" s="3" t="str">
        <f>IF(BD41&lt;&gt;"",BD41&amp;" ","")&amp;IF(BD42&lt;&gt;"",BD42&amp;" ","")&amp;IF(BD43&lt;&gt;"",BD43&amp;" ","")&amp;IF(BD44&lt;&gt;"",BD44&amp;" ","")&amp;IF(BD45&lt;&gt;"",BD45&amp;" ","")&amp;IF(BD46&lt;&gt;"",BD46&amp;" ","")&amp;IF(BD47&lt;&gt;"",BD47&amp;" ","")</f>
        <v/>
      </c>
      <c r="BE40" s="3" t="str">
        <f>IF(BE41&lt;&gt;"",BE41&amp;" ","")&amp;IF(BE42&lt;&gt;"",BE42&amp;" ","")&amp;IF(BE43&lt;&gt;"",BE43&amp;" ","")&amp;IF(BE44&lt;&gt;"",BE44&amp;" ","")&amp;IF(BE45&lt;&gt;"",BE45&amp;" ","")&amp;IF(BE46&lt;&gt;"",BE46&amp;" ","")&amp;IF(BE47&lt;&gt;"",BE47&amp;" ","")</f>
        <v/>
      </c>
    </row>
    <row r="41" spans="2:57" s="3" customFormat="1" ht="123.85" customHeight="1" x14ac:dyDescent="0.25">
      <c r="B41" s="249" t="s">
        <v>1819</v>
      </c>
      <c r="C41" s="1345" t="str">
        <f>HLOOKUP(LANGUAGE!$B$2,LANGUAGE!$C$14:$G$1500,510)</f>
        <v>P-FMEA Review</v>
      </c>
      <c r="D41" s="1345"/>
      <c r="E41" s="1347" t="str">
        <f>HLOOKUP(LANGUAGE!$B$2,LANGUAGE!$C$14:$G$1500,511)</f>
        <v>Is a process-FMEA available?</v>
      </c>
      <c r="F41" s="1347"/>
      <c r="G41" s="1347"/>
      <c r="H41" s="1347"/>
      <c r="I41" s="1347"/>
      <c r="J41" s="1347"/>
      <c r="K41" s="1347"/>
      <c r="L41" s="1347"/>
      <c r="M41" s="1347" t="str">
        <f>HLOOKUP(LANGUAGE!$B$2,LANGUAGE!$C$14:$G$1500,512)</f>
        <v>Foundation or Family FMEAs are available. Review following points:
- Are risks identified and actions defined?
- Do severity, occurrence and detection rating meet AIAG/VDA standards?
- Are all special characteristic symbols from the drawing carried over to the P-FMEA?
- Does the FMEA follow the process flow?</v>
      </c>
      <c r="N41" s="1347"/>
      <c r="O41" s="1347"/>
      <c r="P41" s="1347"/>
      <c r="Q41" s="1347"/>
      <c r="R41" s="1347"/>
      <c r="S41" s="1347"/>
      <c r="T41" s="1347"/>
      <c r="U41" s="1508"/>
      <c r="V41" s="1508"/>
      <c r="W41" s="1508"/>
      <c r="X41" s="1508"/>
      <c r="Y41" s="1508"/>
      <c r="Z41" s="1510"/>
      <c r="AA41" s="1510"/>
      <c r="AB41" s="1511"/>
      <c r="AC41" s="1511"/>
      <c r="AD41" s="1511"/>
      <c r="AE41" s="1511"/>
      <c r="AF41" s="1511"/>
      <c r="AG41" s="1511"/>
      <c r="AH41" s="1512"/>
      <c r="AI41" s="1511"/>
      <c r="AJ41" s="1511"/>
      <c r="AK41" s="1513"/>
      <c r="AZ41" s="3">
        <f>IF(ISNUMBER(MATCH(Z41,LANGUAGE!$C$138:$G$138,0)),1,IF(ISNUMBER(MATCH(Z41,LANGUAGE!$C$139:$G$139,0)),2,IF(ISNUMBER(MATCH(Z41,LANGUAGE!$C$140:$G$140,0)),3,0)))</f>
        <v>0</v>
      </c>
      <c r="BA41" s="3">
        <f>IF(ISNUMBER(MATCH(AJ41,LANGUAGE!$C$141:$G$141,0)),3,IF(ISNUMBER(MATCH(AJ41,LANGUAGE!$C$142:$G$142,0)),1,0))</f>
        <v>0</v>
      </c>
      <c r="BB41" s="3">
        <f t="shared" si="0"/>
        <v>0</v>
      </c>
      <c r="BD41" s="3" t="str">
        <f>IF(ISNUMBER(MATCH($AJ41,LANGUAGE!$C$141:$G$141,0)),$B41,"")</f>
        <v/>
      </c>
      <c r="BE41" s="3" t="str">
        <f>IF(ISNUMBER(MATCH($AJ41,LANGUAGE!$C$142:$G$142,0)),$B41,"")</f>
        <v/>
      </c>
    </row>
    <row r="42" spans="2:57" s="3" customFormat="1" ht="48.7" customHeight="1" x14ac:dyDescent="0.25">
      <c r="B42" s="248" t="s">
        <v>1820</v>
      </c>
      <c r="C42" s="1345" t="str">
        <f>HLOOKUP(LANGUAGE!$B$2,LANGUAGE!$C$14:$G$1500,520)</f>
        <v>P-FMEA</v>
      </c>
      <c r="D42" s="1345"/>
      <c r="E42" s="1347" t="str">
        <f>HLOOKUP(LANGUAGE!$B$2,LANGUAGE!$C$14:$G$1500,521)</f>
        <v xml:space="preserve"> Are the special characteristics incl. customer interfaces from Brose, considered and secured?</v>
      </c>
      <c r="F42" s="1347"/>
      <c r="G42" s="1347"/>
      <c r="H42" s="1347"/>
      <c r="I42" s="1347"/>
      <c r="J42" s="1347"/>
      <c r="K42" s="1347"/>
      <c r="L42" s="1347"/>
      <c r="M42" s="1347" t="str">
        <f>HLOOKUP(LANGUAGE!$B$2,LANGUAGE!$C$14:$G$1500,522)</f>
        <v>Target/ current comparison of the special characteristics between Brose Drawing and supplier P-FMEA.
Evaluation acc. to BN 586437-xxx.</v>
      </c>
      <c r="N42" s="1347"/>
      <c r="O42" s="1347"/>
      <c r="P42" s="1347"/>
      <c r="Q42" s="1347"/>
      <c r="R42" s="1347"/>
      <c r="S42" s="1347"/>
      <c r="T42" s="1347"/>
      <c r="U42" s="1508"/>
      <c r="V42" s="1508"/>
      <c r="W42" s="1508"/>
      <c r="X42" s="1508"/>
      <c r="Y42" s="1508"/>
      <c r="Z42" s="1509"/>
      <c r="AA42" s="1510"/>
      <c r="AB42" s="1511"/>
      <c r="AC42" s="1511"/>
      <c r="AD42" s="1511"/>
      <c r="AE42" s="1511"/>
      <c r="AF42" s="1511"/>
      <c r="AG42" s="1511"/>
      <c r="AH42" s="1512"/>
      <c r="AI42" s="1511"/>
      <c r="AJ42" s="1511"/>
      <c r="AK42" s="1513"/>
      <c r="AZ42" s="3">
        <f>IF(ISNUMBER(MATCH(Z42,LANGUAGE!$C$138:$G$138,0)),1,IF(ISNUMBER(MATCH(Z42,LANGUAGE!$C$139:$G$139,0)),2,IF(ISNUMBER(MATCH(Z42,LANGUAGE!$C$140:$G$140,0)),3,0)))</f>
        <v>0</v>
      </c>
      <c r="BA42" s="3">
        <f>IF(ISNUMBER(MATCH(AJ42,LANGUAGE!$C$141:$G$141,0)),3,IF(ISNUMBER(MATCH(AJ42,LANGUAGE!$C$142:$G$142,0)),1,0))</f>
        <v>0</v>
      </c>
      <c r="BB42" s="3">
        <f t="shared" si="0"/>
        <v>0</v>
      </c>
      <c r="BD42" s="3" t="str">
        <f>IF(ISNUMBER(MATCH($AJ42,LANGUAGE!$C$141:$G$141,0)),$B42,"")</f>
        <v/>
      </c>
      <c r="BE42" s="3" t="str">
        <f>IF(ISNUMBER(MATCH($AJ42,LANGUAGE!$C$142:$G$142,0)),$B42,"")</f>
        <v/>
      </c>
    </row>
    <row r="43" spans="2:57" s="3" customFormat="1" ht="54.8" customHeight="1" x14ac:dyDescent="0.25">
      <c r="B43" s="249" t="s">
        <v>1821</v>
      </c>
      <c r="C43" s="1345" t="str">
        <f>HLOOKUP(LANGUAGE!$B$2,LANGUAGE!$C$14:$G$1500,530)</f>
        <v>Red rabbit/ poka yoke sample</v>
      </c>
      <c r="D43" s="1345"/>
      <c r="E43" s="1347" t="str">
        <f>HLOOKUP(LANGUAGE!$B$2,LANGUAGE!$C$14:$G$1500,531)</f>
        <v>Has supplier considered red rabbit/ reference samples and are the requirements regarding identification, monitoring, inspection and if necessary calibration (IATF16949 10.2.4) ensured?</v>
      </c>
      <c r="F43" s="1347"/>
      <c r="G43" s="1347"/>
      <c r="H43" s="1347"/>
      <c r="I43" s="1347"/>
      <c r="J43" s="1347"/>
      <c r="K43" s="1347"/>
      <c r="L43" s="1347"/>
      <c r="M43" s="1347" t="str">
        <f>HLOOKUP(LANGUAGE!$B$2,LANGUAGE!$C$14:$G$1500,532)</f>
        <v>Planning of red rabbit/ poka yoke parts is available.</v>
      </c>
      <c r="N43" s="1347"/>
      <c r="O43" s="1347"/>
      <c r="P43" s="1347"/>
      <c r="Q43" s="1347"/>
      <c r="R43" s="1347"/>
      <c r="S43" s="1347"/>
      <c r="T43" s="1347"/>
      <c r="U43" s="1508"/>
      <c r="V43" s="1508"/>
      <c r="W43" s="1508"/>
      <c r="X43" s="1508"/>
      <c r="Y43" s="1508"/>
      <c r="Z43" s="1509"/>
      <c r="AA43" s="1510"/>
      <c r="AB43" s="1511"/>
      <c r="AC43" s="1511"/>
      <c r="AD43" s="1511"/>
      <c r="AE43" s="1511"/>
      <c r="AF43" s="1511"/>
      <c r="AG43" s="1511"/>
      <c r="AH43" s="1512"/>
      <c r="AI43" s="1511"/>
      <c r="AJ43" s="1511"/>
      <c r="AK43" s="1513"/>
      <c r="AZ43" s="3">
        <f>IF(ISNUMBER(MATCH(Z43,LANGUAGE!$C$138:$G$138,0)),1,IF(ISNUMBER(MATCH(Z43,LANGUAGE!$C$139:$G$139,0)),2,IF(ISNUMBER(MATCH(Z43,LANGUAGE!$C$140:$G$140,0)),3,0)))</f>
        <v>0</v>
      </c>
      <c r="BA43" s="3">
        <f>IF(ISNUMBER(MATCH(AJ43,LANGUAGE!$C$141:$G$141,0)),3,IF(ISNUMBER(MATCH(AJ43,LANGUAGE!$C$142:$G$142,0)),1,0))</f>
        <v>0</v>
      </c>
      <c r="BB43" s="3">
        <f t="shared" si="0"/>
        <v>0</v>
      </c>
      <c r="BD43" s="3" t="str">
        <f>IF(ISNUMBER(MATCH($AJ43,LANGUAGE!$C$141:$G$141,0)),$B43,"")</f>
        <v/>
      </c>
      <c r="BE43" s="3" t="str">
        <f>IF(ISNUMBER(MATCH($AJ43,LANGUAGE!$C$142:$G$142,0)),$B43,"")</f>
        <v/>
      </c>
    </row>
    <row r="44" spans="2:57" s="3" customFormat="1" ht="137.30000000000001" customHeight="1" x14ac:dyDescent="0.25">
      <c r="B44" s="800" t="s">
        <v>1822</v>
      </c>
      <c r="C44" s="1581" t="str">
        <f>HLOOKUP(LANGUAGE!$B$2,LANGUAGE!$C$14:$G$1500,540)</f>
        <v>Control Plan</v>
      </c>
      <c r="D44" s="1581"/>
      <c r="E44" s="1573" t="str">
        <f>HLOOKUP(LANGUAGE!$B$2,LANGUAGE!$C$14:$G$1500,541)</f>
        <v>Is the control plan available and are the special characteristics from Brose drawing included?</v>
      </c>
      <c r="F44" s="1573"/>
      <c r="G44" s="1573"/>
      <c r="H44" s="1573"/>
      <c r="I44" s="1573"/>
      <c r="J44" s="1573"/>
      <c r="K44" s="1573"/>
      <c r="L44" s="1573"/>
      <c r="M44" s="1573" t="str">
        <f>HLOOKUP(LANGUAGE!$B$2,LANGUAGE!$C$14:$G$1500,542)</f>
        <v>Annual revalidation requirements are in the control plan and match the F.S.
Does the document follow the process flow and PFMEA?
Special process characteristics out of PFMEA are considered.
Mandatory requirement for stamping suppliers approved for D-parts (strip steel processing):
Are the requirements of the Brose Standard BN590603-xxx  known and completely implemented?</v>
      </c>
      <c r="N44" s="1573"/>
      <c r="O44" s="1573"/>
      <c r="P44" s="1573"/>
      <c r="Q44" s="1573"/>
      <c r="R44" s="1573"/>
      <c r="S44" s="1573"/>
      <c r="T44" s="1573"/>
      <c r="U44" s="1508"/>
      <c r="V44" s="1508"/>
      <c r="W44" s="1508"/>
      <c r="X44" s="1508"/>
      <c r="Y44" s="1508"/>
      <c r="Z44" s="1509"/>
      <c r="AA44" s="1510"/>
      <c r="AB44" s="1511"/>
      <c r="AC44" s="1511"/>
      <c r="AD44" s="1511"/>
      <c r="AE44" s="1511"/>
      <c r="AF44" s="1511"/>
      <c r="AG44" s="1511"/>
      <c r="AH44" s="1512"/>
      <c r="AI44" s="1511"/>
      <c r="AJ44" s="1511"/>
      <c r="AK44" s="1513"/>
      <c r="AZ44" s="3">
        <f>IF(ISNUMBER(MATCH(Z44,LANGUAGE!$C$138:$G$138,0)),1,IF(ISNUMBER(MATCH(Z44,LANGUAGE!$C$139:$G$139,0)),2,IF(ISNUMBER(MATCH(Z44,LANGUAGE!$C$140:$G$140,0)),3,0)))</f>
        <v>0</v>
      </c>
      <c r="BA44" s="3">
        <f>IF(ISNUMBER(MATCH(AJ44,LANGUAGE!$C$141:$G$141,0)),3,IF(ISNUMBER(MATCH(AJ44,LANGUAGE!$C$142:$G$142,0)),1,0))</f>
        <v>0</v>
      </c>
      <c r="BB44" s="3">
        <f t="shared" si="0"/>
        <v>0</v>
      </c>
      <c r="BD44" s="3" t="str">
        <f>IF(ISNUMBER(MATCH($AJ44,LANGUAGE!$C$141:$G$141,0)),$B44,"")</f>
        <v/>
      </c>
      <c r="BE44" s="3" t="str">
        <f>IF(ISNUMBER(MATCH($AJ44,LANGUAGE!$C$142:$G$142,0)),$B44,"")</f>
        <v/>
      </c>
    </row>
    <row r="45" spans="2:57" s="3" customFormat="1" ht="45.7" customHeight="1" x14ac:dyDescent="0.25">
      <c r="B45" s="249" t="s">
        <v>1823</v>
      </c>
      <c r="C45" s="1345" t="str">
        <f>HLOOKUP(LANGUAGE!$B$2,LANGUAGE!$C$14:$G$1500,550)</f>
        <v>Test equipment planning</v>
      </c>
      <c r="D45" s="1345"/>
      <c r="E45" s="1347" t="str">
        <f>HLOOKUP(LANGUAGE!$B$2,LANGUAGE!$C$14:$G$1500,551)</f>
        <v>Is the test equipment plan plausible included in to the timing plan? Is a measurement comparison defined and coordinated with Brose?</v>
      </c>
      <c r="F45" s="1347"/>
      <c r="G45" s="1347"/>
      <c r="H45" s="1347"/>
      <c r="I45" s="1347"/>
      <c r="J45" s="1347"/>
      <c r="K45" s="1347"/>
      <c r="L45" s="1347"/>
      <c r="M45" s="1347" t="str">
        <f>HLOOKUP(LANGUAGE!$B$2,LANGUAGE!$C$14:$G$1500,552)</f>
        <v>Test equipment plan is available.</v>
      </c>
      <c r="N45" s="1347"/>
      <c r="O45" s="1347"/>
      <c r="P45" s="1347"/>
      <c r="Q45" s="1347"/>
      <c r="R45" s="1347"/>
      <c r="S45" s="1347"/>
      <c r="T45" s="1347"/>
      <c r="U45" s="1508"/>
      <c r="V45" s="1508"/>
      <c r="W45" s="1508"/>
      <c r="X45" s="1508"/>
      <c r="Y45" s="1508"/>
      <c r="Z45" s="1509"/>
      <c r="AA45" s="1510"/>
      <c r="AB45" s="1511"/>
      <c r="AC45" s="1511"/>
      <c r="AD45" s="1511"/>
      <c r="AE45" s="1511"/>
      <c r="AF45" s="1511"/>
      <c r="AG45" s="1511"/>
      <c r="AH45" s="1512"/>
      <c r="AI45" s="1511"/>
      <c r="AJ45" s="1511"/>
      <c r="AK45" s="1513"/>
      <c r="AZ45" s="3">
        <f>IF(ISNUMBER(MATCH(Z45,LANGUAGE!$C$138:$G$138,0)),1,IF(ISNUMBER(MATCH(Z45,LANGUAGE!$C$139:$G$139,0)),2,IF(ISNUMBER(MATCH(Z45,LANGUAGE!$C$140:$G$140,0)),3,0)))</f>
        <v>0</v>
      </c>
      <c r="BA45" s="3">
        <f>IF(ISNUMBER(MATCH(AJ45,LANGUAGE!$C$141:$G$141,0)),3,IF(ISNUMBER(MATCH(AJ45,LANGUAGE!$C$142:$G$142,0)),1,0))</f>
        <v>0</v>
      </c>
      <c r="BB45" s="3">
        <f t="shared" si="0"/>
        <v>0</v>
      </c>
      <c r="BD45" s="3" t="str">
        <f>IF(ISNUMBER(MATCH($AJ45,LANGUAGE!$C$141:$G$141,0)),$B45,"")</f>
        <v/>
      </c>
      <c r="BE45" s="3" t="str">
        <f>IF(ISNUMBER(MATCH($AJ45,LANGUAGE!$C$142:$G$142,0)),$B45,"")</f>
        <v/>
      </c>
    </row>
    <row r="46" spans="2:57" s="3" customFormat="1" ht="34.450000000000003" customHeight="1" x14ac:dyDescent="0.25">
      <c r="B46" s="248" t="s">
        <v>1824</v>
      </c>
      <c r="C46" s="1345" t="str">
        <f>HLOOKUP(LANGUAGE!$B$2,LANGUAGE!$C$14:$G$1500,560)</f>
        <v>Traceability</v>
      </c>
      <c r="D46" s="1345"/>
      <c r="E46" s="1347" t="str">
        <f>HLOOKUP(LANGUAGE!$B$2,LANGUAGE!$C$14:$G$1500,561)</f>
        <v>Will traceability be planned?</v>
      </c>
      <c r="F46" s="1347"/>
      <c r="G46" s="1347"/>
      <c r="H46" s="1347"/>
      <c r="I46" s="1347"/>
      <c r="J46" s="1347"/>
      <c r="K46" s="1347"/>
      <c r="L46" s="1347"/>
      <c r="M46" s="1347" t="str">
        <f>HLOOKUP(LANGUAGE!$B$2,LANGUAGE!$C$14:$G$1500,562)</f>
        <v>Identification and traceabibility is defined. Traceability level is defined.</v>
      </c>
      <c r="N46" s="1347"/>
      <c r="O46" s="1347"/>
      <c r="P46" s="1347"/>
      <c r="Q46" s="1347"/>
      <c r="R46" s="1347"/>
      <c r="S46" s="1347"/>
      <c r="T46" s="1347"/>
      <c r="U46" s="1508"/>
      <c r="V46" s="1508"/>
      <c r="W46" s="1508"/>
      <c r="X46" s="1508"/>
      <c r="Y46" s="1508"/>
      <c r="Z46" s="1509"/>
      <c r="AA46" s="1510"/>
      <c r="AB46" s="1511"/>
      <c r="AC46" s="1511"/>
      <c r="AD46" s="1511"/>
      <c r="AE46" s="1511"/>
      <c r="AF46" s="1511"/>
      <c r="AG46" s="1511"/>
      <c r="AH46" s="1512"/>
      <c r="AI46" s="1511"/>
      <c r="AJ46" s="1511"/>
      <c r="AK46" s="1513"/>
      <c r="AZ46" s="3">
        <f>IF(ISNUMBER(MATCH(Z46,LANGUAGE!$C$138:$G$138,0)),1,IF(ISNUMBER(MATCH(Z46,LANGUAGE!$C$139:$G$139,0)),2,IF(ISNUMBER(MATCH(Z46,LANGUAGE!$C$140:$G$140,0)),3,0)))</f>
        <v>0</v>
      </c>
      <c r="BA46" s="3">
        <f>IF(ISNUMBER(MATCH(AJ46,LANGUAGE!$C$141:$G$141,0)),3,IF(ISNUMBER(MATCH(AJ46,LANGUAGE!$C$142:$G$142,0)),1,0))</f>
        <v>0</v>
      </c>
      <c r="BB46" s="3">
        <f t="shared" si="0"/>
        <v>0</v>
      </c>
      <c r="BD46" s="3" t="str">
        <f>IF(ISNUMBER(MATCH($AJ46,LANGUAGE!$C$141:$G$141,0)),$B46,"")</f>
        <v/>
      </c>
      <c r="BE46" s="3" t="str">
        <f>IF(ISNUMBER(MATCH($AJ46,LANGUAGE!$C$142:$G$142,0)),$B46,"")</f>
        <v/>
      </c>
    </row>
    <row r="47" spans="2:57" s="3" customFormat="1" ht="48.7" customHeight="1" x14ac:dyDescent="0.25">
      <c r="B47" s="487" t="s">
        <v>1825</v>
      </c>
      <c r="C47" s="1580" t="str">
        <f>HLOOKUP(LANGUAGE!$B$2,LANGUAGE!$C$14:$G$1500,570)</f>
        <v>Technical cleanliness</v>
      </c>
      <c r="D47" s="1580"/>
      <c r="E47" s="1574" t="str">
        <f>HLOOKUP(LANGUAGE!$B$2,LANGUAGE!$C$14:$G$1500,571)</f>
        <v>How do supplier plan to ensure technical cleanliness requirement for this product (If required on drawing / Brose norm)?</v>
      </c>
      <c r="F47" s="1574"/>
      <c r="G47" s="1574"/>
      <c r="H47" s="1574"/>
      <c r="I47" s="1574"/>
      <c r="J47" s="1574"/>
      <c r="K47" s="1574"/>
      <c r="L47" s="1574"/>
      <c r="M47" s="1574" t="str">
        <f>HLOOKUP(LANGUAGE!$B$2,LANGUAGE!$C$14:$G$1500,572)</f>
        <v>Testing plan description.
Testing history available?</v>
      </c>
      <c r="N47" s="1574"/>
      <c r="O47" s="1574"/>
      <c r="P47" s="1574"/>
      <c r="Q47" s="1574"/>
      <c r="R47" s="1574"/>
      <c r="S47" s="1574"/>
      <c r="T47" s="1574"/>
      <c r="U47" s="1582"/>
      <c r="V47" s="1582"/>
      <c r="W47" s="1582"/>
      <c r="X47" s="1582"/>
      <c r="Y47" s="1582"/>
      <c r="Z47" s="1583"/>
      <c r="AA47" s="1584"/>
      <c r="AB47" s="1577"/>
      <c r="AC47" s="1577"/>
      <c r="AD47" s="1577"/>
      <c r="AE47" s="1577"/>
      <c r="AF47" s="1577"/>
      <c r="AG47" s="1577"/>
      <c r="AH47" s="1576"/>
      <c r="AI47" s="1577"/>
      <c r="AJ47" s="1577"/>
      <c r="AK47" s="1578"/>
      <c r="AZ47" s="3">
        <f>IF(ISNUMBER(MATCH(Z47,LANGUAGE!$C$138:$G$138,0)),1,IF(ISNUMBER(MATCH(Z47,LANGUAGE!$C$139:$G$139,0)),2,IF(ISNUMBER(MATCH(Z47,LANGUAGE!$C$140:$G$140,0)),3,0)))</f>
        <v>0</v>
      </c>
      <c r="BA47" s="3">
        <f>IF(ISNUMBER(MATCH(AJ47,LANGUAGE!$C$141:$G$141,0)),3,IF(ISNUMBER(MATCH(AJ47,LANGUAGE!$C$142:$G$142,0)),1,0))</f>
        <v>0</v>
      </c>
      <c r="BB47" s="3">
        <f t="shared" si="0"/>
        <v>0</v>
      </c>
      <c r="BD47" s="3" t="str">
        <f>IF(ISNUMBER(MATCH($AJ47,LANGUAGE!$C$141:$G$141,0)),$B47,"")</f>
        <v/>
      </c>
      <c r="BE47" s="3" t="str">
        <f>IF(ISNUMBER(MATCH($AJ47,LANGUAGE!$C$142:$G$142,0)),$B47,"")</f>
        <v/>
      </c>
    </row>
    <row r="48" spans="2:57" s="3" customFormat="1" ht="66.7" customHeight="1" thickBot="1" x14ac:dyDescent="0.3">
      <c r="B48" s="247" t="s">
        <v>1826</v>
      </c>
      <c r="C48" s="1392" t="str">
        <f>HLOOKUP(LANGUAGE!$B$2,LANGUAGE!$C$14:$G$1500,574)</f>
        <v>FFA Field Failure Analysis</v>
      </c>
      <c r="D48" s="1392"/>
      <c r="E48" s="1334" t="str">
        <f>HLOOKUP(LANGUAGE!$B$2,LANGUAGE!$C$14:$G$1500,575)</f>
        <v>Are there plans for the escalating test step concept with part analysis (standard test and test under load) and No-Trouble-Found (NTF) process (with triggering criteria) available?</v>
      </c>
      <c r="F48" s="1334"/>
      <c r="G48" s="1334"/>
      <c r="H48" s="1334"/>
      <c r="I48" s="1334"/>
      <c r="J48" s="1334"/>
      <c r="K48" s="1334"/>
      <c r="L48" s="1334"/>
      <c r="M48" s="1334" t="str">
        <f>HLOOKUP(LANGUAGE!$B$2,LANGUAGE!$C$14:$G$1500,576)</f>
        <v>Min. according to VDA Field Failure Analysis &amp; Audit Standard?
customer-specific requirements (CSR) taken into account? Test setup planned (see Q1.5)?
Inclusion / commitment supply chain ensured?</v>
      </c>
      <c r="N48" s="1334"/>
      <c r="O48" s="1334"/>
      <c r="P48" s="1334"/>
      <c r="Q48" s="1334"/>
      <c r="R48" s="1334"/>
      <c r="S48" s="1334"/>
      <c r="T48" s="1334"/>
      <c r="U48" s="1414"/>
      <c r="V48" s="1414"/>
      <c r="W48" s="1414"/>
      <c r="X48" s="1414"/>
      <c r="Y48" s="1414"/>
      <c r="Z48" s="1514"/>
      <c r="AA48" s="1415"/>
      <c r="AB48" s="1404"/>
      <c r="AC48" s="1404"/>
      <c r="AD48" s="1404"/>
      <c r="AE48" s="1404"/>
      <c r="AF48" s="1404"/>
      <c r="AG48" s="1404"/>
      <c r="AH48" s="1403"/>
      <c r="AI48" s="1404"/>
      <c r="AJ48" s="1404"/>
      <c r="AK48" s="1405"/>
      <c r="AZ48" s="3">
        <f>IF(ISNUMBER(MATCH(Z48,LANGUAGE!$C$138:$G$138,0)),1,IF(ISNUMBER(MATCH(Z48,LANGUAGE!$C$139:$G$139,0)),2,IF(ISNUMBER(MATCH(Z48,LANGUAGE!$C$140:$G$140,0)),3,0)))</f>
        <v>0</v>
      </c>
      <c r="BA48" s="3">
        <f>IF(ISNUMBER(MATCH(AJ48,LANGUAGE!$C$141:$G$141,0)),3,IF(ISNUMBER(MATCH(AJ48,LANGUAGE!$C$142:$G$142,0)),1,0))</f>
        <v>0</v>
      </c>
      <c r="BB48" s="3">
        <f t="shared" ref="BB48" si="1">IF(AND(AZ48&gt;1,BA48=0),10,AZ48+BA48)</f>
        <v>0</v>
      </c>
      <c r="BD48" s="3" t="str">
        <f>IF(ISNUMBER(MATCH($AJ48,LANGUAGE!$C$141:$G$141,0)),$B48,"")</f>
        <v/>
      </c>
      <c r="BE48" s="3" t="str">
        <f>IF(ISNUMBER(MATCH($AJ48,LANGUAGE!$C$142:$G$142,0)),$B48,"")</f>
        <v/>
      </c>
    </row>
    <row r="49" spans="2:57" s="3" customFormat="1" ht="17.7" customHeight="1" thickBot="1" x14ac:dyDescent="0.3">
      <c r="M49" s="155"/>
      <c r="BD49" s="3" t="str">
        <f>IF(ISNUMBER(MATCH($AJ49,LANGUAGE!$C$141:$G$141,0)),$B49,"")</f>
        <v/>
      </c>
      <c r="BE49" s="3" t="str">
        <f>IF(ISNUMBER(MATCH($AJ49,LANGUAGE!$C$142:$G$142,0)),$B49,"")</f>
        <v/>
      </c>
    </row>
    <row r="50" spans="2:57" s="3" customFormat="1" ht="17.7" customHeight="1" x14ac:dyDescent="0.25">
      <c r="B50" s="1406" t="str">
        <f>HLOOKUP(LANGUAGE!$B$2,LANGUAGE!$C$14:$G$1500,79)</f>
        <v>Sub-supplier</v>
      </c>
      <c r="C50" s="1407"/>
      <c r="D50" s="1407"/>
      <c r="E50" s="1407"/>
      <c r="F50" s="1407"/>
      <c r="G50" s="1407"/>
      <c r="H50" s="1407"/>
      <c r="I50" s="1407"/>
      <c r="J50" s="1407"/>
      <c r="K50" s="1407"/>
      <c r="L50" s="1407"/>
      <c r="M50" s="1407"/>
      <c r="N50" s="1407"/>
      <c r="O50" s="1407"/>
      <c r="P50" s="1407"/>
      <c r="Q50" s="1407"/>
      <c r="R50" s="1407"/>
      <c r="S50" s="1407"/>
      <c r="T50" s="1407"/>
      <c r="U50" s="1407"/>
      <c r="V50" s="1407"/>
      <c r="W50" s="1407"/>
      <c r="X50" s="1407"/>
      <c r="Y50" s="1407"/>
      <c r="Z50" s="1407"/>
      <c r="AA50" s="1407"/>
      <c r="AB50" s="1407"/>
      <c r="AC50" s="1407"/>
      <c r="AD50" s="1407"/>
      <c r="AE50" s="1407"/>
      <c r="AF50" s="1407"/>
      <c r="AG50" s="1407"/>
      <c r="AH50" s="1407"/>
      <c r="AI50" s="1407"/>
      <c r="AJ50" s="1407"/>
      <c r="AK50" s="1408"/>
      <c r="BD50" s="3" t="str">
        <f>IF(ISNUMBER(MATCH($AJ50,LANGUAGE!$C$141:$G$141,0)),$B50,"")</f>
        <v/>
      </c>
      <c r="BE50" s="3" t="str">
        <f>IF(ISNUMBER(MATCH($AJ50,LANGUAGE!$C$142:$G$142,0)),$B50,"")</f>
        <v/>
      </c>
    </row>
    <row r="51" spans="2:57" s="3" customFormat="1" ht="17.7" customHeight="1" x14ac:dyDescent="0.25">
      <c r="B51" s="1409"/>
      <c r="C51" s="1410"/>
      <c r="D51" s="1410"/>
      <c r="E51" s="1410"/>
      <c r="F51" s="1410"/>
      <c r="G51" s="1410"/>
      <c r="H51" s="1410"/>
      <c r="I51" s="1410"/>
      <c r="J51" s="1410"/>
      <c r="K51" s="1410"/>
      <c r="L51" s="1410"/>
      <c r="M51" s="1410"/>
      <c r="N51" s="1410"/>
      <c r="O51" s="1410"/>
      <c r="P51" s="1410"/>
      <c r="Q51" s="1410"/>
      <c r="R51" s="1410"/>
      <c r="S51" s="1410"/>
      <c r="T51" s="1410"/>
      <c r="U51" s="1410"/>
      <c r="V51" s="1410"/>
      <c r="W51" s="1410"/>
      <c r="X51" s="1410"/>
      <c r="Y51" s="1410"/>
      <c r="Z51" s="1410"/>
      <c r="AA51" s="1410"/>
      <c r="AB51" s="1410"/>
      <c r="AC51" s="1410"/>
      <c r="AD51" s="1410"/>
      <c r="AE51" s="1410"/>
      <c r="AF51" s="1410"/>
      <c r="AG51" s="1410"/>
      <c r="AH51" s="1410"/>
      <c r="AI51" s="1410"/>
      <c r="AJ51" s="1410"/>
      <c r="AK51" s="1411"/>
      <c r="BD51" s="3" t="str">
        <f>IF(ISNUMBER(MATCH($AJ51,LANGUAGE!$C$141:$G$141,0)),$B51,"")</f>
        <v/>
      </c>
      <c r="BE51" s="3" t="str">
        <f>IF(ISNUMBER(MATCH($AJ51,LANGUAGE!$C$142:$G$142,0)),$B51,"")</f>
        <v/>
      </c>
    </row>
    <row r="52" spans="2:57" s="3" customFormat="1" ht="17.7" customHeight="1" x14ac:dyDescent="0.25">
      <c r="B52" s="1002" t="str">
        <f>HLOOKUP(LANGUAGE!$B$2,LANGUAGE!$C$14:$G$1500,91)</f>
        <v>No.</v>
      </c>
      <c r="C52" s="1412" t="str">
        <f>HLOOKUP(LANGUAGE!$B$2,LANGUAGE!$C$14:$G$1500,73)</f>
        <v>Topic</v>
      </c>
      <c r="D52" s="1412"/>
      <c r="E52" s="1003" t="str">
        <f>HLOOKUP(LANGUAGE!$B$2,LANGUAGE!$C$14:$G$1500,92)</f>
        <v>Question</v>
      </c>
      <c r="F52" s="1003"/>
      <c r="G52" s="1003"/>
      <c r="H52" s="1003"/>
      <c r="I52" s="1003"/>
      <c r="J52" s="1003"/>
      <c r="K52" s="1003"/>
      <c r="L52" s="1003"/>
      <c r="M52" s="1003" t="str">
        <f>HLOOKUP(LANGUAGE!$B$2,LANGUAGE!$C$14:$G$1500,93)</f>
        <v>Notes</v>
      </c>
      <c r="N52" s="1003"/>
      <c r="O52" s="1003"/>
      <c r="P52" s="1003"/>
      <c r="Q52" s="1003"/>
      <c r="R52" s="1003"/>
      <c r="S52" s="1003"/>
      <c r="T52" s="1003"/>
      <c r="U52" s="1203" t="str">
        <f>HLOOKUP(LANGUAGE!$B$2,LANGUAGE!$C$14:$G$1500,114)</f>
        <v>Remarks</v>
      </c>
      <c r="V52" s="1203"/>
      <c r="W52" s="1203"/>
      <c r="X52" s="1203"/>
      <c r="Y52" s="1203"/>
      <c r="Z52" s="1003" t="str">
        <f>HLOOKUP(LANGUAGE!$B$2,LANGUAGE!$C$14:$G$1500,74)</f>
        <v>Evaluation</v>
      </c>
      <c r="AA52" s="1003"/>
      <c r="AB52" s="1003" t="str">
        <f>HLOOKUP(LANGUAGE!$B$2,LANGUAGE!$C$14:$G$1500,95)</f>
        <v>Action</v>
      </c>
      <c r="AC52" s="1003"/>
      <c r="AD52" s="1003"/>
      <c r="AE52" s="1203" t="str">
        <f>HLOOKUP(LANGUAGE!$B$2,LANGUAGE!$C$14:$G$1500,96)</f>
        <v>Responsible</v>
      </c>
      <c r="AF52" s="1203"/>
      <c r="AG52" s="1203"/>
      <c r="AH52" s="1003" t="str">
        <f>HLOOKUP(LANGUAGE!$B$2,LANGUAGE!$C$14:$G$1500,21)</f>
        <v>Date</v>
      </c>
      <c r="AI52" s="1003"/>
      <c r="AJ52" s="1003" t="str">
        <f>HLOOKUP(LANGUAGE!$B$2,LANGUAGE!$C$14:$G$1500,75)</f>
        <v>Action status</v>
      </c>
      <c r="AK52" s="1413"/>
      <c r="BD52" s="3" t="str">
        <f>IF(ISNUMBER(MATCH($AJ52,LANGUAGE!$C$141:$G$141,0)),$B52,"")</f>
        <v/>
      </c>
      <c r="BE52" s="3" t="str">
        <f>IF(ISNUMBER(MATCH($AJ52,LANGUAGE!$C$142:$G$142,0)),$B52,"")</f>
        <v/>
      </c>
    </row>
    <row r="53" spans="2:57" s="3" customFormat="1" ht="17.7" customHeight="1" x14ac:dyDescent="0.25">
      <c r="B53" s="1002"/>
      <c r="C53" s="1412"/>
      <c r="D53" s="1412"/>
      <c r="E53" s="1003"/>
      <c r="F53" s="1003"/>
      <c r="G53" s="1003"/>
      <c r="H53" s="1003"/>
      <c r="I53" s="1003"/>
      <c r="J53" s="1003"/>
      <c r="K53" s="1003"/>
      <c r="L53" s="1003"/>
      <c r="M53" s="1003"/>
      <c r="N53" s="1003"/>
      <c r="O53" s="1003"/>
      <c r="P53" s="1003"/>
      <c r="Q53" s="1003"/>
      <c r="R53" s="1003"/>
      <c r="S53" s="1003"/>
      <c r="T53" s="1003"/>
      <c r="U53" s="1203"/>
      <c r="V53" s="1203"/>
      <c r="W53" s="1203"/>
      <c r="X53" s="1203"/>
      <c r="Y53" s="1203"/>
      <c r="Z53" s="1003"/>
      <c r="AA53" s="1003"/>
      <c r="AB53" s="1003"/>
      <c r="AC53" s="1003"/>
      <c r="AD53" s="1003"/>
      <c r="AE53" s="1203"/>
      <c r="AF53" s="1203"/>
      <c r="AG53" s="1203"/>
      <c r="AH53" s="1003"/>
      <c r="AI53" s="1003"/>
      <c r="AJ53" s="1003"/>
      <c r="AK53" s="1413"/>
      <c r="BD53" s="3" t="str">
        <f>IF(BD54&lt;&gt;"",BD54&amp;" ","")</f>
        <v/>
      </c>
      <c r="BE53" s="3" t="str">
        <f>IF(BE54&lt;&gt;"",BE54&amp;" ","")</f>
        <v/>
      </c>
    </row>
    <row r="54" spans="2:57" s="3" customFormat="1" ht="75" customHeight="1" thickBot="1" x14ac:dyDescent="0.3">
      <c r="B54" s="247" t="s">
        <v>1827</v>
      </c>
      <c r="C54" s="1392" t="str">
        <f>HLOOKUP(LANGUAGE!$B$2,LANGUAGE!$C$14:$G$1500,580)</f>
        <v>Contract system sub-suppliers</v>
      </c>
      <c r="D54" s="1392"/>
      <c r="E54" s="1572" t="str">
        <f>HLOOKUP(LANGUAGE!$B$2,LANGUAGE!$C$14:$G$1500,581)</f>
        <v>Are all sub-suppliers for serial production contracted and have they confirmed the feasibility? 
Are customer specific requirements (CSR) and special characteristics submitted to the sub-suppliers?</v>
      </c>
      <c r="F54" s="1572"/>
      <c r="G54" s="1572"/>
      <c r="H54" s="1572"/>
      <c r="I54" s="1572"/>
      <c r="J54" s="1572"/>
      <c r="K54" s="1572"/>
      <c r="L54" s="1572"/>
      <c r="M54" s="1572" t="str">
        <f>HLOOKUP(LANGUAGE!$B$2,LANGUAGE!$C$14:$G$1500,582)</f>
        <v>The supplier can verify order acceptance by sub-suppliers.</v>
      </c>
      <c r="N54" s="1572"/>
      <c r="O54" s="1572"/>
      <c r="P54" s="1572"/>
      <c r="Q54" s="1572"/>
      <c r="R54" s="1572"/>
      <c r="S54" s="1572"/>
      <c r="T54" s="1572"/>
      <c r="U54" s="1414"/>
      <c r="V54" s="1414"/>
      <c r="W54" s="1414"/>
      <c r="X54" s="1414"/>
      <c r="Y54" s="1414"/>
      <c r="Z54" s="1415"/>
      <c r="AA54" s="1415"/>
      <c r="AB54" s="1404"/>
      <c r="AC54" s="1404"/>
      <c r="AD54" s="1404"/>
      <c r="AE54" s="1404"/>
      <c r="AF54" s="1404"/>
      <c r="AG54" s="1404"/>
      <c r="AH54" s="1403"/>
      <c r="AI54" s="1404"/>
      <c r="AJ54" s="1404"/>
      <c r="AK54" s="1405"/>
      <c r="AZ54" s="3">
        <f>IF(ISNUMBER(MATCH(Z54,LANGUAGE!$C$138:$G$138,0)),1,IF(ISNUMBER(MATCH(Z54,LANGUAGE!$C$139:$G$139,0)),2,IF(ISNUMBER(MATCH(Z54,LANGUAGE!$C$140:$G$140,0)),3,0)))</f>
        <v>0</v>
      </c>
      <c r="BA54" s="3">
        <f>IF(ISNUMBER(MATCH(AJ54,LANGUAGE!$C$141:$G$141,0)),3,IF(ISNUMBER(MATCH(AJ54,LANGUAGE!$C$142:$G$142,0)),1,0))</f>
        <v>0</v>
      </c>
      <c r="BB54" s="3">
        <f t="shared" si="0"/>
        <v>0</v>
      </c>
      <c r="BD54" s="3" t="str">
        <f>IF(ISNUMBER(MATCH($AJ54,LANGUAGE!$C$141:$G$141,0)),$B54,"")</f>
        <v/>
      </c>
      <c r="BE54" s="3" t="str">
        <f>IF(ISNUMBER(MATCH($AJ54,LANGUAGE!$C$142:$G$142,0)),$B54,"")</f>
        <v/>
      </c>
    </row>
    <row r="55" spans="2:57" s="3" customFormat="1" ht="17.7" customHeight="1" thickBot="1" x14ac:dyDescent="0.3">
      <c r="M55" s="155"/>
    </row>
    <row r="56" spans="2:57" s="3" customFormat="1" ht="17.850000000000001" customHeight="1" x14ac:dyDescent="0.25">
      <c r="B56" s="1394" t="str">
        <f>HLOOKUP(LANGUAGE!$B$2,LANGUAGE!$C$14:$G$1500,114)</f>
        <v>Remarks</v>
      </c>
      <c r="C56" s="1395"/>
      <c r="D56" s="1395"/>
      <c r="E56" s="1395"/>
      <c r="F56" s="1395"/>
      <c r="G56" s="1395"/>
      <c r="H56" s="1395"/>
      <c r="I56" s="1395"/>
      <c r="J56" s="1395"/>
      <c r="K56" s="1395"/>
      <c r="L56" s="1395"/>
      <c r="M56" s="1395"/>
      <c r="N56" s="1395"/>
      <c r="O56" s="1395"/>
      <c r="P56" s="1395"/>
      <c r="Q56" s="1395"/>
      <c r="R56" s="1395"/>
      <c r="S56" s="1395"/>
      <c r="T56" s="1395"/>
      <c r="U56" s="1395"/>
      <c r="V56" s="1395"/>
      <c r="W56" s="1395"/>
      <c r="X56" s="1395"/>
      <c r="Y56" s="1395"/>
      <c r="Z56" s="1395"/>
      <c r="AA56" s="1395"/>
      <c r="AB56" s="1395"/>
      <c r="AC56" s="1395"/>
      <c r="AD56" s="1395"/>
      <c r="AE56" s="1395"/>
      <c r="AF56" s="1395"/>
      <c r="AG56" s="1395"/>
      <c r="AH56" s="1395"/>
      <c r="AI56" s="1395"/>
      <c r="AJ56" s="1395"/>
      <c r="AK56" s="1396"/>
    </row>
    <row r="57" spans="2:57" s="3" customFormat="1" ht="17.850000000000001" customHeight="1" x14ac:dyDescent="0.25">
      <c r="B57" s="1397"/>
      <c r="C57" s="1398"/>
      <c r="D57" s="1398"/>
      <c r="E57" s="1398"/>
      <c r="F57" s="1398"/>
      <c r="G57" s="1398"/>
      <c r="H57" s="1398"/>
      <c r="I57" s="1398"/>
      <c r="J57" s="1398"/>
      <c r="K57" s="1398"/>
      <c r="L57" s="1398"/>
      <c r="M57" s="1398"/>
      <c r="N57" s="1398"/>
      <c r="O57" s="1398"/>
      <c r="P57" s="1398"/>
      <c r="Q57" s="1398"/>
      <c r="R57" s="1398"/>
      <c r="S57" s="1398"/>
      <c r="T57" s="1398"/>
      <c r="U57" s="1398"/>
      <c r="V57" s="1398"/>
      <c r="W57" s="1398"/>
      <c r="X57" s="1398"/>
      <c r="Y57" s="1398"/>
      <c r="Z57" s="1398"/>
      <c r="AA57" s="1398"/>
      <c r="AB57" s="1398"/>
      <c r="AC57" s="1398"/>
      <c r="AD57" s="1398"/>
      <c r="AE57" s="1398"/>
      <c r="AF57" s="1398"/>
      <c r="AG57" s="1398"/>
      <c r="AH57" s="1398"/>
      <c r="AI57" s="1398"/>
      <c r="AJ57" s="1398"/>
      <c r="AK57" s="1399"/>
    </row>
    <row r="58" spans="2:57" s="3" customFormat="1" ht="17.850000000000001" customHeight="1" x14ac:dyDescent="0.25">
      <c r="B58" s="1397"/>
      <c r="C58" s="1398"/>
      <c r="D58" s="1398"/>
      <c r="E58" s="1398"/>
      <c r="F58" s="1398"/>
      <c r="G58" s="1398"/>
      <c r="H58" s="1398"/>
      <c r="I58" s="1398"/>
      <c r="J58" s="1398"/>
      <c r="K58" s="1398"/>
      <c r="L58" s="1398"/>
      <c r="M58" s="1398"/>
      <c r="N58" s="1398"/>
      <c r="O58" s="1398"/>
      <c r="P58" s="1398"/>
      <c r="Q58" s="1398"/>
      <c r="R58" s="1398"/>
      <c r="S58" s="1398"/>
      <c r="T58" s="1398"/>
      <c r="U58" s="1398"/>
      <c r="V58" s="1398"/>
      <c r="W58" s="1398"/>
      <c r="X58" s="1398"/>
      <c r="Y58" s="1398"/>
      <c r="Z58" s="1398"/>
      <c r="AA58" s="1398"/>
      <c r="AB58" s="1398"/>
      <c r="AC58" s="1398"/>
      <c r="AD58" s="1398"/>
      <c r="AE58" s="1398"/>
      <c r="AF58" s="1398"/>
      <c r="AG58" s="1398"/>
      <c r="AH58" s="1398"/>
      <c r="AI58" s="1398"/>
      <c r="AJ58" s="1398"/>
      <c r="AK58" s="1399"/>
    </row>
    <row r="59" spans="2:57" s="3" customFormat="1" ht="17.850000000000001" customHeight="1" thickBot="1" x14ac:dyDescent="0.3">
      <c r="B59" s="1400"/>
      <c r="C59" s="1401"/>
      <c r="D59" s="1401"/>
      <c r="E59" s="1401"/>
      <c r="F59" s="1401"/>
      <c r="G59" s="1401"/>
      <c r="H59" s="1401"/>
      <c r="I59" s="1401"/>
      <c r="J59" s="1401"/>
      <c r="K59" s="1401"/>
      <c r="L59" s="1401"/>
      <c r="M59" s="1401"/>
      <c r="N59" s="1401"/>
      <c r="O59" s="1401"/>
      <c r="P59" s="1401"/>
      <c r="Q59" s="1401"/>
      <c r="R59" s="1401"/>
      <c r="S59" s="1401"/>
      <c r="T59" s="1401"/>
      <c r="U59" s="1401"/>
      <c r="V59" s="1401"/>
      <c r="W59" s="1401"/>
      <c r="X59" s="1401"/>
      <c r="Y59" s="1401"/>
      <c r="Z59" s="1401"/>
      <c r="AA59" s="1401"/>
      <c r="AB59" s="1401"/>
      <c r="AC59" s="1401"/>
      <c r="AD59" s="1401"/>
      <c r="AE59" s="1401"/>
      <c r="AF59" s="1401"/>
      <c r="AG59" s="1401"/>
      <c r="AH59" s="1401"/>
      <c r="AI59" s="1401"/>
      <c r="AJ59" s="1401"/>
      <c r="AK59" s="1402"/>
    </row>
    <row r="60" spans="2:57" s="3" customFormat="1" ht="17.850000000000001" customHeight="1" x14ac:dyDescent="0.25">
      <c r="M60" s="155"/>
    </row>
    <row r="61" spans="2:57" s="3" customFormat="1" ht="17.850000000000001" customHeight="1" thickBot="1" x14ac:dyDescent="0.3">
      <c r="M61" s="155"/>
    </row>
    <row r="62" spans="2:57" s="3" customFormat="1" ht="17.7" customHeight="1" x14ac:dyDescent="0.25">
      <c r="B62" s="1266" t="str">
        <f>HLOOKUP(LANGUAGE!$B$2,LANGUAGE!$C$14:$G$1500,116)</f>
        <v>Department</v>
      </c>
      <c r="C62" s="1267"/>
      <c r="D62" s="1267"/>
      <c r="E62" s="1267"/>
      <c r="F62" s="1267"/>
      <c r="G62" s="1267" t="str">
        <f>HLOOKUP(LANGUAGE!$B$2,LANGUAGE!$C$14:$G$1500,117)</f>
        <v>Participants Supplier</v>
      </c>
      <c r="H62" s="1267"/>
      <c r="I62" s="1267"/>
      <c r="J62" s="1267"/>
      <c r="K62" s="1267"/>
      <c r="L62" s="1267"/>
      <c r="M62" s="1267"/>
      <c r="N62" s="1267"/>
      <c r="O62" s="1267" t="str">
        <f>HLOOKUP(LANGUAGE!$B$2,LANGUAGE!$C$14:$G$1500,21)</f>
        <v>Date</v>
      </c>
      <c r="P62" s="1267"/>
      <c r="Q62" s="1267"/>
      <c r="R62" s="1268"/>
      <c r="U62" s="1266" t="str">
        <f>HLOOKUP(LANGUAGE!$B$2,LANGUAGE!$C$14:$G$1500,116)</f>
        <v>Department</v>
      </c>
      <c r="V62" s="1267"/>
      <c r="W62" s="1267"/>
      <c r="X62" s="1267"/>
      <c r="Y62" s="1267"/>
      <c r="Z62" s="1267" t="str">
        <f>HLOOKUP(LANGUAGE!$B$2,LANGUAGE!$C$14:$G$1500,118)</f>
        <v>Participants Brose</v>
      </c>
      <c r="AA62" s="1267"/>
      <c r="AB62" s="1267"/>
      <c r="AC62" s="1267"/>
      <c r="AD62" s="1267"/>
      <c r="AE62" s="1267"/>
      <c r="AF62" s="1267"/>
      <c r="AG62" s="1267"/>
      <c r="AH62" s="1267" t="str">
        <f>HLOOKUP(LANGUAGE!$B$2,LANGUAGE!$C$14:$G$1500,21)</f>
        <v>Date</v>
      </c>
      <c r="AI62" s="1267"/>
      <c r="AJ62" s="1267"/>
      <c r="AK62" s="1268"/>
    </row>
    <row r="63" spans="2:57" s="3" customFormat="1" ht="17.7" customHeight="1" x14ac:dyDescent="0.25">
      <c r="B63" s="1375"/>
      <c r="C63" s="1376"/>
      <c r="D63" s="1376"/>
      <c r="E63" s="1376"/>
      <c r="F63" s="1376"/>
      <c r="G63" s="1376"/>
      <c r="H63" s="1376"/>
      <c r="I63" s="1376"/>
      <c r="J63" s="1376"/>
      <c r="K63" s="1376"/>
      <c r="L63" s="1376"/>
      <c r="M63" s="1376"/>
      <c r="N63" s="1376"/>
      <c r="O63" s="1383" t="str">
        <f>IF(AG6="","",AG6)</f>
        <v/>
      </c>
      <c r="P63" s="1383"/>
      <c r="Q63" s="1383"/>
      <c r="R63" s="1384"/>
      <c r="U63" s="1375"/>
      <c r="V63" s="1376"/>
      <c r="W63" s="1376"/>
      <c r="X63" s="1376"/>
      <c r="Y63" s="1376"/>
      <c r="Z63" s="1376"/>
      <c r="AA63" s="1376"/>
      <c r="AB63" s="1376"/>
      <c r="AC63" s="1376"/>
      <c r="AD63" s="1376"/>
      <c r="AE63" s="1376"/>
      <c r="AF63" s="1376"/>
      <c r="AG63" s="1376"/>
      <c r="AH63" s="1383" t="str">
        <f>IF(AG6="","",AG6)</f>
        <v/>
      </c>
      <c r="AI63" s="1383"/>
      <c r="AJ63" s="1383"/>
      <c r="AK63" s="1384"/>
    </row>
    <row r="64" spans="2:57" s="3" customFormat="1" ht="17.7" customHeight="1" x14ac:dyDescent="0.25">
      <c r="B64" s="1375"/>
      <c r="C64" s="1376"/>
      <c r="D64" s="1376"/>
      <c r="E64" s="1376"/>
      <c r="F64" s="1376"/>
      <c r="G64" s="1376"/>
      <c r="H64" s="1376"/>
      <c r="I64" s="1376"/>
      <c r="J64" s="1376"/>
      <c r="K64" s="1376"/>
      <c r="L64" s="1376"/>
      <c r="M64" s="1376"/>
      <c r="N64" s="1376"/>
      <c r="O64" s="1383"/>
      <c r="P64" s="1383"/>
      <c r="Q64" s="1383"/>
      <c r="R64" s="1384"/>
      <c r="U64" s="1375"/>
      <c r="V64" s="1376"/>
      <c r="W64" s="1376"/>
      <c r="X64" s="1376"/>
      <c r="Y64" s="1376"/>
      <c r="Z64" s="1376"/>
      <c r="AA64" s="1376"/>
      <c r="AB64" s="1376"/>
      <c r="AC64" s="1376"/>
      <c r="AD64" s="1376"/>
      <c r="AE64" s="1376"/>
      <c r="AF64" s="1376"/>
      <c r="AG64" s="1376"/>
      <c r="AH64" s="1383"/>
      <c r="AI64" s="1383"/>
      <c r="AJ64" s="1383"/>
      <c r="AK64" s="1384"/>
    </row>
    <row r="65" spans="2:37" s="3" customFormat="1" ht="17.7" customHeight="1" x14ac:dyDescent="0.25">
      <c r="B65" s="1375"/>
      <c r="C65" s="1376"/>
      <c r="D65" s="1376"/>
      <c r="E65" s="1376"/>
      <c r="F65" s="1376"/>
      <c r="G65" s="1376"/>
      <c r="H65" s="1376"/>
      <c r="I65" s="1376"/>
      <c r="J65" s="1376"/>
      <c r="K65" s="1376"/>
      <c r="L65" s="1376"/>
      <c r="M65" s="1376"/>
      <c r="N65" s="1376"/>
      <c r="O65" s="1383"/>
      <c r="P65" s="1383"/>
      <c r="Q65" s="1383"/>
      <c r="R65" s="1384"/>
      <c r="U65" s="1375"/>
      <c r="V65" s="1376"/>
      <c r="W65" s="1376"/>
      <c r="X65" s="1376"/>
      <c r="Y65" s="1376"/>
      <c r="Z65" s="1376"/>
      <c r="AA65" s="1376"/>
      <c r="AB65" s="1376"/>
      <c r="AC65" s="1376"/>
      <c r="AD65" s="1376"/>
      <c r="AE65" s="1376"/>
      <c r="AF65" s="1376"/>
      <c r="AG65" s="1376"/>
      <c r="AH65" s="1383"/>
      <c r="AI65" s="1383"/>
      <c r="AJ65" s="1383"/>
      <c r="AK65" s="1384"/>
    </row>
    <row r="66" spans="2:37" s="3" customFormat="1" ht="17.7" customHeight="1" x14ac:dyDescent="0.25">
      <c r="B66" s="1375"/>
      <c r="C66" s="1376"/>
      <c r="D66" s="1376"/>
      <c r="E66" s="1376"/>
      <c r="F66" s="1376"/>
      <c r="G66" s="1376"/>
      <c r="H66" s="1376"/>
      <c r="I66" s="1376"/>
      <c r="J66" s="1376"/>
      <c r="K66" s="1376"/>
      <c r="L66" s="1376"/>
      <c r="M66" s="1376"/>
      <c r="N66" s="1376"/>
      <c r="O66" s="1383"/>
      <c r="P66" s="1383"/>
      <c r="Q66" s="1383"/>
      <c r="R66" s="1384"/>
      <c r="U66" s="1375"/>
      <c r="V66" s="1376"/>
      <c r="W66" s="1376"/>
      <c r="X66" s="1376"/>
      <c r="Y66" s="1376"/>
      <c r="Z66" s="1376"/>
      <c r="AA66" s="1376"/>
      <c r="AB66" s="1376"/>
      <c r="AC66" s="1376"/>
      <c r="AD66" s="1376"/>
      <c r="AE66" s="1376"/>
      <c r="AF66" s="1376"/>
      <c r="AG66" s="1376"/>
      <c r="AH66" s="1383"/>
      <c r="AI66" s="1383"/>
      <c r="AJ66" s="1383"/>
      <c r="AK66" s="1384"/>
    </row>
    <row r="67" spans="2:37" s="3" customFormat="1" ht="17.7" customHeight="1" x14ac:dyDescent="0.25">
      <c r="B67" s="1375"/>
      <c r="C67" s="1376"/>
      <c r="D67" s="1376"/>
      <c r="E67" s="1376"/>
      <c r="F67" s="1376"/>
      <c r="G67" s="1376"/>
      <c r="H67" s="1376"/>
      <c r="I67" s="1376"/>
      <c r="J67" s="1376"/>
      <c r="K67" s="1376"/>
      <c r="L67" s="1376"/>
      <c r="M67" s="1376"/>
      <c r="N67" s="1376"/>
      <c r="O67" s="1383"/>
      <c r="P67" s="1383"/>
      <c r="Q67" s="1383"/>
      <c r="R67" s="1384"/>
      <c r="U67" s="1375"/>
      <c r="V67" s="1376"/>
      <c r="W67" s="1376"/>
      <c r="X67" s="1376"/>
      <c r="Y67" s="1376"/>
      <c r="Z67" s="1376"/>
      <c r="AA67" s="1376"/>
      <c r="AB67" s="1376"/>
      <c r="AC67" s="1376"/>
      <c r="AD67" s="1376"/>
      <c r="AE67" s="1376"/>
      <c r="AF67" s="1376"/>
      <c r="AG67" s="1376"/>
      <c r="AH67" s="1383"/>
      <c r="AI67" s="1383"/>
      <c r="AJ67" s="1383"/>
      <c r="AK67" s="1384"/>
    </row>
    <row r="68" spans="2:37" s="3" customFormat="1" ht="17.7" customHeight="1" x14ac:dyDescent="0.25">
      <c r="B68" s="1375"/>
      <c r="C68" s="1376"/>
      <c r="D68" s="1376"/>
      <c r="E68" s="1376"/>
      <c r="F68" s="1376"/>
      <c r="G68" s="1376"/>
      <c r="H68" s="1376"/>
      <c r="I68" s="1376"/>
      <c r="J68" s="1376"/>
      <c r="K68" s="1376"/>
      <c r="L68" s="1376"/>
      <c r="M68" s="1376"/>
      <c r="N68" s="1376"/>
      <c r="O68" s="1383"/>
      <c r="P68" s="1383"/>
      <c r="Q68" s="1383"/>
      <c r="R68" s="1384"/>
      <c r="U68" s="1375"/>
      <c r="V68" s="1376"/>
      <c r="W68" s="1376"/>
      <c r="X68" s="1376"/>
      <c r="Y68" s="1376"/>
      <c r="Z68" s="1376"/>
      <c r="AA68" s="1376"/>
      <c r="AB68" s="1376"/>
      <c r="AC68" s="1376"/>
      <c r="AD68" s="1376"/>
      <c r="AE68" s="1376"/>
      <c r="AF68" s="1376"/>
      <c r="AG68" s="1376"/>
      <c r="AH68" s="1383"/>
      <c r="AI68" s="1383"/>
      <c r="AJ68" s="1383"/>
      <c r="AK68" s="1384"/>
    </row>
    <row r="69" spans="2:37" s="3" customFormat="1" ht="17.7" customHeight="1" x14ac:dyDescent="0.25">
      <c r="B69" s="1375"/>
      <c r="C69" s="1376"/>
      <c r="D69" s="1376"/>
      <c r="E69" s="1376"/>
      <c r="F69" s="1376"/>
      <c r="G69" s="1376"/>
      <c r="H69" s="1376"/>
      <c r="I69" s="1376"/>
      <c r="J69" s="1376"/>
      <c r="K69" s="1376"/>
      <c r="L69" s="1376"/>
      <c r="M69" s="1376"/>
      <c r="N69" s="1376"/>
      <c r="O69" s="1383"/>
      <c r="P69" s="1383"/>
      <c r="Q69" s="1383"/>
      <c r="R69" s="1384"/>
      <c r="U69" s="1375"/>
      <c r="V69" s="1376"/>
      <c r="W69" s="1376"/>
      <c r="X69" s="1376"/>
      <c r="Y69" s="1376"/>
      <c r="Z69" s="1376"/>
      <c r="AA69" s="1376"/>
      <c r="AB69" s="1376"/>
      <c r="AC69" s="1376"/>
      <c r="AD69" s="1376"/>
      <c r="AE69" s="1376"/>
      <c r="AF69" s="1376"/>
      <c r="AG69" s="1376"/>
      <c r="AH69" s="1383"/>
      <c r="AI69" s="1383"/>
      <c r="AJ69" s="1383"/>
      <c r="AK69" s="1384"/>
    </row>
    <row r="70" spans="2:37" s="3" customFormat="1" ht="17.7" customHeight="1" thickBot="1" x14ac:dyDescent="0.3">
      <c r="B70" s="1387"/>
      <c r="C70" s="1388"/>
      <c r="D70" s="1388"/>
      <c r="E70" s="1388"/>
      <c r="F70" s="1388"/>
      <c r="G70" s="1388"/>
      <c r="H70" s="1388"/>
      <c r="I70" s="1388"/>
      <c r="J70" s="1388"/>
      <c r="K70" s="1388"/>
      <c r="L70" s="1388"/>
      <c r="M70" s="1388"/>
      <c r="N70" s="1388"/>
      <c r="O70" s="1385"/>
      <c r="P70" s="1385"/>
      <c r="Q70" s="1385"/>
      <c r="R70" s="1386"/>
      <c r="U70" s="1387"/>
      <c r="V70" s="1388"/>
      <c r="W70" s="1388"/>
      <c r="X70" s="1388"/>
      <c r="Y70" s="1388"/>
      <c r="Z70" s="1388"/>
      <c r="AA70" s="1388"/>
      <c r="AB70" s="1388"/>
      <c r="AC70" s="1388"/>
      <c r="AD70" s="1388"/>
      <c r="AE70" s="1388"/>
      <c r="AF70" s="1388"/>
      <c r="AG70" s="1388"/>
      <c r="AH70" s="1385"/>
      <c r="AI70" s="1385"/>
      <c r="AJ70" s="1385"/>
      <c r="AK70" s="1386"/>
    </row>
    <row r="71" spans="2:37" ht="12.7" customHeight="1" x14ac:dyDescent="0.25">
      <c r="B71" s="159"/>
      <c r="C71" s="160"/>
      <c r="D71" s="160"/>
      <c r="E71" s="156"/>
      <c r="F71" s="156"/>
      <c r="G71" s="156"/>
      <c r="H71" s="156"/>
      <c r="I71" s="156"/>
      <c r="J71" s="156"/>
      <c r="K71" s="156"/>
      <c r="L71" s="156"/>
      <c r="M71" s="156"/>
      <c r="N71" s="156"/>
      <c r="O71" s="156"/>
      <c r="P71" s="156"/>
      <c r="Q71" s="156"/>
      <c r="R71" s="156"/>
      <c r="S71" s="156"/>
      <c r="T71" s="156"/>
      <c r="U71" s="156"/>
      <c r="V71" s="156"/>
      <c r="W71" s="158"/>
      <c r="X71" s="158"/>
      <c r="Y71" s="158"/>
      <c r="Z71" s="158"/>
      <c r="AA71" s="158"/>
      <c r="AB71" s="158"/>
      <c r="AC71" s="158"/>
      <c r="AD71" s="158"/>
      <c r="AE71" s="158"/>
      <c r="AF71" s="158"/>
      <c r="AG71" s="157"/>
    </row>
  </sheetData>
  <sheetProtection algorithmName="SHA-512" hashValue="EL2yH4EP6QDDKcuxpG8vN5pNy/+xsKEaW9UkLINTMqXBzY5aRHDnXVZi+sKIR+lmETTtyz9t8TpxObdEUX4lnA==" saltValue="7rGKMAdBLt1og6vAySmTpg==" spinCount="100000" sheet="1" objects="1" scenarios="1" formatCells="0" formatRows="0"/>
  <mergeCells count="293">
    <mergeCell ref="I14:L14"/>
    <mergeCell ref="M14:O14"/>
    <mergeCell ref="Q14:U14"/>
    <mergeCell ref="V14:Z14"/>
    <mergeCell ref="AA14:AE14"/>
    <mergeCell ref="B15:E15"/>
    <mergeCell ref="F15:H15"/>
    <mergeCell ref="I15:L15"/>
    <mergeCell ref="M15:O15"/>
    <mergeCell ref="Q15:U15"/>
    <mergeCell ref="V15:Z15"/>
    <mergeCell ref="AA15:AE15"/>
    <mergeCell ref="B11:E11"/>
    <mergeCell ref="F11:H11"/>
    <mergeCell ref="I11:L11"/>
    <mergeCell ref="M11:O11"/>
    <mergeCell ref="Q11:U11"/>
    <mergeCell ref="V11:Z11"/>
    <mergeCell ref="AA11:AE11"/>
    <mergeCell ref="AG11:AK15"/>
    <mergeCell ref="B12:E12"/>
    <mergeCell ref="F12:H12"/>
    <mergeCell ref="I12:L12"/>
    <mergeCell ref="M12:O12"/>
    <mergeCell ref="Q12:U12"/>
    <mergeCell ref="V12:Z12"/>
    <mergeCell ref="AA12:AE12"/>
    <mergeCell ref="B13:E13"/>
    <mergeCell ref="F13:H13"/>
    <mergeCell ref="I13:L13"/>
    <mergeCell ref="M13:O13"/>
    <mergeCell ref="Q13:U13"/>
    <mergeCell ref="V13:Z13"/>
    <mergeCell ref="AA13:AE13"/>
    <mergeCell ref="B14:E14"/>
    <mergeCell ref="F14:H14"/>
    <mergeCell ref="B9:O9"/>
    <mergeCell ref="Q9:AE9"/>
    <mergeCell ref="AG9:AK10"/>
    <mergeCell ref="B10:E10"/>
    <mergeCell ref="F10:H10"/>
    <mergeCell ref="I10:L10"/>
    <mergeCell ref="M10:O10"/>
    <mergeCell ref="Q10:U10"/>
    <mergeCell ref="V10:Z10"/>
    <mergeCell ref="AA10:AE10"/>
    <mergeCell ref="B5:O5"/>
    <mergeCell ref="Q5:AE5"/>
    <mergeCell ref="AG5:AK5"/>
    <mergeCell ref="B6:F6"/>
    <mergeCell ref="G6:O6"/>
    <mergeCell ref="Q6:U6"/>
    <mergeCell ref="V6:AE6"/>
    <mergeCell ref="AG6:AK7"/>
    <mergeCell ref="B7:F7"/>
    <mergeCell ref="G7:O7"/>
    <mergeCell ref="Q7:U7"/>
    <mergeCell ref="V7:AE7"/>
    <mergeCell ref="P1:R1"/>
    <mergeCell ref="P2:R2"/>
    <mergeCell ref="B1:O2"/>
    <mergeCell ref="B57:AK59"/>
    <mergeCell ref="Z67:AG68"/>
    <mergeCell ref="U69:Y70"/>
    <mergeCell ref="Z69:AG70"/>
    <mergeCell ref="O63:R70"/>
    <mergeCell ref="AH63:AK70"/>
    <mergeCell ref="Z62:AG62"/>
    <mergeCell ref="AH62:AK62"/>
    <mergeCell ref="B63:F64"/>
    <mergeCell ref="G63:N64"/>
    <mergeCell ref="B65:F66"/>
    <mergeCell ref="G65:N66"/>
    <mergeCell ref="U63:Y64"/>
    <mergeCell ref="Z63:AG64"/>
    <mergeCell ref="U65:Y66"/>
    <mergeCell ref="Z65:AG66"/>
    <mergeCell ref="B62:F62"/>
    <mergeCell ref="U62:Y62"/>
    <mergeCell ref="G62:N62"/>
    <mergeCell ref="O62:R62"/>
    <mergeCell ref="B67:F68"/>
    <mergeCell ref="B18:AK19"/>
    <mergeCell ref="C20:D21"/>
    <mergeCell ref="B20:B21"/>
    <mergeCell ref="AJ22:AK22"/>
    <mergeCell ref="AE22:AG22"/>
    <mergeCell ref="AB22:AD22"/>
    <mergeCell ref="AJ20:AK21"/>
    <mergeCell ref="AH20:AI21"/>
    <mergeCell ref="AE20:AG21"/>
    <mergeCell ref="AB20:AD21"/>
    <mergeCell ref="Z20:AA21"/>
    <mergeCell ref="U20:Y21"/>
    <mergeCell ref="C22:D22"/>
    <mergeCell ref="U22:Y22"/>
    <mergeCell ref="M20:T21"/>
    <mergeCell ref="E20:L21"/>
    <mergeCell ref="AE35:AG35"/>
    <mergeCell ref="AH35:AI35"/>
    <mergeCell ref="AJ35:AK35"/>
    <mergeCell ref="G67:N68"/>
    <mergeCell ref="B69:F70"/>
    <mergeCell ref="G69:N70"/>
    <mergeCell ref="U67:Y68"/>
    <mergeCell ref="AH22:AI22"/>
    <mergeCell ref="Z22:AA22"/>
    <mergeCell ref="C42:D42"/>
    <mergeCell ref="C41:D41"/>
    <mergeCell ref="C43:D43"/>
    <mergeCell ref="U54:Y54"/>
    <mergeCell ref="U44:Y44"/>
    <mergeCell ref="Z44:AA44"/>
    <mergeCell ref="AB44:AD44"/>
    <mergeCell ref="AE44:AG44"/>
    <mergeCell ref="U45:Y45"/>
    <mergeCell ref="Z45:AA45"/>
    <mergeCell ref="U47:Y47"/>
    <mergeCell ref="Z47:AA47"/>
    <mergeCell ref="AB47:AD47"/>
    <mergeCell ref="AE47:AG47"/>
    <mergeCell ref="B50:AK51"/>
    <mergeCell ref="B52:B53"/>
    <mergeCell ref="C52:D53"/>
    <mergeCell ref="U52:Y53"/>
    <mergeCell ref="AB45:AD45"/>
    <mergeCell ref="AE45:AG45"/>
    <mergeCell ref="AH45:AI45"/>
    <mergeCell ref="AH44:AI44"/>
    <mergeCell ref="AJ44:AK44"/>
    <mergeCell ref="U46:Y46"/>
    <mergeCell ref="AH48:AI48"/>
    <mergeCell ref="AJ48:AK48"/>
    <mergeCell ref="C54:D54"/>
    <mergeCell ref="C47:D47"/>
    <mergeCell ref="C46:D46"/>
    <mergeCell ref="Z54:AA54"/>
    <mergeCell ref="AB54:AD54"/>
    <mergeCell ref="AE54:AG54"/>
    <mergeCell ref="C45:D45"/>
    <mergeCell ref="C44:D44"/>
    <mergeCell ref="AE41:AG41"/>
    <mergeCell ref="Z43:AA43"/>
    <mergeCell ref="AB43:AD43"/>
    <mergeCell ref="AE43:AG43"/>
    <mergeCell ref="E41:L41"/>
    <mergeCell ref="M41:T41"/>
    <mergeCell ref="U41:Y41"/>
    <mergeCell ref="Z41:AA41"/>
    <mergeCell ref="AB41:AD41"/>
    <mergeCell ref="C48:D48"/>
    <mergeCell ref="E48:L48"/>
    <mergeCell ref="M48:T48"/>
    <mergeCell ref="U48:Y48"/>
    <mergeCell ref="Z48:AA48"/>
    <mergeCell ref="AB48:AD48"/>
    <mergeCell ref="AE48:AG48"/>
    <mergeCell ref="AH43:AI43"/>
    <mergeCell ref="AJ43:AK43"/>
    <mergeCell ref="Z32:AA32"/>
    <mergeCell ref="U43:Y43"/>
    <mergeCell ref="AJ45:AK45"/>
    <mergeCell ref="B37:AK38"/>
    <mergeCell ref="AH41:AI41"/>
    <mergeCell ref="E34:L34"/>
    <mergeCell ref="M34:T34"/>
    <mergeCell ref="U34:Y34"/>
    <mergeCell ref="Z34:AA34"/>
    <mergeCell ref="AB34:AD34"/>
    <mergeCell ref="AE34:AG34"/>
    <mergeCell ref="AH34:AI34"/>
    <mergeCell ref="AJ34:AK34"/>
    <mergeCell ref="E35:L35"/>
    <mergeCell ref="M35:T35"/>
    <mergeCell ref="U35:Y35"/>
    <mergeCell ref="Z35:AA35"/>
    <mergeCell ref="AB35:AD35"/>
    <mergeCell ref="C32:D32"/>
    <mergeCell ref="C33:D33"/>
    <mergeCell ref="C34:D34"/>
    <mergeCell ref="C35:D35"/>
    <mergeCell ref="AH54:AI54"/>
    <mergeCell ref="AJ54:AK54"/>
    <mergeCell ref="E22:L22"/>
    <mergeCell ref="M22:T22"/>
    <mergeCell ref="B24:AK25"/>
    <mergeCell ref="B26:B27"/>
    <mergeCell ref="C26:D27"/>
    <mergeCell ref="E26:L27"/>
    <mergeCell ref="M26:T27"/>
    <mergeCell ref="U26:Y27"/>
    <mergeCell ref="Z26:AA27"/>
    <mergeCell ref="AB26:AD27"/>
    <mergeCell ref="AE26:AG27"/>
    <mergeCell ref="AH26:AI27"/>
    <mergeCell ref="AJ26:AK27"/>
    <mergeCell ref="E28:L28"/>
    <mergeCell ref="M28:T28"/>
    <mergeCell ref="U28:Y28"/>
    <mergeCell ref="Z28:AA28"/>
    <mergeCell ref="AH47:AI47"/>
    <mergeCell ref="AJ47:AK47"/>
    <mergeCell ref="C29:D29"/>
    <mergeCell ref="C30:D30"/>
    <mergeCell ref="C31:D31"/>
    <mergeCell ref="AB28:AD28"/>
    <mergeCell ref="AE28:AG28"/>
    <mergeCell ref="AH28:AI28"/>
    <mergeCell ref="AJ28:AK28"/>
    <mergeCell ref="B39:B40"/>
    <mergeCell ref="C39:D40"/>
    <mergeCell ref="E39:L40"/>
    <mergeCell ref="M39:T40"/>
    <mergeCell ref="U39:Y40"/>
    <mergeCell ref="Z39:AA40"/>
    <mergeCell ref="AB39:AD40"/>
    <mergeCell ref="AE39:AG40"/>
    <mergeCell ref="AH39:AI40"/>
    <mergeCell ref="AJ39:AK40"/>
    <mergeCell ref="M31:T31"/>
    <mergeCell ref="U31:Y31"/>
    <mergeCell ref="Z31:AA31"/>
    <mergeCell ref="AB31:AD31"/>
    <mergeCell ref="AE31:AG31"/>
    <mergeCell ref="AH31:AI31"/>
    <mergeCell ref="AJ31:AK31"/>
    <mergeCell ref="E32:L32"/>
    <mergeCell ref="M32:T32"/>
    <mergeCell ref="U32:Y32"/>
    <mergeCell ref="E31:L31"/>
    <mergeCell ref="AB32:AD32"/>
    <mergeCell ref="AE32:AG32"/>
    <mergeCell ref="C28:D28"/>
    <mergeCell ref="AJ41:AK41"/>
    <mergeCell ref="M54:T54"/>
    <mergeCell ref="E54:L54"/>
    <mergeCell ref="E52:L53"/>
    <mergeCell ref="M52:T53"/>
    <mergeCell ref="E42:L42"/>
    <mergeCell ref="M42:T42"/>
    <mergeCell ref="E43:L43"/>
    <mergeCell ref="M43:T43"/>
    <mergeCell ref="E44:L44"/>
    <mergeCell ref="M44:T44"/>
    <mergeCell ref="E45:L45"/>
    <mergeCell ref="M45:T45"/>
    <mergeCell ref="E46:L46"/>
    <mergeCell ref="M46:T46"/>
    <mergeCell ref="E47:L47"/>
    <mergeCell ref="M47:T47"/>
    <mergeCell ref="U42:Y42"/>
    <mergeCell ref="Z42:AA42"/>
    <mergeCell ref="AB42:AD42"/>
    <mergeCell ref="E29:L29"/>
    <mergeCell ref="M29:T29"/>
    <mergeCell ref="U29:Y29"/>
    <mergeCell ref="Z29:AA29"/>
    <mergeCell ref="AB29:AD29"/>
    <mergeCell ref="AE29:AG29"/>
    <mergeCell ref="AH29:AI29"/>
    <mergeCell ref="AJ29:AK29"/>
    <mergeCell ref="E30:L30"/>
    <mergeCell ref="M30:T30"/>
    <mergeCell ref="U30:Y30"/>
    <mergeCell ref="Z30:AA30"/>
    <mergeCell ref="AB30:AD30"/>
    <mergeCell ref="AE30:AG30"/>
    <mergeCell ref="AH30:AI30"/>
    <mergeCell ref="AJ30:AK30"/>
    <mergeCell ref="B56:AK56"/>
    <mergeCell ref="AH32:AI32"/>
    <mergeCell ref="AJ32:AK32"/>
    <mergeCell ref="E33:L33"/>
    <mergeCell ref="M33:T33"/>
    <mergeCell ref="U33:Y33"/>
    <mergeCell ref="Z33:AA33"/>
    <mergeCell ref="AB33:AD33"/>
    <mergeCell ref="AE33:AG33"/>
    <mergeCell ref="AH33:AI33"/>
    <mergeCell ref="AJ33:AK33"/>
    <mergeCell ref="Z46:AA46"/>
    <mergeCell ref="AB46:AD46"/>
    <mergeCell ref="AE46:AG46"/>
    <mergeCell ref="AH46:AI46"/>
    <mergeCell ref="AJ46:AK46"/>
    <mergeCell ref="AE42:AG42"/>
    <mergeCell ref="AH42:AI42"/>
    <mergeCell ref="AJ42:AK42"/>
    <mergeCell ref="Z52:AA53"/>
    <mergeCell ref="AB52:AD53"/>
    <mergeCell ref="AE52:AG53"/>
    <mergeCell ref="AH52:AI53"/>
    <mergeCell ref="AJ52:AK53"/>
  </mergeCells>
  <conditionalFormatting sqref="B18">
    <cfRule type="expression" dxfId="418" priority="25">
      <formula>MAX($AZ$22)=0</formula>
    </cfRule>
    <cfRule type="expression" dxfId="417" priority="26">
      <formula>MAX($AZ$22)=1</formula>
    </cfRule>
    <cfRule type="expression" dxfId="416" priority="27">
      <formula>MAX($AZ$22)=2</formula>
    </cfRule>
    <cfRule type="expression" dxfId="415" priority="28">
      <formula>MAX($AZ$22)=3</formula>
    </cfRule>
  </conditionalFormatting>
  <conditionalFormatting sqref="B24">
    <cfRule type="expression" dxfId="414" priority="21">
      <formula>MAX($AZ$28:$AZ$35)=0</formula>
    </cfRule>
    <cfRule type="expression" dxfId="413" priority="22">
      <formula>MAX($AZ$28:$AZ$35)=1</formula>
    </cfRule>
    <cfRule type="expression" dxfId="412" priority="23">
      <formula>MAX($AZ$28:$AZ$35)=2</formula>
    </cfRule>
    <cfRule type="expression" dxfId="411" priority="24">
      <formula>MAX($AZ$28:$AZ$35)=3</formula>
    </cfRule>
  </conditionalFormatting>
  <conditionalFormatting sqref="B37">
    <cfRule type="expression" dxfId="410" priority="17">
      <formula>MAX($AZ$41:$AZ$47)=0</formula>
    </cfRule>
    <cfRule type="expression" dxfId="409" priority="18">
      <formula>MAX($AZ$41:$AZ$47)=1</formula>
    </cfRule>
    <cfRule type="expression" dxfId="408" priority="19">
      <formula>MAX($AZ$41:$AZ$47)=2</formula>
    </cfRule>
    <cfRule type="expression" dxfId="407" priority="20">
      <formula>MAX($AZ$41:$AZ$47)=3</formula>
    </cfRule>
  </conditionalFormatting>
  <conditionalFormatting sqref="B50">
    <cfRule type="expression" dxfId="406" priority="13">
      <formula>MAX($AZ$54)=0</formula>
    </cfRule>
    <cfRule type="expression" dxfId="405" priority="14">
      <formula>MAX($AZ$54)=1</formula>
    </cfRule>
    <cfRule type="expression" dxfId="404" priority="15">
      <formula>MAX($AZ$54)=2</formula>
    </cfRule>
    <cfRule type="expression" dxfId="403" priority="16">
      <formula>MAX($AZ$54)=3</formula>
    </cfRule>
  </conditionalFormatting>
  <conditionalFormatting sqref="Z22 Z28:AA35 Z54">
    <cfRule type="expression" dxfId="402" priority="31">
      <formula>$AZ22=3</formula>
    </cfRule>
    <cfRule type="expression" dxfId="401" priority="32">
      <formula>$AZ22=2</formula>
    </cfRule>
    <cfRule type="expression" dxfId="400" priority="33">
      <formula>$AZ22=1</formula>
    </cfRule>
  </conditionalFormatting>
  <conditionalFormatting sqref="Z41:AA48">
    <cfRule type="expression" dxfId="399" priority="3">
      <formula>$AZ41=3</formula>
    </cfRule>
    <cfRule type="expression" dxfId="398" priority="4">
      <formula>$AZ41=2</formula>
    </cfRule>
    <cfRule type="expression" dxfId="397" priority="5">
      <formula>$AZ41=1</formula>
    </cfRule>
  </conditionalFormatting>
  <conditionalFormatting sqref="AG11">
    <cfRule type="expression" dxfId="396" priority="7">
      <formula>$BB$21=6</formula>
    </cfRule>
    <cfRule type="expression" dxfId="395" priority="8">
      <formula>$BB$21=5</formula>
    </cfRule>
    <cfRule type="expression" dxfId="394" priority="9">
      <formula>AND($BB$21&gt;0,$BB$21&lt;5)</formula>
    </cfRule>
  </conditionalFormatting>
  <conditionalFormatting sqref="AG11:AK15">
    <cfRule type="expression" dxfId="393" priority="6">
      <formula>$BB$21=10</formula>
    </cfRule>
  </conditionalFormatting>
  <conditionalFormatting sqref="AJ22 AJ28:AK35 AJ54">
    <cfRule type="expression" dxfId="392" priority="29">
      <formula>$BA22=3</formula>
    </cfRule>
    <cfRule type="expression" dxfId="391" priority="30">
      <formula>$BA22=1</formula>
    </cfRule>
  </conditionalFormatting>
  <conditionalFormatting sqref="AJ41:AK48">
    <cfRule type="expression" dxfId="390" priority="1">
      <formula>$BA41=3</formula>
    </cfRule>
    <cfRule type="expression" dxfId="389" priority="2">
      <formula>$BA41=1</formula>
    </cfRule>
  </conditionalFormatting>
  <dataValidations count="2">
    <dataValidation type="list" allowBlank="1" showInputMessage="1" showErrorMessage="1" sqref="Z22:AA22 Z28:AA35 Z54:AA54 Z41:AA48" xr:uid="{00000000-0002-0000-0900-000000000000}">
      <formula1>Status_Bewertung</formula1>
    </dataValidation>
    <dataValidation type="list" allowBlank="1" showInputMessage="1" showErrorMessage="1" sqref="AJ22:AK22 AJ28:AK35 AJ54:AK54 AJ41:AK48" xr:uid="{00000000-0002-0000-0900-000001000000}">
      <formula1>Status_Maßnahme</formula1>
    </dataValidation>
  </dataValidations>
  <printOptions horizontalCentered="1"/>
  <pageMargins left="0.39370078740157483" right="0.39370078740157483" top="0.9055118110236221" bottom="0.9055118110236221" header="0.23622047244094491" footer="0.23622047244094491"/>
  <pageSetup paperSize="9" scale="64" fitToHeight="3"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2" manualBreakCount="2">
    <brk id="30" min="1" max="36" man="1"/>
    <brk id="46" min="1" max="36" man="1"/>
  </rowBreaks>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94" r:id="rId6" name="Drop Down 26">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tabColor theme="8" tint="0.39997558519241921"/>
    <pageSetUpPr fitToPage="1"/>
  </sheetPr>
  <dimension ref="A1:BH57"/>
  <sheetViews>
    <sheetView showGridLines="0" zoomScaleNormal="100" zoomScaleSheetLayoutView="100" zoomScalePageLayoutView="55" workbookViewId="0">
      <pane ySplit="2" topLeftCell="A40" activePane="bottomLeft" state="frozen"/>
      <selection activeCell="M164" sqref="M164:T166"/>
      <selection pane="bottomLeft" activeCell="M164" sqref="M164:T166"/>
    </sheetView>
  </sheetViews>
  <sheetFormatPr baseColWidth="10" defaultColWidth="5.3984375" defaultRowHeight="13.15" x14ac:dyDescent="0.25"/>
  <cols>
    <col min="50" max="51" width="5.3984375" customWidth="1"/>
    <col min="52" max="60" width="5.3984375" hidden="1" customWidth="1"/>
  </cols>
  <sheetData>
    <row r="1" spans="1:37" ht="17.7" customHeight="1" x14ac:dyDescent="0.25">
      <c r="A1" s="153"/>
      <c r="B1" s="1139" t="str">
        <f>HLOOKUP(LANGUAGE!$B$2,LANGUAGE!$C$14:$G$1500,615)</f>
        <v>Supplier Quality Gate 2</v>
      </c>
      <c r="C1" s="1139"/>
      <c r="D1" s="1139"/>
      <c r="E1" s="1139"/>
      <c r="F1" s="1139"/>
      <c r="G1" s="1139"/>
      <c r="H1" s="1139"/>
      <c r="I1" s="1139"/>
      <c r="J1" s="1139"/>
      <c r="K1" s="1139"/>
      <c r="L1" s="1139"/>
      <c r="M1" s="1139"/>
      <c r="N1" s="1139"/>
      <c r="O1" s="1139"/>
      <c r="P1" s="1595" t="s">
        <v>2</v>
      </c>
      <c r="Q1" s="1595"/>
      <c r="R1" s="1595"/>
      <c r="S1" s="134"/>
      <c r="T1" s="134"/>
      <c r="U1" s="134"/>
      <c r="V1" s="134"/>
      <c r="W1" s="134"/>
      <c r="X1" s="134"/>
      <c r="Y1" s="134"/>
      <c r="Z1" s="174"/>
      <c r="AA1" s="174"/>
      <c r="AB1" s="174"/>
      <c r="AC1" s="174"/>
      <c r="AD1" s="174"/>
      <c r="AE1" s="174"/>
      <c r="AF1" s="174"/>
      <c r="AG1" s="174"/>
      <c r="AH1" s="174"/>
      <c r="AI1" s="174"/>
      <c r="AJ1" s="174"/>
      <c r="AK1" s="174"/>
    </row>
    <row r="2" spans="1:37" ht="17.7" customHeight="1" x14ac:dyDescent="0.25">
      <c r="A2" s="153"/>
      <c r="B2" s="1139"/>
      <c r="C2" s="1139"/>
      <c r="D2" s="1139"/>
      <c r="E2" s="1139"/>
      <c r="F2" s="1139"/>
      <c r="G2" s="1139"/>
      <c r="H2" s="1139"/>
      <c r="I2" s="1139"/>
      <c r="J2" s="1139"/>
      <c r="K2" s="1139"/>
      <c r="L2" s="1139"/>
      <c r="M2" s="1139"/>
      <c r="N2" s="1139"/>
      <c r="O2" s="1139"/>
      <c r="P2" s="1595" t="s">
        <v>1774</v>
      </c>
      <c r="Q2" s="1595"/>
      <c r="R2" s="1595"/>
      <c r="S2" s="134"/>
      <c r="T2" s="134"/>
      <c r="U2" s="134"/>
      <c r="V2" s="134"/>
      <c r="W2" s="134"/>
      <c r="X2" s="134"/>
      <c r="Y2" s="134"/>
      <c r="Z2" s="174"/>
      <c r="AA2" s="174"/>
      <c r="AB2" s="174"/>
      <c r="AC2" s="174"/>
      <c r="AD2" s="174"/>
      <c r="AE2" s="174"/>
      <c r="AF2" s="174"/>
      <c r="AG2" s="174"/>
      <c r="AH2" s="174"/>
      <c r="AI2" s="174"/>
      <c r="AJ2" s="174"/>
      <c r="AK2" s="174"/>
    </row>
    <row r="3" spans="1:37" ht="17.7" customHeight="1" x14ac:dyDescent="0.25">
      <c r="B3" s="201" t="str">
        <f>HLOOKUP(LANGUAGE!$B$2,LANGUAGE!$C$14:$G$1500,616)</f>
        <v>Target: The supplier can start tool production.</v>
      </c>
      <c r="C3" s="30"/>
      <c r="D3" s="30"/>
      <c r="E3" s="30"/>
      <c r="F3" s="30"/>
      <c r="G3" s="30"/>
      <c r="H3" s="30"/>
      <c r="I3" s="30"/>
      <c r="J3" s="30"/>
      <c r="K3" s="30"/>
      <c r="L3" s="30"/>
      <c r="M3" s="30"/>
      <c r="N3" s="30"/>
      <c r="O3" s="30"/>
      <c r="P3" s="30"/>
      <c r="Q3" s="221" t="str">
        <f>HLOOKUP(LANGUAGE!$B$2,LANGUAGE!$C$14:$G$1500,2)</f>
        <v>Attention!!!        Only yellow fields has to be filled</v>
      </c>
      <c r="T3" s="30"/>
      <c r="U3" s="30"/>
      <c r="V3" s="30"/>
      <c r="W3" s="30"/>
      <c r="X3" s="30"/>
      <c r="Y3" s="30"/>
      <c r="Z3" s="30"/>
      <c r="AA3" s="30"/>
      <c r="AB3" s="30"/>
      <c r="AC3" s="30"/>
      <c r="AD3" s="30"/>
      <c r="AE3" s="30"/>
      <c r="AF3" s="30"/>
      <c r="AG3" s="30"/>
    </row>
    <row r="4" spans="1:37" ht="17.7" customHeight="1" thickBot="1" x14ac:dyDescent="0.3">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row>
    <row r="5" spans="1:37" ht="17.7" customHeight="1" x14ac:dyDescent="0.25">
      <c r="B5" s="1050" t="str">
        <f>HLOOKUP(LANGUAGE!$B$2,LANGUAGE!$C$14:$G$1500,12)</f>
        <v>Project Data</v>
      </c>
      <c r="C5" s="1051"/>
      <c r="D5" s="1051"/>
      <c r="E5" s="1051"/>
      <c r="F5" s="1051"/>
      <c r="G5" s="1051"/>
      <c r="H5" s="1051"/>
      <c r="I5" s="1051"/>
      <c r="J5" s="1051"/>
      <c r="K5" s="1051"/>
      <c r="L5" s="1051"/>
      <c r="M5" s="1051"/>
      <c r="N5" s="1051"/>
      <c r="O5" s="1052"/>
      <c r="P5" s="252"/>
      <c r="Q5" s="1596" t="str">
        <f>HLOOKUP(LANGUAGE!$B$2,LANGUAGE!$C$14:$G$1500,27)</f>
        <v>Supplier Data</v>
      </c>
      <c r="R5" s="1597"/>
      <c r="S5" s="1597"/>
      <c r="T5" s="1597"/>
      <c r="U5" s="1597"/>
      <c r="V5" s="1597"/>
      <c r="W5" s="1597"/>
      <c r="X5" s="1597"/>
      <c r="Y5" s="1597"/>
      <c r="Z5" s="1597"/>
      <c r="AA5" s="1597"/>
      <c r="AB5" s="1597"/>
      <c r="AC5" s="1597"/>
      <c r="AD5" s="1597"/>
      <c r="AE5" s="1598"/>
      <c r="AF5" s="252"/>
      <c r="AG5" s="1266" t="str">
        <f>HLOOKUP(LANGUAGE!$B$2,LANGUAGE!$C$14:$G$1500,21)</f>
        <v>Date</v>
      </c>
      <c r="AH5" s="1267"/>
      <c r="AI5" s="1267"/>
      <c r="AJ5" s="1267"/>
      <c r="AK5" s="1268"/>
    </row>
    <row r="6" spans="1:37" ht="17.7" customHeight="1" x14ac:dyDescent="0.25">
      <c r="B6" s="1565" t="str">
        <f>HLOOKUP(LANGUAGE!$B$2,LANGUAGE!$C$14:$G$1500,13)</f>
        <v>Project</v>
      </c>
      <c r="C6" s="1566"/>
      <c r="D6" s="1566"/>
      <c r="E6" s="1566"/>
      <c r="F6" s="1566"/>
      <c r="G6" s="1599" t="str">
        <f>IF(Basic_Data!F6&lt;&gt;"",CONCATENATE(Basic_Data!F6," / ",Basic_Data!F7,""),"")</f>
        <v/>
      </c>
      <c r="H6" s="1599"/>
      <c r="I6" s="1599"/>
      <c r="J6" s="1599"/>
      <c r="K6" s="1599"/>
      <c r="L6" s="1599"/>
      <c r="M6" s="1599"/>
      <c r="N6" s="1599"/>
      <c r="O6" s="1600"/>
      <c r="P6" s="252"/>
      <c r="Q6" s="1565" t="str">
        <f>HLOOKUP(LANGUAGE!$B$2,LANGUAGE!$C$14:$G$1500,28)</f>
        <v>Supplier</v>
      </c>
      <c r="R6" s="1566"/>
      <c r="S6" s="1566"/>
      <c r="T6" s="1566"/>
      <c r="U6" s="1566"/>
      <c r="V6" s="1587" t="str">
        <f>IF(Basic_Data!R6&lt;&gt;"",CONCATENATE(Basic_Data!R6," (",Basic_Data!R7,")"),"")</f>
        <v/>
      </c>
      <c r="W6" s="1587"/>
      <c r="X6" s="1587"/>
      <c r="Y6" s="1587"/>
      <c r="Z6" s="1587"/>
      <c r="AA6" s="1587"/>
      <c r="AB6" s="1587"/>
      <c r="AC6" s="1587"/>
      <c r="AD6" s="1587"/>
      <c r="AE6" s="1588"/>
      <c r="AF6" s="252"/>
      <c r="AG6" s="1478"/>
      <c r="AH6" s="1479"/>
      <c r="AI6" s="1479"/>
      <c r="AJ6" s="1479"/>
      <c r="AK6" s="1480"/>
    </row>
    <row r="7" spans="1:37" ht="17.7" customHeight="1" thickBot="1" x14ac:dyDescent="0.3">
      <c r="B7" s="1563" t="str">
        <f>HLOOKUP(LANGUAGE!$B$2,LANGUAGE!$C$14:$G$1500,14)</f>
        <v>Part Name(s)</v>
      </c>
      <c r="C7" s="1564"/>
      <c r="D7" s="1564"/>
      <c r="E7" s="1564"/>
      <c r="F7" s="1564"/>
      <c r="G7" s="1601" t="str">
        <f>IF(Basic_Data!F8&lt;&gt;"",Basic_Data!F8,"")</f>
        <v/>
      </c>
      <c r="H7" s="1601"/>
      <c r="I7" s="1601"/>
      <c r="J7" s="1601"/>
      <c r="K7" s="1601"/>
      <c r="L7" s="1601"/>
      <c r="M7" s="1601"/>
      <c r="N7" s="1601"/>
      <c r="O7" s="1602"/>
      <c r="P7" s="252"/>
      <c r="Q7" s="1563" t="str">
        <f>HLOOKUP(LANGUAGE!$B$2,LANGUAGE!$C$14:$G$1500,29)</f>
        <v>Address</v>
      </c>
      <c r="R7" s="1564"/>
      <c r="S7" s="1564"/>
      <c r="T7" s="1564"/>
      <c r="U7" s="1564"/>
      <c r="V7" s="1601" t="str">
        <f>IF(Basic_Data!R8&lt;&gt;"",CONCATENATE(Basic_Data!R8,", ",Basic_Data!R9,", ",Basic_Data!R10,""),"")</f>
        <v/>
      </c>
      <c r="W7" s="1601"/>
      <c r="X7" s="1601"/>
      <c r="Y7" s="1601"/>
      <c r="Z7" s="1601"/>
      <c r="AA7" s="1601"/>
      <c r="AB7" s="1601"/>
      <c r="AC7" s="1601"/>
      <c r="AD7" s="1601"/>
      <c r="AE7" s="1602"/>
      <c r="AF7" s="252"/>
      <c r="AG7" s="1276"/>
      <c r="AH7" s="1277"/>
      <c r="AI7" s="1277"/>
      <c r="AJ7" s="1277"/>
      <c r="AK7" s="1278"/>
    </row>
    <row r="8" spans="1:37" ht="17.7" customHeight="1" thickBot="1" x14ac:dyDescent="0.3">
      <c r="B8" s="657"/>
      <c r="C8" s="657"/>
      <c r="D8" s="657"/>
      <c r="E8" s="252"/>
      <c r="F8" s="252"/>
      <c r="G8" s="252"/>
      <c r="H8" s="252"/>
      <c r="I8" s="252"/>
      <c r="J8" s="252"/>
      <c r="K8" s="252"/>
      <c r="L8" s="252"/>
      <c r="M8" s="252"/>
      <c r="N8" s="252"/>
      <c r="O8" s="252"/>
      <c r="P8" s="252"/>
      <c r="Q8" s="252"/>
      <c r="R8" s="252"/>
      <c r="S8" s="657"/>
      <c r="T8" s="657"/>
      <c r="U8" s="657"/>
      <c r="V8" s="657"/>
      <c r="W8" s="252"/>
      <c r="X8" s="252"/>
      <c r="Y8" s="252"/>
      <c r="Z8" s="252"/>
      <c r="AA8" s="252"/>
      <c r="AB8" s="252"/>
      <c r="AC8" s="252"/>
      <c r="AD8" s="252"/>
      <c r="AE8" s="252"/>
      <c r="AF8" s="252"/>
      <c r="AG8" s="252"/>
      <c r="AH8" s="154"/>
      <c r="AI8" s="154"/>
      <c r="AJ8" s="252"/>
      <c r="AK8" s="252"/>
    </row>
    <row r="9" spans="1:37" ht="17.7" customHeight="1" x14ac:dyDescent="0.25">
      <c r="B9" s="1050" t="str">
        <f>HLOOKUP(LANGUAGE!$B$2,LANGUAGE!$C$14:$G$1500,40)</f>
        <v>Material Data</v>
      </c>
      <c r="C9" s="1051"/>
      <c r="D9" s="1051"/>
      <c r="E9" s="1051"/>
      <c r="F9" s="1051"/>
      <c r="G9" s="1051"/>
      <c r="H9" s="1051"/>
      <c r="I9" s="1051"/>
      <c r="J9" s="1051"/>
      <c r="K9" s="1051"/>
      <c r="L9" s="1051"/>
      <c r="M9" s="1051"/>
      <c r="N9" s="1051"/>
      <c r="O9" s="1052"/>
      <c r="P9" s="252"/>
      <c r="Q9" s="1050" t="str">
        <f>HLOOKUP(LANGUAGE!$B$2,LANGUAGE!$C$14:$G$1500,54)</f>
        <v>Deadlines</v>
      </c>
      <c r="R9" s="1051"/>
      <c r="S9" s="1051"/>
      <c r="T9" s="1051"/>
      <c r="U9" s="1051"/>
      <c r="V9" s="1051"/>
      <c r="W9" s="1051"/>
      <c r="X9" s="1051"/>
      <c r="Y9" s="1051"/>
      <c r="Z9" s="1051"/>
      <c r="AA9" s="1051"/>
      <c r="AB9" s="1051"/>
      <c r="AC9" s="1051"/>
      <c r="AD9" s="1051"/>
      <c r="AE9" s="1052"/>
      <c r="AF9" s="252"/>
      <c r="AG9" s="1427" t="str">
        <f>HLOOKUP(LANGUAGE!$B$2,LANGUAGE!$C$14:$G$1500,620)</f>
        <v>Overall status
Supplier Quality Gate 2</v>
      </c>
      <c r="AH9" s="1428"/>
      <c r="AI9" s="1428"/>
      <c r="AJ9" s="1428"/>
      <c r="AK9" s="1429"/>
    </row>
    <row r="10" spans="1:37" ht="17.7" customHeight="1" x14ac:dyDescent="0.25">
      <c r="B10" s="1483" t="str">
        <f>HLOOKUP(LANGUAGE!$B$2,LANGUAGE!$C$14:$G$1500,41)</f>
        <v>Brose Part No.</v>
      </c>
      <c r="C10" s="1484"/>
      <c r="D10" s="1484"/>
      <c r="E10" s="1484"/>
      <c r="F10" s="1484" t="str">
        <f>HLOOKUP(LANGUAGE!$B$2,LANGUAGE!$C$14:$G$1500,42)</f>
        <v>Index</v>
      </c>
      <c r="G10" s="1484"/>
      <c r="H10" s="1484"/>
      <c r="I10" s="1485" t="str">
        <f>HLOOKUP(LANGUAGE!$B$2,LANGUAGE!$C$14:$G$1500,43)</f>
        <v>Brose Drawing No.</v>
      </c>
      <c r="J10" s="1485"/>
      <c r="K10" s="1485"/>
      <c r="L10" s="1485"/>
      <c r="M10" s="1484" t="str">
        <f>HLOOKUP(LANGUAGE!$B$2,LANGUAGE!$C$14:$G$1500,42)</f>
        <v>Index</v>
      </c>
      <c r="N10" s="1484"/>
      <c r="O10" s="1486"/>
      <c r="P10" s="252"/>
      <c r="Q10" s="1487" t="str">
        <f>HLOOKUP(LANGUAGE!$B$2,LANGUAGE!$C$14:$G$1500,55)</f>
        <v>Milestones</v>
      </c>
      <c r="R10" s="1488"/>
      <c r="S10" s="1488"/>
      <c r="T10" s="1488"/>
      <c r="U10" s="1488"/>
      <c r="V10" s="1488" t="str">
        <f>HLOOKUP(LANGUAGE!$B$2,LANGUAGE!$C$14:$G$1500,56)</f>
        <v>Target date (acc. Order)</v>
      </c>
      <c r="W10" s="1488"/>
      <c r="X10" s="1488"/>
      <c r="Y10" s="1488"/>
      <c r="Z10" s="1488"/>
      <c r="AA10" s="1488" t="str">
        <f>HLOOKUP(LANGUAGE!$B$2,LANGUAGE!$C$14:$G$1500,57)</f>
        <v>Actual date (acc. Timing plan)</v>
      </c>
      <c r="AB10" s="1488"/>
      <c r="AC10" s="1488"/>
      <c r="AD10" s="1488"/>
      <c r="AE10" s="1489"/>
      <c r="AF10" s="252"/>
      <c r="AG10" s="1430"/>
      <c r="AH10" s="1203"/>
      <c r="AI10" s="1203"/>
      <c r="AJ10" s="1203"/>
      <c r="AK10" s="1204"/>
    </row>
    <row r="11" spans="1:37" ht="17.7" customHeight="1" x14ac:dyDescent="0.25">
      <c r="B11" s="1310"/>
      <c r="C11" s="1311"/>
      <c r="D11" s="1311"/>
      <c r="E11" s="1311"/>
      <c r="F11" s="1312"/>
      <c r="G11" s="1311"/>
      <c r="H11" s="1311"/>
      <c r="I11" s="1312"/>
      <c r="J11" s="1311"/>
      <c r="K11" s="1311"/>
      <c r="L11" s="1311"/>
      <c r="M11" s="1312"/>
      <c r="N11" s="1311"/>
      <c r="O11" s="1313"/>
      <c r="P11" s="252"/>
      <c r="Q11" s="1591" t="str">
        <f>HLOOKUP(LANGUAGE!$B$2,LANGUAGE!$C$14:$G$1500,58)</f>
        <v>Nominated at</v>
      </c>
      <c r="R11" s="1592"/>
      <c r="S11" s="1592"/>
      <c r="T11" s="1592"/>
      <c r="U11" s="1592"/>
      <c r="V11" s="1314"/>
      <c r="W11" s="1314"/>
      <c r="X11" s="1314"/>
      <c r="Y11" s="1314"/>
      <c r="Z11" s="1314"/>
      <c r="AA11" s="1300"/>
      <c r="AB11" s="1300"/>
      <c r="AC11" s="1300"/>
      <c r="AD11" s="1300"/>
      <c r="AE11" s="1301"/>
      <c r="AF11" s="252"/>
      <c r="AG11" s="1302" t="str">
        <f>IF(AND(BB21&gt;0,BB21&lt;5),LANGUAGE!F4,IF(BB21=5,LANGUAGE!F5,IF(BB21=6,LANGUAGE!F6,IF(BB21=10,HLOOKUP(LANGUAGE!$B$2,LANGUAGE!$C$14:$G$1500,67),""))))</f>
        <v/>
      </c>
      <c r="AH11" s="1303"/>
      <c r="AI11" s="1303"/>
      <c r="AJ11" s="1303"/>
      <c r="AK11" s="1304"/>
    </row>
    <row r="12" spans="1:37" ht="17.7" customHeight="1" x14ac:dyDescent="0.25">
      <c r="B12" s="1308"/>
      <c r="C12" s="1294"/>
      <c r="D12" s="1294"/>
      <c r="E12" s="1294"/>
      <c r="F12" s="1309"/>
      <c r="G12" s="1294"/>
      <c r="H12" s="1294"/>
      <c r="I12" s="1309"/>
      <c r="J12" s="1294"/>
      <c r="K12" s="1294"/>
      <c r="L12" s="1294"/>
      <c r="M12" s="1309"/>
      <c r="N12" s="1294"/>
      <c r="O12" s="1295"/>
      <c r="P12" s="252"/>
      <c r="Q12" s="1302" t="str">
        <f>HLOOKUP(LANGUAGE!$B$2,LANGUAGE!$C$14:$G$1500,59)</f>
        <v>Completion Tool design</v>
      </c>
      <c r="R12" s="1303"/>
      <c r="S12" s="1303"/>
      <c r="T12" s="1303"/>
      <c r="U12" s="1303"/>
      <c r="V12" s="1298"/>
      <c r="W12" s="1298"/>
      <c r="X12" s="1298"/>
      <c r="Y12" s="1298"/>
      <c r="Z12" s="1298"/>
      <c r="AA12" s="1298"/>
      <c r="AB12" s="1298"/>
      <c r="AC12" s="1298"/>
      <c r="AD12" s="1298"/>
      <c r="AE12" s="1299"/>
      <c r="AF12" s="252"/>
      <c r="AG12" s="1302"/>
      <c r="AH12" s="1303"/>
      <c r="AI12" s="1303"/>
      <c r="AJ12" s="1303"/>
      <c r="AK12" s="1304"/>
    </row>
    <row r="13" spans="1:37" ht="17.7" customHeight="1" x14ac:dyDescent="0.25">
      <c r="B13" s="1308"/>
      <c r="C13" s="1294"/>
      <c r="D13" s="1294"/>
      <c r="E13" s="1294"/>
      <c r="F13" s="1294"/>
      <c r="G13" s="1294"/>
      <c r="H13" s="1294"/>
      <c r="I13" s="1294"/>
      <c r="J13" s="1294"/>
      <c r="K13" s="1294"/>
      <c r="L13" s="1294"/>
      <c r="M13" s="1294"/>
      <c r="N13" s="1294"/>
      <c r="O13" s="1295"/>
      <c r="P13" s="252"/>
      <c r="Q13" s="1302" t="str">
        <f>HLOOKUP(LANGUAGE!$B$2,LANGUAGE!$C$14:$G$1500,60)</f>
        <v>First of tool parts</v>
      </c>
      <c r="R13" s="1303"/>
      <c r="S13" s="1303"/>
      <c r="T13" s="1303"/>
      <c r="U13" s="1303"/>
      <c r="V13" s="1298"/>
      <c r="W13" s="1298"/>
      <c r="X13" s="1298"/>
      <c r="Y13" s="1298"/>
      <c r="Z13" s="1298"/>
      <c r="AA13" s="1298"/>
      <c r="AB13" s="1298"/>
      <c r="AC13" s="1298"/>
      <c r="AD13" s="1298"/>
      <c r="AE13" s="1299"/>
      <c r="AF13" s="252"/>
      <c r="AG13" s="1302"/>
      <c r="AH13" s="1303"/>
      <c r="AI13" s="1303"/>
      <c r="AJ13" s="1303"/>
      <c r="AK13" s="1304"/>
    </row>
    <row r="14" spans="1:37" ht="17.7" customHeight="1" x14ac:dyDescent="0.25">
      <c r="B14" s="1308"/>
      <c r="C14" s="1294"/>
      <c r="D14" s="1294"/>
      <c r="E14" s="1294"/>
      <c r="F14" s="1294"/>
      <c r="G14" s="1294"/>
      <c r="H14" s="1294"/>
      <c r="I14" s="1294"/>
      <c r="J14" s="1294"/>
      <c r="K14" s="1294"/>
      <c r="L14" s="1294"/>
      <c r="M14" s="1294"/>
      <c r="N14" s="1294"/>
      <c r="O14" s="1295"/>
      <c r="P14" s="252"/>
      <c r="Q14" s="1302" t="str">
        <f>HLOOKUP(LANGUAGE!$B$2,LANGUAGE!$C$14:$G$1500,61)</f>
        <v>Special characteristics OK</v>
      </c>
      <c r="R14" s="1303"/>
      <c r="S14" s="1303"/>
      <c r="T14" s="1303"/>
      <c r="U14" s="1303"/>
      <c r="V14" s="1298"/>
      <c r="W14" s="1298"/>
      <c r="X14" s="1298"/>
      <c r="Y14" s="1298"/>
      <c r="Z14" s="1298"/>
      <c r="AA14" s="1298"/>
      <c r="AB14" s="1298"/>
      <c r="AC14" s="1298"/>
      <c r="AD14" s="1298"/>
      <c r="AE14" s="1299"/>
      <c r="AF14" s="252"/>
      <c r="AG14" s="1302"/>
      <c r="AH14" s="1303"/>
      <c r="AI14" s="1303"/>
      <c r="AJ14" s="1303"/>
      <c r="AK14" s="1304"/>
    </row>
    <row r="15" spans="1:37" ht="17.7" customHeight="1" thickBot="1" x14ac:dyDescent="0.3">
      <c r="B15" s="1315"/>
      <c r="C15" s="1316"/>
      <c r="D15" s="1316"/>
      <c r="E15" s="1316"/>
      <c r="F15" s="1316"/>
      <c r="G15" s="1316"/>
      <c r="H15" s="1316"/>
      <c r="I15" s="1316"/>
      <c r="J15" s="1316"/>
      <c r="K15" s="1316"/>
      <c r="L15" s="1316"/>
      <c r="M15" s="1316"/>
      <c r="N15" s="1316"/>
      <c r="O15" s="1317"/>
      <c r="P15" s="252"/>
      <c r="Q15" s="1305" t="str">
        <f>HLOOKUP(LANGUAGE!$B$2,LANGUAGE!$C$14:$G$1500,62)</f>
        <v>Initial sampling date</v>
      </c>
      <c r="R15" s="1306"/>
      <c r="S15" s="1306"/>
      <c r="T15" s="1306"/>
      <c r="U15" s="1306"/>
      <c r="V15" s="1320"/>
      <c r="W15" s="1320"/>
      <c r="X15" s="1320"/>
      <c r="Y15" s="1320"/>
      <c r="Z15" s="1320"/>
      <c r="AA15" s="1320"/>
      <c r="AB15" s="1320"/>
      <c r="AC15" s="1320"/>
      <c r="AD15" s="1320"/>
      <c r="AE15" s="1321"/>
      <c r="AF15" s="252"/>
      <c r="AG15" s="1305"/>
      <c r="AH15" s="1306"/>
      <c r="AI15" s="1306"/>
      <c r="AJ15" s="1306"/>
      <c r="AK15" s="1307"/>
    </row>
    <row r="16" spans="1:37" ht="17.7" customHeight="1" x14ac:dyDescent="0.25"/>
    <row r="17" spans="2:57" s="3" customFormat="1" ht="17.7" customHeight="1" thickBot="1" x14ac:dyDescent="0.3">
      <c r="M17" s="155"/>
    </row>
    <row r="18" spans="2:57" s="3" customFormat="1" ht="17.7" customHeight="1" x14ac:dyDescent="0.25">
      <c r="B18" s="1603" t="str">
        <f>HLOOKUP(LANGUAGE!$B$2,LANGUAGE!$C$14:$G$1500,77)</f>
        <v>Project management</v>
      </c>
      <c r="C18" s="1604"/>
      <c r="D18" s="1604"/>
      <c r="E18" s="1604"/>
      <c r="F18" s="1604"/>
      <c r="G18" s="1604"/>
      <c r="H18" s="1604"/>
      <c r="I18" s="1604"/>
      <c r="J18" s="1604"/>
      <c r="K18" s="1604"/>
      <c r="L18" s="1604"/>
      <c r="M18" s="1604"/>
      <c r="N18" s="1604"/>
      <c r="O18" s="1604"/>
      <c r="P18" s="1604"/>
      <c r="Q18" s="1604"/>
      <c r="R18" s="1604"/>
      <c r="S18" s="1604"/>
      <c r="T18" s="1604"/>
      <c r="U18" s="1604"/>
      <c r="V18" s="1604"/>
      <c r="W18" s="1604"/>
      <c r="X18" s="1604"/>
      <c r="Y18" s="1604"/>
      <c r="Z18" s="1604"/>
      <c r="AA18" s="1604"/>
      <c r="AB18" s="1604"/>
      <c r="AC18" s="1604"/>
      <c r="AD18" s="1604"/>
      <c r="AE18" s="1604"/>
      <c r="AF18" s="1604"/>
      <c r="AG18" s="1604"/>
      <c r="AH18" s="1604"/>
      <c r="AI18" s="1604"/>
      <c r="AJ18" s="1604"/>
      <c r="AK18" s="1605"/>
      <c r="BD18" s="3" t="str">
        <f>LANGUAGE!G4</f>
        <v>in progress</v>
      </c>
      <c r="BE18" s="3" t="str">
        <f>LANGUAGE!G5</f>
        <v>completed</v>
      </c>
    </row>
    <row r="19" spans="2:57" s="3" customFormat="1" ht="17.7" customHeight="1" x14ac:dyDescent="0.25">
      <c r="B19" s="1606"/>
      <c r="C19" s="1607"/>
      <c r="D19" s="1607"/>
      <c r="E19" s="1607"/>
      <c r="F19" s="1607"/>
      <c r="G19" s="1607"/>
      <c r="H19" s="1607"/>
      <c r="I19" s="1607"/>
      <c r="J19" s="1607"/>
      <c r="K19" s="1607"/>
      <c r="L19" s="1607"/>
      <c r="M19" s="1607"/>
      <c r="N19" s="1607"/>
      <c r="O19" s="1607"/>
      <c r="P19" s="1607"/>
      <c r="Q19" s="1607"/>
      <c r="R19" s="1607"/>
      <c r="S19" s="1607"/>
      <c r="T19" s="1607"/>
      <c r="U19" s="1607"/>
      <c r="V19" s="1607"/>
      <c r="W19" s="1607"/>
      <c r="X19" s="1607"/>
      <c r="Y19" s="1607"/>
      <c r="Z19" s="1607"/>
      <c r="AA19" s="1607"/>
      <c r="AB19" s="1607"/>
      <c r="AC19" s="1607"/>
      <c r="AD19" s="1607"/>
      <c r="AE19" s="1607"/>
      <c r="AF19" s="1607"/>
      <c r="AG19" s="1607"/>
      <c r="AH19" s="1607"/>
      <c r="AI19" s="1607"/>
      <c r="AJ19" s="1607"/>
      <c r="AK19" s="1608"/>
    </row>
    <row r="20" spans="2:57" s="3" customFormat="1" ht="17.7" customHeight="1" x14ac:dyDescent="0.25">
      <c r="B20" s="1609" t="str">
        <f>HLOOKUP(LANGUAGE!$B$2,LANGUAGE!$C$14:$G$1500,91)</f>
        <v>No.</v>
      </c>
      <c r="C20" s="1611" t="str">
        <f>HLOOKUP(LANGUAGE!$B$2,LANGUAGE!$C$14:$G$1500,73)</f>
        <v>Topic</v>
      </c>
      <c r="D20" s="1612"/>
      <c r="E20" s="1329" t="str">
        <f>HLOOKUP(LANGUAGE!$B$2,LANGUAGE!$C$14:$G$1500,92)</f>
        <v>Question</v>
      </c>
      <c r="F20" s="1329"/>
      <c r="G20" s="1329"/>
      <c r="H20" s="1329"/>
      <c r="I20" s="1329"/>
      <c r="J20" s="1329"/>
      <c r="K20" s="1329"/>
      <c r="L20" s="1329"/>
      <c r="M20" s="1329" t="str">
        <f>HLOOKUP(LANGUAGE!$B$2,LANGUAGE!$C$14:$G$1500,93)</f>
        <v>Notes</v>
      </c>
      <c r="N20" s="1329"/>
      <c r="O20" s="1329"/>
      <c r="P20" s="1329"/>
      <c r="Q20" s="1329"/>
      <c r="R20" s="1329"/>
      <c r="S20" s="1329"/>
      <c r="T20" s="1329"/>
      <c r="U20" s="1615" t="str">
        <f>HLOOKUP(LANGUAGE!$B$2,LANGUAGE!$C$14:$G$1500,114)</f>
        <v>Remarks</v>
      </c>
      <c r="V20" s="1615"/>
      <c r="W20" s="1615"/>
      <c r="X20" s="1615"/>
      <c r="Y20" s="1616"/>
      <c r="Z20" s="1611" t="str">
        <f>HLOOKUP(LANGUAGE!$B$2,LANGUAGE!$C$14:$G$1500,74)</f>
        <v>Evaluation</v>
      </c>
      <c r="AA20" s="1619"/>
      <c r="AB20" s="1611" t="str">
        <f>HLOOKUP(LANGUAGE!$B$2,LANGUAGE!$C$14:$G$1500,95)</f>
        <v>Action</v>
      </c>
      <c r="AC20" s="1612"/>
      <c r="AD20" s="1619"/>
      <c r="AE20" s="1621" t="str">
        <f>HLOOKUP(LANGUAGE!$B$2,LANGUAGE!$C$14:$G$1500,96)</f>
        <v>Responsible</v>
      </c>
      <c r="AF20" s="1615"/>
      <c r="AG20" s="1616"/>
      <c r="AH20" s="1611" t="str">
        <f>HLOOKUP(LANGUAGE!$B$2,LANGUAGE!$C$14:$G$1500,21)</f>
        <v>Date</v>
      </c>
      <c r="AI20" s="1619"/>
      <c r="AJ20" s="1611" t="str">
        <f>HLOOKUP(LANGUAGE!$B$2,LANGUAGE!$C$14:$G$1500,75)</f>
        <v>Action status</v>
      </c>
      <c r="AK20" s="1623"/>
    </row>
    <row r="21" spans="2:57" s="3" customFormat="1" ht="17.7" customHeight="1" x14ac:dyDescent="0.25">
      <c r="B21" s="1610"/>
      <c r="C21" s="1613"/>
      <c r="D21" s="1614"/>
      <c r="E21" s="1329"/>
      <c r="F21" s="1329"/>
      <c r="G21" s="1329"/>
      <c r="H21" s="1329"/>
      <c r="I21" s="1329"/>
      <c r="J21" s="1329"/>
      <c r="K21" s="1329"/>
      <c r="L21" s="1329"/>
      <c r="M21" s="1329"/>
      <c r="N21" s="1329"/>
      <c r="O21" s="1329"/>
      <c r="P21" s="1329"/>
      <c r="Q21" s="1329"/>
      <c r="R21" s="1329"/>
      <c r="S21" s="1329"/>
      <c r="T21" s="1329"/>
      <c r="U21" s="1617"/>
      <c r="V21" s="1617"/>
      <c r="W21" s="1617"/>
      <c r="X21" s="1617"/>
      <c r="Y21" s="1618"/>
      <c r="Z21" s="1613"/>
      <c r="AA21" s="1620"/>
      <c r="AB21" s="1613"/>
      <c r="AC21" s="1614"/>
      <c r="AD21" s="1620"/>
      <c r="AE21" s="1622"/>
      <c r="AF21" s="1617"/>
      <c r="AG21" s="1618"/>
      <c r="AH21" s="1613"/>
      <c r="AI21" s="1620"/>
      <c r="AJ21" s="1613"/>
      <c r="AK21" s="1624"/>
      <c r="AZ21" s="301"/>
      <c r="BA21" s="301"/>
      <c r="BB21" s="3">
        <f>MAX(BB22:BB38)</f>
        <v>0</v>
      </c>
      <c r="BD21" s="301" t="str">
        <f>IF(BD22&lt;&gt;"",BD22&amp;" ","")&amp;IF(BD23&lt;&gt;"",BD23&amp;" ","")&amp;IF(BD24&lt;&gt;"",BD24&amp;" ","")&amp;IF(BD25&lt;&gt;"",BD25&amp;" ","")&amp;IF(BD26&lt;&gt;"",BD26&amp;" ","")&amp;IF(BD27&lt;&gt;"",BD27&amp;" ","")</f>
        <v/>
      </c>
      <c r="BE21" s="301" t="str">
        <f>IF(BE22&lt;&gt;"",BE22&amp;" ","")&amp;IF(BE23&lt;&gt;"",BE23&amp;" ","")&amp;IF(BE24&lt;&gt;"",BE24&amp;" ","")&amp;IF(BE25&lt;&gt;"",BE25&amp;" ","")&amp;IF(BE26&lt;&gt;"",BE26&amp;" ","")&amp;IF(BE27&lt;&gt;"",BE27&amp;" ","")</f>
        <v/>
      </c>
    </row>
    <row r="22" spans="2:57" s="3" customFormat="1" ht="77.349999999999994" customHeight="1" x14ac:dyDescent="0.25">
      <c r="B22" s="257" t="s">
        <v>1809</v>
      </c>
      <c r="C22" s="1362" t="str">
        <f>HLOOKUP(LANGUAGE!$B$2,LANGUAGE!$C$14:$G$1500,630)</f>
        <v>Progress monitoring</v>
      </c>
      <c r="D22" s="1363"/>
      <c r="E22" s="1367" t="str">
        <f>HLOOKUP(LANGUAGE!$B$2,LANGUAGE!$C$14:$G$1500,631)</f>
        <v>Are all points from SQG1 completed or have defined actions with dates acc. to project timing plan?</v>
      </c>
      <c r="F22" s="1368"/>
      <c r="G22" s="1368"/>
      <c r="H22" s="1368"/>
      <c r="I22" s="1368"/>
      <c r="J22" s="1368"/>
      <c r="K22" s="1368"/>
      <c r="L22" s="1369"/>
      <c r="M22" s="1367" t="str">
        <f>HLOOKUP(LANGUAGE!$B$2,LANGUAGE!$C$14:$G$1500,632)</f>
        <v xml:space="preserve">All actions from SQG1 should be scheduled or completed on time. </v>
      </c>
      <c r="N22" s="1368"/>
      <c r="O22" s="1368"/>
      <c r="P22" s="1368"/>
      <c r="Q22" s="1368"/>
      <c r="R22" s="1368"/>
      <c r="S22" s="1368"/>
      <c r="T22" s="1369"/>
      <c r="U22" s="1370"/>
      <c r="V22" s="1371"/>
      <c r="W22" s="1371"/>
      <c r="X22" s="1371"/>
      <c r="Y22" s="1372"/>
      <c r="Z22" s="1625"/>
      <c r="AA22" s="1626"/>
      <c r="AB22" s="1352"/>
      <c r="AC22" s="1353"/>
      <c r="AD22" s="1354"/>
      <c r="AE22" s="1352"/>
      <c r="AF22" s="1353"/>
      <c r="AG22" s="1354"/>
      <c r="AH22" s="1355"/>
      <c r="AI22" s="1356"/>
      <c r="AJ22" s="1355"/>
      <c r="AK22" s="1627"/>
      <c r="AZ22" s="3">
        <f>IF(ISNUMBER(MATCH(Z22,LANGUAGE!$C$138:$G$138,0)),1,IF(ISNUMBER(MATCH(Z22,LANGUAGE!$C$139:$G$139,0)),2,IF(ISNUMBER(MATCH(Z22,LANGUAGE!$C$140:$G$140,0)),3,0)))</f>
        <v>0</v>
      </c>
      <c r="BA22" s="3">
        <f>IF(ISNUMBER(MATCH(AJ22,LANGUAGE!$C$141:$G$141,0)),3,IF(ISNUMBER(MATCH(AJ22,LANGUAGE!$C$142:$G$142,0)),1,0))</f>
        <v>0</v>
      </c>
      <c r="BB22" s="3">
        <f>IF(AND(AZ22&gt;1,BA22=0),10,AZ22+BA22)</f>
        <v>0</v>
      </c>
      <c r="BD22" s="3" t="str">
        <f>IF(ISNUMBER(MATCH($AJ22,LANGUAGE!$C$141:$G$141,0)),$B22,"")</f>
        <v/>
      </c>
      <c r="BE22" s="3" t="str">
        <f>IF(ISNUMBER(MATCH($AJ22,LANGUAGE!$C$142:$G$142,0)),$B22,"")</f>
        <v/>
      </c>
    </row>
    <row r="23" spans="2:57" s="3" customFormat="1" ht="80.3" customHeight="1" x14ac:dyDescent="0.25">
      <c r="B23" s="254" t="s">
        <v>1810</v>
      </c>
      <c r="C23" s="1345" t="str">
        <f>HLOOKUP(LANGUAGE!$B$2,LANGUAGE!$C$14:$G$1500,640)</f>
        <v>Supplier timing plan</v>
      </c>
      <c r="D23" s="1345"/>
      <c r="E23" s="1358" t="str">
        <f>HLOOKUP(LANGUAGE!$B$2,LANGUAGE!$C$14:$G$1500,641)</f>
        <v>Is the supplier and sub-suppliers on time with the project.  Are any risks/ time delay identified and actions defined?</v>
      </c>
      <c r="F23" s="1359"/>
      <c r="G23" s="1359"/>
      <c r="H23" s="1359"/>
      <c r="I23" s="1359"/>
      <c r="J23" s="1359"/>
      <c r="K23" s="1359"/>
      <c r="L23" s="1360"/>
      <c r="M23" s="1347" t="str">
        <f>HLOOKUP(LANGUAGE!$B$2,LANGUAGE!$C$14:$G$1500,642)</f>
        <v>Target/ current comparison of supplier timing plan:
- with Brose order
- with Brose quality milestones acc. FS (PEPsi)
- with commissioned modifications from Brose</v>
      </c>
      <c r="N23" s="1347"/>
      <c r="O23" s="1347"/>
      <c r="P23" s="1347"/>
      <c r="Q23" s="1347"/>
      <c r="R23" s="1347"/>
      <c r="S23" s="1347"/>
      <c r="T23" s="1347"/>
      <c r="U23" s="1348"/>
      <c r="V23" s="1348"/>
      <c r="W23" s="1348"/>
      <c r="X23" s="1348"/>
      <c r="Y23" s="1348"/>
      <c r="Z23" s="1628"/>
      <c r="AA23" s="1628"/>
      <c r="AB23" s="1349"/>
      <c r="AC23" s="1349"/>
      <c r="AD23" s="1349"/>
      <c r="AE23" s="1349"/>
      <c r="AF23" s="1349"/>
      <c r="AG23" s="1349"/>
      <c r="AH23" s="1350"/>
      <c r="AI23" s="1349"/>
      <c r="AJ23" s="1495"/>
      <c r="AK23" s="1496"/>
      <c r="AZ23" s="3">
        <f>IF(ISNUMBER(MATCH(Z23,LANGUAGE!$C$138:$G$138,0)),1,IF(ISNUMBER(MATCH(Z23,LANGUAGE!$C$139:$G$139,0)),2,IF(ISNUMBER(MATCH(Z23,LANGUAGE!$C$140:$G$140,0)),3,0)))</f>
        <v>0</v>
      </c>
      <c r="BA23" s="3">
        <f>IF(ISNUMBER(MATCH(AJ23,LANGUAGE!$C$141:$G$141,0)),3,IF(ISNUMBER(MATCH(AJ23,LANGUAGE!$C$142:$G$142,0)),1,0))</f>
        <v>0</v>
      </c>
      <c r="BB23" s="3">
        <f t="shared" ref="BB23:BB37" si="0">IF(AND(AZ23&gt;1,BA23=0),10,AZ23+BA23)</f>
        <v>0</v>
      </c>
      <c r="BD23" s="3" t="str">
        <f>IF(ISNUMBER(MATCH($AJ23,LANGUAGE!$C$141:$G$141,0)),$B23,"")</f>
        <v/>
      </c>
      <c r="BE23" s="3" t="str">
        <f>IF(ISNUMBER(MATCH($AJ23,LANGUAGE!$C$142:$G$142,0)),$B23,"")</f>
        <v/>
      </c>
    </row>
    <row r="24" spans="2:57" s="3" customFormat="1" ht="66.7" customHeight="1" x14ac:dyDescent="0.25">
      <c r="B24" s="254" t="s">
        <v>1811</v>
      </c>
      <c r="C24" s="1345" t="str">
        <f>HLOOKUP(LANGUAGE!$B$2,LANGUAGE!$C$14:$G$1500,650)</f>
        <v xml:space="preserve">Process flow </v>
      </c>
      <c r="D24" s="1345"/>
      <c r="E24" s="1358" t="str">
        <f>HLOOKUP(LANGUAGE!$B$2,LANGUAGE!$C$14:$G$1500,651)</f>
        <v>Is the process flow chart complete?</v>
      </c>
      <c r="F24" s="1359"/>
      <c r="G24" s="1359"/>
      <c r="H24" s="1359"/>
      <c r="I24" s="1359"/>
      <c r="J24" s="1359"/>
      <c r="K24" s="1359"/>
      <c r="L24" s="1360"/>
      <c r="M24" s="1347" t="str">
        <f>HLOOKUP(LANGUAGE!$B$2,LANGUAGE!$C$14:$G$1500,652)</f>
        <v>The process flow consider all steps of the process.</v>
      </c>
      <c r="N24" s="1347"/>
      <c r="O24" s="1347"/>
      <c r="P24" s="1347"/>
      <c r="Q24" s="1347"/>
      <c r="R24" s="1347"/>
      <c r="S24" s="1347"/>
      <c r="T24" s="1347"/>
      <c r="U24" s="1348"/>
      <c r="V24" s="1348"/>
      <c r="W24" s="1348"/>
      <c r="X24" s="1348"/>
      <c r="Y24" s="1348"/>
      <c r="Z24" s="1628"/>
      <c r="AA24" s="1628"/>
      <c r="AB24" s="1349"/>
      <c r="AC24" s="1349"/>
      <c r="AD24" s="1349"/>
      <c r="AE24" s="1349"/>
      <c r="AF24" s="1349"/>
      <c r="AG24" s="1349"/>
      <c r="AH24" s="1350"/>
      <c r="AI24" s="1349"/>
      <c r="AJ24" s="1629"/>
      <c r="AK24" s="1630"/>
      <c r="AZ24" s="3">
        <f>IF(ISNUMBER(MATCH(Z24,LANGUAGE!$C$138:$G$138,0)),1,IF(ISNUMBER(MATCH(Z24,LANGUAGE!$C$139:$G$139,0)),2,IF(ISNUMBER(MATCH(Z24,LANGUAGE!$C$140:$G$140,0)),3,0)))</f>
        <v>0</v>
      </c>
      <c r="BA24" s="3">
        <f>IF(ISNUMBER(MATCH(AJ24,LANGUAGE!$C$141:$G$141,0)),3,IF(ISNUMBER(MATCH(AJ24,LANGUAGE!$C$142:$G$142,0)),1,0))</f>
        <v>0</v>
      </c>
      <c r="BB24" s="3">
        <f t="shared" si="0"/>
        <v>0</v>
      </c>
      <c r="BD24" s="3" t="str">
        <f>IF(ISNUMBER(MATCH($AJ24,LANGUAGE!$C$141:$G$141,0)),$B24,"")</f>
        <v/>
      </c>
      <c r="BE24" s="3" t="str">
        <f>IF(ISNUMBER(MATCH($AJ24,LANGUAGE!$C$142:$G$142,0)),$B24,"")</f>
        <v/>
      </c>
    </row>
    <row r="25" spans="2:57" s="3" customFormat="1" ht="82.5" customHeight="1" x14ac:dyDescent="0.25">
      <c r="B25" s="254" t="s">
        <v>1812</v>
      </c>
      <c r="C25" s="1345" t="str">
        <f>HLOOKUP(LANGUAGE!$B$2,LANGUAGE!$C$14:$G$1500,660)</f>
        <v>Tooling-/ Process design concept</v>
      </c>
      <c r="D25" s="1345"/>
      <c r="E25" s="1358" t="str">
        <f>HLOOKUP(LANGUAGE!$B$2,LANGUAGE!$C$14:$G$1500,661)</f>
        <v>Can the review of the tool design be completed successfully?</v>
      </c>
      <c r="F25" s="1359"/>
      <c r="G25" s="1359"/>
      <c r="H25" s="1359"/>
      <c r="I25" s="1359"/>
      <c r="J25" s="1359"/>
      <c r="K25" s="1359"/>
      <c r="L25" s="1360"/>
      <c r="M25" s="1631" t="str">
        <f>HLOOKUP(LANGUAGE!$B$2,LANGUAGE!$C$14:$G$1500,662)</f>
        <v xml:space="preserve">- the tool concept was reviewed with Brose technology expert
- the forming simulation is updated including variation of process parameters (e.g. low/high friction) and material properties (e.g. lower/upper yield strength) </v>
      </c>
      <c r="N25" s="1631"/>
      <c r="O25" s="1631"/>
      <c r="P25" s="1631"/>
      <c r="Q25" s="1631"/>
      <c r="R25" s="1631"/>
      <c r="S25" s="1631"/>
      <c r="T25" s="1631"/>
      <c r="U25" s="1348"/>
      <c r="V25" s="1348"/>
      <c r="W25" s="1348"/>
      <c r="X25" s="1348"/>
      <c r="Y25" s="1348"/>
      <c r="Z25" s="1628"/>
      <c r="AA25" s="1628"/>
      <c r="AB25" s="1349"/>
      <c r="AC25" s="1349"/>
      <c r="AD25" s="1349"/>
      <c r="AE25" s="1349"/>
      <c r="AF25" s="1349"/>
      <c r="AG25" s="1349"/>
      <c r="AH25" s="1350"/>
      <c r="AI25" s="1349"/>
      <c r="AJ25" s="1629"/>
      <c r="AK25" s="1630"/>
      <c r="AZ25" s="3">
        <f>IF(ISNUMBER(MATCH(Z25,LANGUAGE!$C$138:$G$138,0)),1,IF(ISNUMBER(MATCH(Z25,LANGUAGE!$C$139:$G$139,0)),2,IF(ISNUMBER(MATCH(Z25,LANGUAGE!$C$140:$G$140,0)),3,0)))</f>
        <v>0</v>
      </c>
      <c r="BA25" s="3">
        <f>IF(ISNUMBER(MATCH(AJ25,LANGUAGE!$C$141:$G$141,0)),3,IF(ISNUMBER(MATCH(AJ25,LANGUAGE!$C$142:$G$142,0)),1,0))</f>
        <v>0</v>
      </c>
      <c r="BB25" s="3">
        <f t="shared" si="0"/>
        <v>0</v>
      </c>
      <c r="BD25" s="3" t="str">
        <f>IF(ISNUMBER(MATCH($AJ25,LANGUAGE!$C$141:$G$141,0)),$B25,"")</f>
        <v/>
      </c>
      <c r="BE25" s="3" t="str">
        <f>IF(ISNUMBER(MATCH($AJ25,LANGUAGE!$C$142:$G$142,0)),$B25,"")</f>
        <v/>
      </c>
    </row>
    <row r="26" spans="2:57" s="3" customFormat="1" ht="66.05" customHeight="1" x14ac:dyDescent="0.25">
      <c r="B26" s="254" t="s">
        <v>1813</v>
      </c>
      <c r="C26" s="1345" t="str">
        <f>HLOOKUP(LANGUAGE!$B$2,LANGUAGE!$C$14:$G$1500,670)</f>
        <v>Change Management</v>
      </c>
      <c r="D26" s="1345"/>
      <c r="E26" s="1358" t="str">
        <f>HLOOKUP(LANGUAGE!$B$2,LANGUAGE!$C$14:$G$1500,671)</f>
        <v>Have any modifications to the project been made after acceptance of FS?</v>
      </c>
      <c r="F26" s="1359"/>
      <c r="G26" s="1359"/>
      <c r="H26" s="1359"/>
      <c r="I26" s="1359"/>
      <c r="J26" s="1359"/>
      <c r="K26" s="1359"/>
      <c r="L26" s="1360"/>
      <c r="M26" s="1632" t="str">
        <f>HLOOKUP(LANGUAGE!$B$2,LANGUAGE!$C$14:$G$1500,672)</f>
        <v>The following documents are available:
- Confirmed purchasing order
- Drawing/CAD-Model acc. order
- Confirmed feasibility study for index change 
- Updated part history list since Brose Purchase Order</v>
      </c>
      <c r="N26" s="1632"/>
      <c r="O26" s="1632"/>
      <c r="P26" s="1632"/>
      <c r="Q26" s="1632"/>
      <c r="R26" s="1632"/>
      <c r="S26" s="1632"/>
      <c r="T26" s="1632"/>
      <c r="U26" s="1348"/>
      <c r="V26" s="1348"/>
      <c r="W26" s="1348"/>
      <c r="X26" s="1348"/>
      <c r="Y26" s="1348"/>
      <c r="Z26" s="1628"/>
      <c r="AA26" s="1628"/>
      <c r="AB26" s="1349"/>
      <c r="AC26" s="1349"/>
      <c r="AD26" s="1349"/>
      <c r="AE26" s="1349"/>
      <c r="AF26" s="1349"/>
      <c r="AG26" s="1349"/>
      <c r="AH26" s="1350"/>
      <c r="AI26" s="1349"/>
      <c r="AJ26" s="1629"/>
      <c r="AK26" s="1630"/>
      <c r="AZ26" s="3">
        <f>IF(ISNUMBER(MATCH(Z26,LANGUAGE!$C$138:$G$138,0)),1,IF(ISNUMBER(MATCH(Z26,LANGUAGE!$C$139:$G$139,0)),2,IF(ISNUMBER(MATCH(Z26,LANGUAGE!$C$140:$G$140,0)),3,0)))</f>
        <v>0</v>
      </c>
      <c r="BA26" s="3">
        <f>IF(ISNUMBER(MATCH(AJ26,LANGUAGE!$C$141:$G$141,0)),3,IF(ISNUMBER(MATCH(AJ26,LANGUAGE!$C$142:$G$142,0)),1,0))</f>
        <v>0</v>
      </c>
      <c r="BB26" s="3">
        <f t="shared" si="0"/>
        <v>0</v>
      </c>
      <c r="BD26" s="3" t="str">
        <f>IF(ISNUMBER(MATCH($AJ26,LANGUAGE!$C$141:$G$141,0)),$B26,"")</f>
        <v/>
      </c>
      <c r="BE26" s="3" t="str">
        <f>IF(ISNUMBER(MATCH($AJ26,LANGUAGE!$C$142:$G$142,0)),$B26,"")</f>
        <v/>
      </c>
    </row>
    <row r="27" spans="2:57" s="3" customFormat="1" ht="66.05" customHeight="1" thickBot="1" x14ac:dyDescent="0.3">
      <c r="B27" s="514" t="s">
        <v>1814</v>
      </c>
      <c r="C27" s="1527" t="str">
        <f>HLOOKUP(LANGUAGE!$B$2,LANGUAGE!$C$14:$G$1500,674)</f>
        <v>Brose internal</v>
      </c>
      <c r="D27" s="1527"/>
      <c r="E27" s="1655" t="str">
        <f>HLOOKUP(LANGUAGE!$B$2,LANGUAGE!$C$14:$G$1500,675)</f>
        <v>Brose Quality planner: Please inform Brose supplier developer</v>
      </c>
      <c r="F27" s="1656"/>
      <c r="G27" s="1656"/>
      <c r="H27" s="1656"/>
      <c r="I27" s="1656"/>
      <c r="J27" s="1656"/>
      <c r="K27" s="1656"/>
      <c r="L27" s="1657"/>
      <c r="M27" s="1528" t="str">
        <f>HLOOKUP(LANGUAGE!$B$2,LANGUAGE!$C$14:$G$1500,676)</f>
        <v>If:
- New supplier for Brose
- New production plant for existing supplier for Brose
- New technology for existing supplier for Brose</v>
      </c>
      <c r="N27" s="1528"/>
      <c r="O27" s="1528"/>
      <c r="P27" s="1528"/>
      <c r="Q27" s="1528"/>
      <c r="R27" s="1528"/>
      <c r="S27" s="1528"/>
      <c r="T27" s="1528"/>
      <c r="U27" s="1529"/>
      <c r="V27" s="1529"/>
      <c r="W27" s="1529"/>
      <c r="X27" s="1529"/>
      <c r="Y27" s="1529"/>
      <c r="Z27" s="1658"/>
      <c r="AA27" s="1658"/>
      <c r="AB27" s="1530"/>
      <c r="AC27" s="1530"/>
      <c r="AD27" s="1530"/>
      <c r="AE27" s="1530"/>
      <c r="AF27" s="1530"/>
      <c r="AG27" s="1530"/>
      <c r="AH27" s="1531"/>
      <c r="AI27" s="1530"/>
      <c r="AJ27" s="1659"/>
      <c r="AK27" s="1660"/>
      <c r="AZ27" s="3">
        <f>IF(ISNUMBER(MATCH(Z27,LANGUAGE!$C$138:$G$138,0)),1,IF(ISNUMBER(MATCH(Z27,LANGUAGE!$C$139:$G$139,0)),2,IF(ISNUMBER(MATCH(Z27,LANGUAGE!$C$140:$G$140,0)),3,0)))</f>
        <v>0</v>
      </c>
      <c r="BA27" s="3">
        <f>IF(ISNUMBER(MATCH(AJ27,LANGUAGE!$C$141:$G$141,0)),3,IF(ISNUMBER(MATCH(AJ27,LANGUAGE!$C$142:$G$142,0)),1,0))</f>
        <v>0</v>
      </c>
      <c r="BB27" s="3">
        <f t="shared" ref="BB27" si="1">IF(AND(AZ27&gt;1,BA27=0),10,AZ27+BA27)</f>
        <v>0</v>
      </c>
      <c r="BD27" s="3" t="str">
        <f>IF(ISNUMBER(MATCH($AJ27,LANGUAGE!$C$141:$G$141,0)),$B27,"")</f>
        <v/>
      </c>
      <c r="BE27" s="3" t="str">
        <f>IF(ISNUMBER(MATCH($AJ27,LANGUAGE!$C$142:$G$142,0)),$B27,"")</f>
        <v/>
      </c>
    </row>
    <row r="28" spans="2:57" s="3" customFormat="1" ht="17.7" customHeight="1" thickBot="1" x14ac:dyDescent="0.3">
      <c r="B28" s="258"/>
      <c r="C28" s="258"/>
      <c r="D28" s="258"/>
      <c r="E28" s="258"/>
      <c r="F28" s="258"/>
      <c r="G28" s="258"/>
      <c r="H28" s="258"/>
      <c r="I28" s="258"/>
      <c r="J28" s="258"/>
      <c r="K28" s="258"/>
      <c r="L28" s="258"/>
      <c r="M28" s="259"/>
      <c r="N28" s="258"/>
      <c r="O28" s="258"/>
      <c r="P28" s="258"/>
      <c r="Q28" s="258"/>
      <c r="R28" s="258"/>
      <c r="S28" s="258"/>
      <c r="T28" s="258"/>
      <c r="U28" s="258"/>
      <c r="V28" s="258"/>
      <c r="W28" s="258"/>
      <c r="X28" s="258"/>
      <c r="Y28" s="258"/>
      <c r="Z28" s="258"/>
      <c r="AA28" s="258"/>
      <c r="AB28" s="258"/>
      <c r="AC28" s="258"/>
      <c r="AD28" s="258"/>
      <c r="AE28" s="258"/>
      <c r="AF28" s="258"/>
      <c r="AG28" s="258"/>
      <c r="AH28" s="258"/>
      <c r="AI28" s="258"/>
      <c r="AJ28" s="258"/>
      <c r="AK28" s="258"/>
    </row>
    <row r="29" spans="2:57" s="3" customFormat="1" ht="17.7" customHeight="1" x14ac:dyDescent="0.25">
      <c r="B29" s="1603" t="str">
        <f>HLOOKUP(LANGUAGE!$B$2,LANGUAGE!$C$14:$G$1500,78)</f>
        <v>Quality</v>
      </c>
      <c r="C29" s="1604"/>
      <c r="D29" s="1604"/>
      <c r="E29" s="1604"/>
      <c r="F29" s="1604"/>
      <c r="G29" s="1604"/>
      <c r="H29" s="1604"/>
      <c r="I29" s="1604"/>
      <c r="J29" s="1604"/>
      <c r="K29" s="1604"/>
      <c r="L29" s="1604"/>
      <c r="M29" s="1604"/>
      <c r="N29" s="1604"/>
      <c r="O29" s="1604"/>
      <c r="P29" s="1604"/>
      <c r="Q29" s="1604"/>
      <c r="R29" s="1604"/>
      <c r="S29" s="1604"/>
      <c r="T29" s="1604"/>
      <c r="U29" s="1604"/>
      <c r="V29" s="1604"/>
      <c r="W29" s="1604"/>
      <c r="X29" s="1604"/>
      <c r="Y29" s="1604"/>
      <c r="Z29" s="1604"/>
      <c r="AA29" s="1604"/>
      <c r="AB29" s="1604"/>
      <c r="AC29" s="1604"/>
      <c r="AD29" s="1604"/>
      <c r="AE29" s="1604"/>
      <c r="AF29" s="1604"/>
      <c r="AG29" s="1604"/>
      <c r="AH29" s="1604"/>
      <c r="AI29" s="1604"/>
      <c r="AJ29" s="1604"/>
      <c r="AK29" s="1605"/>
    </row>
    <row r="30" spans="2:57" s="3" customFormat="1" ht="17.7" customHeight="1" x14ac:dyDescent="0.25">
      <c r="B30" s="1606"/>
      <c r="C30" s="1607"/>
      <c r="D30" s="1607"/>
      <c r="E30" s="1607"/>
      <c r="F30" s="1607"/>
      <c r="G30" s="1607"/>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8"/>
    </row>
    <row r="31" spans="2:57" s="3" customFormat="1" ht="17.7" customHeight="1" x14ac:dyDescent="0.25">
      <c r="B31" s="1609" t="str">
        <f>HLOOKUP(LANGUAGE!$B$2,LANGUAGE!$C$14:$G$1500,91)</f>
        <v>No.</v>
      </c>
      <c r="C31" s="1611" t="str">
        <f>HLOOKUP(LANGUAGE!$B$2,LANGUAGE!$C$14:$G$1500,73)</f>
        <v>Topic</v>
      </c>
      <c r="D31" s="1612"/>
      <c r="E31" s="1329" t="str">
        <f>HLOOKUP(LANGUAGE!$B$2,LANGUAGE!$C$14:$G$1500,92)</f>
        <v>Question</v>
      </c>
      <c r="F31" s="1329"/>
      <c r="G31" s="1329"/>
      <c r="H31" s="1329"/>
      <c r="I31" s="1329"/>
      <c r="J31" s="1329"/>
      <c r="K31" s="1329"/>
      <c r="L31" s="1329"/>
      <c r="M31" s="1329" t="str">
        <f>HLOOKUP(LANGUAGE!$B$2,LANGUAGE!$C$14:$G$1500,93)</f>
        <v>Notes</v>
      </c>
      <c r="N31" s="1329"/>
      <c r="O31" s="1329"/>
      <c r="P31" s="1329"/>
      <c r="Q31" s="1329"/>
      <c r="R31" s="1329"/>
      <c r="S31" s="1329"/>
      <c r="T31" s="1329"/>
      <c r="U31" s="1615" t="str">
        <f>HLOOKUP(LANGUAGE!$B$2,LANGUAGE!$C$14:$G$1500,114)</f>
        <v>Remarks</v>
      </c>
      <c r="V31" s="1615"/>
      <c r="W31" s="1615"/>
      <c r="X31" s="1615"/>
      <c r="Y31" s="1616"/>
      <c r="Z31" s="1611" t="str">
        <f>HLOOKUP(LANGUAGE!$B$2,LANGUAGE!$C$14:$G$1500,74)</f>
        <v>Evaluation</v>
      </c>
      <c r="AA31" s="1619"/>
      <c r="AB31" s="1611" t="str">
        <f>HLOOKUP(LANGUAGE!$B$2,LANGUAGE!$C$14:$G$1500,95)</f>
        <v>Action</v>
      </c>
      <c r="AC31" s="1612"/>
      <c r="AD31" s="1619"/>
      <c r="AE31" s="1621" t="str">
        <f>HLOOKUP(LANGUAGE!$B$2,LANGUAGE!$C$14:$G$1500,96)</f>
        <v>Responsible</v>
      </c>
      <c r="AF31" s="1615"/>
      <c r="AG31" s="1616"/>
      <c r="AH31" s="1611" t="str">
        <f>HLOOKUP(LANGUAGE!$B$2,LANGUAGE!$C$14:$G$1500,21)</f>
        <v>Date</v>
      </c>
      <c r="AI31" s="1619"/>
      <c r="AJ31" s="1611" t="str">
        <f>HLOOKUP(LANGUAGE!$B$2,LANGUAGE!$C$14:$G$1500,75)</f>
        <v>Action status</v>
      </c>
      <c r="AK31" s="1623"/>
    </row>
    <row r="32" spans="2:57" s="3" customFormat="1" ht="17.7" customHeight="1" x14ac:dyDescent="0.25">
      <c r="B32" s="1610"/>
      <c r="C32" s="1613"/>
      <c r="D32" s="1614"/>
      <c r="E32" s="1329"/>
      <c r="F32" s="1329"/>
      <c r="G32" s="1329"/>
      <c r="H32" s="1329"/>
      <c r="I32" s="1329"/>
      <c r="J32" s="1329"/>
      <c r="K32" s="1329"/>
      <c r="L32" s="1329"/>
      <c r="M32" s="1329"/>
      <c r="N32" s="1329"/>
      <c r="O32" s="1329"/>
      <c r="P32" s="1329"/>
      <c r="Q32" s="1329"/>
      <c r="R32" s="1329"/>
      <c r="S32" s="1329"/>
      <c r="T32" s="1329"/>
      <c r="U32" s="1617"/>
      <c r="V32" s="1617"/>
      <c r="W32" s="1617"/>
      <c r="X32" s="1617"/>
      <c r="Y32" s="1618"/>
      <c r="Z32" s="1613"/>
      <c r="AA32" s="1620"/>
      <c r="AB32" s="1613"/>
      <c r="AC32" s="1614"/>
      <c r="AD32" s="1620"/>
      <c r="AE32" s="1622"/>
      <c r="AF32" s="1617"/>
      <c r="AG32" s="1618"/>
      <c r="AH32" s="1613"/>
      <c r="AI32" s="1620"/>
      <c r="AJ32" s="1613"/>
      <c r="AK32" s="1624"/>
      <c r="BD32" s="301" t="str">
        <f>IF(BD33&lt;&gt;"",BD33&amp;" ","")&amp;IF(BD34&lt;&gt;"",BD34&amp;" ","")&amp;IF(BD35&lt;&gt;"",BD35&amp;" ","")&amp;IF(BD36&lt;&gt;"",BD36&amp;" ","")&amp;IF(BD37&lt;&gt;"",BD37&amp;" ","")&amp;IF(BD38&lt;&gt;"",BD38&amp;" ","")</f>
        <v/>
      </c>
      <c r="BE32" s="301" t="str">
        <f>IF(BE33&lt;&gt;"",BE33&amp;" ","")&amp;IF(BE34&lt;&gt;"",BE34&amp;" ","")&amp;IF(BE35&lt;&gt;"",BE35&amp;" ","")&amp;IF(BE36&lt;&gt;"",BE36&amp;" ","")&amp;IF(BE37&lt;&gt;"",BE37&amp;" ","")&amp;IF(BE38&lt;&gt;"",BE38&amp;" ","")</f>
        <v/>
      </c>
    </row>
    <row r="33" spans="2:57" s="3" customFormat="1" ht="137.30000000000001" customHeight="1" x14ac:dyDescent="0.25">
      <c r="B33" s="257" t="s">
        <v>1816</v>
      </c>
      <c r="C33" s="1490" t="str">
        <f>HLOOKUP(LANGUAGE!$B$2,LANGUAGE!$C$14:$G$1500,680)</f>
        <v>P-FMEA</v>
      </c>
      <c r="D33" s="1490"/>
      <c r="E33" s="1373" t="str">
        <f>HLOOKUP(LANGUAGE!$B$2,LANGUAGE!$C$14:$G$1500,681)</f>
        <v>Is the P-FMEA available and up to date?</v>
      </c>
      <c r="F33" s="1373"/>
      <c r="G33" s="1373"/>
      <c r="H33" s="1373"/>
      <c r="I33" s="1373"/>
      <c r="J33" s="1373"/>
      <c r="K33" s="1373"/>
      <c r="L33" s="1373"/>
      <c r="M33" s="1373" t="str">
        <f>HLOOKUP(LANGUAGE!$B$2,LANGUAGE!$C$14:$G$1500,682)</f>
        <v>The following points must be met:
- Ordered Brose drawing index considered?
- Are risks identified by the use of risk matrices?
- Are special characteristics from the brose drawing in the supplier FMEA consistent considered and assured?
- Are the special characteristics from the supplier FMEA, Controlplan, inspectionsplan, control charts and appliable documents consistent?</v>
      </c>
      <c r="N33" s="1373"/>
      <c r="O33" s="1373"/>
      <c r="P33" s="1373"/>
      <c r="Q33" s="1373"/>
      <c r="R33" s="1373"/>
      <c r="S33" s="1373"/>
      <c r="T33" s="1373"/>
      <c r="U33" s="1491"/>
      <c r="V33" s="1491"/>
      <c r="W33" s="1491"/>
      <c r="X33" s="1491"/>
      <c r="Y33" s="1491"/>
      <c r="Z33" s="1492"/>
      <c r="AA33" s="1492"/>
      <c r="AB33" s="1493"/>
      <c r="AC33" s="1493"/>
      <c r="AD33" s="1493"/>
      <c r="AE33" s="1493"/>
      <c r="AF33" s="1493"/>
      <c r="AG33" s="1493"/>
      <c r="AH33" s="1494"/>
      <c r="AI33" s="1493"/>
      <c r="AJ33" s="1495"/>
      <c r="AK33" s="1496"/>
      <c r="AZ33" s="3">
        <f>IF(ISNUMBER(MATCH(Z33,LANGUAGE!$C$138:$G$138,0)),1,IF(ISNUMBER(MATCH(Z33,LANGUAGE!$C$139:$G$139,0)),2,IF(ISNUMBER(MATCH(Z33,LANGUAGE!$C$140:$G$140,0)),3,0)))</f>
        <v>0</v>
      </c>
      <c r="BA33" s="3">
        <f>IF(ISNUMBER(MATCH(AJ33,LANGUAGE!$C$141:$G$141,0)),3,IF(ISNUMBER(MATCH(AJ33,LANGUAGE!$C$142:$G$142,0)),1,0))</f>
        <v>0</v>
      </c>
      <c r="BB33" s="3">
        <f t="shared" si="0"/>
        <v>0</v>
      </c>
      <c r="BD33" s="3" t="str">
        <f>IF(ISNUMBER(MATCH($AJ33,LANGUAGE!$C$141:$G$141,0)),$B33,"")</f>
        <v/>
      </c>
      <c r="BE33" s="3" t="str">
        <f>IF(ISNUMBER(MATCH($AJ33,LANGUAGE!$C$142:$G$142,0)),$B33,"")</f>
        <v/>
      </c>
    </row>
    <row r="34" spans="2:57" s="3" customFormat="1" ht="140.25" customHeight="1" x14ac:dyDescent="0.25">
      <c r="B34" s="254" t="s">
        <v>1817</v>
      </c>
      <c r="C34" s="1345" t="str">
        <f>HLOOKUP(LANGUAGE!$B$2,LANGUAGE!$C$14:$G$1500,690)</f>
        <v>Control Plan</v>
      </c>
      <c r="D34" s="1345"/>
      <c r="E34" s="1633" t="str">
        <f>HLOOKUP(LANGUAGE!$B$2,LANGUAGE!$C$14:$G$1500,691)</f>
        <v>Are the pre-launch and production control plans up to date?</v>
      </c>
      <c r="F34" s="1633"/>
      <c r="G34" s="1633"/>
      <c r="H34" s="1633"/>
      <c r="I34" s="1633"/>
      <c r="J34" s="1633"/>
      <c r="K34" s="1633"/>
      <c r="L34" s="1633"/>
      <c r="M34" s="1633" t="str">
        <f>HLOOKUP(LANGUAGE!$B$2,LANGUAGE!$C$14:$G$1500,692)</f>
        <v>- Have all pass through and special characteristics from FS and PFMEA been included?
- Have all tolerances, inspection methods and sample sizes been verified?
- Is 100% Safe Launch inspection included for failures based on FS, Lessons Learned and defect catalogue items based on supplier's technology?
- KPC characteristics out of PFMEA are considered?
- Are exit criterias included for the Safe Launch scope?</v>
      </c>
      <c r="N34" s="1633"/>
      <c r="O34" s="1633"/>
      <c r="P34" s="1633"/>
      <c r="Q34" s="1633"/>
      <c r="R34" s="1633"/>
      <c r="S34" s="1633"/>
      <c r="T34" s="1633"/>
      <c r="U34" s="1634"/>
      <c r="V34" s="1348"/>
      <c r="W34" s="1348"/>
      <c r="X34" s="1348"/>
      <c r="Y34" s="1348"/>
      <c r="Z34" s="1628"/>
      <c r="AA34" s="1628"/>
      <c r="AB34" s="1349"/>
      <c r="AC34" s="1349"/>
      <c r="AD34" s="1349"/>
      <c r="AE34" s="1349"/>
      <c r="AF34" s="1349"/>
      <c r="AG34" s="1349"/>
      <c r="AH34" s="1350"/>
      <c r="AI34" s="1349"/>
      <c r="AJ34" s="1629"/>
      <c r="AK34" s="1630"/>
      <c r="AZ34" s="3">
        <f>IF(ISNUMBER(MATCH(Z34,LANGUAGE!$C$138:$G$138,0)),1,IF(ISNUMBER(MATCH(Z34,LANGUAGE!$C$139:$G$139,0)),2,IF(ISNUMBER(MATCH(Z34,LANGUAGE!$C$140:$G$140,0)),3,0)))</f>
        <v>0</v>
      </c>
      <c r="BA34" s="3">
        <f>IF(ISNUMBER(MATCH(AJ34,LANGUAGE!$C$141:$G$141,0)),3,IF(ISNUMBER(MATCH(AJ34,LANGUAGE!$C$142:$G$142,0)),1,0))</f>
        <v>0</v>
      </c>
      <c r="BB34" s="3">
        <f t="shared" si="0"/>
        <v>0</v>
      </c>
      <c r="BD34" s="3" t="str">
        <f>IF(ISNUMBER(MATCH($AJ34,LANGUAGE!$C$141:$G$141,0)),$B34,"")</f>
        <v/>
      </c>
      <c r="BE34" s="3" t="str">
        <f>IF(ISNUMBER(MATCH($AJ34,LANGUAGE!$C$142:$G$142,0)),$B34,"")</f>
        <v/>
      </c>
    </row>
    <row r="35" spans="2:57" s="3" customFormat="1" ht="54.8" customHeight="1" x14ac:dyDescent="0.25">
      <c r="B35" s="254" t="s">
        <v>1828</v>
      </c>
      <c r="C35" s="1345" t="str">
        <f>HLOOKUP(LANGUAGE!$B$2,LANGUAGE!$C$14:$G$1500,700)</f>
        <v xml:space="preserve">Test equipment &amp; MSA </v>
      </c>
      <c r="D35" s="1345"/>
      <c r="E35" s="1347" t="str">
        <f>HLOOKUP(LANGUAGE!$B$2,LANGUAGE!$C$14:$G$1500,701)</f>
        <v>Are all gauges and test equipments incl. measurement study analyses (MSA/VDA5) and resp.measurement alignment planned on time?</v>
      </c>
      <c r="F35" s="1347"/>
      <c r="G35" s="1347"/>
      <c r="H35" s="1347"/>
      <c r="I35" s="1347"/>
      <c r="J35" s="1347"/>
      <c r="K35" s="1347"/>
      <c r="L35" s="1347"/>
      <c r="M35" s="1347" t="str">
        <f>HLOOKUP(LANGUAGE!$B$2,LANGUAGE!$C$14:$G$1500,702)</f>
        <v>Review concept for gauges and test equipment.</v>
      </c>
      <c r="N35" s="1347"/>
      <c r="O35" s="1347"/>
      <c r="P35" s="1347"/>
      <c r="Q35" s="1347"/>
      <c r="R35" s="1347"/>
      <c r="S35" s="1347"/>
      <c r="T35" s="1347"/>
      <c r="U35" s="1348"/>
      <c r="V35" s="1348"/>
      <c r="W35" s="1348"/>
      <c r="X35" s="1348"/>
      <c r="Y35" s="1348"/>
      <c r="Z35" s="1628"/>
      <c r="AA35" s="1628"/>
      <c r="AB35" s="1349"/>
      <c r="AC35" s="1349"/>
      <c r="AD35" s="1349"/>
      <c r="AE35" s="1349"/>
      <c r="AF35" s="1349"/>
      <c r="AG35" s="1349"/>
      <c r="AH35" s="1350"/>
      <c r="AI35" s="1349"/>
      <c r="AJ35" s="1629"/>
      <c r="AK35" s="1630"/>
      <c r="AZ35" s="3">
        <f>IF(ISNUMBER(MATCH(Z35,LANGUAGE!$C$138:$G$138,0)),1,IF(ISNUMBER(MATCH(Z35,LANGUAGE!$C$139:$G$139,0)),2,IF(ISNUMBER(MATCH(Z35,LANGUAGE!$C$140:$G$140,0)),3,0)))</f>
        <v>0</v>
      </c>
      <c r="BA35" s="3">
        <f>IF(ISNUMBER(MATCH(AJ35,LANGUAGE!$C$141:$G$141,0)),3,IF(ISNUMBER(MATCH(AJ35,LANGUAGE!$C$142:$G$142,0)),1,0))</f>
        <v>0</v>
      </c>
      <c r="BB35" s="3">
        <f t="shared" si="0"/>
        <v>0</v>
      </c>
      <c r="BD35" s="3" t="str">
        <f>IF(ISNUMBER(MATCH($AJ35,LANGUAGE!$C$141:$G$141,0)),$B35,"")</f>
        <v/>
      </c>
      <c r="BE35" s="3" t="str">
        <f>IF(ISNUMBER(MATCH($AJ35,LANGUAGE!$C$142:$G$142,0)),$B35,"")</f>
        <v/>
      </c>
    </row>
    <row r="36" spans="2:57" s="3" customFormat="1" ht="54.8" customHeight="1" x14ac:dyDescent="0.25">
      <c r="B36" s="254" t="s">
        <v>1829</v>
      </c>
      <c r="C36" s="1345" t="str">
        <f>HLOOKUP(LANGUAGE!$B$2,LANGUAGE!$C$14:$G$1500,710)</f>
        <v>Traceability concept</v>
      </c>
      <c r="D36" s="1345"/>
      <c r="E36" s="1347" t="str">
        <f>HLOOKUP(LANGUAGE!$B$2,LANGUAGE!$C$14:$G$1500,711)</f>
        <v>Are there modifications of traceability concept comparing to SQG1?</v>
      </c>
      <c r="F36" s="1347"/>
      <c r="G36" s="1347"/>
      <c r="H36" s="1347"/>
      <c r="I36" s="1347"/>
      <c r="J36" s="1347"/>
      <c r="K36" s="1347"/>
      <c r="L36" s="1347"/>
      <c r="M36" s="1347" t="str">
        <f>HLOOKUP(LANGUAGE!$B$2,LANGUAGE!$C$14:$G$1500,712)</f>
        <v>See SQG 1 and FS agreement for treacibility.</v>
      </c>
      <c r="N36" s="1347"/>
      <c r="O36" s="1347"/>
      <c r="P36" s="1347"/>
      <c r="Q36" s="1347"/>
      <c r="R36" s="1347"/>
      <c r="S36" s="1347"/>
      <c r="T36" s="1347"/>
      <c r="U36" s="1348"/>
      <c r="V36" s="1348"/>
      <c r="W36" s="1348"/>
      <c r="X36" s="1348"/>
      <c r="Y36" s="1348"/>
      <c r="Z36" s="1628"/>
      <c r="AA36" s="1628"/>
      <c r="AB36" s="1349"/>
      <c r="AC36" s="1349"/>
      <c r="AD36" s="1349"/>
      <c r="AE36" s="1349"/>
      <c r="AF36" s="1349"/>
      <c r="AG36" s="1349"/>
      <c r="AH36" s="1350"/>
      <c r="AI36" s="1349"/>
      <c r="AJ36" s="1629"/>
      <c r="AK36" s="1630"/>
      <c r="AZ36" s="3">
        <f>IF(ISNUMBER(MATCH(Z36,LANGUAGE!$C$138:$G$138,0)),1,IF(ISNUMBER(MATCH(Z36,LANGUAGE!$C$139:$G$139,0)),2,IF(ISNUMBER(MATCH(Z36,LANGUAGE!$C$140:$G$140,0)),3,0)))</f>
        <v>0</v>
      </c>
      <c r="BA36" s="3">
        <f>IF(ISNUMBER(MATCH(AJ36,LANGUAGE!$C$141:$G$141,0)),3,IF(ISNUMBER(MATCH(AJ36,LANGUAGE!$C$142:$G$142,0)),1,0))</f>
        <v>0</v>
      </c>
      <c r="BB36" s="3">
        <f t="shared" si="0"/>
        <v>0</v>
      </c>
      <c r="BD36" s="3" t="str">
        <f>IF(ISNUMBER(MATCH($AJ36,LANGUAGE!$C$141:$G$141,0)),$B36,"")</f>
        <v/>
      </c>
      <c r="BE36" s="3" t="str">
        <f>IF(ISNUMBER(MATCH($AJ36,LANGUAGE!$C$142:$G$142,0)),$B36,"")</f>
        <v/>
      </c>
    </row>
    <row r="37" spans="2:57" s="3" customFormat="1" ht="71.25" customHeight="1" x14ac:dyDescent="0.25">
      <c r="B37" s="486" t="s">
        <v>1830</v>
      </c>
      <c r="C37" s="1580" t="str">
        <f>HLOOKUP(LANGUAGE!$B$2,LANGUAGE!$C$14:$G$1500,720)</f>
        <v>Technical Cleanliness</v>
      </c>
      <c r="D37" s="1580"/>
      <c r="E37" s="1574" t="str">
        <f>HLOOKUP(LANGUAGE!$B$2,LANGUAGE!$C$14:$G$1500,721)</f>
        <v>How do supplier ensure technical cleanliness requirement for this product (If required on drawing / Brose norm)?</v>
      </c>
      <c r="F37" s="1574"/>
      <c r="G37" s="1574"/>
      <c r="H37" s="1574"/>
      <c r="I37" s="1574"/>
      <c r="J37" s="1574"/>
      <c r="K37" s="1574"/>
      <c r="L37" s="1574"/>
      <c r="M37" s="1574" t="str">
        <f>HLOOKUP(LANGUAGE!$B$2,LANGUAGE!$C$14:$G$1500,722)</f>
        <v>Testing plan description.
Testing history available?</v>
      </c>
      <c r="N37" s="1574"/>
      <c r="O37" s="1574"/>
      <c r="P37" s="1574"/>
      <c r="Q37" s="1574"/>
      <c r="R37" s="1574"/>
      <c r="S37" s="1574"/>
      <c r="T37" s="1574"/>
      <c r="U37" s="1638"/>
      <c r="V37" s="1638"/>
      <c r="W37" s="1638"/>
      <c r="X37" s="1638"/>
      <c r="Y37" s="1638"/>
      <c r="Z37" s="1635"/>
      <c r="AA37" s="1635"/>
      <c r="AB37" s="1636"/>
      <c r="AC37" s="1636"/>
      <c r="AD37" s="1636"/>
      <c r="AE37" s="1636"/>
      <c r="AF37" s="1636"/>
      <c r="AG37" s="1636"/>
      <c r="AH37" s="1637"/>
      <c r="AI37" s="1636"/>
      <c r="AJ37" s="1593"/>
      <c r="AK37" s="1594"/>
      <c r="AZ37" s="3">
        <f>IF(ISNUMBER(MATCH(Z37,LANGUAGE!$C$138:$G$138,0)),1,IF(ISNUMBER(MATCH(Z37,LANGUAGE!$C$139:$G$139,0)),2,IF(ISNUMBER(MATCH(Z37,LANGUAGE!$C$140:$G$140,0)),3,0)))</f>
        <v>0</v>
      </c>
      <c r="BA37" s="3">
        <f>IF(ISNUMBER(MATCH(AJ37,LANGUAGE!$C$141:$G$141,0)),3,IF(ISNUMBER(MATCH(AJ37,LANGUAGE!$C$142:$G$142,0)),1,0))</f>
        <v>0</v>
      </c>
      <c r="BB37" s="3">
        <f t="shared" si="0"/>
        <v>0</v>
      </c>
      <c r="BD37" s="3" t="str">
        <f>IF(ISNUMBER(MATCH($AJ37,LANGUAGE!$C$141:$G$141,0)),$B37,"")</f>
        <v/>
      </c>
      <c r="BE37" s="3" t="str">
        <f>IF(ISNUMBER(MATCH($AJ37,LANGUAGE!$C$142:$G$142,0)),$B37,"")</f>
        <v/>
      </c>
    </row>
    <row r="38" spans="2:57" s="3" customFormat="1" ht="71.25" customHeight="1" x14ac:dyDescent="0.25">
      <c r="B38" s="486" t="s">
        <v>1831</v>
      </c>
      <c r="C38" s="1580" t="str">
        <f>HLOOKUP(LANGUAGE!$B$2,LANGUAGE!$C$14:$G$1500,725)</f>
        <v>FFA Field Failure Analysis</v>
      </c>
      <c r="D38" s="1580"/>
      <c r="E38" s="1574" t="str">
        <f>HLOOKUP(LANGUAGE!$B$2,LANGUAGE!$C$14:$G$1500,726)</f>
        <v>Escalating test step concept with part analysis (standard test and test under load) and NTF-process (with triggering criteria) is available for the component and, if necessary, system-checks are coordinated with Brose?</v>
      </c>
      <c r="F38" s="1574"/>
      <c r="G38" s="1574"/>
      <c r="H38" s="1574"/>
      <c r="I38" s="1574"/>
      <c r="J38" s="1574"/>
      <c r="K38" s="1574"/>
      <c r="L38" s="1574"/>
      <c r="M38" s="1574" t="str">
        <f>HLOOKUP(LANGUAGE!$B$2,LANGUAGE!$C$14:$G$1500,727)</f>
        <v>Part Analysis (Standard test and test under load) are available?
CSR’s taken into accoun?
Inclusion / commitment supply chain proven?
Personnel planning (qualification according to VDA)?</v>
      </c>
      <c r="N38" s="1574"/>
      <c r="O38" s="1574"/>
      <c r="P38" s="1574"/>
      <c r="Q38" s="1574"/>
      <c r="R38" s="1574"/>
      <c r="S38" s="1574"/>
      <c r="T38" s="1574"/>
      <c r="U38" s="1638"/>
      <c r="V38" s="1638"/>
      <c r="W38" s="1638"/>
      <c r="X38" s="1638"/>
      <c r="Y38" s="1638"/>
      <c r="Z38" s="1635"/>
      <c r="AA38" s="1635"/>
      <c r="AB38" s="1636"/>
      <c r="AC38" s="1636"/>
      <c r="AD38" s="1636"/>
      <c r="AE38" s="1636"/>
      <c r="AF38" s="1636"/>
      <c r="AG38" s="1636"/>
      <c r="AH38" s="1637"/>
      <c r="AI38" s="1636"/>
      <c r="AJ38" s="1593"/>
      <c r="AK38" s="1594"/>
      <c r="AZ38" s="3">
        <f>IF(ISNUMBER(MATCH(Z38,LANGUAGE!$C$138:$G$138,0)),1,IF(ISNUMBER(MATCH(Z38,LANGUAGE!$C$139:$G$139,0)),2,IF(ISNUMBER(MATCH(Z38,LANGUAGE!$C$140:$G$140,0)),3,0)))</f>
        <v>0</v>
      </c>
      <c r="BA38" s="3">
        <f>IF(ISNUMBER(MATCH(AJ38,LANGUAGE!$C$141:$G$141,0)),3,IF(ISNUMBER(MATCH(AJ38,LANGUAGE!$C$142:$G$142,0)),1,0))</f>
        <v>0</v>
      </c>
      <c r="BB38" s="3">
        <f t="shared" ref="BB38" si="2">IF(AND(AZ38&gt;1,BA38=0),10,AZ38+BA38)</f>
        <v>0</v>
      </c>
      <c r="BD38" s="3" t="str">
        <f>IF(ISNUMBER(MATCH($AJ38,LANGUAGE!$C$141:$G$141,0)),$B38,"")</f>
        <v/>
      </c>
      <c r="BE38" s="3" t="str">
        <f>IF(ISNUMBER(MATCH($AJ38,LANGUAGE!$C$142:$G$142,0)),$B38,"")</f>
        <v/>
      </c>
    </row>
    <row r="39" spans="2:57" s="3" customFormat="1" ht="107.25" customHeight="1" x14ac:dyDescent="0.25">
      <c r="B39" s="486" t="s">
        <v>1832</v>
      </c>
      <c r="C39" s="1661" t="str">
        <f>HLOOKUP(LANGUAGE!$B$2,LANGUAGE!$C$14:$G$1500,730)</f>
        <v>Safe Launch</v>
      </c>
      <c r="D39" s="1661"/>
      <c r="E39" s="1662" t="str">
        <f>HLOOKUP(LANGUAGE!$B$2,LANGUAGE!$C$14:$G$1500,731)</f>
        <v>Did the supplier plan the Safe Launch process?</v>
      </c>
      <c r="F39" s="1662"/>
      <c r="G39" s="1662"/>
      <c r="H39" s="1662"/>
      <c r="I39" s="1662"/>
      <c r="J39" s="1662"/>
      <c r="K39" s="1662"/>
      <c r="L39" s="1662"/>
      <c r="M39" s="1663" t="str">
        <f>HLOOKUP(LANGUAGE!$B$2,LANGUAGE!$C$14:$G$1500,732)</f>
        <v>- Dedicated Safe Launch process for inspections
- Process layout ensuring 1 piece flow during inspection and provisions to control OK and NOK material 
- Work instructions including all special characteristics and defect catalogue items based on supplier technology, inspection methods, tools, gauges, tolerances, guidance on how to handle NOK material, etc.)</v>
      </c>
      <c r="N39" s="1663"/>
      <c r="O39" s="1663"/>
      <c r="P39" s="1663"/>
      <c r="Q39" s="1663"/>
      <c r="R39" s="1663"/>
      <c r="S39" s="1663"/>
      <c r="T39" s="1663"/>
      <c r="U39" s="1664"/>
      <c r="V39" s="1638"/>
      <c r="W39" s="1638"/>
      <c r="X39" s="1638"/>
      <c r="Y39" s="1638"/>
      <c r="Z39" s="1635"/>
      <c r="AA39" s="1635"/>
      <c r="AB39" s="1636"/>
      <c r="AC39" s="1636"/>
      <c r="AD39" s="1636"/>
      <c r="AE39" s="1636"/>
      <c r="AF39" s="1636"/>
      <c r="AG39" s="1636"/>
      <c r="AH39" s="1637"/>
      <c r="AI39" s="1636"/>
      <c r="AJ39" s="1593"/>
      <c r="AK39" s="1594"/>
      <c r="AZ39" s="3">
        <f>IF(ISNUMBER(MATCH(Z39,LANGUAGE!$C$138:$G$138,0)),1,IF(ISNUMBER(MATCH(Z39,LANGUAGE!$C$139:$G$139,0)),2,IF(ISNUMBER(MATCH(Z39,LANGUAGE!$C$140:$G$140,0)),3,0)))</f>
        <v>0</v>
      </c>
      <c r="BA39" s="3">
        <f>IF(ISNUMBER(MATCH(AJ39,LANGUAGE!$C$141:$G$141,0)),3,IF(ISNUMBER(MATCH(AJ39,LANGUAGE!$C$142:$G$142,0)),1,0))</f>
        <v>0</v>
      </c>
      <c r="BB39" s="3">
        <f t="shared" ref="BB39:BB40" si="3">IF(AND(AZ39&gt;1,BA39=0),10,AZ39+BA39)</f>
        <v>0</v>
      </c>
    </row>
    <row r="40" spans="2:57" s="3" customFormat="1" ht="71.25" customHeight="1" thickBot="1" x14ac:dyDescent="0.3">
      <c r="B40" s="253" t="s">
        <v>1833</v>
      </c>
      <c r="C40" s="1665" t="str">
        <f>HLOOKUP(LANGUAGE!$B$2,LANGUAGE!$C$14:$G$1500,735)</f>
        <v>Safe Launch</v>
      </c>
      <c r="D40" s="1665"/>
      <c r="E40" s="1666" t="str">
        <f>HLOOKUP(LANGUAGE!$B$2,LANGUAGE!$C$14:$G$1500,736)</f>
        <v>Does the supplier understand the Safe Launch process and its requirements?</v>
      </c>
      <c r="F40" s="1666"/>
      <c r="G40" s="1666"/>
      <c r="H40" s="1666"/>
      <c r="I40" s="1666"/>
      <c r="J40" s="1666"/>
      <c r="K40" s="1666"/>
      <c r="L40" s="1666"/>
      <c r="M40" s="1666" t="str">
        <f>HLOOKUP(LANGUAGE!$B$2,LANGUAGE!$C$14:$G$1500,737)</f>
        <v>- Sampling inspections acc. FS for all prelaunch builds and ramp-up shipments
- Duration and exit criteria
- Data storage plans and submissions to Brose</v>
      </c>
      <c r="N40" s="1666"/>
      <c r="O40" s="1666"/>
      <c r="P40" s="1666"/>
      <c r="Q40" s="1666"/>
      <c r="R40" s="1666"/>
      <c r="S40" s="1666"/>
      <c r="T40" s="1666"/>
      <c r="U40" s="1667" t="s">
        <v>1834</v>
      </c>
      <c r="V40" s="1335"/>
      <c r="W40" s="1335"/>
      <c r="X40" s="1335"/>
      <c r="Y40" s="1335"/>
      <c r="Z40" s="1668"/>
      <c r="AA40" s="1668"/>
      <c r="AB40" s="1336"/>
      <c r="AC40" s="1336"/>
      <c r="AD40" s="1336"/>
      <c r="AE40" s="1336"/>
      <c r="AF40" s="1336"/>
      <c r="AG40" s="1336"/>
      <c r="AH40" s="1337"/>
      <c r="AI40" s="1336"/>
      <c r="AJ40" s="1669"/>
      <c r="AK40" s="1670"/>
      <c r="AZ40" s="3">
        <f>IF(ISNUMBER(MATCH(Z40,LANGUAGE!$C$138:$G$138,0)),1,IF(ISNUMBER(MATCH(Z40,LANGUAGE!$C$139:$G$139,0)),2,IF(ISNUMBER(MATCH(Z40,LANGUAGE!$C$140:$G$140,0)),3,0)))</f>
        <v>0</v>
      </c>
      <c r="BA40" s="3">
        <f>IF(ISNUMBER(MATCH(AJ40,LANGUAGE!$C$141:$G$141,0)),3,IF(ISNUMBER(MATCH(AJ40,LANGUAGE!$C$142:$G$142,0)),1,0))</f>
        <v>0</v>
      </c>
      <c r="BB40" s="3">
        <f t="shared" si="3"/>
        <v>0</v>
      </c>
    </row>
    <row r="41" spans="2:57" s="3" customFormat="1" ht="17.7" customHeight="1" thickBot="1" x14ac:dyDescent="0.3">
      <c r="B41" s="258"/>
      <c r="C41" s="258"/>
      <c r="D41" s="258"/>
      <c r="E41" s="258"/>
      <c r="F41" s="258"/>
      <c r="G41" s="258"/>
      <c r="H41" s="258"/>
      <c r="I41" s="258"/>
      <c r="J41" s="258"/>
      <c r="K41" s="258"/>
      <c r="L41" s="258"/>
      <c r="M41" s="259"/>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row>
    <row r="42" spans="2:57" s="3" customFormat="1" ht="17.850000000000001" customHeight="1" x14ac:dyDescent="0.25">
      <c r="B42" s="363" t="str">
        <f>HLOOKUP(LANGUAGE!$B$2,LANGUAGE!$C$14:$G$1500,114)</f>
        <v>Remarks</v>
      </c>
      <c r="C42" s="364"/>
      <c r="D42" s="364"/>
      <c r="E42" s="364"/>
      <c r="F42" s="364"/>
      <c r="G42" s="364"/>
      <c r="H42" s="364"/>
      <c r="I42" s="364"/>
      <c r="J42" s="364"/>
      <c r="K42" s="364"/>
      <c r="L42" s="364"/>
      <c r="M42" s="365"/>
      <c r="N42" s="364"/>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6"/>
    </row>
    <row r="43" spans="2:57" s="3" customFormat="1" ht="17.850000000000001" customHeight="1" x14ac:dyDescent="0.25">
      <c r="B43" s="1521"/>
      <c r="C43" s="1522"/>
      <c r="D43" s="1522"/>
      <c r="E43" s="1522"/>
      <c r="F43" s="1522"/>
      <c r="G43" s="1522"/>
      <c r="H43" s="1522"/>
      <c r="I43" s="1522"/>
      <c r="J43" s="1522"/>
      <c r="K43" s="1522"/>
      <c r="L43" s="1522"/>
      <c r="M43" s="1522"/>
      <c r="N43" s="1522"/>
      <c r="O43" s="1522"/>
      <c r="P43" s="1522"/>
      <c r="Q43" s="1522"/>
      <c r="R43" s="1522"/>
      <c r="S43" s="1522"/>
      <c r="T43" s="1522"/>
      <c r="U43" s="1522"/>
      <c r="V43" s="1522"/>
      <c r="W43" s="1522"/>
      <c r="X43" s="1522"/>
      <c r="Y43" s="1522"/>
      <c r="Z43" s="1522"/>
      <c r="AA43" s="1522"/>
      <c r="AB43" s="1522"/>
      <c r="AC43" s="1522"/>
      <c r="AD43" s="1522"/>
      <c r="AE43" s="1522"/>
      <c r="AF43" s="1522"/>
      <c r="AG43" s="1522"/>
      <c r="AH43" s="1522"/>
      <c r="AI43" s="1522"/>
      <c r="AJ43" s="1522"/>
      <c r="AK43" s="1523"/>
    </row>
    <row r="44" spans="2:57" s="3" customFormat="1" ht="17.850000000000001" customHeight="1" x14ac:dyDescent="0.25">
      <c r="B44" s="1521"/>
      <c r="C44" s="1522"/>
      <c r="D44" s="1522"/>
      <c r="E44" s="1522"/>
      <c r="F44" s="1522"/>
      <c r="G44" s="1522"/>
      <c r="H44" s="1522"/>
      <c r="I44" s="1522"/>
      <c r="J44" s="1522"/>
      <c r="K44" s="1522"/>
      <c r="L44" s="1522"/>
      <c r="M44" s="1522"/>
      <c r="N44" s="1522"/>
      <c r="O44" s="1522"/>
      <c r="P44" s="1522"/>
      <c r="Q44" s="1522"/>
      <c r="R44" s="1522"/>
      <c r="S44" s="1522"/>
      <c r="T44" s="1522"/>
      <c r="U44" s="1522"/>
      <c r="V44" s="1522"/>
      <c r="W44" s="1522"/>
      <c r="X44" s="1522"/>
      <c r="Y44" s="1522"/>
      <c r="Z44" s="1522"/>
      <c r="AA44" s="1522"/>
      <c r="AB44" s="1522"/>
      <c r="AC44" s="1522"/>
      <c r="AD44" s="1522"/>
      <c r="AE44" s="1522"/>
      <c r="AF44" s="1522"/>
      <c r="AG44" s="1522"/>
      <c r="AH44" s="1522"/>
      <c r="AI44" s="1522"/>
      <c r="AJ44" s="1522"/>
      <c r="AK44" s="1523"/>
    </row>
    <row r="45" spans="2:57" s="3" customFormat="1" ht="17.850000000000001" customHeight="1" thickBot="1" x14ac:dyDescent="0.3">
      <c r="B45" s="1524"/>
      <c r="C45" s="1525"/>
      <c r="D45" s="1525"/>
      <c r="E45" s="1525"/>
      <c r="F45" s="1525"/>
      <c r="G45" s="1525"/>
      <c r="H45" s="1525"/>
      <c r="I45" s="1525"/>
      <c r="J45" s="1525"/>
      <c r="K45" s="1525"/>
      <c r="L45" s="1525"/>
      <c r="M45" s="1525"/>
      <c r="N45" s="1525"/>
      <c r="O45" s="1525"/>
      <c r="P45" s="1525"/>
      <c r="Q45" s="1525"/>
      <c r="R45" s="1525"/>
      <c r="S45" s="1525"/>
      <c r="T45" s="1525"/>
      <c r="U45" s="1525"/>
      <c r="V45" s="1525"/>
      <c r="W45" s="1525"/>
      <c r="X45" s="1525"/>
      <c r="Y45" s="1525"/>
      <c r="Z45" s="1525"/>
      <c r="AA45" s="1525"/>
      <c r="AB45" s="1525"/>
      <c r="AC45" s="1525"/>
      <c r="AD45" s="1525"/>
      <c r="AE45" s="1525"/>
      <c r="AF45" s="1525"/>
      <c r="AG45" s="1525"/>
      <c r="AH45" s="1525"/>
      <c r="AI45" s="1525"/>
      <c r="AJ45" s="1525"/>
      <c r="AK45" s="1526"/>
    </row>
    <row r="46" spans="2:57" s="3" customFormat="1" ht="17.850000000000001" customHeight="1" x14ac:dyDescent="0.25">
      <c r="B46" s="258"/>
      <c r="C46" s="258"/>
      <c r="D46" s="258"/>
      <c r="E46" s="258"/>
      <c r="F46" s="258"/>
      <c r="G46" s="258"/>
      <c r="H46" s="258"/>
      <c r="I46" s="258"/>
      <c r="J46" s="258"/>
      <c r="K46" s="258"/>
      <c r="L46" s="258"/>
      <c r="M46" s="259"/>
      <c r="N46" s="258"/>
      <c r="O46" s="258"/>
      <c r="P46" s="258"/>
      <c r="Q46" s="258"/>
      <c r="R46" s="258"/>
      <c r="S46" s="258"/>
      <c r="T46" s="258"/>
      <c r="U46" s="258"/>
      <c r="V46" s="258"/>
      <c r="W46" s="258"/>
      <c r="X46" s="258"/>
      <c r="Y46" s="258"/>
      <c r="Z46" s="258"/>
      <c r="AA46" s="258"/>
      <c r="AB46" s="258"/>
      <c r="AC46" s="258"/>
      <c r="AD46" s="258"/>
      <c r="AE46" s="258"/>
      <c r="AF46" s="258"/>
      <c r="AG46" s="258"/>
      <c r="AH46" s="258"/>
      <c r="AI46" s="258"/>
      <c r="AJ46" s="258"/>
      <c r="AK46" s="258"/>
    </row>
    <row r="47" spans="2:57" s="3" customFormat="1" ht="17.850000000000001" customHeight="1" thickBot="1" x14ac:dyDescent="0.3">
      <c r="B47" s="258"/>
      <c r="C47" s="258"/>
      <c r="D47" s="258"/>
      <c r="E47" s="258"/>
      <c r="F47" s="258"/>
      <c r="G47" s="258"/>
      <c r="H47" s="258"/>
      <c r="I47" s="258"/>
      <c r="J47" s="258"/>
      <c r="K47" s="258"/>
      <c r="L47" s="258"/>
      <c r="M47" s="259"/>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row>
    <row r="48" spans="2:57" s="3" customFormat="1" ht="17.850000000000001" customHeight="1" x14ac:dyDescent="0.25">
      <c r="B48" s="1266" t="str">
        <f>HLOOKUP(LANGUAGE!$B$2,LANGUAGE!$C$14:$G$1500,116)</f>
        <v>Department</v>
      </c>
      <c r="C48" s="1267"/>
      <c r="D48" s="1267"/>
      <c r="E48" s="1267"/>
      <c r="F48" s="1267"/>
      <c r="G48" s="1267" t="str">
        <f>HLOOKUP(LANGUAGE!$B$2,LANGUAGE!$C$14:$G$1500,117)</f>
        <v>Participants Supplier</v>
      </c>
      <c r="H48" s="1267"/>
      <c r="I48" s="1267"/>
      <c r="J48" s="1267"/>
      <c r="K48" s="1267"/>
      <c r="L48" s="1267"/>
      <c r="M48" s="1267"/>
      <c r="N48" s="1267"/>
      <c r="O48" s="1267" t="str">
        <f>HLOOKUP(LANGUAGE!$B$2,LANGUAGE!$C$14:$G$1500,21)</f>
        <v>Date</v>
      </c>
      <c r="P48" s="1267"/>
      <c r="Q48" s="1267"/>
      <c r="R48" s="1268"/>
      <c r="U48" s="1266" t="str">
        <f>HLOOKUP(LANGUAGE!$B$2,LANGUAGE!$C$14:$G$1500,116)</f>
        <v>Department</v>
      </c>
      <c r="V48" s="1267"/>
      <c r="W48" s="1267"/>
      <c r="X48" s="1267"/>
      <c r="Y48" s="1267"/>
      <c r="Z48" s="1267" t="str">
        <f>HLOOKUP(LANGUAGE!$B$2,LANGUAGE!$C$14:$G$1500,118)</f>
        <v>Participants Brose</v>
      </c>
      <c r="AA48" s="1267"/>
      <c r="AB48" s="1267"/>
      <c r="AC48" s="1267"/>
      <c r="AD48" s="1267"/>
      <c r="AE48" s="1267"/>
      <c r="AF48" s="1267"/>
      <c r="AG48" s="1267"/>
      <c r="AH48" s="1267" t="str">
        <f>HLOOKUP(LANGUAGE!$B$2,LANGUAGE!$C$14:$G$1500,21)</f>
        <v>Date</v>
      </c>
      <c r="AI48" s="1267"/>
      <c r="AJ48" s="1267"/>
      <c r="AK48" s="1268"/>
    </row>
    <row r="49" spans="2:37" s="3" customFormat="1" ht="17.7" customHeight="1" x14ac:dyDescent="0.25">
      <c r="B49" s="1639"/>
      <c r="C49" s="1640"/>
      <c r="D49" s="1640"/>
      <c r="E49" s="1640"/>
      <c r="F49" s="1640"/>
      <c r="G49" s="1643"/>
      <c r="H49" s="1640"/>
      <c r="I49" s="1640"/>
      <c r="J49" s="1640"/>
      <c r="K49" s="1640"/>
      <c r="L49" s="1640"/>
      <c r="M49" s="1640"/>
      <c r="N49" s="1644"/>
      <c r="O49" s="1515" t="str">
        <f>IF(AG6="","",AG6)</f>
        <v/>
      </c>
      <c r="P49" s="1516"/>
      <c r="Q49" s="1516"/>
      <c r="R49" s="1517"/>
      <c r="S49" s="258"/>
      <c r="T49" s="258"/>
      <c r="U49" s="1639"/>
      <c r="V49" s="1640"/>
      <c r="W49" s="1640"/>
      <c r="X49" s="1640"/>
      <c r="Y49" s="1640"/>
      <c r="Z49" s="1643"/>
      <c r="AA49" s="1640"/>
      <c r="AB49" s="1640"/>
      <c r="AC49" s="1640"/>
      <c r="AD49" s="1640"/>
      <c r="AE49" s="1640"/>
      <c r="AF49" s="1640"/>
      <c r="AG49" s="1644"/>
      <c r="AH49" s="1515" t="str">
        <f>IF(AG6="","",AG6)</f>
        <v/>
      </c>
      <c r="AI49" s="1516"/>
      <c r="AJ49" s="1516"/>
      <c r="AK49" s="1517"/>
    </row>
    <row r="50" spans="2:37" s="3" customFormat="1" ht="17.7" customHeight="1" x14ac:dyDescent="0.25">
      <c r="B50" s="1641"/>
      <c r="C50" s="1642"/>
      <c r="D50" s="1642"/>
      <c r="E50" s="1642"/>
      <c r="F50" s="1642"/>
      <c r="G50" s="1645"/>
      <c r="H50" s="1642"/>
      <c r="I50" s="1642"/>
      <c r="J50" s="1642"/>
      <c r="K50" s="1642"/>
      <c r="L50" s="1642"/>
      <c r="M50" s="1642"/>
      <c r="N50" s="1646"/>
      <c r="O50" s="1515"/>
      <c r="P50" s="1516"/>
      <c r="Q50" s="1516"/>
      <c r="R50" s="1517"/>
      <c r="S50" s="258"/>
      <c r="T50" s="258"/>
      <c r="U50" s="1641"/>
      <c r="V50" s="1642"/>
      <c r="W50" s="1642"/>
      <c r="X50" s="1642"/>
      <c r="Y50" s="1642"/>
      <c r="Z50" s="1645"/>
      <c r="AA50" s="1642"/>
      <c r="AB50" s="1642"/>
      <c r="AC50" s="1642"/>
      <c r="AD50" s="1642"/>
      <c r="AE50" s="1642"/>
      <c r="AF50" s="1642"/>
      <c r="AG50" s="1646"/>
      <c r="AH50" s="1515"/>
      <c r="AI50" s="1516"/>
      <c r="AJ50" s="1516"/>
      <c r="AK50" s="1517"/>
    </row>
    <row r="51" spans="2:37" s="3" customFormat="1" ht="17.7" customHeight="1" x14ac:dyDescent="0.25">
      <c r="B51" s="1647"/>
      <c r="C51" s="1648"/>
      <c r="D51" s="1648"/>
      <c r="E51" s="1648"/>
      <c r="F51" s="1648"/>
      <c r="G51" s="1649"/>
      <c r="H51" s="1648"/>
      <c r="I51" s="1648"/>
      <c r="J51" s="1648"/>
      <c r="K51" s="1648"/>
      <c r="L51" s="1648"/>
      <c r="M51" s="1648"/>
      <c r="N51" s="1650"/>
      <c r="O51" s="1515"/>
      <c r="P51" s="1516"/>
      <c r="Q51" s="1516"/>
      <c r="R51" s="1517"/>
      <c r="S51" s="258"/>
      <c r="T51" s="258"/>
      <c r="U51" s="1647"/>
      <c r="V51" s="1648"/>
      <c r="W51" s="1648"/>
      <c r="X51" s="1648"/>
      <c r="Y51" s="1648"/>
      <c r="Z51" s="1649"/>
      <c r="AA51" s="1648"/>
      <c r="AB51" s="1648"/>
      <c r="AC51" s="1648"/>
      <c r="AD51" s="1648"/>
      <c r="AE51" s="1648"/>
      <c r="AF51" s="1648"/>
      <c r="AG51" s="1650"/>
      <c r="AH51" s="1515"/>
      <c r="AI51" s="1516"/>
      <c r="AJ51" s="1516"/>
      <c r="AK51" s="1517"/>
    </row>
    <row r="52" spans="2:37" s="3" customFormat="1" ht="17.7" customHeight="1" x14ac:dyDescent="0.25">
      <c r="B52" s="1641"/>
      <c r="C52" s="1642"/>
      <c r="D52" s="1642"/>
      <c r="E52" s="1642"/>
      <c r="F52" s="1642"/>
      <c r="G52" s="1645"/>
      <c r="H52" s="1642"/>
      <c r="I52" s="1642"/>
      <c r="J52" s="1642"/>
      <c r="K52" s="1642"/>
      <c r="L52" s="1642"/>
      <c r="M52" s="1642"/>
      <c r="N52" s="1646"/>
      <c r="O52" s="1515"/>
      <c r="P52" s="1516"/>
      <c r="Q52" s="1516"/>
      <c r="R52" s="1517"/>
      <c r="S52" s="258"/>
      <c r="T52" s="258"/>
      <c r="U52" s="1641"/>
      <c r="V52" s="1642"/>
      <c r="W52" s="1642"/>
      <c r="X52" s="1642"/>
      <c r="Y52" s="1642"/>
      <c r="Z52" s="1645"/>
      <c r="AA52" s="1642"/>
      <c r="AB52" s="1642"/>
      <c r="AC52" s="1642"/>
      <c r="AD52" s="1642"/>
      <c r="AE52" s="1642"/>
      <c r="AF52" s="1642"/>
      <c r="AG52" s="1646"/>
      <c r="AH52" s="1515"/>
      <c r="AI52" s="1516"/>
      <c r="AJ52" s="1516"/>
      <c r="AK52" s="1517"/>
    </row>
    <row r="53" spans="2:37" s="3" customFormat="1" ht="17.7" customHeight="1" x14ac:dyDescent="0.25">
      <c r="B53" s="1647"/>
      <c r="C53" s="1648"/>
      <c r="D53" s="1648"/>
      <c r="E53" s="1648"/>
      <c r="F53" s="1648"/>
      <c r="G53" s="1649"/>
      <c r="H53" s="1648"/>
      <c r="I53" s="1648"/>
      <c r="J53" s="1648"/>
      <c r="K53" s="1648"/>
      <c r="L53" s="1648"/>
      <c r="M53" s="1648"/>
      <c r="N53" s="1650"/>
      <c r="O53" s="1515"/>
      <c r="P53" s="1516"/>
      <c r="Q53" s="1516"/>
      <c r="R53" s="1517"/>
      <c r="S53" s="258"/>
      <c r="T53" s="258"/>
      <c r="U53" s="1647"/>
      <c r="V53" s="1648"/>
      <c r="W53" s="1648"/>
      <c r="X53" s="1648"/>
      <c r="Y53" s="1648"/>
      <c r="Z53" s="1649"/>
      <c r="AA53" s="1648"/>
      <c r="AB53" s="1648"/>
      <c r="AC53" s="1648"/>
      <c r="AD53" s="1648"/>
      <c r="AE53" s="1648"/>
      <c r="AF53" s="1648"/>
      <c r="AG53" s="1650"/>
      <c r="AH53" s="1515"/>
      <c r="AI53" s="1516"/>
      <c r="AJ53" s="1516"/>
      <c r="AK53" s="1517"/>
    </row>
    <row r="54" spans="2:37" s="3" customFormat="1" ht="17.7" customHeight="1" x14ac:dyDescent="0.25">
      <c r="B54" s="1641"/>
      <c r="C54" s="1642"/>
      <c r="D54" s="1642"/>
      <c r="E54" s="1642"/>
      <c r="F54" s="1642"/>
      <c r="G54" s="1645"/>
      <c r="H54" s="1642"/>
      <c r="I54" s="1642"/>
      <c r="J54" s="1642"/>
      <c r="K54" s="1642"/>
      <c r="L54" s="1642"/>
      <c r="M54" s="1642"/>
      <c r="N54" s="1646"/>
      <c r="O54" s="1515"/>
      <c r="P54" s="1516"/>
      <c r="Q54" s="1516"/>
      <c r="R54" s="1517"/>
      <c r="S54" s="258"/>
      <c r="T54" s="258"/>
      <c r="U54" s="1641"/>
      <c r="V54" s="1642"/>
      <c r="W54" s="1642"/>
      <c r="X54" s="1642"/>
      <c r="Y54" s="1642"/>
      <c r="Z54" s="1645"/>
      <c r="AA54" s="1642"/>
      <c r="AB54" s="1642"/>
      <c r="AC54" s="1642"/>
      <c r="AD54" s="1642"/>
      <c r="AE54" s="1642"/>
      <c r="AF54" s="1642"/>
      <c r="AG54" s="1646"/>
      <c r="AH54" s="1515"/>
      <c r="AI54" s="1516"/>
      <c r="AJ54" s="1516"/>
      <c r="AK54" s="1517"/>
    </row>
    <row r="55" spans="2:37" s="3" customFormat="1" ht="17.7" customHeight="1" x14ac:dyDescent="0.25">
      <c r="B55" s="1647"/>
      <c r="C55" s="1648"/>
      <c r="D55" s="1648"/>
      <c r="E55" s="1648"/>
      <c r="F55" s="1648"/>
      <c r="G55" s="1649"/>
      <c r="H55" s="1648"/>
      <c r="I55" s="1648"/>
      <c r="J55" s="1648"/>
      <c r="K55" s="1648"/>
      <c r="L55" s="1648"/>
      <c r="M55" s="1648"/>
      <c r="N55" s="1650"/>
      <c r="O55" s="1515"/>
      <c r="P55" s="1516"/>
      <c r="Q55" s="1516"/>
      <c r="R55" s="1517"/>
      <c r="S55" s="258"/>
      <c r="T55" s="258"/>
      <c r="U55" s="1647"/>
      <c r="V55" s="1648"/>
      <c r="W55" s="1648"/>
      <c r="X55" s="1648"/>
      <c r="Y55" s="1648"/>
      <c r="Z55" s="1649"/>
      <c r="AA55" s="1648"/>
      <c r="AB55" s="1648"/>
      <c r="AC55" s="1648"/>
      <c r="AD55" s="1648"/>
      <c r="AE55" s="1648"/>
      <c r="AF55" s="1648"/>
      <c r="AG55" s="1650"/>
      <c r="AH55" s="1515"/>
      <c r="AI55" s="1516"/>
      <c r="AJ55" s="1516"/>
      <c r="AK55" s="1517"/>
    </row>
    <row r="56" spans="2:37" s="3" customFormat="1" ht="17.7" customHeight="1" thickBot="1" x14ac:dyDescent="0.3">
      <c r="B56" s="1651"/>
      <c r="C56" s="1652"/>
      <c r="D56" s="1652"/>
      <c r="E56" s="1652"/>
      <c r="F56" s="1652"/>
      <c r="G56" s="1653"/>
      <c r="H56" s="1652"/>
      <c r="I56" s="1652"/>
      <c r="J56" s="1652"/>
      <c r="K56" s="1652"/>
      <c r="L56" s="1652"/>
      <c r="M56" s="1652"/>
      <c r="N56" s="1654"/>
      <c r="O56" s="1518"/>
      <c r="P56" s="1519"/>
      <c r="Q56" s="1519"/>
      <c r="R56" s="1520"/>
      <c r="S56" s="258"/>
      <c r="T56" s="258"/>
      <c r="U56" s="1651"/>
      <c r="V56" s="1652"/>
      <c r="W56" s="1652"/>
      <c r="X56" s="1652"/>
      <c r="Y56" s="1652"/>
      <c r="Z56" s="1653"/>
      <c r="AA56" s="1652"/>
      <c r="AB56" s="1652"/>
      <c r="AC56" s="1652"/>
      <c r="AD56" s="1652"/>
      <c r="AE56" s="1652"/>
      <c r="AF56" s="1652"/>
      <c r="AG56" s="1654"/>
      <c r="AH56" s="1518"/>
      <c r="AI56" s="1519"/>
      <c r="AJ56" s="1519"/>
      <c r="AK56" s="1520"/>
    </row>
    <row r="57" spans="2:37" x14ac:dyDescent="0.25">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row>
  </sheetData>
  <sheetProtection algorithmName="SHA-512" hashValue="jP48w0Zs77zHFXJT/gaenKBw9d7ZMle4U/Cv9P7ku5e91Zb6Bbdaxd+kNxninUss4v4tfD/HM+DMDsqGtufW/Q==" saltValue="mz1Hhz4UXdH8eN1E9pmPNQ==" spinCount="100000" sheet="1" objects="1" scenarios="1" formatCells="0" formatRows="0"/>
  <mergeCells count="234">
    <mergeCell ref="C40:D40"/>
    <mergeCell ref="E40:L40"/>
    <mergeCell ref="M40:T40"/>
    <mergeCell ref="U40:Y40"/>
    <mergeCell ref="Z40:AA40"/>
    <mergeCell ref="AB40:AD40"/>
    <mergeCell ref="AE40:AG40"/>
    <mergeCell ref="AH40:AI40"/>
    <mergeCell ref="AJ40:AK40"/>
    <mergeCell ref="C39:D39"/>
    <mergeCell ref="E39:L39"/>
    <mergeCell ref="M39:T39"/>
    <mergeCell ref="U39:Y39"/>
    <mergeCell ref="Z39:AA39"/>
    <mergeCell ref="AB39:AD39"/>
    <mergeCell ref="AE39:AG39"/>
    <mergeCell ref="AH39:AI39"/>
    <mergeCell ref="AJ39:AK39"/>
    <mergeCell ref="C27:D27"/>
    <mergeCell ref="E27:L27"/>
    <mergeCell ref="M27:T27"/>
    <mergeCell ref="U27:Y27"/>
    <mergeCell ref="Z27:AA27"/>
    <mergeCell ref="AB27:AD27"/>
    <mergeCell ref="AE27:AG27"/>
    <mergeCell ref="AH27:AI27"/>
    <mergeCell ref="AJ27:AK27"/>
    <mergeCell ref="I14:L14"/>
    <mergeCell ref="M14:O14"/>
    <mergeCell ref="Q14:U14"/>
    <mergeCell ref="V14:Z14"/>
    <mergeCell ref="AA14:AE14"/>
    <mergeCell ref="B15:E15"/>
    <mergeCell ref="F15:H15"/>
    <mergeCell ref="I15:L15"/>
    <mergeCell ref="M15:O15"/>
    <mergeCell ref="Q15:U15"/>
    <mergeCell ref="V15:Z15"/>
    <mergeCell ref="AA15:AE15"/>
    <mergeCell ref="B11:E11"/>
    <mergeCell ref="F11:H11"/>
    <mergeCell ref="I11:L11"/>
    <mergeCell ref="M11:O11"/>
    <mergeCell ref="Q11:U11"/>
    <mergeCell ref="V11:Z11"/>
    <mergeCell ref="AA11:AE11"/>
    <mergeCell ref="AG11:AK15"/>
    <mergeCell ref="B12:E12"/>
    <mergeCell ref="F12:H12"/>
    <mergeCell ref="I12:L12"/>
    <mergeCell ref="M12:O12"/>
    <mergeCell ref="Q12:U12"/>
    <mergeCell ref="V12:Z12"/>
    <mergeCell ref="AA12:AE12"/>
    <mergeCell ref="B13:E13"/>
    <mergeCell ref="F13:H13"/>
    <mergeCell ref="I13:L13"/>
    <mergeCell ref="M13:O13"/>
    <mergeCell ref="Q13:U13"/>
    <mergeCell ref="V13:Z13"/>
    <mergeCell ref="AA13:AE13"/>
    <mergeCell ref="B14:E14"/>
    <mergeCell ref="F14:H14"/>
    <mergeCell ref="B9:O9"/>
    <mergeCell ref="Q9:AE9"/>
    <mergeCell ref="AG9:AK10"/>
    <mergeCell ref="B10:E10"/>
    <mergeCell ref="F10:H10"/>
    <mergeCell ref="I10:L10"/>
    <mergeCell ref="M10:O10"/>
    <mergeCell ref="Q10:U10"/>
    <mergeCell ref="V10:Z10"/>
    <mergeCell ref="AA10:AE10"/>
    <mergeCell ref="B49:F50"/>
    <mergeCell ref="G49:N50"/>
    <mergeCell ref="O49:R56"/>
    <mergeCell ref="U49:Y50"/>
    <mergeCell ref="Z49:AG50"/>
    <mergeCell ref="AH49:AK56"/>
    <mergeCell ref="B51:F52"/>
    <mergeCell ref="G51:N52"/>
    <mergeCell ref="U51:Y52"/>
    <mergeCell ref="Z51:AG52"/>
    <mergeCell ref="B53:F54"/>
    <mergeCell ref="G53:N54"/>
    <mergeCell ref="U53:Y54"/>
    <mergeCell ref="Z53:AG54"/>
    <mergeCell ref="B55:F56"/>
    <mergeCell ref="G55:N56"/>
    <mergeCell ref="U55:Y56"/>
    <mergeCell ref="Z55:AG56"/>
    <mergeCell ref="Z37:AA37"/>
    <mergeCell ref="AB37:AD37"/>
    <mergeCell ref="AE37:AG37"/>
    <mergeCell ref="AH37:AI37"/>
    <mergeCell ref="B43:AK45"/>
    <mergeCell ref="B48:F48"/>
    <mergeCell ref="G48:N48"/>
    <mergeCell ref="O48:R48"/>
    <mergeCell ref="U48:Y48"/>
    <mergeCell ref="Z48:AG48"/>
    <mergeCell ref="AH48:AK48"/>
    <mergeCell ref="AJ37:AK37"/>
    <mergeCell ref="C37:D37"/>
    <mergeCell ref="E37:L37"/>
    <mergeCell ref="M37:T37"/>
    <mergeCell ref="U37:Y37"/>
    <mergeCell ref="C38:D38"/>
    <mergeCell ref="E38:L38"/>
    <mergeCell ref="M38:T38"/>
    <mergeCell ref="U38:Y38"/>
    <mergeCell ref="Z38:AA38"/>
    <mergeCell ref="AB38:AD38"/>
    <mergeCell ref="AE38:AG38"/>
    <mergeCell ref="AH38:AI38"/>
    <mergeCell ref="AE35:AG35"/>
    <mergeCell ref="AH35:AI35"/>
    <mergeCell ref="AJ35:AK35"/>
    <mergeCell ref="C36:D36"/>
    <mergeCell ref="E36:L36"/>
    <mergeCell ref="M36:T36"/>
    <mergeCell ref="U36:Y36"/>
    <mergeCell ref="Z36:AA36"/>
    <mergeCell ref="AB36:AD36"/>
    <mergeCell ref="AE36:AG36"/>
    <mergeCell ref="C35:D35"/>
    <mergeCell ref="E35:L35"/>
    <mergeCell ref="M35:T35"/>
    <mergeCell ref="U35:Y35"/>
    <mergeCell ref="Z35:AA35"/>
    <mergeCell ref="AB35:AD35"/>
    <mergeCell ref="AH36:AI36"/>
    <mergeCell ref="AJ36:AK36"/>
    <mergeCell ref="C34:D34"/>
    <mergeCell ref="E34:L34"/>
    <mergeCell ref="M34:T34"/>
    <mergeCell ref="U34:Y34"/>
    <mergeCell ref="Z34:AA34"/>
    <mergeCell ref="AB34:AD34"/>
    <mergeCell ref="AE34:AG34"/>
    <mergeCell ref="AH34:AI34"/>
    <mergeCell ref="AJ34:AK34"/>
    <mergeCell ref="C33:D33"/>
    <mergeCell ref="E33:L33"/>
    <mergeCell ref="M33:T33"/>
    <mergeCell ref="U33:Y33"/>
    <mergeCell ref="Z33:AA33"/>
    <mergeCell ref="AB33:AD33"/>
    <mergeCell ref="AE33:AG33"/>
    <mergeCell ref="AH33:AI33"/>
    <mergeCell ref="AJ33:AK33"/>
    <mergeCell ref="B29:AK30"/>
    <mergeCell ref="B31:B32"/>
    <mergeCell ref="C31:D32"/>
    <mergeCell ref="E31:L32"/>
    <mergeCell ref="M31:T32"/>
    <mergeCell ref="U31:Y32"/>
    <mergeCell ref="Z31:AA32"/>
    <mergeCell ref="AB31:AD32"/>
    <mergeCell ref="AE31:AG32"/>
    <mergeCell ref="AH31:AI32"/>
    <mergeCell ref="AJ31:AK32"/>
    <mergeCell ref="C26:D26"/>
    <mergeCell ref="E26:L26"/>
    <mergeCell ref="M26:T26"/>
    <mergeCell ref="U26:Y26"/>
    <mergeCell ref="Z26:AA26"/>
    <mergeCell ref="AB26:AD26"/>
    <mergeCell ref="AE26:AG26"/>
    <mergeCell ref="AH26:AI26"/>
    <mergeCell ref="AJ26:AK26"/>
    <mergeCell ref="C25:D25"/>
    <mergeCell ref="E25:L25"/>
    <mergeCell ref="M25:T25"/>
    <mergeCell ref="U25:Y25"/>
    <mergeCell ref="Z25:AA25"/>
    <mergeCell ref="AB25:AD25"/>
    <mergeCell ref="AE25:AG25"/>
    <mergeCell ref="AH25:AI25"/>
    <mergeCell ref="AJ25:AK25"/>
    <mergeCell ref="AE23:AG23"/>
    <mergeCell ref="AH23:AI23"/>
    <mergeCell ref="AJ23:AK23"/>
    <mergeCell ref="C24:D24"/>
    <mergeCell ref="E24:L24"/>
    <mergeCell ref="M24:T24"/>
    <mergeCell ref="U24:Y24"/>
    <mergeCell ref="Z24:AA24"/>
    <mergeCell ref="AB24:AD24"/>
    <mergeCell ref="AE24:AG24"/>
    <mergeCell ref="C23:D23"/>
    <mergeCell ref="E23:L23"/>
    <mergeCell ref="M23:T23"/>
    <mergeCell ref="U23:Y23"/>
    <mergeCell ref="Z23:AA23"/>
    <mergeCell ref="AB23:AD23"/>
    <mergeCell ref="AH24:AI24"/>
    <mergeCell ref="AJ24:AK24"/>
    <mergeCell ref="AE20:AG21"/>
    <mergeCell ref="AH20:AI21"/>
    <mergeCell ref="AJ20:AK21"/>
    <mergeCell ref="C22:D22"/>
    <mergeCell ref="E22:L22"/>
    <mergeCell ref="M22:T22"/>
    <mergeCell ref="U22:Y22"/>
    <mergeCell ref="Z22:AA22"/>
    <mergeCell ref="AB22:AD22"/>
    <mergeCell ref="AE22:AG22"/>
    <mergeCell ref="AH22:AI22"/>
    <mergeCell ref="AJ22:AK22"/>
    <mergeCell ref="AJ38:AK38"/>
    <mergeCell ref="P1:R1"/>
    <mergeCell ref="P2:R2"/>
    <mergeCell ref="B1:O2"/>
    <mergeCell ref="B5:O5"/>
    <mergeCell ref="Q5:AE5"/>
    <mergeCell ref="AG5:AK5"/>
    <mergeCell ref="B6:F6"/>
    <mergeCell ref="G6:O6"/>
    <mergeCell ref="Q6:U6"/>
    <mergeCell ref="V6:AE6"/>
    <mergeCell ref="AG6:AK7"/>
    <mergeCell ref="B7:F7"/>
    <mergeCell ref="G7:O7"/>
    <mergeCell ref="Q7:U7"/>
    <mergeCell ref="V7:AE7"/>
    <mergeCell ref="B18:AK19"/>
    <mergeCell ref="B20:B21"/>
    <mergeCell ref="C20:D21"/>
    <mergeCell ref="E20:L21"/>
    <mergeCell ref="M20:T21"/>
    <mergeCell ref="U20:Y21"/>
    <mergeCell ref="Z20:AA21"/>
    <mergeCell ref="AB20:AD21"/>
  </mergeCells>
  <conditionalFormatting sqref="B18">
    <cfRule type="expression" dxfId="388" priority="25">
      <formula>MAX($AZ$22:$AZ$27)=0</formula>
    </cfRule>
    <cfRule type="expression" dxfId="387" priority="26">
      <formula>MAX($AZ$22:$AZ$27)=1</formula>
    </cfRule>
    <cfRule type="expression" dxfId="386" priority="27">
      <formula>MAX($AZ$22:$AZ$27)=2</formula>
    </cfRule>
    <cfRule type="expression" dxfId="385" priority="28">
      <formula>MAX($AZ$22:$AZ$27)=3</formula>
    </cfRule>
  </conditionalFormatting>
  <conditionalFormatting sqref="B29">
    <cfRule type="expression" dxfId="384" priority="21">
      <formula>MAX($AZ$33:$AZ$40)=0</formula>
    </cfRule>
    <cfRule type="expression" dxfId="383" priority="22">
      <formula>MAX($AZ$33:$AZ$40)=1</formula>
    </cfRule>
    <cfRule type="expression" dxfId="382" priority="23">
      <formula>MAX($AZ$33:$AZ$40)=2</formula>
    </cfRule>
    <cfRule type="expression" dxfId="381" priority="24">
      <formula>MAX($AZ$33:$AZ$40)=3</formula>
    </cfRule>
  </conditionalFormatting>
  <conditionalFormatting sqref="Z22:AA27">
    <cfRule type="expression" dxfId="380" priority="3">
      <formula>$AZ22=3</formula>
    </cfRule>
    <cfRule type="expression" dxfId="379" priority="4">
      <formula>$AZ22=2</formula>
    </cfRule>
    <cfRule type="expression" dxfId="378" priority="5">
      <formula>$AZ22=1</formula>
    </cfRule>
  </conditionalFormatting>
  <conditionalFormatting sqref="Z33:AA40">
    <cfRule type="expression" dxfId="377" priority="8">
      <formula>$AZ33=3</formula>
    </cfRule>
    <cfRule type="expression" dxfId="376" priority="9">
      <formula>$AZ33=2</formula>
    </cfRule>
    <cfRule type="expression" dxfId="375" priority="10">
      <formula>$AZ33=1</formula>
    </cfRule>
  </conditionalFormatting>
  <conditionalFormatting sqref="AG11">
    <cfRule type="expression" dxfId="374" priority="12">
      <formula>$BB$21=6</formula>
    </cfRule>
    <cfRule type="expression" dxfId="373" priority="13">
      <formula>$BB$21=5</formula>
    </cfRule>
    <cfRule type="expression" dxfId="372" priority="14">
      <formula>AND($BB$21&gt;0,$BB$21&lt;5)</formula>
    </cfRule>
  </conditionalFormatting>
  <conditionalFormatting sqref="AG11:AK15">
    <cfRule type="expression" dxfId="371" priority="11">
      <formula>$BB$21=10</formula>
    </cfRule>
  </conditionalFormatting>
  <conditionalFormatting sqref="AJ22:AK27">
    <cfRule type="expression" dxfId="370" priority="1">
      <formula>$BA22=3</formula>
    </cfRule>
    <cfRule type="expression" dxfId="369" priority="2">
      <formula>$BA22=1</formula>
    </cfRule>
  </conditionalFormatting>
  <conditionalFormatting sqref="AJ33:AK40">
    <cfRule type="expression" dxfId="368" priority="6">
      <formula>$BA33=3</formula>
    </cfRule>
    <cfRule type="expression" dxfId="367" priority="7">
      <formula>$BA33=1</formula>
    </cfRule>
  </conditionalFormatting>
  <dataValidations count="2">
    <dataValidation type="list" allowBlank="1" showInputMessage="1" showErrorMessage="1" sqref="Z33:AA40 Z22:AA27" xr:uid="{00000000-0002-0000-0A00-000000000000}">
      <formula1>Status_Bewertung</formula1>
    </dataValidation>
    <dataValidation type="list" allowBlank="1" showInputMessage="1" showErrorMessage="1" sqref="AJ33:AK40 AJ22:AK27" xr:uid="{00000000-0002-0000-0A00-000001000000}">
      <formula1>Status_Maßnahme</formula1>
    </dataValidation>
  </dataValidations>
  <printOptions horizontalCentered="1"/>
  <pageMargins left="0.39370078740157483" right="0.39370078740157483" top="0.9055118110236221" bottom="0.9055118110236221" header="0.23622047244094491" footer="0.23622047244094491"/>
  <pageSetup paperSize="9" scale="64" fitToHeight="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1" manualBreakCount="1">
    <brk id="41" min="1" max="36" man="1"/>
  </rowBreaks>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47111" r:id="rId6" name="Drop Down 7">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tabColor theme="8" tint="0.39997558519241921"/>
    <pageSetUpPr fitToPage="1"/>
  </sheetPr>
  <dimension ref="A1:BG59"/>
  <sheetViews>
    <sheetView showGridLines="0" zoomScaleNormal="100" zoomScaleSheetLayoutView="100" zoomScalePageLayoutView="55" workbookViewId="0">
      <pane xSplit="1" ySplit="4" topLeftCell="B41" activePane="bottomRight" state="frozen"/>
      <selection activeCell="M164" sqref="M164:T166"/>
      <selection pane="topRight" activeCell="M164" sqref="M164:T166"/>
      <selection pane="bottomLeft" activeCell="M164" sqref="M164:T166"/>
      <selection pane="bottomRight" activeCell="M164" sqref="M164:T166"/>
    </sheetView>
  </sheetViews>
  <sheetFormatPr baseColWidth="10" defaultColWidth="5.3984375" defaultRowHeight="13.15" x14ac:dyDescent="0.25"/>
  <cols>
    <col min="4" max="4" width="6.09765625" customWidth="1"/>
    <col min="35" max="35" width="5.3984375" customWidth="1"/>
    <col min="37" max="37" width="5.3984375" customWidth="1"/>
    <col min="50" max="51" width="5.3984375" customWidth="1"/>
    <col min="52" max="59" width="5.3984375" hidden="1" customWidth="1"/>
    <col min="60" max="60" width="0" hidden="1" customWidth="1"/>
  </cols>
  <sheetData>
    <row r="1" spans="1:37" ht="17.7" customHeight="1" x14ac:dyDescent="0.25">
      <c r="A1" s="153"/>
      <c r="B1" s="1139" t="str">
        <f>HLOOKUP(LANGUAGE!$B$2,LANGUAGE!$C$14:$G$1500,776)</f>
        <v>Supplier Quality Gate 3</v>
      </c>
      <c r="C1" s="1139"/>
      <c r="D1" s="1139"/>
      <c r="E1" s="1139"/>
      <c r="F1" s="1139"/>
      <c r="G1" s="1139"/>
      <c r="H1" s="1139"/>
      <c r="I1" s="1139"/>
      <c r="J1" s="1139"/>
      <c r="K1" s="1139"/>
      <c r="L1" s="1139"/>
      <c r="M1" s="1139"/>
      <c r="N1" s="1139"/>
      <c r="O1" s="1139"/>
      <c r="P1" s="1595" t="s">
        <v>2</v>
      </c>
      <c r="Q1" s="1595"/>
      <c r="R1" s="1595"/>
      <c r="S1" s="134"/>
      <c r="T1" s="134"/>
      <c r="U1" s="134"/>
      <c r="V1" s="134"/>
      <c r="W1" s="134"/>
      <c r="X1" s="134"/>
      <c r="Y1" s="134"/>
      <c r="Z1" s="174"/>
      <c r="AA1" s="174"/>
      <c r="AB1" s="174"/>
      <c r="AC1" s="174"/>
      <c r="AD1" s="174"/>
      <c r="AE1" s="174"/>
      <c r="AF1" s="174"/>
      <c r="AG1" s="174"/>
      <c r="AH1" s="174"/>
      <c r="AI1" s="174"/>
      <c r="AJ1" s="174"/>
      <c r="AK1" s="174"/>
    </row>
    <row r="2" spans="1:37" ht="17.7" customHeight="1" x14ac:dyDescent="0.25">
      <c r="A2" s="153"/>
      <c r="B2" s="1139"/>
      <c r="C2" s="1139"/>
      <c r="D2" s="1139"/>
      <c r="E2" s="1139"/>
      <c r="F2" s="1139"/>
      <c r="G2" s="1139"/>
      <c r="H2" s="1139"/>
      <c r="I2" s="1139"/>
      <c r="J2" s="1139"/>
      <c r="K2" s="1139"/>
      <c r="L2" s="1139"/>
      <c r="M2" s="1139"/>
      <c r="N2" s="1139"/>
      <c r="O2" s="1139"/>
      <c r="P2" s="1595" t="s">
        <v>1774</v>
      </c>
      <c r="Q2" s="1595"/>
      <c r="R2" s="1595"/>
      <c r="S2" s="134"/>
      <c r="T2" s="134"/>
      <c r="U2" s="134"/>
      <c r="V2" s="134"/>
      <c r="W2" s="134"/>
      <c r="X2" s="134"/>
      <c r="Y2" s="134"/>
      <c r="Z2" s="174"/>
      <c r="AA2" s="174"/>
      <c r="AB2" s="174"/>
      <c r="AC2" s="174"/>
      <c r="AD2" s="174"/>
      <c r="AE2" s="174"/>
      <c r="AF2" s="174"/>
      <c r="AG2" s="174"/>
      <c r="AH2" s="174"/>
      <c r="AI2" s="174"/>
      <c r="AJ2" s="174"/>
      <c r="AK2" s="174"/>
    </row>
    <row r="3" spans="1:37" ht="17.7" customHeight="1" x14ac:dyDescent="0.25">
      <c r="B3" s="201" t="str">
        <f>HLOOKUP(LANGUAGE!$B$2,LANGUAGE!$C$14:$G$1500,777)</f>
        <v>Target: Preparation of initial sampling including process approval (FRT)</v>
      </c>
      <c r="C3" s="30"/>
      <c r="D3" s="30"/>
      <c r="E3" s="30"/>
      <c r="F3" s="30"/>
      <c r="G3" s="30"/>
      <c r="H3" s="30"/>
      <c r="I3" s="30"/>
      <c r="J3" s="30"/>
      <c r="K3" s="30"/>
      <c r="L3" s="30"/>
      <c r="M3" s="30"/>
      <c r="N3" s="30"/>
      <c r="O3" s="30"/>
      <c r="P3" s="30"/>
      <c r="Q3" s="221" t="str">
        <f>HLOOKUP(LANGUAGE!$B$2,LANGUAGE!$C$14:$G$1500,2)</f>
        <v>Attention!!!        Only yellow fields has to be filled</v>
      </c>
      <c r="R3" s="30"/>
      <c r="S3" s="30"/>
      <c r="T3" s="30"/>
      <c r="U3" s="30"/>
      <c r="V3" s="30"/>
      <c r="W3" s="30"/>
      <c r="X3" s="30"/>
      <c r="Y3" s="30"/>
      <c r="Z3" s="30"/>
      <c r="AA3" s="30"/>
      <c r="AB3" s="30"/>
      <c r="AC3" s="30"/>
      <c r="AD3" s="30"/>
      <c r="AE3" s="30"/>
      <c r="AF3" s="30"/>
      <c r="AG3" s="30"/>
    </row>
    <row r="4" spans="1:37" ht="17.7" customHeight="1" thickBot="1" x14ac:dyDescent="0.3">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row>
    <row r="5" spans="1:37" ht="17.7" customHeight="1" x14ac:dyDescent="0.25">
      <c r="B5" s="1050" t="str">
        <f>HLOOKUP(LANGUAGE!$B$2,LANGUAGE!$C$14:$G$1500,12)</f>
        <v>Project Data</v>
      </c>
      <c r="C5" s="1051"/>
      <c r="D5" s="1051"/>
      <c r="E5" s="1051"/>
      <c r="F5" s="1051"/>
      <c r="G5" s="1051"/>
      <c r="H5" s="1051"/>
      <c r="I5" s="1051"/>
      <c r="J5" s="1051"/>
      <c r="K5" s="1051"/>
      <c r="L5" s="1051"/>
      <c r="M5" s="1051"/>
      <c r="N5" s="1051"/>
      <c r="O5" s="1052"/>
      <c r="P5" s="252"/>
      <c r="Q5" s="1050" t="str">
        <f>HLOOKUP(LANGUAGE!$B$2,LANGUAGE!$C$14:$G$1500,27)</f>
        <v>Supplier Data</v>
      </c>
      <c r="R5" s="1051"/>
      <c r="S5" s="1051"/>
      <c r="T5" s="1051"/>
      <c r="U5" s="1051"/>
      <c r="V5" s="1051"/>
      <c r="W5" s="1051"/>
      <c r="X5" s="1051"/>
      <c r="Y5" s="1051"/>
      <c r="Z5" s="1051"/>
      <c r="AA5" s="1051"/>
      <c r="AB5" s="1051"/>
      <c r="AC5" s="1051"/>
      <c r="AD5" s="1051"/>
      <c r="AE5" s="1052"/>
      <c r="AF5" s="252"/>
      <c r="AG5" s="1266" t="str">
        <f>HLOOKUP(LANGUAGE!$B$2,LANGUAGE!$C$14:$G$1500,21)</f>
        <v>Date</v>
      </c>
      <c r="AH5" s="1267"/>
      <c r="AI5" s="1267"/>
      <c r="AJ5" s="1267"/>
      <c r="AK5" s="1268"/>
    </row>
    <row r="6" spans="1:37" ht="17.7" customHeight="1" x14ac:dyDescent="0.25">
      <c r="B6" s="1565" t="str">
        <f>HLOOKUP(LANGUAGE!$B$2,LANGUAGE!$C$14:$G$1500,13)</f>
        <v>Project</v>
      </c>
      <c r="C6" s="1566"/>
      <c r="D6" s="1566"/>
      <c r="E6" s="1566"/>
      <c r="F6" s="1566"/>
      <c r="G6" s="1587" t="str">
        <f>IF(Basic_Data!F6&lt;&gt;"",CONCATENATE(Basic_Data!F6," / ",Basic_Data!F7,""),"")</f>
        <v/>
      </c>
      <c r="H6" s="1587"/>
      <c r="I6" s="1587"/>
      <c r="J6" s="1587"/>
      <c r="K6" s="1587"/>
      <c r="L6" s="1587"/>
      <c r="M6" s="1587"/>
      <c r="N6" s="1587"/>
      <c r="O6" s="1588"/>
      <c r="P6" s="252"/>
      <c r="Q6" s="1565" t="str">
        <f>HLOOKUP(LANGUAGE!$B$2,LANGUAGE!$C$14:$G$1500,28)</f>
        <v>Supplier</v>
      </c>
      <c r="R6" s="1566"/>
      <c r="S6" s="1566"/>
      <c r="T6" s="1566"/>
      <c r="U6" s="1566"/>
      <c r="V6" s="1587" t="str">
        <f>IF(Basic_Data!R6&lt;&gt;"",CONCATENATE(Basic_Data!R6," (",Basic_Data!R7,")"),"")</f>
        <v/>
      </c>
      <c r="W6" s="1587"/>
      <c r="X6" s="1587"/>
      <c r="Y6" s="1587"/>
      <c r="Z6" s="1587"/>
      <c r="AA6" s="1587"/>
      <c r="AB6" s="1587"/>
      <c r="AC6" s="1587"/>
      <c r="AD6" s="1587"/>
      <c r="AE6" s="1588"/>
      <c r="AF6" s="252"/>
      <c r="AG6" s="1273"/>
      <c r="AH6" s="1274"/>
      <c r="AI6" s="1274"/>
      <c r="AJ6" s="1274"/>
      <c r="AK6" s="1275"/>
    </row>
    <row r="7" spans="1:37" ht="17.7" customHeight="1" thickBot="1" x14ac:dyDescent="0.3">
      <c r="B7" s="1563" t="str">
        <f>HLOOKUP(LANGUAGE!$B$2,LANGUAGE!$C$14:$G$1500,14)</f>
        <v>Part Name(s)</v>
      </c>
      <c r="C7" s="1564"/>
      <c r="D7" s="1564"/>
      <c r="E7" s="1564"/>
      <c r="F7" s="1564"/>
      <c r="G7" s="1601" t="str">
        <f>IF(Basic_Data!F8&lt;&gt;"",Basic_Data!F8,"")</f>
        <v/>
      </c>
      <c r="H7" s="1601"/>
      <c r="I7" s="1601"/>
      <c r="J7" s="1601"/>
      <c r="K7" s="1601"/>
      <c r="L7" s="1601"/>
      <c r="M7" s="1601"/>
      <c r="N7" s="1601"/>
      <c r="O7" s="1602"/>
      <c r="P7" s="252"/>
      <c r="Q7" s="1563" t="str">
        <f>HLOOKUP(LANGUAGE!$B$2,LANGUAGE!$C$14:$G$1500,29)</f>
        <v>Address</v>
      </c>
      <c r="R7" s="1564"/>
      <c r="S7" s="1564"/>
      <c r="T7" s="1564"/>
      <c r="U7" s="1564"/>
      <c r="V7" s="1601" t="str">
        <f>IF(Basic_Data!R8&lt;&gt;"",CONCATENATE(Basic_Data!R8,", ",Basic_Data!R9,", ",Basic_Data!R10,""),"")</f>
        <v/>
      </c>
      <c r="W7" s="1601"/>
      <c r="X7" s="1601"/>
      <c r="Y7" s="1601"/>
      <c r="Z7" s="1601"/>
      <c r="AA7" s="1601"/>
      <c r="AB7" s="1601"/>
      <c r="AC7" s="1601"/>
      <c r="AD7" s="1601"/>
      <c r="AE7" s="1602"/>
      <c r="AF7" s="252"/>
      <c r="AG7" s="1276"/>
      <c r="AH7" s="1277"/>
      <c r="AI7" s="1277"/>
      <c r="AJ7" s="1277"/>
      <c r="AK7" s="1278"/>
    </row>
    <row r="8" spans="1:37" ht="17.7" customHeight="1" thickBot="1" x14ac:dyDescent="0.3">
      <c r="B8" s="657"/>
      <c r="C8" s="657"/>
      <c r="D8" s="657"/>
      <c r="E8" s="252"/>
      <c r="F8" s="252"/>
      <c r="G8" s="252"/>
      <c r="H8" s="252"/>
      <c r="I8" s="252"/>
      <c r="J8" s="252"/>
      <c r="K8" s="252"/>
      <c r="L8" s="252"/>
      <c r="M8" s="252"/>
      <c r="N8" s="252"/>
      <c r="O8" s="252"/>
      <c r="P8" s="252"/>
      <c r="Q8" s="252"/>
      <c r="R8" s="252"/>
      <c r="S8" s="657"/>
      <c r="T8" s="657"/>
      <c r="U8" s="657"/>
      <c r="V8" s="657"/>
      <c r="W8" s="252"/>
      <c r="X8" s="252"/>
      <c r="Y8" s="252"/>
      <c r="Z8" s="252"/>
      <c r="AA8" s="252"/>
      <c r="AB8" s="252"/>
      <c r="AC8" s="252"/>
      <c r="AD8" s="252"/>
      <c r="AE8" s="252"/>
      <c r="AF8" s="252"/>
      <c r="AG8" s="252"/>
      <c r="AH8" s="154"/>
      <c r="AI8" s="154"/>
      <c r="AJ8" s="252"/>
      <c r="AK8" s="252"/>
    </row>
    <row r="9" spans="1:37" ht="17.7" customHeight="1" x14ac:dyDescent="0.25">
      <c r="B9" s="1050" t="str">
        <f>HLOOKUP(LANGUAGE!$B$2,LANGUAGE!$C$14:$G$312,40)</f>
        <v>Material Data</v>
      </c>
      <c r="C9" s="1051"/>
      <c r="D9" s="1051"/>
      <c r="E9" s="1051"/>
      <c r="F9" s="1051"/>
      <c r="G9" s="1051"/>
      <c r="H9" s="1051"/>
      <c r="I9" s="1051"/>
      <c r="J9" s="1051"/>
      <c r="K9" s="1051"/>
      <c r="L9" s="1051"/>
      <c r="M9" s="1051"/>
      <c r="N9" s="1051"/>
      <c r="O9" s="1052"/>
      <c r="P9" s="252"/>
      <c r="Q9" s="1050" t="str">
        <f>HLOOKUP(LANGUAGE!$B$2,LANGUAGE!$C$14:$G$1500,54)</f>
        <v>Deadlines</v>
      </c>
      <c r="R9" s="1051"/>
      <c r="S9" s="1051"/>
      <c r="T9" s="1051"/>
      <c r="U9" s="1051"/>
      <c r="V9" s="1051"/>
      <c r="W9" s="1051"/>
      <c r="X9" s="1051"/>
      <c r="Y9" s="1051"/>
      <c r="Z9" s="1051"/>
      <c r="AA9" s="1051"/>
      <c r="AB9" s="1051"/>
      <c r="AC9" s="1051"/>
      <c r="AD9" s="1051"/>
      <c r="AE9" s="1052"/>
      <c r="AF9" s="252"/>
      <c r="AG9" s="1427" t="str">
        <f>HLOOKUP(LANGUAGE!$B$2,LANGUAGE!$C$14:$G$1500,782)</f>
        <v>Overall status
Supplier Quality Gate 3</v>
      </c>
      <c r="AH9" s="1428"/>
      <c r="AI9" s="1428"/>
      <c r="AJ9" s="1428"/>
      <c r="AK9" s="1429"/>
    </row>
    <row r="10" spans="1:37" ht="17.7" customHeight="1" x14ac:dyDescent="0.25">
      <c r="B10" s="1483" t="str">
        <f>HLOOKUP(LANGUAGE!$B$2,LANGUAGE!$C$14:$G$1500,41)</f>
        <v>Brose Part No.</v>
      </c>
      <c r="C10" s="1484"/>
      <c r="D10" s="1484"/>
      <c r="E10" s="1484"/>
      <c r="F10" s="1484" t="str">
        <f>HLOOKUP(LANGUAGE!$B$2,LANGUAGE!$C$14:$G$1500,42)</f>
        <v>Index</v>
      </c>
      <c r="G10" s="1484"/>
      <c r="H10" s="1484"/>
      <c r="I10" s="1485" t="str">
        <f>HLOOKUP(LANGUAGE!$B$2,LANGUAGE!$C$14:$G$1500,43)</f>
        <v>Brose Drawing No.</v>
      </c>
      <c r="J10" s="1485"/>
      <c r="K10" s="1485"/>
      <c r="L10" s="1485"/>
      <c r="M10" s="1484" t="str">
        <f>HLOOKUP(LANGUAGE!$B$2,LANGUAGE!$C$14:$G$1500,42)</f>
        <v>Index</v>
      </c>
      <c r="N10" s="1484"/>
      <c r="O10" s="1486"/>
      <c r="P10" s="252"/>
      <c r="Q10" s="1487" t="str">
        <f>HLOOKUP(LANGUAGE!$B$2,LANGUAGE!$C$14:$G$1500,55)</f>
        <v>Milestones</v>
      </c>
      <c r="R10" s="1488"/>
      <c r="S10" s="1488"/>
      <c r="T10" s="1488"/>
      <c r="U10" s="1488"/>
      <c r="V10" s="1488" t="str">
        <f>HLOOKUP(LANGUAGE!$B$2,LANGUAGE!$C$14:$G$1500,56)</f>
        <v>Target date (acc. Order)</v>
      </c>
      <c r="W10" s="1488"/>
      <c r="X10" s="1488"/>
      <c r="Y10" s="1488"/>
      <c r="Z10" s="1488"/>
      <c r="AA10" s="1488" t="str">
        <f>HLOOKUP(LANGUAGE!$B$2,LANGUAGE!$C$14:$G$1500,57)</f>
        <v>Actual date (acc. Timing plan)</v>
      </c>
      <c r="AB10" s="1488"/>
      <c r="AC10" s="1488"/>
      <c r="AD10" s="1488"/>
      <c r="AE10" s="1489"/>
      <c r="AF10" s="252"/>
      <c r="AG10" s="1430"/>
      <c r="AH10" s="1203"/>
      <c r="AI10" s="1203"/>
      <c r="AJ10" s="1203"/>
      <c r="AK10" s="1204"/>
    </row>
    <row r="11" spans="1:37" ht="17.7" customHeight="1" x14ac:dyDescent="0.25">
      <c r="B11" s="1310"/>
      <c r="C11" s="1311"/>
      <c r="D11" s="1311"/>
      <c r="E11" s="1311"/>
      <c r="F11" s="1312"/>
      <c r="G11" s="1311"/>
      <c r="H11" s="1311"/>
      <c r="I11" s="1312"/>
      <c r="J11" s="1311"/>
      <c r="K11" s="1311"/>
      <c r="L11" s="1311"/>
      <c r="M11" s="1312"/>
      <c r="N11" s="1311"/>
      <c r="O11" s="1313"/>
      <c r="P11" s="252"/>
      <c r="Q11" s="1591" t="str">
        <f>HLOOKUP(LANGUAGE!$B$2,LANGUAGE!$C$14:$G$1500,58)</f>
        <v>Nominated at</v>
      </c>
      <c r="R11" s="1592"/>
      <c r="S11" s="1592"/>
      <c r="T11" s="1592"/>
      <c r="U11" s="1592"/>
      <c r="V11" s="1314"/>
      <c r="W11" s="1314"/>
      <c r="X11" s="1314"/>
      <c r="Y11" s="1314"/>
      <c r="Z11" s="1314"/>
      <c r="AA11" s="1300"/>
      <c r="AB11" s="1300"/>
      <c r="AC11" s="1300"/>
      <c r="AD11" s="1300"/>
      <c r="AE11" s="1301"/>
      <c r="AF11" s="252"/>
      <c r="AG11" s="1302" t="str">
        <f>IF(AND(BB21&gt;0,BB21&lt;5),LANGUAGE!F4,IF(BB21=5,LANGUAGE!F5,IF(BB21=6,LANGUAGE!F6,IF(BB21=10,HLOOKUP(LANGUAGE!$B$2,LANGUAGE!$C$14:$G$1500,67),""))))</f>
        <v/>
      </c>
      <c r="AH11" s="1303"/>
      <c r="AI11" s="1303"/>
      <c r="AJ11" s="1303"/>
      <c r="AK11" s="1304"/>
    </row>
    <row r="12" spans="1:37" ht="17.7" customHeight="1" x14ac:dyDescent="0.25">
      <c r="B12" s="1308"/>
      <c r="C12" s="1294"/>
      <c r="D12" s="1294"/>
      <c r="E12" s="1294"/>
      <c r="F12" s="1309"/>
      <c r="G12" s="1294"/>
      <c r="H12" s="1294"/>
      <c r="I12" s="1309"/>
      <c r="J12" s="1294"/>
      <c r="K12" s="1294"/>
      <c r="L12" s="1294"/>
      <c r="M12" s="1309"/>
      <c r="N12" s="1294"/>
      <c r="O12" s="1295"/>
      <c r="P12" s="252"/>
      <c r="Q12" s="1302" t="str">
        <f>HLOOKUP(LANGUAGE!$B$2,LANGUAGE!$C$14:$G$1500,59)</f>
        <v>Completion Tool design</v>
      </c>
      <c r="R12" s="1303"/>
      <c r="S12" s="1303"/>
      <c r="T12" s="1303"/>
      <c r="U12" s="1303"/>
      <c r="V12" s="1298"/>
      <c r="W12" s="1298"/>
      <c r="X12" s="1298"/>
      <c r="Y12" s="1298"/>
      <c r="Z12" s="1298"/>
      <c r="AA12" s="1298"/>
      <c r="AB12" s="1298"/>
      <c r="AC12" s="1298"/>
      <c r="AD12" s="1298"/>
      <c r="AE12" s="1299"/>
      <c r="AF12" s="252"/>
      <c r="AG12" s="1302"/>
      <c r="AH12" s="1303"/>
      <c r="AI12" s="1303"/>
      <c r="AJ12" s="1303"/>
      <c r="AK12" s="1304"/>
    </row>
    <row r="13" spans="1:37" ht="17.7" customHeight="1" x14ac:dyDescent="0.25">
      <c r="B13" s="1308"/>
      <c r="C13" s="1294"/>
      <c r="D13" s="1294"/>
      <c r="E13" s="1294"/>
      <c r="F13" s="1294"/>
      <c r="G13" s="1294"/>
      <c r="H13" s="1294"/>
      <c r="I13" s="1294"/>
      <c r="J13" s="1294"/>
      <c r="K13" s="1294"/>
      <c r="L13" s="1294"/>
      <c r="M13" s="1294"/>
      <c r="N13" s="1294"/>
      <c r="O13" s="1295"/>
      <c r="P13" s="252"/>
      <c r="Q13" s="1302" t="str">
        <f>HLOOKUP(LANGUAGE!$B$2,LANGUAGE!$C$14:$G$1500,60)</f>
        <v>First of tool parts</v>
      </c>
      <c r="R13" s="1303"/>
      <c r="S13" s="1303"/>
      <c r="T13" s="1303"/>
      <c r="U13" s="1303"/>
      <c r="V13" s="1298"/>
      <c r="W13" s="1298"/>
      <c r="X13" s="1298"/>
      <c r="Y13" s="1298"/>
      <c r="Z13" s="1298"/>
      <c r="AA13" s="1298"/>
      <c r="AB13" s="1298"/>
      <c r="AC13" s="1298"/>
      <c r="AD13" s="1298"/>
      <c r="AE13" s="1299"/>
      <c r="AF13" s="252"/>
      <c r="AG13" s="1302"/>
      <c r="AH13" s="1303"/>
      <c r="AI13" s="1303"/>
      <c r="AJ13" s="1303"/>
      <c r="AK13" s="1304"/>
    </row>
    <row r="14" spans="1:37" ht="17.7" customHeight="1" x14ac:dyDescent="0.25">
      <c r="B14" s="1308"/>
      <c r="C14" s="1294"/>
      <c r="D14" s="1294"/>
      <c r="E14" s="1294"/>
      <c r="F14" s="1294"/>
      <c r="G14" s="1294"/>
      <c r="H14" s="1294"/>
      <c r="I14" s="1294"/>
      <c r="J14" s="1294"/>
      <c r="K14" s="1294"/>
      <c r="L14" s="1294"/>
      <c r="M14" s="1294"/>
      <c r="N14" s="1294"/>
      <c r="O14" s="1295"/>
      <c r="P14" s="252"/>
      <c r="Q14" s="1302" t="str">
        <f>HLOOKUP(LANGUAGE!$B$2,LANGUAGE!$C$14:$G$1500,61)</f>
        <v>Special characteristics OK</v>
      </c>
      <c r="R14" s="1303"/>
      <c r="S14" s="1303"/>
      <c r="T14" s="1303"/>
      <c r="U14" s="1303"/>
      <c r="V14" s="1298"/>
      <c r="W14" s="1298"/>
      <c r="X14" s="1298"/>
      <c r="Y14" s="1298"/>
      <c r="Z14" s="1298"/>
      <c r="AA14" s="1298"/>
      <c r="AB14" s="1298"/>
      <c r="AC14" s="1298"/>
      <c r="AD14" s="1298"/>
      <c r="AE14" s="1299"/>
      <c r="AF14" s="252"/>
      <c r="AG14" s="1302"/>
      <c r="AH14" s="1303"/>
      <c r="AI14" s="1303"/>
      <c r="AJ14" s="1303"/>
      <c r="AK14" s="1304"/>
    </row>
    <row r="15" spans="1:37" ht="17.7" customHeight="1" thickBot="1" x14ac:dyDescent="0.3">
      <c r="B15" s="1315"/>
      <c r="C15" s="1316"/>
      <c r="D15" s="1316"/>
      <c r="E15" s="1316"/>
      <c r="F15" s="1316"/>
      <c r="G15" s="1316"/>
      <c r="H15" s="1316"/>
      <c r="I15" s="1316"/>
      <c r="J15" s="1316"/>
      <c r="K15" s="1316"/>
      <c r="L15" s="1316"/>
      <c r="M15" s="1316"/>
      <c r="N15" s="1316"/>
      <c r="O15" s="1317"/>
      <c r="P15" s="252"/>
      <c r="Q15" s="1305" t="str">
        <f>HLOOKUP(LANGUAGE!$B$2,LANGUAGE!$C$14:$G$1500,62)</f>
        <v>Initial sampling date</v>
      </c>
      <c r="R15" s="1306"/>
      <c r="S15" s="1306"/>
      <c r="T15" s="1306"/>
      <c r="U15" s="1306"/>
      <c r="V15" s="1320"/>
      <c r="W15" s="1320"/>
      <c r="X15" s="1320"/>
      <c r="Y15" s="1320"/>
      <c r="Z15" s="1320"/>
      <c r="AA15" s="1320"/>
      <c r="AB15" s="1320"/>
      <c r="AC15" s="1320"/>
      <c r="AD15" s="1320"/>
      <c r="AE15" s="1321"/>
      <c r="AF15" s="252"/>
      <c r="AG15" s="1305"/>
      <c r="AH15" s="1306"/>
      <c r="AI15" s="1306"/>
      <c r="AJ15" s="1306"/>
      <c r="AK15" s="1307"/>
    </row>
    <row r="16" spans="1:37" s="3" customFormat="1" ht="17.7" customHeight="1" x14ac:dyDescent="0.25">
      <c r="M16" s="155"/>
    </row>
    <row r="17" spans="2:57" s="3" customFormat="1" ht="17.7" customHeight="1" thickBot="1" x14ac:dyDescent="0.3">
      <c r="M17" s="155"/>
    </row>
    <row r="18" spans="2:57" s="3" customFormat="1" ht="17.7" customHeight="1" x14ac:dyDescent="0.25">
      <c r="B18" s="1671" t="str">
        <f>HLOOKUP(LANGUAGE!$B$2,LANGUAGE!$C$14:$G$1500,77)</f>
        <v>Project management</v>
      </c>
      <c r="C18" s="1672"/>
      <c r="D18" s="1672"/>
      <c r="E18" s="1672"/>
      <c r="F18" s="1672"/>
      <c r="G18" s="1672"/>
      <c r="H18" s="1672"/>
      <c r="I18" s="1672"/>
      <c r="J18" s="1672"/>
      <c r="K18" s="1672"/>
      <c r="L18" s="1672"/>
      <c r="M18" s="1672"/>
      <c r="N18" s="1672"/>
      <c r="O18" s="1672"/>
      <c r="P18" s="1672"/>
      <c r="Q18" s="1672"/>
      <c r="R18" s="1672"/>
      <c r="S18" s="1672"/>
      <c r="T18" s="1672"/>
      <c r="U18" s="1672"/>
      <c r="V18" s="1672"/>
      <c r="W18" s="1672"/>
      <c r="X18" s="1672"/>
      <c r="Y18" s="1672"/>
      <c r="Z18" s="1672"/>
      <c r="AA18" s="1672"/>
      <c r="AB18" s="1672"/>
      <c r="AC18" s="1672"/>
      <c r="AD18" s="1672"/>
      <c r="AE18" s="1672"/>
      <c r="AF18" s="1672"/>
      <c r="AG18" s="1672"/>
      <c r="AH18" s="1672"/>
      <c r="AI18" s="1672"/>
      <c r="AJ18" s="1672"/>
      <c r="AK18" s="1673"/>
      <c r="BD18" s="3" t="str">
        <f>LANGUAGE!G4</f>
        <v>in progress</v>
      </c>
      <c r="BE18" s="3" t="str">
        <f>LANGUAGE!G5</f>
        <v>completed</v>
      </c>
    </row>
    <row r="19" spans="2:57" s="3" customFormat="1" ht="17.7" customHeight="1" x14ac:dyDescent="0.25">
      <c r="B19" s="1674"/>
      <c r="C19" s="1675"/>
      <c r="D19" s="1675"/>
      <c r="E19" s="1675"/>
      <c r="F19" s="1675"/>
      <c r="G19" s="1675"/>
      <c r="H19" s="1675"/>
      <c r="I19" s="1675"/>
      <c r="J19" s="1675"/>
      <c r="K19" s="1675"/>
      <c r="L19" s="1675"/>
      <c r="M19" s="1675"/>
      <c r="N19" s="1675"/>
      <c r="O19" s="1675"/>
      <c r="P19" s="1675"/>
      <c r="Q19" s="1675"/>
      <c r="R19" s="1675"/>
      <c r="S19" s="1675"/>
      <c r="T19" s="1675"/>
      <c r="U19" s="1675"/>
      <c r="V19" s="1675"/>
      <c r="W19" s="1675"/>
      <c r="X19" s="1675"/>
      <c r="Y19" s="1675"/>
      <c r="Z19" s="1675"/>
      <c r="AA19" s="1675"/>
      <c r="AB19" s="1675"/>
      <c r="AC19" s="1675"/>
      <c r="AD19" s="1675"/>
      <c r="AE19" s="1675"/>
      <c r="AF19" s="1675"/>
      <c r="AG19" s="1675"/>
      <c r="AH19" s="1675"/>
      <c r="AI19" s="1675"/>
      <c r="AJ19" s="1675"/>
      <c r="AK19" s="1676"/>
    </row>
    <row r="20" spans="2:57" s="3" customFormat="1" ht="17.7" customHeight="1" x14ac:dyDescent="0.25">
      <c r="B20" s="1002" t="str">
        <f>HLOOKUP(LANGUAGE!$B$2,LANGUAGE!$C$14:$G$1500,91)</f>
        <v>No.</v>
      </c>
      <c r="C20" s="1677" t="str">
        <f>HLOOKUP(LANGUAGE!$B$2,LANGUAGE!$C$14:$G$1500,73)</f>
        <v>Topic</v>
      </c>
      <c r="D20" s="1678"/>
      <c r="E20" s="1003" t="str">
        <f>HLOOKUP(LANGUAGE!$B$2,LANGUAGE!$C$14:$G$1500,92)</f>
        <v>Question</v>
      </c>
      <c r="F20" s="1003"/>
      <c r="G20" s="1003"/>
      <c r="H20" s="1003"/>
      <c r="I20" s="1003"/>
      <c r="J20" s="1003"/>
      <c r="K20" s="1003"/>
      <c r="L20" s="1003"/>
      <c r="M20" s="1003" t="str">
        <f>HLOOKUP(LANGUAGE!$B$2,LANGUAGE!$C$14:$G$1500,93)</f>
        <v>Notes</v>
      </c>
      <c r="N20" s="1003"/>
      <c r="O20" s="1003"/>
      <c r="P20" s="1003"/>
      <c r="Q20" s="1003"/>
      <c r="R20" s="1003"/>
      <c r="S20" s="1003"/>
      <c r="T20" s="1003"/>
      <c r="U20" s="1679" t="str">
        <f>HLOOKUP(LANGUAGE!$B$2,LANGUAGE!$C$14:$G$1500,114)</f>
        <v>Remarks</v>
      </c>
      <c r="V20" s="1679"/>
      <c r="W20" s="1679"/>
      <c r="X20" s="1679"/>
      <c r="Y20" s="1680"/>
      <c r="Z20" s="1677" t="str">
        <f>HLOOKUP(LANGUAGE!$B$2,LANGUAGE!$C$14:$G$1500,74)</f>
        <v>Evaluation</v>
      </c>
      <c r="AA20" s="1681"/>
      <c r="AB20" s="1677" t="str">
        <f>HLOOKUP(LANGUAGE!$B$2,LANGUAGE!$C$14:$G$1500,95)</f>
        <v>Action</v>
      </c>
      <c r="AC20" s="1678"/>
      <c r="AD20" s="1681"/>
      <c r="AE20" s="1682" t="str">
        <f>HLOOKUP(LANGUAGE!$B$2,LANGUAGE!$C$14:$G$1500,96)</f>
        <v>Responsible</v>
      </c>
      <c r="AF20" s="1679"/>
      <c r="AG20" s="1680"/>
      <c r="AH20" s="1677" t="str">
        <f>HLOOKUP(LANGUAGE!$B$2,LANGUAGE!$C$14:$G$1500,21)</f>
        <v>Date</v>
      </c>
      <c r="AI20" s="1681"/>
      <c r="AJ20" s="1677" t="str">
        <f>HLOOKUP(LANGUAGE!$B$2,LANGUAGE!$C$14:$G$1500,75)</f>
        <v>Action status</v>
      </c>
      <c r="AK20" s="1683"/>
    </row>
    <row r="21" spans="2:57" s="3" customFormat="1" ht="17.7" customHeight="1" x14ac:dyDescent="0.25">
      <c r="B21" s="1002"/>
      <c r="C21" s="1677"/>
      <c r="D21" s="1678"/>
      <c r="E21" s="1003"/>
      <c r="F21" s="1003"/>
      <c r="G21" s="1003"/>
      <c r="H21" s="1003"/>
      <c r="I21" s="1003"/>
      <c r="J21" s="1003"/>
      <c r="K21" s="1003"/>
      <c r="L21" s="1003"/>
      <c r="M21" s="1003"/>
      <c r="N21" s="1003"/>
      <c r="O21" s="1003"/>
      <c r="P21" s="1003"/>
      <c r="Q21" s="1003"/>
      <c r="R21" s="1003"/>
      <c r="S21" s="1003"/>
      <c r="T21" s="1003"/>
      <c r="U21" s="1679"/>
      <c r="V21" s="1679"/>
      <c r="W21" s="1679"/>
      <c r="X21" s="1679"/>
      <c r="Y21" s="1680"/>
      <c r="Z21" s="1677"/>
      <c r="AA21" s="1681"/>
      <c r="AB21" s="1677"/>
      <c r="AC21" s="1678"/>
      <c r="AD21" s="1681"/>
      <c r="AE21" s="1682"/>
      <c r="AF21" s="1679"/>
      <c r="AG21" s="1680"/>
      <c r="AH21" s="1677"/>
      <c r="AI21" s="1681"/>
      <c r="AJ21" s="1677"/>
      <c r="AK21" s="1683"/>
      <c r="AZ21" s="301"/>
      <c r="BA21" s="301"/>
      <c r="BB21" s="3">
        <f>MAX(BB22:BB43)</f>
        <v>0</v>
      </c>
      <c r="BD21" s="301" t="str">
        <f>IF(BD22&lt;&gt;"",BD22&amp;" ","")&amp;IF(BD23&lt;&gt;"",BD23&amp;" ","")&amp;IF(BD24&lt;&gt;"",BD24&amp;" ","")&amp;IF(BD25&lt;&gt;"",BD25&amp;" ","")&amp;IF(BD27&lt;&gt;"",BD27&amp;" ","")</f>
        <v/>
      </c>
      <c r="BE21" s="301" t="str">
        <f>IF(BE22&lt;&gt;"",BE22&amp;" ","")&amp;IF(BE23&lt;&gt;"",BE23&amp;" ","")&amp;IF(BE24&lt;&gt;"",BE24&amp;" ","")&amp;IF(BE25&lt;&gt;"",BE25&amp;" ","")&amp;IF(BE27&lt;&gt;"",BE27&amp;" ","")</f>
        <v/>
      </c>
    </row>
    <row r="22" spans="2:57" s="3" customFormat="1" ht="99.7" customHeight="1" x14ac:dyDescent="0.25">
      <c r="B22" s="249" t="s">
        <v>1835</v>
      </c>
      <c r="C22" s="1684" t="str">
        <f>HLOOKUP(LANGUAGE!$B$2,LANGUAGE!$C$14:$G$1500,790)</f>
        <v>Progress monitoring</v>
      </c>
      <c r="D22" s="1685"/>
      <c r="E22" s="1686" t="str">
        <f>HLOOKUP(LANGUAGE!$B$2,LANGUAGE!$C$14:$G$1500,791)</f>
        <v>All all points from SQG1 &amp; 2 completed or have defined actions with dates acc. to project timing plan?</v>
      </c>
      <c r="F22" s="1687"/>
      <c r="G22" s="1687"/>
      <c r="H22" s="1687"/>
      <c r="I22" s="1687"/>
      <c r="J22" s="1687"/>
      <c r="K22" s="1687"/>
      <c r="L22" s="1688"/>
      <c r="M22" s="1686" t="str">
        <f>HLOOKUP(LANGUAGE!$B$2,LANGUAGE!$C$14:$G$1500,792)</f>
        <v>All actions from SQG1 should be scheduled or completed on time. Verify that the supplier has no concerns with contracts and purchase orders.
If commercial documents are not available, immediate escalation to customer team and buyer is necessary. Rating must be "red" if contracts and purchase order are not issued to the supplier.</v>
      </c>
      <c r="N22" s="1687"/>
      <c r="O22" s="1687"/>
      <c r="P22" s="1687"/>
      <c r="Q22" s="1687"/>
      <c r="R22" s="1687"/>
      <c r="S22" s="1687"/>
      <c r="T22" s="1688"/>
      <c r="U22" s="1689"/>
      <c r="V22" s="1690"/>
      <c r="W22" s="1690"/>
      <c r="X22" s="1690"/>
      <c r="Y22" s="1691"/>
      <c r="Z22" s="1692"/>
      <c r="AA22" s="1693"/>
      <c r="AB22" s="1694"/>
      <c r="AC22" s="1695"/>
      <c r="AD22" s="1696"/>
      <c r="AE22" s="1694"/>
      <c r="AF22" s="1695"/>
      <c r="AG22" s="1696"/>
      <c r="AH22" s="1697"/>
      <c r="AI22" s="1698"/>
      <c r="AJ22" s="1697"/>
      <c r="AK22" s="1699"/>
      <c r="AZ22" s="3">
        <f>IF(ISNUMBER(MATCH(Z22,LANGUAGE!$C$137:$G$137,0)),0,IF(ISNUMBER(MATCH(Z22,LANGUAGE!$C$138:$G$138,0)),1,IF(ISNUMBER(MATCH(Z22,LANGUAGE!$C$139:$G$139,0)),2,IF(ISNUMBER(MATCH(Z22,LANGUAGE!$C$140:$G$140,0)),3,0))))</f>
        <v>0</v>
      </c>
      <c r="BA22" s="3">
        <f>IF(ISNUMBER(MATCH(AJ22,LANGUAGE!$C$141:$G$141,0)),3,IF(ISNUMBER(MATCH(AJ22,LANGUAGE!$C$142:$G$142,0)),1,0))</f>
        <v>0</v>
      </c>
      <c r="BB22" s="3">
        <f>IF(AND(AZ22&gt;1,BA22=0),10,AZ22+BA22)</f>
        <v>0</v>
      </c>
      <c r="BD22" s="3" t="str">
        <f>IF(ISNUMBER(MATCH($AJ22,LANGUAGE!$C$141:$G$141,0)),$B22,"")</f>
        <v/>
      </c>
      <c r="BE22" s="3" t="str">
        <f>IF(ISNUMBER(MATCH($AJ22,LANGUAGE!$C$142:$G$142,0)),$B22,"")</f>
        <v/>
      </c>
    </row>
    <row r="23" spans="2:57" s="3" customFormat="1" ht="94.55" customHeight="1" x14ac:dyDescent="0.25">
      <c r="B23" s="249" t="s">
        <v>1836</v>
      </c>
      <c r="C23" s="1297" t="str">
        <f>HLOOKUP(LANGUAGE!$B$2,LANGUAGE!$C$14:$G$1500,800)</f>
        <v>Supplier timing plan</v>
      </c>
      <c r="D23" s="1297"/>
      <c r="E23" s="1686" t="str">
        <f>HLOOKUP(LANGUAGE!$B$2,LANGUAGE!$C$14:$G$1500,801)</f>
        <v>Is the supplier and sub-suppliers on time with the project.  Are any risks/ time delay identified and actions defined?</v>
      </c>
      <c r="F23" s="1687"/>
      <c r="G23" s="1687"/>
      <c r="H23" s="1687"/>
      <c r="I23" s="1687"/>
      <c r="J23" s="1687"/>
      <c r="K23" s="1687"/>
      <c r="L23" s="1688"/>
      <c r="M23" s="1704" t="str">
        <f>HLOOKUP(LANGUAGE!$B$2,LANGUAGE!$C$14:$G$1500,802)</f>
        <v>Target/ current comparison of supplier timing plan:
- with Brose order (Appointment agreement with the important milestones between the supplier and Brose purchsing)
- with Brose quality milestones acc. FS (PEPsi)
- with commissioned modifications from Brose
- with sub-supplier timing plan</v>
      </c>
      <c r="N23" s="1704"/>
      <c r="O23" s="1704"/>
      <c r="P23" s="1704"/>
      <c r="Q23" s="1704"/>
      <c r="R23" s="1704"/>
      <c r="S23" s="1704"/>
      <c r="T23" s="1704"/>
      <c r="U23" s="1705"/>
      <c r="V23" s="1705"/>
      <c r="W23" s="1705"/>
      <c r="X23" s="1705"/>
      <c r="Y23" s="1705"/>
      <c r="Z23" s="1509"/>
      <c r="AA23" s="1510"/>
      <c r="AB23" s="1700"/>
      <c r="AC23" s="1700"/>
      <c r="AD23" s="1700"/>
      <c r="AE23" s="1700"/>
      <c r="AF23" s="1700"/>
      <c r="AG23" s="1700"/>
      <c r="AH23" s="1701"/>
      <c r="AI23" s="1700"/>
      <c r="AJ23" s="1702"/>
      <c r="AK23" s="1703"/>
      <c r="AZ23" s="3">
        <f>IF(ISNUMBER(MATCH(Z23,LANGUAGE!$C$137:$G$137,0)),0,IF(ISNUMBER(MATCH(Z23,LANGUAGE!$C$138:$G$138,0)),1,IF(ISNUMBER(MATCH(Z23,LANGUAGE!$C$139:$G$139,0)),2,IF(ISNUMBER(MATCH(Z23,LANGUAGE!$C$140:$G$140,0)),3,0))))</f>
        <v>0</v>
      </c>
      <c r="BA23" s="3">
        <f>IF(ISNUMBER(MATCH(AJ23,LANGUAGE!$C$141:$G$141,0)),3,IF(ISNUMBER(MATCH(AJ23,LANGUAGE!$C$142:$G$142,0)),1,0))</f>
        <v>0</v>
      </c>
      <c r="BB23" s="3">
        <f t="shared" ref="BB23:BB43" si="0">IF(AND(AZ23&gt;1,BA23=0),10,AZ23+BA23)</f>
        <v>0</v>
      </c>
      <c r="BD23" s="3" t="str">
        <f>IF(ISNUMBER(MATCH($AJ23,LANGUAGE!$C$141:$G$141,0)),$B23,"")</f>
        <v/>
      </c>
      <c r="BE23" s="3" t="str">
        <f>IF(ISNUMBER(MATCH($AJ23,LANGUAGE!$C$142:$G$142,0)),$B23,"")</f>
        <v/>
      </c>
    </row>
    <row r="24" spans="2:57" s="3" customFormat="1" ht="53.25" customHeight="1" x14ac:dyDescent="0.25">
      <c r="B24" s="249" t="s">
        <v>1837</v>
      </c>
      <c r="C24" s="1297" t="str">
        <f>HLOOKUP(LANGUAGE!$B$2,LANGUAGE!$C$14:$G$1500,810)</f>
        <v>Emergency plan</v>
      </c>
      <c r="D24" s="1297"/>
      <c r="E24" s="1686" t="str">
        <f>HLOOKUP(LANGUAGE!$B$2,LANGUAGE!$C$14:$G$1500,811)</f>
        <v>Does the supplier has a part related backup plan to maintain production capacity in the case of on emergency?</v>
      </c>
      <c r="F24" s="1687"/>
      <c r="G24" s="1687"/>
      <c r="H24" s="1687"/>
      <c r="I24" s="1687"/>
      <c r="J24" s="1687"/>
      <c r="K24" s="1687"/>
      <c r="L24" s="1688"/>
      <c r="M24" s="1704" t="str">
        <f>HLOOKUP(LANGUAGE!$B$2,LANGUAGE!$C$14:$G$1500,812)</f>
        <v xml:space="preserve">Supplier is able to present an acceptable emergency plan that assures production continue in the case on an emergency. </v>
      </c>
      <c r="N24" s="1704"/>
      <c r="O24" s="1704"/>
      <c r="P24" s="1704"/>
      <c r="Q24" s="1704"/>
      <c r="R24" s="1704"/>
      <c r="S24" s="1704"/>
      <c r="T24" s="1704"/>
      <c r="U24" s="1705"/>
      <c r="V24" s="1705"/>
      <c r="W24" s="1705"/>
      <c r="X24" s="1705"/>
      <c r="Y24" s="1705"/>
      <c r="Z24" s="1509"/>
      <c r="AA24" s="1510"/>
      <c r="AB24" s="1700"/>
      <c r="AC24" s="1700"/>
      <c r="AD24" s="1700"/>
      <c r="AE24" s="1700"/>
      <c r="AF24" s="1700"/>
      <c r="AG24" s="1700"/>
      <c r="AH24" s="1701"/>
      <c r="AI24" s="1700"/>
      <c r="AJ24" s="1702"/>
      <c r="AK24" s="1703"/>
      <c r="AZ24" s="3">
        <f>IF(ISNUMBER(MATCH(Z24,LANGUAGE!$C$137:$G$137,0)),0,IF(ISNUMBER(MATCH(Z24,LANGUAGE!$C$138:$G$138,0)),1,IF(ISNUMBER(MATCH(Z24,LANGUAGE!$C$139:$G$139,0)),2,IF(ISNUMBER(MATCH(Z24,LANGUAGE!$C$140:$G$140,0)),3,0))))</f>
        <v>0</v>
      </c>
      <c r="BA24" s="3">
        <f>IF(ISNUMBER(MATCH(AJ24,LANGUAGE!$C$141:$G$141,0)),3,IF(ISNUMBER(MATCH(AJ24,LANGUAGE!$C$142:$G$142,0)),1,0))</f>
        <v>0</v>
      </c>
      <c r="BB24" s="3">
        <f t="shared" si="0"/>
        <v>0</v>
      </c>
      <c r="BD24" s="3" t="str">
        <f>IF(ISNUMBER(MATCH($AJ24,LANGUAGE!$C$141:$G$141,0)),$B24,"")</f>
        <v/>
      </c>
      <c r="BE24" s="3" t="str">
        <f>IF(ISNUMBER(MATCH($AJ24,LANGUAGE!$C$142:$G$142,0)),$B24,"")</f>
        <v/>
      </c>
    </row>
    <row r="25" spans="2:57" s="3" customFormat="1" ht="70.45" customHeight="1" x14ac:dyDescent="0.25">
      <c r="B25" s="249" t="s">
        <v>1838</v>
      </c>
      <c r="C25" s="1297" t="str">
        <f>HLOOKUP(LANGUAGE!$B$2,LANGUAGE!$C$14:$G$1500,820)</f>
        <v>Change Management</v>
      </c>
      <c r="D25" s="1297"/>
      <c r="E25" s="1686" t="str">
        <f>HLOOKUP(LANGUAGE!$B$2,LANGUAGE!$C$14:$G$1500,821)</f>
        <v>Have any modifications to the project been made after acceptance of FS?</v>
      </c>
      <c r="F25" s="1687"/>
      <c r="G25" s="1687"/>
      <c r="H25" s="1687"/>
      <c r="I25" s="1687"/>
      <c r="J25" s="1687"/>
      <c r="K25" s="1687"/>
      <c r="L25" s="1688"/>
      <c r="M25" s="1704" t="str">
        <f>HLOOKUP(LANGUAGE!$B$2,LANGUAGE!$C$14:$G$1500,822)</f>
        <v>The following documents are available:
- Confirmed purchasing order
- Drawing/CAD-Model acc. order
- Confirmed feasibility study for index change 
- Updated part history list since Brose Purchase Order</v>
      </c>
      <c r="N25" s="1704"/>
      <c r="O25" s="1704"/>
      <c r="P25" s="1704"/>
      <c r="Q25" s="1704"/>
      <c r="R25" s="1704"/>
      <c r="S25" s="1704"/>
      <c r="T25" s="1704"/>
      <c r="U25" s="1705"/>
      <c r="V25" s="1705"/>
      <c r="W25" s="1705"/>
      <c r="X25" s="1705"/>
      <c r="Y25" s="1705"/>
      <c r="Z25" s="1509"/>
      <c r="AA25" s="1510"/>
      <c r="AB25" s="1700"/>
      <c r="AC25" s="1700"/>
      <c r="AD25" s="1700"/>
      <c r="AE25" s="1700"/>
      <c r="AF25" s="1700"/>
      <c r="AG25" s="1700"/>
      <c r="AH25" s="1701"/>
      <c r="AI25" s="1700"/>
      <c r="AJ25" s="1702"/>
      <c r="AK25" s="1703"/>
      <c r="AZ25" s="3">
        <f>IF(ISNUMBER(MATCH(Z25,LANGUAGE!$C$137:$G$137,0)),0,IF(ISNUMBER(MATCH(Z25,LANGUAGE!$C$138:$G$138,0)),1,IF(ISNUMBER(MATCH(Z25,LANGUAGE!$C$139:$G$139,0)),2,IF(ISNUMBER(MATCH(Z25,LANGUAGE!$C$140:$G$140,0)),3,0))))</f>
        <v>0</v>
      </c>
      <c r="BA25" s="3">
        <f>IF(ISNUMBER(MATCH(AJ25,LANGUAGE!$C$141:$G$141,0)),3,IF(ISNUMBER(MATCH(AJ25,LANGUAGE!$C$142:$G$142,0)),1,0))</f>
        <v>0</v>
      </c>
      <c r="BB25" s="3">
        <f t="shared" si="0"/>
        <v>0</v>
      </c>
      <c r="BD25" s="3" t="str">
        <f>IF(ISNUMBER(MATCH($AJ25,LANGUAGE!$C$141:$G$141,0)),$B25,"")</f>
        <v/>
      </c>
      <c r="BE25" s="3" t="str">
        <f>IF(ISNUMBER(MATCH($AJ25,LANGUAGE!$C$142:$G$142,0)),$B25,"")</f>
        <v/>
      </c>
    </row>
    <row r="26" spans="2:57" s="3" customFormat="1" ht="60.75" customHeight="1" x14ac:dyDescent="0.25">
      <c r="B26" s="249" t="s">
        <v>1839</v>
      </c>
      <c r="C26" s="1684" t="str">
        <f>HLOOKUP(LANGUAGE!$B$2,LANGUAGE!$C$14:$G$1500,830)</f>
        <v>Continuous Improvement</v>
      </c>
      <c r="D26" s="1685"/>
      <c r="E26" s="1686" t="str">
        <f>HLOOKUP(LANGUAGE!$B$2,LANGUAGE!$C$14:$G$1500,831)</f>
        <v>Does the supplier has evaluated new lessons learned from this product/ process?</v>
      </c>
      <c r="F26" s="1687"/>
      <c r="G26" s="1687"/>
      <c r="H26" s="1687"/>
      <c r="I26" s="1687"/>
      <c r="J26" s="1687"/>
      <c r="K26" s="1687"/>
      <c r="L26" s="1688"/>
      <c r="M26" s="1686" t="str">
        <f>HLOOKUP(LANGUAGE!$B$2,LANGUAGE!$C$14:$G$1500,832)</f>
        <v>Review LL records.
Confirm LL captured on FMEA.</v>
      </c>
      <c r="N26" s="1687"/>
      <c r="O26" s="1687"/>
      <c r="P26" s="1687"/>
      <c r="Q26" s="1687"/>
      <c r="R26" s="1687"/>
      <c r="S26" s="1687"/>
      <c r="T26" s="1688"/>
      <c r="U26" s="1689"/>
      <c r="V26" s="1690"/>
      <c r="W26" s="1690"/>
      <c r="X26" s="1690"/>
      <c r="Y26" s="1691"/>
      <c r="Z26" s="1500"/>
      <c r="AA26" s="1501"/>
      <c r="AB26" s="1694"/>
      <c r="AC26" s="1695"/>
      <c r="AD26" s="1696"/>
      <c r="AE26" s="1694"/>
      <c r="AF26" s="1695"/>
      <c r="AG26" s="1696"/>
      <c r="AH26" s="1697"/>
      <c r="AI26" s="1698"/>
      <c r="AJ26" s="1730"/>
      <c r="AK26" s="1769"/>
      <c r="AZ26" s="3">
        <f>IF(ISNUMBER(MATCH(Z26,LANGUAGE!$C$137:$G$137,0)),0,IF(ISNUMBER(MATCH(Z26,LANGUAGE!$C$138:$G$138,0)),1,IF(ISNUMBER(MATCH(Z26,LANGUAGE!$C$139:$G$139,0)),2,IF(ISNUMBER(MATCH(Z26,LANGUAGE!$C$140:$G$140,0)),3,0))))</f>
        <v>0</v>
      </c>
      <c r="BA26" s="3">
        <f>IF(ISNUMBER(MATCH(AJ26,LANGUAGE!$C$141:$G$141,0)),3,IF(ISNUMBER(MATCH(AJ26,LANGUAGE!$C$142:$G$142,0)),1,0))</f>
        <v>0</v>
      </c>
      <c r="BB26" s="3">
        <f t="shared" ref="BB26" si="1">IF(AND(AZ26&gt;1,BA26=0),10,AZ26+BA26)</f>
        <v>0</v>
      </c>
      <c r="BD26" s="3" t="str">
        <f>IF(ISNUMBER(MATCH($AJ26,LANGUAGE!$C$141:$G$141,0)),$B26,"")</f>
        <v/>
      </c>
      <c r="BE26" s="3" t="str">
        <f>IF(ISNUMBER(MATCH($AJ26,LANGUAGE!$C$142:$G$142,0)),$B26,"")</f>
        <v/>
      </c>
    </row>
    <row r="27" spans="2:57" s="3" customFormat="1" ht="209.3" customHeight="1" thickBot="1" x14ac:dyDescent="0.3">
      <c r="B27" s="534" t="s">
        <v>1840</v>
      </c>
      <c r="C27" s="1706" t="str">
        <f>HLOOKUP(LANGUAGE!$B$2,LANGUAGE!$C$14:$G$1500,834)</f>
        <v>internal FRT</v>
      </c>
      <c r="D27" s="1707"/>
      <c r="E27" s="1708" t="str">
        <f>HLOOKUP(LANGUAGE!$B$2,LANGUAGE!$C$14:$G$1500,835)</f>
        <v>Have you planned an internal FRT in good time before the Brose FRT in order to still be able to implement appropriate measures in the event of deviations?</v>
      </c>
      <c r="F27" s="1709"/>
      <c r="G27" s="1709"/>
      <c r="H27" s="1709"/>
      <c r="I27" s="1709"/>
      <c r="J27" s="1709"/>
      <c r="K27" s="1709"/>
      <c r="L27" s="1710"/>
      <c r="M27" s="1708" t="str">
        <f>HLOOKUP(LANGUAGE!$B$2,LANGUAGE!$C$14:$G$1500,836)</f>
        <v>Series equipment / measuring equipment complete/ready for use?
Series parameters and -cycle achieved?
additional Safe launch tasks Planned/implemented?
Components released for assembly?
Acceptance ensured / call-offs / start-up curve available?
Purchased parts released?
Work and test instructions prepared and available at the WP?
Are employees trained?
Series packaging coordinated and available?
Brose FRT template used?
Send result of internal FRT to Brose!</v>
      </c>
      <c r="N27" s="1709"/>
      <c r="O27" s="1709"/>
      <c r="P27" s="1709"/>
      <c r="Q27" s="1709"/>
      <c r="R27" s="1709"/>
      <c r="S27" s="1709"/>
      <c r="T27" s="1710"/>
      <c r="U27" s="1711"/>
      <c r="V27" s="1712"/>
      <c r="W27" s="1712"/>
      <c r="X27" s="1712"/>
      <c r="Y27" s="1713"/>
      <c r="Z27" s="1714"/>
      <c r="AA27" s="1715"/>
      <c r="AB27" s="1716"/>
      <c r="AC27" s="1717"/>
      <c r="AD27" s="1718"/>
      <c r="AE27" s="1716"/>
      <c r="AF27" s="1717"/>
      <c r="AG27" s="1718"/>
      <c r="AH27" s="1719"/>
      <c r="AI27" s="1720"/>
      <c r="AJ27" s="1721"/>
      <c r="AK27" s="1722"/>
      <c r="AZ27" s="3">
        <f>IF(ISNUMBER(MATCH(Z27,LANGUAGE!$C$137:$G$137,0)),0,IF(ISNUMBER(MATCH(Z27,LANGUAGE!$C$138:$G$138,0)),1,IF(ISNUMBER(MATCH(Z27,LANGUAGE!$C$139:$G$139,0)),2,IF(ISNUMBER(MATCH(Z27,LANGUAGE!$C$140:$G$140,0)),3,0))))</f>
        <v>0</v>
      </c>
      <c r="BA27" s="3">
        <f>IF(ISNUMBER(MATCH(AJ27,LANGUAGE!$C$141:$G$141,0)),3,IF(ISNUMBER(MATCH(AJ27,LANGUAGE!$C$142:$G$142,0)),1,0))</f>
        <v>0</v>
      </c>
      <c r="BB27" s="3">
        <f t="shared" si="0"/>
        <v>0</v>
      </c>
      <c r="BD27" s="3" t="str">
        <f>IF(ISNUMBER(MATCH($AJ27,LANGUAGE!$C$141:$G$141,0)),$B27,"")</f>
        <v/>
      </c>
      <c r="BE27" s="3" t="str">
        <f>IF(ISNUMBER(MATCH($AJ27,LANGUAGE!$C$142:$G$142,0)),$B27,"")</f>
        <v/>
      </c>
    </row>
    <row r="28" spans="2:57" s="3" customFormat="1" ht="17.7" customHeight="1" thickBot="1" x14ac:dyDescent="0.3">
      <c r="B28" s="261"/>
      <c r="C28" s="261"/>
      <c r="D28" s="261"/>
      <c r="E28" s="261"/>
      <c r="F28" s="261"/>
      <c r="G28" s="261"/>
      <c r="H28" s="261"/>
      <c r="I28" s="261"/>
      <c r="J28" s="261"/>
      <c r="K28" s="261"/>
      <c r="L28" s="261"/>
      <c r="M28" s="262"/>
      <c r="N28" s="26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Z28" s="3">
        <f>IF(ISNUMBER(MATCH(Z28,LANGUAGE!$C$137:$G$137,0)),0,IF(ISNUMBER(MATCH(Z28,LANGUAGE!$C$138:$G$138,0)),1,IF(ISNUMBER(MATCH(Z28,LANGUAGE!$C$139:$G$139,0)),2,IF(ISNUMBER(MATCH(Z28,LANGUAGE!$C$140:$G$140,0)),3,0))))</f>
        <v>0</v>
      </c>
      <c r="BD28" s="3" t="str">
        <f>IF(ISNUMBER(MATCH($AJ28,LANGUAGE!$C$141:$G$141,0)),$B28,"")</f>
        <v/>
      </c>
      <c r="BE28" s="3" t="str">
        <f>IF(ISNUMBER(MATCH($AJ28,LANGUAGE!$C$142:$G$142,0)),$B28,"")</f>
        <v/>
      </c>
    </row>
    <row r="29" spans="2:57" s="3" customFormat="1" ht="17.7" customHeight="1" x14ac:dyDescent="0.25">
      <c r="B29" s="1671" t="str">
        <f>HLOOKUP(LANGUAGE!$B$2,LANGUAGE!$C$14:$G$1500,78)</f>
        <v>Quality</v>
      </c>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3"/>
      <c r="AZ29" s="3">
        <f>IF(ISNUMBER(MATCH(Z29,LANGUAGE!$C$137:$G$137,0)),0,IF(ISNUMBER(MATCH(Z29,LANGUAGE!$C$138:$G$138,0)),1,IF(ISNUMBER(MATCH(Z29,LANGUAGE!$C$139:$G$139,0)),2,IF(ISNUMBER(MATCH(Z29,LANGUAGE!$C$140:$G$140,0)),3,0))))</f>
        <v>0</v>
      </c>
      <c r="BD29" s="3" t="str">
        <f>IF(ISNUMBER(MATCH($AJ29,LANGUAGE!$C$141:$G$141,0)),$B29,"")</f>
        <v/>
      </c>
      <c r="BE29" s="3" t="str">
        <f>IF(ISNUMBER(MATCH($AJ29,LANGUAGE!$C$142:$G$142,0)),$B29,"")</f>
        <v/>
      </c>
    </row>
    <row r="30" spans="2:57" s="3" customFormat="1" ht="17.7" customHeight="1" x14ac:dyDescent="0.25">
      <c r="B30" s="1674"/>
      <c r="C30" s="1675"/>
      <c r="D30" s="1675"/>
      <c r="E30" s="1675"/>
      <c r="F30" s="1675"/>
      <c r="G30" s="1675"/>
      <c r="H30" s="1675"/>
      <c r="I30" s="1675"/>
      <c r="J30" s="1675"/>
      <c r="K30" s="1675"/>
      <c r="L30" s="1675"/>
      <c r="M30" s="1675"/>
      <c r="N30" s="1675"/>
      <c r="O30" s="1675"/>
      <c r="P30" s="1675"/>
      <c r="Q30" s="1675"/>
      <c r="R30" s="1675"/>
      <c r="S30" s="1675"/>
      <c r="T30" s="1675"/>
      <c r="U30" s="1675"/>
      <c r="V30" s="1675"/>
      <c r="W30" s="1675"/>
      <c r="X30" s="1675"/>
      <c r="Y30" s="1675"/>
      <c r="Z30" s="1675"/>
      <c r="AA30" s="1675"/>
      <c r="AB30" s="1675"/>
      <c r="AC30" s="1675"/>
      <c r="AD30" s="1675"/>
      <c r="AE30" s="1675"/>
      <c r="AF30" s="1675"/>
      <c r="AG30" s="1675"/>
      <c r="AH30" s="1675"/>
      <c r="AI30" s="1675"/>
      <c r="AJ30" s="1675"/>
      <c r="AK30" s="1676"/>
      <c r="AZ30" s="3">
        <f>IF(ISNUMBER(MATCH(Z30,LANGUAGE!$C$137:$G$137,0)),0,IF(ISNUMBER(MATCH(Z30,LANGUAGE!$C$138:$G$138,0)),1,IF(ISNUMBER(MATCH(Z30,LANGUAGE!$C$139:$G$139,0)),2,IF(ISNUMBER(MATCH(Z30,LANGUAGE!$C$140:$G$140,0)),3,0))))</f>
        <v>0</v>
      </c>
      <c r="BD30" s="3" t="str">
        <f>IF(ISNUMBER(MATCH($AJ30,LANGUAGE!$C$141:$G$141,0)),$B30,"")</f>
        <v/>
      </c>
      <c r="BE30" s="3" t="str">
        <f>IF(ISNUMBER(MATCH($AJ30,LANGUAGE!$C$142:$G$142,0)),$B30,"")</f>
        <v/>
      </c>
    </row>
    <row r="31" spans="2:57" s="3" customFormat="1" ht="17.7" customHeight="1" x14ac:dyDescent="0.25">
      <c r="B31" s="1002" t="str">
        <f>HLOOKUP(LANGUAGE!$B$2,LANGUAGE!$C$14:$G$1500,91)</f>
        <v>No.</v>
      </c>
      <c r="C31" s="1677" t="str">
        <f>HLOOKUP(LANGUAGE!$B$2,LANGUAGE!$C$14:$G$1500,73)</f>
        <v>Topic</v>
      </c>
      <c r="D31" s="1678"/>
      <c r="E31" s="1003" t="str">
        <f>HLOOKUP(LANGUAGE!$B$2,LANGUAGE!$C$14:$G$1500,92)</f>
        <v>Question</v>
      </c>
      <c r="F31" s="1003"/>
      <c r="G31" s="1003"/>
      <c r="H31" s="1003"/>
      <c r="I31" s="1003"/>
      <c r="J31" s="1003"/>
      <c r="K31" s="1003"/>
      <c r="L31" s="1003"/>
      <c r="M31" s="1003" t="str">
        <f>HLOOKUP(LANGUAGE!$B$2,LANGUAGE!$C$14:$G$1500,93)</f>
        <v>Notes</v>
      </c>
      <c r="N31" s="1003"/>
      <c r="O31" s="1003"/>
      <c r="P31" s="1003"/>
      <c r="Q31" s="1003"/>
      <c r="R31" s="1003"/>
      <c r="S31" s="1003"/>
      <c r="T31" s="1003"/>
      <c r="U31" s="1679" t="str">
        <f>HLOOKUP(LANGUAGE!$B$2,LANGUAGE!$C$14:$G$1500,114)</f>
        <v>Remarks</v>
      </c>
      <c r="V31" s="1679"/>
      <c r="W31" s="1679"/>
      <c r="X31" s="1679"/>
      <c r="Y31" s="1680"/>
      <c r="Z31" s="1677" t="str">
        <f>HLOOKUP(LANGUAGE!$B$2,LANGUAGE!$C$14:$G$1500,74)</f>
        <v>Evaluation</v>
      </c>
      <c r="AA31" s="1681"/>
      <c r="AB31" s="1677" t="str">
        <f>HLOOKUP(LANGUAGE!$B$2,LANGUAGE!$C$14:$G$1500,95)</f>
        <v>Action</v>
      </c>
      <c r="AC31" s="1678"/>
      <c r="AD31" s="1681"/>
      <c r="AE31" s="1682" t="str">
        <f>HLOOKUP(LANGUAGE!$B$2,LANGUAGE!$C$14:$G$1500,96)</f>
        <v>Responsible</v>
      </c>
      <c r="AF31" s="1679"/>
      <c r="AG31" s="1680"/>
      <c r="AH31" s="1677" t="str">
        <f>HLOOKUP(LANGUAGE!$B$2,LANGUAGE!$C$14:$G$1500,21)</f>
        <v>Date</v>
      </c>
      <c r="AI31" s="1681"/>
      <c r="AJ31" s="1677" t="str">
        <f>HLOOKUP(LANGUAGE!$B$2,LANGUAGE!$C$14:$G$1500,75)</f>
        <v>Action status</v>
      </c>
      <c r="AK31" s="1683"/>
      <c r="AZ31" s="3">
        <f>IF(ISNUMBER(MATCH(Z31,LANGUAGE!$C$137:$G$137,0)),0,IF(ISNUMBER(MATCH(Z31,LANGUAGE!$C$138:$G$138,0)),1,IF(ISNUMBER(MATCH(Z31,LANGUAGE!$C$139:$G$139,0)),2,IF(ISNUMBER(MATCH(Z31,LANGUAGE!$C$140:$G$140,0)),3,0))))</f>
        <v>0</v>
      </c>
      <c r="BD31" s="3" t="str">
        <f>IF(ISNUMBER(MATCH($AJ31,LANGUAGE!$C$141:$G$141,0)),$B31,"")</f>
        <v/>
      </c>
      <c r="BE31" s="3" t="str">
        <f>IF(ISNUMBER(MATCH($AJ31,LANGUAGE!$C$142:$G$142,0)),$B31,"")</f>
        <v/>
      </c>
    </row>
    <row r="32" spans="2:57" s="3" customFormat="1" ht="17.7" customHeight="1" x14ac:dyDescent="0.25">
      <c r="B32" s="1002"/>
      <c r="C32" s="1677"/>
      <c r="D32" s="1678"/>
      <c r="E32" s="1003"/>
      <c r="F32" s="1003"/>
      <c r="G32" s="1003"/>
      <c r="H32" s="1003"/>
      <c r="I32" s="1003"/>
      <c r="J32" s="1003"/>
      <c r="K32" s="1003"/>
      <c r="L32" s="1003"/>
      <c r="M32" s="1003"/>
      <c r="N32" s="1003"/>
      <c r="O32" s="1003"/>
      <c r="P32" s="1003"/>
      <c r="Q32" s="1003"/>
      <c r="R32" s="1003"/>
      <c r="S32" s="1003"/>
      <c r="T32" s="1003"/>
      <c r="U32" s="1679"/>
      <c r="V32" s="1679"/>
      <c r="W32" s="1679"/>
      <c r="X32" s="1679"/>
      <c r="Y32" s="1680"/>
      <c r="Z32" s="1677"/>
      <c r="AA32" s="1681"/>
      <c r="AB32" s="1677"/>
      <c r="AC32" s="1678"/>
      <c r="AD32" s="1681"/>
      <c r="AE32" s="1682"/>
      <c r="AF32" s="1679"/>
      <c r="AG32" s="1680"/>
      <c r="AH32" s="1677"/>
      <c r="AI32" s="1681"/>
      <c r="AJ32" s="1677"/>
      <c r="AK32" s="1683"/>
      <c r="AZ32" s="3">
        <f>IF(ISNUMBER(MATCH(Z32,LANGUAGE!$C$137:$G$137,0)),0,IF(ISNUMBER(MATCH(Z32,LANGUAGE!$C$138:$G$138,0)),1,IF(ISNUMBER(MATCH(Z32,LANGUAGE!$C$139:$G$139,0)),2,IF(ISNUMBER(MATCH(Z32,LANGUAGE!$C$140:$G$140,0)),3,0))))</f>
        <v>0</v>
      </c>
      <c r="BD32" s="301" t="str">
        <f>IF(BD33&lt;&gt;"",BD33&amp;" ","")&amp;IF(BD34&lt;&gt;"",BD34&amp;" ","")&amp;IF(BD35&lt;&gt;"",BD35&amp;" ","")&amp;IF(BD36&lt;&gt;"",BD36&amp;" ","")&amp;IF(BD37&lt;&gt;"",BD37&amp;" ","")&amp;IF(BD38&lt;&gt;"",BD38&amp;" ","")&amp;IF(BD39&lt;&gt;"",BD39&amp;" ","")&amp;IF(BD40&lt;&gt;"",BD40&amp;" ","")&amp;IF(BD41&lt;&gt;"",BD41&amp;" ","")&amp;IF(BD43&lt;&gt;"",BD43&amp;" ","")</f>
        <v/>
      </c>
      <c r="BE32" s="301" t="str">
        <f>IF(BE33&lt;&gt;"",BE33&amp;" ","")&amp;IF(BE34&lt;&gt;"",BE34&amp;" ","")&amp;IF(BE35&lt;&gt;"",BE35&amp;" ","")&amp;IF(BE36&lt;&gt;"",BE36&amp;" ","")&amp;IF(BE37&lt;&gt;"",BE37&amp;" ","")&amp;IF(BE38&lt;&gt;"",BE38&amp;" ","")&amp;IF(BE39&lt;&gt;"",BE39&amp;" ","")&amp;IF(BE40&lt;&gt;"",BE40&amp;" ","")&amp;IF(BE342&lt;&gt;"",BE41&amp;" ","")&amp;IF(BE43&lt;&gt;"",BE43&amp;" ","")</f>
        <v/>
      </c>
    </row>
    <row r="33" spans="2:57" s="3" customFormat="1" ht="130.55000000000001" customHeight="1" x14ac:dyDescent="0.25">
      <c r="B33" s="249" t="s">
        <v>1841</v>
      </c>
      <c r="C33" s="1297" t="str">
        <f>HLOOKUP(LANGUAGE!$B$2,LANGUAGE!$C$14:$G$1500,840)</f>
        <v>P-FMEA</v>
      </c>
      <c r="D33" s="1297"/>
      <c r="E33" s="1704" t="str">
        <f>HLOOKUP(LANGUAGE!$B$2,LANGUAGE!$C$14:$G$1500,841)</f>
        <v>Is the P-FMEA available and up to date?</v>
      </c>
      <c r="F33" s="1704"/>
      <c r="G33" s="1704"/>
      <c r="H33" s="1704"/>
      <c r="I33" s="1704"/>
      <c r="J33" s="1704"/>
      <c r="K33" s="1704"/>
      <c r="L33" s="1704"/>
      <c r="M33" s="1704" t="str">
        <f>HLOOKUP(LANGUAGE!$B$2,LANGUAGE!$C$14:$G$1500,842)</f>
        <v>The following points must be met:
- Ordered Brose drawing index considered?
- Are risks identified by the use of risk matrices?
- Are special characteristics from the brose drawing in the supplier FMEA consistent considered and assured?
- Are the special characteristics from the supplier FMEA, Controlplan, inspectionsplan, control charts and appliable documents consistent?</v>
      </c>
      <c r="N33" s="1704"/>
      <c r="O33" s="1704"/>
      <c r="P33" s="1704"/>
      <c r="Q33" s="1704"/>
      <c r="R33" s="1704"/>
      <c r="S33" s="1704"/>
      <c r="T33" s="1704"/>
      <c r="U33" s="1723"/>
      <c r="V33" s="1723"/>
      <c r="W33" s="1723"/>
      <c r="X33" s="1723"/>
      <c r="Y33" s="1723"/>
      <c r="Z33" s="1510"/>
      <c r="AA33" s="1510"/>
      <c r="AB33" s="1700"/>
      <c r="AC33" s="1700"/>
      <c r="AD33" s="1700"/>
      <c r="AE33" s="1700"/>
      <c r="AF33" s="1700"/>
      <c r="AG33" s="1700"/>
      <c r="AH33" s="1701"/>
      <c r="AI33" s="1700"/>
      <c r="AJ33" s="1724"/>
      <c r="AK33" s="1703"/>
      <c r="AZ33" s="3">
        <f>IF(ISNUMBER(MATCH(Z33,LANGUAGE!$C$137:$G$137,0)),0,IF(ISNUMBER(MATCH(Z33,LANGUAGE!$C$138:$G$138,0)),1,IF(ISNUMBER(MATCH(Z33,LANGUAGE!$C$139:$G$139,0)),2,IF(ISNUMBER(MATCH(Z33,LANGUAGE!$C$140:$G$140,0)),3,0))))</f>
        <v>0</v>
      </c>
      <c r="BA33" s="3">
        <f>IF(ISNUMBER(MATCH(AJ33,LANGUAGE!$C$141:$G$141,0)),3,IF(ISNUMBER(MATCH(AJ33,LANGUAGE!$C$142:$G$142,0)),1,0))</f>
        <v>0</v>
      </c>
      <c r="BB33" s="3">
        <f t="shared" si="0"/>
        <v>0</v>
      </c>
      <c r="BD33" s="3" t="str">
        <f>IF(ISNUMBER(MATCH($AJ33,LANGUAGE!$C$141:$G$141,0)),$B33,"")</f>
        <v/>
      </c>
      <c r="BE33" s="3" t="str">
        <f>IF(ISNUMBER(MATCH($AJ33,LANGUAGE!$C$142:$G$142,0)),$B33,"")</f>
        <v/>
      </c>
    </row>
    <row r="34" spans="2:57" s="3" customFormat="1" ht="103.5" customHeight="1" x14ac:dyDescent="0.25">
      <c r="B34" s="249" t="s">
        <v>1842</v>
      </c>
      <c r="C34" s="1297" t="str">
        <f>HLOOKUP(LANGUAGE!$B$2,LANGUAGE!$C$14:$G$1500,850)</f>
        <v>Red Rabbit/ Poka Yoke Sample verification</v>
      </c>
      <c r="D34" s="1297"/>
      <c r="E34" s="1704" t="str">
        <f>HLOOKUP(LANGUAGE!$B$2,LANGUAGE!$C$14:$G$1500,851)</f>
        <v>Are red rabbit/ reference samples available and are the requirements regarding identification, monitoring, inspection and if necessary calibration (IATF16949 10.2.4) ensured?</v>
      </c>
      <c r="F34" s="1704"/>
      <c r="G34" s="1704"/>
      <c r="H34" s="1704"/>
      <c r="I34" s="1704"/>
      <c r="J34" s="1704"/>
      <c r="K34" s="1704"/>
      <c r="L34" s="1704"/>
      <c r="M34" s="1704" t="str">
        <f>HLOOKUP(LANGUAGE!$B$2,LANGUAGE!$C$14:$G$1500,852)</f>
        <v xml:space="preserve">Verify that the supplier has a red rabbit system.  
- What is the reaction to a red rabbit failure?
- How are red rabbit tests verified?
- Is the equipment programmed to periodically stop for red rabbit tests? (Best practice)  </v>
      </c>
      <c r="N34" s="1704"/>
      <c r="O34" s="1704"/>
      <c r="P34" s="1704"/>
      <c r="Q34" s="1704"/>
      <c r="R34" s="1704"/>
      <c r="S34" s="1704"/>
      <c r="T34" s="1704"/>
      <c r="U34" s="1705"/>
      <c r="V34" s="1705"/>
      <c r="W34" s="1705"/>
      <c r="X34" s="1705"/>
      <c r="Y34" s="1705"/>
      <c r="Z34" s="1509"/>
      <c r="AA34" s="1510"/>
      <c r="AB34" s="1700"/>
      <c r="AC34" s="1700"/>
      <c r="AD34" s="1700"/>
      <c r="AE34" s="1700"/>
      <c r="AF34" s="1700"/>
      <c r="AG34" s="1700"/>
      <c r="AH34" s="1701"/>
      <c r="AI34" s="1700"/>
      <c r="AJ34" s="1702"/>
      <c r="AK34" s="1703"/>
      <c r="AZ34" s="3">
        <f>IF(ISNUMBER(MATCH(Z34,LANGUAGE!$C$137:$G$137,0)),0,IF(ISNUMBER(MATCH(Z34,LANGUAGE!$C$138:$G$138,0)),1,IF(ISNUMBER(MATCH(Z34,LANGUAGE!$C$139:$G$139,0)),2,IF(ISNUMBER(MATCH(Z34,LANGUAGE!$C$140:$G$140,0)),3,0))))</f>
        <v>0</v>
      </c>
      <c r="BA34" s="3">
        <f>IF(ISNUMBER(MATCH(AJ34,LANGUAGE!$C$141:$G$141,0)),3,IF(ISNUMBER(MATCH(AJ34,LANGUAGE!$C$142:$G$142,0)),1,0))</f>
        <v>0</v>
      </c>
      <c r="BB34" s="3">
        <f t="shared" si="0"/>
        <v>0</v>
      </c>
      <c r="BD34" s="3" t="str">
        <f>IF(ISNUMBER(MATCH($AJ34,LANGUAGE!$C$141:$G$141,0)),$B34,"")</f>
        <v/>
      </c>
      <c r="BE34" s="3" t="str">
        <f>IF(ISNUMBER(MATCH($AJ34,LANGUAGE!$C$142:$G$142,0)),$B34,"")</f>
        <v/>
      </c>
    </row>
    <row r="35" spans="2:57" s="3" customFormat="1" ht="86.25" customHeight="1" x14ac:dyDescent="0.25">
      <c r="B35" s="249" t="s">
        <v>1843</v>
      </c>
      <c r="C35" s="1297" t="str">
        <f>HLOOKUP(LANGUAGE!$B$2,LANGUAGE!$C$14:$G$1500,860)</f>
        <v>Control plan</v>
      </c>
      <c r="D35" s="1297"/>
      <c r="E35" s="1729" t="str">
        <f>HLOOKUP(LANGUAGE!$B$2,LANGUAGE!$C$14:$G$1500,861)</f>
        <v>Is the control plan for serial phase up to date and does the control plan for Safe Launch include increased frequency and quantities to be inspected?</v>
      </c>
      <c r="F35" s="1729"/>
      <c r="G35" s="1729"/>
      <c r="H35" s="1729"/>
      <c r="I35" s="1729"/>
      <c r="J35" s="1729"/>
      <c r="K35" s="1729"/>
      <c r="L35" s="1729"/>
      <c r="M35" s="1729" t="str">
        <f>HLOOKUP(LANGUAGE!$B$2,LANGUAGE!$C$14:$G$1500,862)</f>
        <v>All characteristics and safe launch actions based on the FS agreement are included and contain increased sample sizes compared to the Series Control Plan.</v>
      </c>
      <c r="N35" s="1729"/>
      <c r="O35" s="1729"/>
      <c r="P35" s="1729"/>
      <c r="Q35" s="1729"/>
      <c r="R35" s="1729"/>
      <c r="S35" s="1729"/>
      <c r="T35" s="1729"/>
      <c r="U35" s="1705"/>
      <c r="V35" s="1705"/>
      <c r="W35" s="1705"/>
      <c r="X35" s="1705"/>
      <c r="Y35" s="1705"/>
      <c r="Z35" s="1509"/>
      <c r="AA35" s="1510"/>
      <c r="AB35" s="1700"/>
      <c r="AC35" s="1700"/>
      <c r="AD35" s="1700"/>
      <c r="AE35" s="1700"/>
      <c r="AF35" s="1700"/>
      <c r="AG35" s="1700"/>
      <c r="AH35" s="1701"/>
      <c r="AI35" s="1700"/>
      <c r="AJ35" s="1702"/>
      <c r="AK35" s="1703"/>
      <c r="AZ35" s="3">
        <f>IF(ISNUMBER(MATCH(Z35,LANGUAGE!$C$137:$G$137,0)),0,IF(ISNUMBER(MATCH(Z35,LANGUAGE!$C$138:$G$138,0)),1,IF(ISNUMBER(MATCH(Z35,LANGUAGE!$C$139:$G$139,0)),2,IF(ISNUMBER(MATCH(Z35,LANGUAGE!$C$140:$G$140,0)),3,0))))</f>
        <v>0</v>
      </c>
      <c r="BA35" s="3">
        <f>IF(ISNUMBER(MATCH(AJ35,LANGUAGE!$C$141:$G$141,0)),3,IF(ISNUMBER(MATCH(AJ35,LANGUAGE!$C$142:$G$142,0)),1,0))</f>
        <v>0</v>
      </c>
      <c r="BB35" s="3">
        <f t="shared" si="0"/>
        <v>0</v>
      </c>
      <c r="BD35" s="3" t="str">
        <f>IF(ISNUMBER(MATCH($AJ35,LANGUAGE!$C$141:$G$141,0)),$B35,"")</f>
        <v/>
      </c>
      <c r="BE35" s="3" t="str">
        <f>IF(ISNUMBER(MATCH($AJ35,LANGUAGE!$C$142:$G$142,0)),$B35,"")</f>
        <v/>
      </c>
    </row>
    <row r="36" spans="2:57" s="3" customFormat="1" ht="54.8" customHeight="1" x14ac:dyDescent="0.25">
      <c r="B36" s="249" t="s">
        <v>1844</v>
      </c>
      <c r="C36" s="1684" t="str">
        <f>HLOOKUP(LANGUAGE!$B$2,LANGUAGE!$C$14:$G$1500,870)</f>
        <v>Planing capability studies</v>
      </c>
      <c r="D36" s="1685"/>
      <c r="E36" s="1686" t="str">
        <f>HLOOKUP(LANGUAGE!$B$2,LANGUAGE!$C$14:$G$1500,871)</f>
        <v>Are the capability studies of special charateristics acc. to feasibility study on time?</v>
      </c>
      <c r="F36" s="1687"/>
      <c r="G36" s="1687"/>
      <c r="H36" s="1687"/>
      <c r="I36" s="1687"/>
      <c r="J36" s="1687"/>
      <c r="K36" s="1687"/>
      <c r="L36" s="1688"/>
      <c r="M36" s="1686" t="str">
        <f>HLOOKUP(LANGUAGE!$B$2,LANGUAGE!$C$14:$G$1500,872)</f>
        <v>See FS agreement for quantities and Cpk index.</v>
      </c>
      <c r="N36" s="1687"/>
      <c r="O36" s="1687"/>
      <c r="P36" s="1687"/>
      <c r="Q36" s="1687"/>
      <c r="R36" s="1687"/>
      <c r="S36" s="1687"/>
      <c r="T36" s="1688"/>
      <c r="U36" s="1689"/>
      <c r="V36" s="1690"/>
      <c r="W36" s="1690"/>
      <c r="X36" s="1690"/>
      <c r="Y36" s="1691"/>
      <c r="Z36" s="1500"/>
      <c r="AA36" s="1693"/>
      <c r="AB36" s="1694"/>
      <c r="AC36" s="1695"/>
      <c r="AD36" s="1696"/>
      <c r="AE36" s="1694"/>
      <c r="AF36" s="1695"/>
      <c r="AG36" s="1696"/>
      <c r="AH36" s="1697"/>
      <c r="AI36" s="1698"/>
      <c r="AJ36" s="1730"/>
      <c r="AK36" s="1731"/>
      <c r="AZ36" s="3">
        <f>IF(ISNUMBER(MATCH(Z36,LANGUAGE!$C$137:$G$137,0)),0,IF(ISNUMBER(MATCH(Z36,LANGUAGE!$C$138:$G$138,0)),1,IF(ISNUMBER(MATCH(Z36,LANGUAGE!$C$139:$G$139,0)),2,IF(ISNUMBER(MATCH(Z36,LANGUAGE!$C$140:$G$140,0)),3,0))))</f>
        <v>0</v>
      </c>
      <c r="BA36" s="3">
        <f>IF(ISNUMBER(MATCH(AJ36,LANGUAGE!$C$141:$G$141,0)),3,IF(ISNUMBER(MATCH(AJ36,LANGUAGE!$C$142:$G$142,0)),1,0))</f>
        <v>0</v>
      </c>
      <c r="BB36" s="3">
        <f t="shared" si="0"/>
        <v>0</v>
      </c>
      <c r="BD36" s="3" t="str">
        <f>IF(ISNUMBER(MATCH($AJ36,LANGUAGE!$C$141:$G$141,0)),$B36,"")</f>
        <v/>
      </c>
      <c r="BE36" s="3" t="str">
        <f>IF(ISNUMBER(MATCH($AJ36,LANGUAGE!$C$142:$G$142,0)),$B36,"")</f>
        <v/>
      </c>
    </row>
    <row r="37" spans="2:57" s="3" customFormat="1" ht="87.05" customHeight="1" x14ac:dyDescent="0.25">
      <c r="B37" s="249" t="s">
        <v>1845</v>
      </c>
      <c r="C37" s="1684" t="str">
        <f>HLOOKUP(LANGUAGE!$B$2,LANGUAGE!$C$14:$G$1500,880)</f>
        <v xml:space="preserve">Test equipment &amp; MSA </v>
      </c>
      <c r="D37" s="1685"/>
      <c r="E37" s="1686" t="str">
        <f>HLOOKUP(LANGUAGE!$B$2,LANGUAGE!$C$14:$G$1500,881)</f>
        <v>Are all gauges and test equipments incl. measurement study analyses (MSA/VDA5) complete available?</v>
      </c>
      <c r="F37" s="1687"/>
      <c r="G37" s="1687"/>
      <c r="H37" s="1687"/>
      <c r="I37" s="1687"/>
      <c r="J37" s="1687"/>
      <c r="K37" s="1687"/>
      <c r="L37" s="1688"/>
      <c r="M37" s="1686" t="str">
        <f>HLOOKUP(LANGUAGE!$B$2,LANGUAGE!$C$14:$G$1500,882)</f>
        <v>The following points must be met:
- Calibration reports available
- MSA complete and OK
- Review use of gauges and test equipment
- Work instructions available</v>
      </c>
      <c r="N37" s="1687"/>
      <c r="O37" s="1687"/>
      <c r="P37" s="1687"/>
      <c r="Q37" s="1687"/>
      <c r="R37" s="1687"/>
      <c r="S37" s="1687"/>
      <c r="T37" s="1688"/>
      <c r="U37" s="1689"/>
      <c r="V37" s="1690"/>
      <c r="W37" s="1690"/>
      <c r="X37" s="1690"/>
      <c r="Y37" s="1691"/>
      <c r="Z37" s="1500"/>
      <c r="AA37" s="1693"/>
      <c r="AB37" s="1694"/>
      <c r="AC37" s="1695"/>
      <c r="AD37" s="1696"/>
      <c r="AE37" s="1694"/>
      <c r="AF37" s="1695"/>
      <c r="AG37" s="1696"/>
      <c r="AH37" s="1697"/>
      <c r="AI37" s="1698"/>
      <c r="AJ37" s="1730"/>
      <c r="AK37" s="1731"/>
      <c r="AZ37" s="3">
        <f>IF(ISNUMBER(MATCH(Z37,LANGUAGE!$C$137:$G$137,0)),0,IF(ISNUMBER(MATCH(Z37,LANGUAGE!$C$138:$G$138,0)),1,IF(ISNUMBER(MATCH(Z37,LANGUAGE!$C$139:$G$139,0)),2,IF(ISNUMBER(MATCH(Z37,LANGUAGE!$C$140:$G$140,0)),3,0))))</f>
        <v>0</v>
      </c>
      <c r="BA37" s="3">
        <f>IF(ISNUMBER(MATCH(AJ37,LANGUAGE!$C$141:$G$141,0)),3,IF(ISNUMBER(MATCH(AJ37,LANGUAGE!$C$142:$G$142,0)),1,0))</f>
        <v>0</v>
      </c>
      <c r="BB37" s="3">
        <f t="shared" si="0"/>
        <v>0</v>
      </c>
      <c r="BD37" s="3" t="str">
        <f>IF(ISNUMBER(MATCH($AJ37,LANGUAGE!$C$141:$G$141,0)),$B37,"")</f>
        <v/>
      </c>
      <c r="BE37" s="3" t="str">
        <f>IF(ISNUMBER(MATCH($AJ37,LANGUAGE!$C$142:$G$142,0)),$B37,"")</f>
        <v/>
      </c>
    </row>
    <row r="38" spans="2:57" s="3" customFormat="1" ht="54.8" customHeight="1" x14ac:dyDescent="0.25">
      <c r="B38" s="249" t="s">
        <v>1846</v>
      </c>
      <c r="C38" s="1684" t="str">
        <f>HLOOKUP(LANGUAGE!$B$2,LANGUAGE!$C$14:$G$1500,890)</f>
        <v>Traceability concept</v>
      </c>
      <c r="D38" s="1685"/>
      <c r="E38" s="1686" t="str">
        <f>HLOOKUP(LANGUAGE!$B$2,LANGUAGE!$C$14:$G$1500,891)</f>
        <v>Are there modifications of traceability concept comparing to SQG2?</v>
      </c>
      <c r="F38" s="1687"/>
      <c r="G38" s="1687"/>
      <c r="H38" s="1687"/>
      <c r="I38" s="1687"/>
      <c r="J38" s="1687"/>
      <c r="K38" s="1687"/>
      <c r="L38" s="1688"/>
      <c r="M38" s="1686" t="str">
        <f>HLOOKUP(LANGUAGE!$B$2,LANGUAGE!$C$14:$G$1500,892)</f>
        <v>See SQG1 &amp; 2 agreement for traceability.</v>
      </c>
      <c r="N38" s="1687"/>
      <c r="O38" s="1687"/>
      <c r="P38" s="1687"/>
      <c r="Q38" s="1687"/>
      <c r="R38" s="1687"/>
      <c r="S38" s="1687"/>
      <c r="T38" s="1688"/>
      <c r="U38" s="1689"/>
      <c r="V38" s="1690"/>
      <c r="W38" s="1690"/>
      <c r="X38" s="1690"/>
      <c r="Y38" s="1691"/>
      <c r="Z38" s="1500"/>
      <c r="AA38" s="1693"/>
      <c r="AB38" s="1694"/>
      <c r="AC38" s="1695"/>
      <c r="AD38" s="1696"/>
      <c r="AE38" s="1694"/>
      <c r="AF38" s="1695"/>
      <c r="AG38" s="1696"/>
      <c r="AH38" s="1697"/>
      <c r="AI38" s="1698"/>
      <c r="AJ38" s="1730"/>
      <c r="AK38" s="1731"/>
      <c r="AZ38" s="3">
        <f>IF(ISNUMBER(MATCH(Z38,LANGUAGE!$C$137:$G$137,0)),0,IF(ISNUMBER(MATCH(Z38,LANGUAGE!$C$138:$G$138,0)),1,IF(ISNUMBER(MATCH(Z38,LANGUAGE!$C$139:$G$139,0)),2,IF(ISNUMBER(MATCH(Z38,LANGUAGE!$C$140:$G$140,0)),3,0))))</f>
        <v>0</v>
      </c>
      <c r="BA38" s="3">
        <f>IF(ISNUMBER(MATCH(AJ38,LANGUAGE!$C$141:$G$141,0)),3,IF(ISNUMBER(MATCH(AJ38,LANGUAGE!$C$142:$G$142,0)),1,0))</f>
        <v>0</v>
      </c>
      <c r="BB38" s="3">
        <f t="shared" si="0"/>
        <v>0</v>
      </c>
      <c r="BD38" s="3" t="str">
        <f>IF(ISNUMBER(MATCH($AJ38,LANGUAGE!$C$141:$G$141,0)),$B38,"")</f>
        <v/>
      </c>
      <c r="BE38" s="3" t="str">
        <f>IF(ISNUMBER(MATCH($AJ38,LANGUAGE!$C$142:$G$142,0)),$B38,"")</f>
        <v/>
      </c>
    </row>
    <row r="39" spans="2:57" s="3" customFormat="1" ht="54.8" customHeight="1" x14ac:dyDescent="0.25">
      <c r="B39" s="249" t="s">
        <v>1847</v>
      </c>
      <c r="C39" s="1684" t="str">
        <f>HLOOKUP(LANGUAGE!$B$2,LANGUAGE!$C$14:$G$1500,900)</f>
        <v>IMDS</v>
      </c>
      <c r="D39" s="1685"/>
      <c r="E39" s="1686" t="str">
        <f>HLOOKUP(LANGUAGE!$B$2,LANGUAGE!$C$14:$G$1500,901)</f>
        <v>Are all relevant documents, also from sub-suppliers, for IMDS submission available?</v>
      </c>
      <c r="F39" s="1687"/>
      <c r="G39" s="1687"/>
      <c r="H39" s="1687"/>
      <c r="I39" s="1687"/>
      <c r="J39" s="1687"/>
      <c r="K39" s="1687"/>
      <c r="L39" s="1688"/>
      <c r="M39" s="1686" t="str">
        <f>HLOOKUP(LANGUAGE!$B$2,LANGUAGE!$C$14:$G$1500,902)</f>
        <v>IMDS should be avalable at system.</v>
      </c>
      <c r="N39" s="1687"/>
      <c r="O39" s="1687"/>
      <c r="P39" s="1687"/>
      <c r="Q39" s="1687"/>
      <c r="R39" s="1687"/>
      <c r="S39" s="1687"/>
      <c r="T39" s="1688"/>
      <c r="U39" s="1689"/>
      <c r="V39" s="1690"/>
      <c r="W39" s="1690"/>
      <c r="X39" s="1690"/>
      <c r="Y39" s="1691"/>
      <c r="Z39" s="1500"/>
      <c r="AA39" s="1693"/>
      <c r="AB39" s="1694"/>
      <c r="AC39" s="1695"/>
      <c r="AD39" s="1696"/>
      <c r="AE39" s="1694"/>
      <c r="AF39" s="1695"/>
      <c r="AG39" s="1696"/>
      <c r="AH39" s="1697"/>
      <c r="AI39" s="1698"/>
      <c r="AJ39" s="1730"/>
      <c r="AK39" s="1731"/>
      <c r="AZ39" s="3">
        <f>IF(ISNUMBER(MATCH(Z39,LANGUAGE!$C$137:$G$137,0)),0,IF(ISNUMBER(MATCH(Z39,LANGUAGE!$C$138:$G$138,0)),1,IF(ISNUMBER(MATCH(Z39,LANGUAGE!$C$139:$G$139,0)),2,IF(ISNUMBER(MATCH(Z39,LANGUAGE!$C$140:$G$140,0)),3,0))))</f>
        <v>0</v>
      </c>
      <c r="BA39" s="3">
        <f>IF(ISNUMBER(MATCH(AJ39,LANGUAGE!$C$141:$G$141,0)),3,IF(ISNUMBER(MATCH(AJ39,LANGUAGE!$C$142:$G$142,0)),1,0))</f>
        <v>0</v>
      </c>
      <c r="BB39" s="3">
        <f t="shared" si="0"/>
        <v>0</v>
      </c>
      <c r="BD39" s="3" t="str">
        <f>IF(ISNUMBER(MATCH($AJ39,LANGUAGE!$C$141:$G$141,0)),$B39,"")</f>
        <v/>
      </c>
      <c r="BE39" s="3" t="str">
        <f>IF(ISNUMBER(MATCH($AJ39,LANGUAGE!$C$142:$G$142,0)),$B39,"")</f>
        <v/>
      </c>
    </row>
    <row r="40" spans="2:57" s="3" customFormat="1" ht="54.8" customHeight="1" x14ac:dyDescent="0.25">
      <c r="B40" s="249" t="s">
        <v>1848</v>
      </c>
      <c r="C40" s="1684" t="str">
        <f>HLOOKUP(LANGUAGE!$B$2,LANGUAGE!$C$14:$G$1500,910)</f>
        <v>PPF/ PPAP-requirements</v>
      </c>
      <c r="D40" s="1685"/>
      <c r="E40" s="1686" t="str">
        <f>HLOOKUP(LANGUAGE!$B$2,LANGUAGE!$C$14:$G$1500,911)</f>
        <v>Are the requirements acc. initial sample order resp. Extranet well understood?</v>
      </c>
      <c r="F40" s="1687"/>
      <c r="G40" s="1687"/>
      <c r="H40" s="1687"/>
      <c r="I40" s="1687"/>
      <c r="J40" s="1687"/>
      <c r="K40" s="1687"/>
      <c r="L40" s="1688"/>
      <c r="M40" s="1686" t="str">
        <f>HLOOKUP(LANGUAGE!$B$2,LANGUAGE!$C$14:$G$1500,912)</f>
        <v>See FS agreements.</v>
      </c>
      <c r="N40" s="1687"/>
      <c r="O40" s="1687"/>
      <c r="P40" s="1687"/>
      <c r="Q40" s="1687"/>
      <c r="R40" s="1687"/>
      <c r="S40" s="1687"/>
      <c r="T40" s="1688"/>
      <c r="U40" s="1689"/>
      <c r="V40" s="1690"/>
      <c r="W40" s="1690"/>
      <c r="X40" s="1690"/>
      <c r="Y40" s="1691"/>
      <c r="Z40" s="1500"/>
      <c r="AA40" s="1693"/>
      <c r="AB40" s="1694"/>
      <c r="AC40" s="1695"/>
      <c r="AD40" s="1696"/>
      <c r="AE40" s="1694"/>
      <c r="AF40" s="1695"/>
      <c r="AG40" s="1696"/>
      <c r="AH40" s="1697"/>
      <c r="AI40" s="1698"/>
      <c r="AJ40" s="1730"/>
      <c r="AK40" s="1731"/>
      <c r="AZ40" s="3">
        <f>IF(ISNUMBER(MATCH(Z40,LANGUAGE!$C$137:$G$137,0)),0,IF(ISNUMBER(MATCH(Z40,LANGUAGE!$C$138:$G$138,0)),1,IF(ISNUMBER(MATCH(Z40,LANGUAGE!$C$139:$G$139,0)),2,IF(ISNUMBER(MATCH(Z40,LANGUAGE!$C$140:$G$140,0)),3,0))))</f>
        <v>0</v>
      </c>
      <c r="BA40" s="3">
        <f>IF(ISNUMBER(MATCH(AJ40,LANGUAGE!$C$141:$G$141,0)),3,IF(ISNUMBER(MATCH(AJ40,LANGUAGE!$C$142:$G$142,0)),1,0))</f>
        <v>0</v>
      </c>
      <c r="BB40" s="3">
        <f t="shared" si="0"/>
        <v>0</v>
      </c>
      <c r="BD40" s="3" t="str">
        <f>IF(ISNUMBER(MATCH($AJ40,LANGUAGE!$C$141:$G$141,0)),$B40,"")</f>
        <v/>
      </c>
      <c r="BE40" s="3" t="str">
        <f>IF(ISNUMBER(MATCH($AJ40,LANGUAGE!$C$142:$G$142,0)),$B40,"")</f>
        <v/>
      </c>
    </row>
    <row r="41" spans="2:57" s="3" customFormat="1" ht="54.8" customHeight="1" x14ac:dyDescent="0.25">
      <c r="B41" s="249" t="s">
        <v>1849</v>
      </c>
      <c r="C41" s="1684" t="str">
        <f>HLOOKUP(LANGUAGE!$B$2,LANGUAGE!$C$14:$G$1500,920)</f>
        <v>Sub-supplier PPF/ PPAP</v>
      </c>
      <c r="D41" s="1685"/>
      <c r="E41" s="1686" t="str">
        <f>HLOOKUP(LANGUAGE!$B$2,LANGUAGE!$C$14:$G$1500,921)</f>
        <v>Are the Sub-supplier PPF/PPAP's approved by supplier?</v>
      </c>
      <c r="F41" s="1687"/>
      <c r="G41" s="1687"/>
      <c r="H41" s="1687"/>
      <c r="I41" s="1687"/>
      <c r="J41" s="1687"/>
      <c r="K41" s="1687"/>
      <c r="L41" s="1688"/>
      <c r="M41" s="1686" t="str">
        <f>HLOOKUP(LANGUAGE!$B$2,LANGUAGE!$C$14:$G$1500,922)</f>
        <v>Review PSW's or PPF.</v>
      </c>
      <c r="N41" s="1687"/>
      <c r="O41" s="1687"/>
      <c r="P41" s="1687"/>
      <c r="Q41" s="1687"/>
      <c r="R41" s="1687"/>
      <c r="S41" s="1687"/>
      <c r="T41" s="1688"/>
      <c r="U41" s="1689"/>
      <c r="V41" s="1690"/>
      <c r="W41" s="1690"/>
      <c r="X41" s="1690"/>
      <c r="Y41" s="1691"/>
      <c r="Z41" s="1500"/>
      <c r="AA41" s="1693"/>
      <c r="AB41" s="1694"/>
      <c r="AC41" s="1695"/>
      <c r="AD41" s="1696"/>
      <c r="AE41" s="1694"/>
      <c r="AF41" s="1695"/>
      <c r="AG41" s="1696"/>
      <c r="AH41" s="1697"/>
      <c r="AI41" s="1698"/>
      <c r="AJ41" s="1730"/>
      <c r="AK41" s="1731"/>
      <c r="AZ41" s="3">
        <f>IF(ISNUMBER(MATCH(Z41,LANGUAGE!$C$137:$G$137,0)),0,IF(ISNUMBER(MATCH(Z41,LANGUAGE!$C$138:$G$138,0)),1,IF(ISNUMBER(MATCH(Z41,LANGUAGE!$C$139:$G$139,0)),2,IF(ISNUMBER(MATCH(Z41,LANGUAGE!$C$140:$G$140,0)),3,0))))</f>
        <v>0</v>
      </c>
      <c r="BA41" s="3">
        <f>IF(ISNUMBER(MATCH(AJ41,LANGUAGE!$C$141:$G$141,0)),3,IF(ISNUMBER(MATCH(AJ41,LANGUAGE!$C$142:$G$142,0)),1,0))</f>
        <v>0</v>
      </c>
      <c r="BB41" s="3">
        <f t="shared" si="0"/>
        <v>0</v>
      </c>
      <c r="BD41" s="3" t="str">
        <f>IF(ISNUMBER(MATCH($AJ41,LANGUAGE!$C$141:$G$141,0)),$B41,"")</f>
        <v/>
      </c>
      <c r="BE41" s="3" t="str">
        <f>IF(ISNUMBER(MATCH($AJ41,LANGUAGE!$C$142:$G$142,0)),$B41,"")</f>
        <v/>
      </c>
    </row>
    <row r="42" spans="2:57" s="3" customFormat="1" ht="56.2" customHeight="1" x14ac:dyDescent="0.25">
      <c r="B42" s="487" t="s">
        <v>1850</v>
      </c>
      <c r="C42" s="1737" t="str">
        <f>HLOOKUP(LANGUAGE!$B$2,LANGUAGE!$C$14:$G$1500,930)</f>
        <v>Technical Cleanliness</v>
      </c>
      <c r="D42" s="1737"/>
      <c r="E42" s="1738" t="str">
        <f>HLOOKUP(LANGUAGE!$B$2,LANGUAGE!$C$14:$G$1500,931)</f>
        <v>Has the supplier realized technical cleanliness requirement for this product (If required on drawing / Brose norm)?</v>
      </c>
      <c r="F42" s="1738"/>
      <c r="G42" s="1738"/>
      <c r="H42" s="1738"/>
      <c r="I42" s="1738"/>
      <c r="J42" s="1738"/>
      <c r="K42" s="1738"/>
      <c r="L42" s="1738"/>
      <c r="M42" s="1738" t="str">
        <f>HLOOKUP(LANGUAGE!$B$2,LANGUAGE!$C$14:$G$1500,932)</f>
        <v>See FS agreement.</v>
      </c>
      <c r="N42" s="1738"/>
      <c r="O42" s="1738"/>
      <c r="P42" s="1738"/>
      <c r="Q42" s="1738"/>
      <c r="R42" s="1738"/>
      <c r="S42" s="1738"/>
      <c r="T42" s="1738"/>
      <c r="U42" s="1739"/>
      <c r="V42" s="1739"/>
      <c r="W42" s="1739"/>
      <c r="X42" s="1739"/>
      <c r="Y42" s="1739"/>
      <c r="Z42" s="1583"/>
      <c r="AA42" s="1584"/>
      <c r="AB42" s="1726"/>
      <c r="AC42" s="1726"/>
      <c r="AD42" s="1726"/>
      <c r="AE42" s="1726"/>
      <c r="AF42" s="1726"/>
      <c r="AG42" s="1726"/>
      <c r="AH42" s="1725"/>
      <c r="AI42" s="1726"/>
      <c r="AJ42" s="1727"/>
      <c r="AK42" s="1728"/>
      <c r="AZ42" s="3">
        <f>IF(ISNUMBER(MATCH(Z42,LANGUAGE!$C$137:$G$137,0)),0,IF(ISNUMBER(MATCH(Z42,LANGUAGE!$C$138:$G$138,0)),1,IF(ISNUMBER(MATCH(Z42,LANGUAGE!$C$139:$G$139,0)),2,IF(ISNUMBER(MATCH(Z42,LANGUAGE!$C$140:$G$140,0)),3,0))))</f>
        <v>0</v>
      </c>
      <c r="BA42" s="3">
        <f>IF(ISNUMBER(MATCH(AJ42,LANGUAGE!$C$141:$G$141,0)),3,IF(ISNUMBER(MATCH(AJ42,LANGUAGE!$C$142:$G$142,0)),1,0))</f>
        <v>0</v>
      </c>
      <c r="BB42" s="3">
        <f t="shared" ref="BB42" si="2">IF(AND(AZ42&gt;1,BA42=0),10,AZ42+BA42)</f>
        <v>0</v>
      </c>
      <c r="BD42" s="3" t="str">
        <f>IF(ISNUMBER(MATCH($AJ42,LANGUAGE!$C$141:$G$141,0)),$B42,"")</f>
        <v/>
      </c>
      <c r="BE42" s="3" t="str">
        <f>IF(ISNUMBER(MATCH($AJ42,LANGUAGE!$C$142:$G$142,0)),$B42,"")</f>
        <v/>
      </c>
    </row>
    <row r="43" spans="2:57" s="3" customFormat="1" ht="167.35" customHeight="1" thickBot="1" x14ac:dyDescent="0.3">
      <c r="B43" s="247" t="s">
        <v>1851</v>
      </c>
      <c r="C43" s="1319" t="str">
        <f>HLOOKUP(LANGUAGE!$B$2,LANGUAGE!$C$14:$G$1500,935)</f>
        <v>FFA Field Failure Analysis</v>
      </c>
      <c r="D43" s="1319"/>
      <c r="E43" s="1572" t="str">
        <f>HLOOKUP(LANGUAGE!$B$2,LANGUAGE!$C$14:$G$1500,936)</f>
        <v>Changes to the escalating test step concept with part analysis (standard test and tests under load) and NTF-process vs. LQG2?</v>
      </c>
      <c r="F43" s="1572"/>
      <c r="G43" s="1572"/>
      <c r="H43" s="1572"/>
      <c r="I43" s="1572"/>
      <c r="J43" s="1572"/>
      <c r="K43" s="1572"/>
      <c r="L43" s="1572"/>
      <c r="M43" s="1572" t="str">
        <f>HLOOKUP(LANGUAGE!$B$2,LANGUAGE!$C$14:$G$1500,937)</f>
        <v>Part Analysis (Standard test and tests under load) available?
CSR’s taken into account?
Test equipment, devices and gauges available?
Trigger criteria for NTF defined and agreed?
Inclusion / commitment supply chain proven?
Qualification and capacities staff available?
Reference FFA in PLP?
Note: The FFA documentation (test specification, characteristics, test setup and configuration) is part of the PPF / PPAP to Brose!</v>
      </c>
      <c r="N43" s="1572"/>
      <c r="O43" s="1572"/>
      <c r="P43" s="1572"/>
      <c r="Q43" s="1572"/>
      <c r="R43" s="1572"/>
      <c r="S43" s="1572"/>
      <c r="T43" s="1572"/>
      <c r="U43" s="1732"/>
      <c r="V43" s="1732"/>
      <c r="W43" s="1732"/>
      <c r="X43" s="1732"/>
      <c r="Y43" s="1732"/>
      <c r="Z43" s="1514"/>
      <c r="AA43" s="1415"/>
      <c r="AB43" s="1733"/>
      <c r="AC43" s="1733"/>
      <c r="AD43" s="1733"/>
      <c r="AE43" s="1733"/>
      <c r="AF43" s="1733"/>
      <c r="AG43" s="1733"/>
      <c r="AH43" s="1734"/>
      <c r="AI43" s="1733"/>
      <c r="AJ43" s="1735"/>
      <c r="AK43" s="1736"/>
      <c r="AZ43" s="3">
        <f>IF(ISNUMBER(MATCH(Z43,LANGUAGE!$C$137:$G$137,0)),0,IF(ISNUMBER(MATCH(Z43,LANGUAGE!$C$138:$G$138,0)),1,IF(ISNUMBER(MATCH(Z43,LANGUAGE!$C$139:$G$139,0)),2,IF(ISNUMBER(MATCH(Z43,LANGUAGE!$C$140:$G$140,0)),3,0))))</f>
        <v>0</v>
      </c>
      <c r="BA43" s="3">
        <f>IF(ISNUMBER(MATCH(AJ43,LANGUAGE!$C$141:$G$141,0)),3,IF(ISNUMBER(MATCH(AJ43,LANGUAGE!$C$142:$G$142,0)),1,0))</f>
        <v>0</v>
      </c>
      <c r="BB43" s="3">
        <f t="shared" si="0"/>
        <v>0</v>
      </c>
      <c r="BD43" s="3" t="str">
        <f>IF(ISNUMBER(MATCH($AJ43,LANGUAGE!$C$141:$G$141,0)),$B43,"")</f>
        <v/>
      </c>
      <c r="BE43" s="3" t="str">
        <f>IF(ISNUMBER(MATCH($AJ43,LANGUAGE!$C$142:$G$142,0)),$B43,"")</f>
        <v/>
      </c>
    </row>
    <row r="44" spans="2:57" s="3" customFormat="1" ht="17.7" customHeight="1" thickBot="1" x14ac:dyDescent="0.3">
      <c r="B44" s="261"/>
      <c r="C44" s="261"/>
      <c r="D44" s="261"/>
      <c r="E44" s="261"/>
      <c r="F44" s="261"/>
      <c r="G44" s="261"/>
      <c r="H44" s="261"/>
      <c r="I44" s="261"/>
      <c r="J44" s="261"/>
      <c r="K44" s="261"/>
      <c r="L44" s="261"/>
      <c r="M44" s="262"/>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261"/>
    </row>
    <row r="45" spans="2:57" s="3" customFormat="1" ht="17.7" customHeight="1" x14ac:dyDescent="0.25">
      <c r="B45" s="367" t="str">
        <f>HLOOKUP(LANGUAGE!$B$2,LANGUAGE!$C$14:$G$1500,114)</f>
        <v>Remarks</v>
      </c>
      <c r="C45" s="360"/>
      <c r="D45" s="360"/>
      <c r="E45" s="360"/>
      <c r="F45" s="360"/>
      <c r="G45" s="360"/>
      <c r="H45" s="360"/>
      <c r="I45" s="360"/>
      <c r="J45" s="360"/>
      <c r="K45" s="360"/>
      <c r="L45" s="360"/>
      <c r="M45" s="361"/>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2"/>
    </row>
    <row r="46" spans="2:57" s="3" customFormat="1" ht="17.850000000000001" customHeight="1" x14ac:dyDescent="0.25">
      <c r="B46" s="1748"/>
      <c r="C46" s="1749"/>
      <c r="D46" s="1749"/>
      <c r="E46" s="1749"/>
      <c r="F46" s="1749"/>
      <c r="G46" s="1749"/>
      <c r="H46" s="1749"/>
      <c r="I46" s="1749"/>
      <c r="J46" s="1749"/>
      <c r="K46" s="1749"/>
      <c r="L46" s="1749"/>
      <c r="M46" s="1749"/>
      <c r="N46" s="1749"/>
      <c r="O46" s="1749"/>
      <c r="P46" s="1749"/>
      <c r="Q46" s="1749"/>
      <c r="R46" s="1749"/>
      <c r="S46" s="1749"/>
      <c r="T46" s="1749"/>
      <c r="U46" s="1749"/>
      <c r="V46" s="1749"/>
      <c r="W46" s="1749"/>
      <c r="X46" s="1749"/>
      <c r="Y46" s="1749"/>
      <c r="Z46" s="1749"/>
      <c r="AA46" s="1749"/>
      <c r="AB46" s="1749"/>
      <c r="AC46" s="1749"/>
      <c r="AD46" s="1749"/>
      <c r="AE46" s="1749"/>
      <c r="AF46" s="1749"/>
      <c r="AG46" s="1749"/>
      <c r="AH46" s="1749"/>
      <c r="AI46" s="1749"/>
      <c r="AJ46" s="1749"/>
      <c r="AK46" s="1750"/>
    </row>
    <row r="47" spans="2:57" s="3" customFormat="1" ht="17.850000000000001" customHeight="1" x14ac:dyDescent="0.25">
      <c r="B47" s="1751"/>
      <c r="C47" s="1749"/>
      <c r="D47" s="1749"/>
      <c r="E47" s="1749"/>
      <c r="F47" s="1749"/>
      <c r="G47" s="1749"/>
      <c r="H47" s="1749"/>
      <c r="I47" s="1749"/>
      <c r="J47" s="1749"/>
      <c r="K47" s="1749"/>
      <c r="L47" s="1749"/>
      <c r="M47" s="1749"/>
      <c r="N47" s="1749"/>
      <c r="O47" s="1749"/>
      <c r="P47" s="1749"/>
      <c r="Q47" s="1749"/>
      <c r="R47" s="1749"/>
      <c r="S47" s="1749"/>
      <c r="T47" s="1749"/>
      <c r="U47" s="1749"/>
      <c r="V47" s="1749"/>
      <c r="W47" s="1749"/>
      <c r="X47" s="1749"/>
      <c r="Y47" s="1749"/>
      <c r="Z47" s="1749"/>
      <c r="AA47" s="1749"/>
      <c r="AB47" s="1749"/>
      <c r="AC47" s="1749"/>
      <c r="AD47" s="1749"/>
      <c r="AE47" s="1749"/>
      <c r="AF47" s="1749"/>
      <c r="AG47" s="1749"/>
      <c r="AH47" s="1749"/>
      <c r="AI47" s="1749"/>
      <c r="AJ47" s="1749"/>
      <c r="AK47" s="1750"/>
    </row>
    <row r="48" spans="2:57" s="3" customFormat="1" ht="17.850000000000001" customHeight="1" thickBot="1" x14ac:dyDescent="0.3">
      <c r="B48" s="1752"/>
      <c r="C48" s="1753"/>
      <c r="D48" s="1753"/>
      <c r="E48" s="1753"/>
      <c r="F48" s="1753"/>
      <c r="G48" s="1753"/>
      <c r="H48" s="1753"/>
      <c r="I48" s="1753"/>
      <c r="J48" s="1753"/>
      <c r="K48" s="1753"/>
      <c r="L48" s="1753"/>
      <c r="M48" s="1753"/>
      <c r="N48" s="1753"/>
      <c r="O48" s="1753"/>
      <c r="P48" s="1753"/>
      <c r="Q48" s="1753"/>
      <c r="R48" s="1753"/>
      <c r="S48" s="1753"/>
      <c r="T48" s="1753"/>
      <c r="U48" s="1753"/>
      <c r="V48" s="1753"/>
      <c r="W48" s="1753"/>
      <c r="X48" s="1753"/>
      <c r="Y48" s="1753"/>
      <c r="Z48" s="1753"/>
      <c r="AA48" s="1753"/>
      <c r="AB48" s="1753"/>
      <c r="AC48" s="1753"/>
      <c r="AD48" s="1753"/>
      <c r="AE48" s="1753"/>
      <c r="AF48" s="1753"/>
      <c r="AG48" s="1753"/>
      <c r="AH48" s="1753"/>
      <c r="AI48" s="1753"/>
      <c r="AJ48" s="1753"/>
      <c r="AK48" s="1754"/>
    </row>
    <row r="49" spans="2:37" s="3" customFormat="1" ht="17.850000000000001" customHeight="1" x14ac:dyDescent="0.25">
      <c r="B49" s="261"/>
      <c r="C49" s="261"/>
      <c r="D49" s="261"/>
      <c r="E49" s="261"/>
      <c r="F49" s="261"/>
      <c r="G49" s="261"/>
      <c r="H49" s="261"/>
      <c r="I49" s="261"/>
      <c r="J49" s="261"/>
      <c r="K49" s="261"/>
      <c r="L49" s="261"/>
      <c r="M49" s="262"/>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261"/>
    </row>
    <row r="50" spans="2:37" s="3" customFormat="1" ht="17.850000000000001" customHeight="1" thickBot="1" x14ac:dyDescent="0.3">
      <c r="B50" s="261"/>
      <c r="C50" s="261"/>
      <c r="D50" s="261"/>
      <c r="E50" s="261"/>
      <c r="F50" s="261"/>
      <c r="G50" s="261"/>
      <c r="H50" s="261"/>
      <c r="I50" s="261"/>
      <c r="J50" s="261"/>
      <c r="K50" s="261"/>
      <c r="L50" s="261"/>
      <c r="M50" s="262"/>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row>
    <row r="51" spans="2:37" s="3" customFormat="1" ht="17.850000000000001" customHeight="1" x14ac:dyDescent="0.25">
      <c r="B51" s="1266" t="str">
        <f>HLOOKUP(LANGUAGE!$B$2,LANGUAGE!$C$14:$G$1500,116)</f>
        <v>Department</v>
      </c>
      <c r="C51" s="1267"/>
      <c r="D51" s="1267"/>
      <c r="E51" s="1267"/>
      <c r="F51" s="1267"/>
      <c r="G51" s="1267" t="str">
        <f>HLOOKUP(LANGUAGE!$B$2,LANGUAGE!$C$14:$G$1500,117)</f>
        <v>Participants Supplier</v>
      </c>
      <c r="H51" s="1267"/>
      <c r="I51" s="1267"/>
      <c r="J51" s="1267"/>
      <c r="K51" s="1267"/>
      <c r="L51" s="1267"/>
      <c r="M51" s="1267"/>
      <c r="N51" s="1267"/>
      <c r="O51" s="1267" t="str">
        <f>HLOOKUP(LANGUAGE!$B$2,LANGUAGE!$C$14:$G$1500,21)</f>
        <v>Date</v>
      </c>
      <c r="P51" s="1267"/>
      <c r="Q51" s="1267"/>
      <c r="R51" s="1268"/>
      <c r="U51" s="1266" t="str">
        <f>HLOOKUP(LANGUAGE!$B$2,LANGUAGE!$C$14:$G$1500,116)</f>
        <v>Department</v>
      </c>
      <c r="V51" s="1267"/>
      <c r="W51" s="1267"/>
      <c r="X51" s="1267"/>
      <c r="Y51" s="1267"/>
      <c r="Z51" s="1267" t="str">
        <f>HLOOKUP(LANGUAGE!$B$2,LANGUAGE!$C$14:$G$1500,118)</f>
        <v>Participants Brose</v>
      </c>
      <c r="AA51" s="1267"/>
      <c r="AB51" s="1267"/>
      <c r="AC51" s="1267"/>
      <c r="AD51" s="1267"/>
      <c r="AE51" s="1267"/>
      <c r="AF51" s="1267"/>
      <c r="AG51" s="1267"/>
      <c r="AH51" s="1267" t="str">
        <f>HLOOKUP(LANGUAGE!$B$2,LANGUAGE!$C$14:$G$1500,21)</f>
        <v>Date</v>
      </c>
      <c r="AI51" s="1267"/>
      <c r="AJ51" s="1267"/>
      <c r="AK51" s="1268"/>
    </row>
    <row r="52" spans="2:37" s="3" customFormat="1" ht="17.7" customHeight="1" x14ac:dyDescent="0.25">
      <c r="B52" s="1755"/>
      <c r="C52" s="1756"/>
      <c r="D52" s="1756"/>
      <c r="E52" s="1756"/>
      <c r="F52" s="1756"/>
      <c r="G52" s="1759"/>
      <c r="H52" s="1756"/>
      <c r="I52" s="1756"/>
      <c r="J52" s="1756"/>
      <c r="K52" s="1756"/>
      <c r="L52" s="1756"/>
      <c r="M52" s="1756"/>
      <c r="N52" s="1760"/>
      <c r="O52" s="1763" t="str">
        <f>IF($AG$6="","",$AG$6)</f>
        <v/>
      </c>
      <c r="P52" s="1764"/>
      <c r="Q52" s="1764"/>
      <c r="R52" s="1765"/>
      <c r="S52" s="261"/>
      <c r="T52" s="261"/>
      <c r="U52" s="1755"/>
      <c r="V52" s="1756"/>
      <c r="W52" s="1756"/>
      <c r="X52" s="1756"/>
      <c r="Y52" s="1756"/>
      <c r="Z52" s="1759"/>
      <c r="AA52" s="1756"/>
      <c r="AB52" s="1756"/>
      <c r="AC52" s="1756"/>
      <c r="AD52" s="1756"/>
      <c r="AE52" s="1756"/>
      <c r="AF52" s="1756"/>
      <c r="AG52" s="1760"/>
      <c r="AH52" s="1763" t="str">
        <f>IF($AG$6="","",$AG$6)</f>
        <v/>
      </c>
      <c r="AI52" s="1764"/>
      <c r="AJ52" s="1764"/>
      <c r="AK52" s="1765"/>
    </row>
    <row r="53" spans="2:37" s="3" customFormat="1" ht="17.7" customHeight="1" x14ac:dyDescent="0.25">
      <c r="B53" s="1757"/>
      <c r="C53" s="1758"/>
      <c r="D53" s="1758"/>
      <c r="E53" s="1758"/>
      <c r="F53" s="1758"/>
      <c r="G53" s="1761"/>
      <c r="H53" s="1758"/>
      <c r="I53" s="1758"/>
      <c r="J53" s="1758"/>
      <c r="K53" s="1758"/>
      <c r="L53" s="1758"/>
      <c r="M53" s="1758"/>
      <c r="N53" s="1762"/>
      <c r="O53" s="1763"/>
      <c r="P53" s="1764"/>
      <c r="Q53" s="1764"/>
      <c r="R53" s="1765"/>
      <c r="S53" s="261"/>
      <c r="T53" s="261"/>
      <c r="U53" s="1757"/>
      <c r="V53" s="1758"/>
      <c r="W53" s="1758"/>
      <c r="X53" s="1758"/>
      <c r="Y53" s="1758"/>
      <c r="Z53" s="1761"/>
      <c r="AA53" s="1758"/>
      <c r="AB53" s="1758"/>
      <c r="AC53" s="1758"/>
      <c r="AD53" s="1758"/>
      <c r="AE53" s="1758"/>
      <c r="AF53" s="1758"/>
      <c r="AG53" s="1762"/>
      <c r="AH53" s="1763"/>
      <c r="AI53" s="1764"/>
      <c r="AJ53" s="1764"/>
      <c r="AK53" s="1765"/>
    </row>
    <row r="54" spans="2:37" s="3" customFormat="1" ht="17.7" customHeight="1" x14ac:dyDescent="0.25">
      <c r="B54" s="1740"/>
      <c r="C54" s="1741"/>
      <c r="D54" s="1741"/>
      <c r="E54" s="1741"/>
      <c r="F54" s="1741"/>
      <c r="G54" s="1744"/>
      <c r="H54" s="1741"/>
      <c r="I54" s="1741"/>
      <c r="J54" s="1741"/>
      <c r="K54" s="1741"/>
      <c r="L54" s="1741"/>
      <c r="M54" s="1741"/>
      <c r="N54" s="1745"/>
      <c r="O54" s="1763"/>
      <c r="P54" s="1764"/>
      <c r="Q54" s="1764"/>
      <c r="R54" s="1765"/>
      <c r="S54" s="261"/>
      <c r="T54" s="261"/>
      <c r="U54" s="1740"/>
      <c r="V54" s="1741"/>
      <c r="W54" s="1741"/>
      <c r="X54" s="1741"/>
      <c r="Y54" s="1741"/>
      <c r="Z54" s="1744"/>
      <c r="AA54" s="1741"/>
      <c r="AB54" s="1741"/>
      <c r="AC54" s="1741"/>
      <c r="AD54" s="1741"/>
      <c r="AE54" s="1741"/>
      <c r="AF54" s="1741"/>
      <c r="AG54" s="1745"/>
      <c r="AH54" s="1763"/>
      <c r="AI54" s="1764"/>
      <c r="AJ54" s="1764"/>
      <c r="AK54" s="1765"/>
    </row>
    <row r="55" spans="2:37" s="3" customFormat="1" ht="17.7" customHeight="1" x14ac:dyDescent="0.25">
      <c r="B55" s="1757"/>
      <c r="C55" s="1758"/>
      <c r="D55" s="1758"/>
      <c r="E55" s="1758"/>
      <c r="F55" s="1758"/>
      <c r="G55" s="1761"/>
      <c r="H55" s="1758"/>
      <c r="I55" s="1758"/>
      <c r="J55" s="1758"/>
      <c r="K55" s="1758"/>
      <c r="L55" s="1758"/>
      <c r="M55" s="1758"/>
      <c r="N55" s="1762"/>
      <c r="O55" s="1763"/>
      <c r="P55" s="1764"/>
      <c r="Q55" s="1764"/>
      <c r="R55" s="1765"/>
      <c r="S55" s="261"/>
      <c r="T55" s="261"/>
      <c r="U55" s="1757"/>
      <c r="V55" s="1758"/>
      <c r="W55" s="1758"/>
      <c r="X55" s="1758"/>
      <c r="Y55" s="1758"/>
      <c r="Z55" s="1761"/>
      <c r="AA55" s="1758"/>
      <c r="AB55" s="1758"/>
      <c r="AC55" s="1758"/>
      <c r="AD55" s="1758"/>
      <c r="AE55" s="1758"/>
      <c r="AF55" s="1758"/>
      <c r="AG55" s="1762"/>
      <c r="AH55" s="1763"/>
      <c r="AI55" s="1764"/>
      <c r="AJ55" s="1764"/>
      <c r="AK55" s="1765"/>
    </row>
    <row r="56" spans="2:37" s="3" customFormat="1" ht="17.7" customHeight="1" x14ac:dyDescent="0.25">
      <c r="B56" s="1740"/>
      <c r="C56" s="1741"/>
      <c r="D56" s="1741"/>
      <c r="E56" s="1741"/>
      <c r="F56" s="1741"/>
      <c r="G56" s="1744"/>
      <c r="H56" s="1741"/>
      <c r="I56" s="1741"/>
      <c r="J56" s="1741"/>
      <c r="K56" s="1741"/>
      <c r="L56" s="1741"/>
      <c r="M56" s="1741"/>
      <c r="N56" s="1745"/>
      <c r="O56" s="1763"/>
      <c r="P56" s="1764"/>
      <c r="Q56" s="1764"/>
      <c r="R56" s="1765"/>
      <c r="S56" s="261"/>
      <c r="T56" s="261"/>
      <c r="U56" s="1740"/>
      <c r="V56" s="1741"/>
      <c r="W56" s="1741"/>
      <c r="X56" s="1741"/>
      <c r="Y56" s="1741"/>
      <c r="Z56" s="1744"/>
      <c r="AA56" s="1741"/>
      <c r="AB56" s="1741"/>
      <c r="AC56" s="1741"/>
      <c r="AD56" s="1741"/>
      <c r="AE56" s="1741"/>
      <c r="AF56" s="1741"/>
      <c r="AG56" s="1745"/>
      <c r="AH56" s="1763"/>
      <c r="AI56" s="1764"/>
      <c r="AJ56" s="1764"/>
      <c r="AK56" s="1765"/>
    </row>
    <row r="57" spans="2:37" s="3" customFormat="1" ht="17.7" customHeight="1" x14ac:dyDescent="0.25">
      <c r="B57" s="1757"/>
      <c r="C57" s="1758"/>
      <c r="D57" s="1758"/>
      <c r="E57" s="1758"/>
      <c r="F57" s="1758"/>
      <c r="G57" s="1761"/>
      <c r="H57" s="1758"/>
      <c r="I57" s="1758"/>
      <c r="J57" s="1758"/>
      <c r="K57" s="1758"/>
      <c r="L57" s="1758"/>
      <c r="M57" s="1758"/>
      <c r="N57" s="1762"/>
      <c r="O57" s="1763"/>
      <c r="P57" s="1764"/>
      <c r="Q57" s="1764"/>
      <c r="R57" s="1765"/>
      <c r="S57" s="261"/>
      <c r="T57" s="261"/>
      <c r="U57" s="1757"/>
      <c r="V57" s="1758"/>
      <c r="W57" s="1758"/>
      <c r="X57" s="1758"/>
      <c r="Y57" s="1758"/>
      <c r="Z57" s="1761"/>
      <c r="AA57" s="1758"/>
      <c r="AB57" s="1758"/>
      <c r="AC57" s="1758"/>
      <c r="AD57" s="1758"/>
      <c r="AE57" s="1758"/>
      <c r="AF57" s="1758"/>
      <c r="AG57" s="1762"/>
      <c r="AH57" s="1763"/>
      <c r="AI57" s="1764"/>
      <c r="AJ57" s="1764"/>
      <c r="AK57" s="1765"/>
    </row>
    <row r="58" spans="2:37" s="3" customFormat="1" ht="17.7" customHeight="1" x14ac:dyDescent="0.25">
      <c r="B58" s="1740"/>
      <c r="C58" s="1741"/>
      <c r="D58" s="1741"/>
      <c r="E58" s="1741"/>
      <c r="F58" s="1741"/>
      <c r="G58" s="1744"/>
      <c r="H58" s="1741"/>
      <c r="I58" s="1741"/>
      <c r="J58" s="1741"/>
      <c r="K58" s="1741"/>
      <c r="L58" s="1741"/>
      <c r="M58" s="1741"/>
      <c r="N58" s="1745"/>
      <c r="O58" s="1763"/>
      <c r="P58" s="1764"/>
      <c r="Q58" s="1764"/>
      <c r="R58" s="1765"/>
      <c r="S58" s="261"/>
      <c r="T58" s="261"/>
      <c r="U58" s="1740"/>
      <c r="V58" s="1741"/>
      <c r="W58" s="1741"/>
      <c r="X58" s="1741"/>
      <c r="Y58" s="1741"/>
      <c r="Z58" s="1744"/>
      <c r="AA58" s="1741"/>
      <c r="AB58" s="1741"/>
      <c r="AC58" s="1741"/>
      <c r="AD58" s="1741"/>
      <c r="AE58" s="1741"/>
      <c r="AF58" s="1741"/>
      <c r="AG58" s="1745"/>
      <c r="AH58" s="1763"/>
      <c r="AI58" s="1764"/>
      <c r="AJ58" s="1764"/>
      <c r="AK58" s="1765"/>
    </row>
    <row r="59" spans="2:37" s="3" customFormat="1" ht="17.7" customHeight="1" thickBot="1" x14ac:dyDescent="0.3">
      <c r="B59" s="1742"/>
      <c r="C59" s="1743"/>
      <c r="D59" s="1743"/>
      <c r="E59" s="1743"/>
      <c r="F59" s="1743"/>
      <c r="G59" s="1746"/>
      <c r="H59" s="1743"/>
      <c r="I59" s="1743"/>
      <c r="J59" s="1743"/>
      <c r="K59" s="1743"/>
      <c r="L59" s="1743"/>
      <c r="M59" s="1743"/>
      <c r="N59" s="1747"/>
      <c r="O59" s="1766"/>
      <c r="P59" s="1767"/>
      <c r="Q59" s="1767"/>
      <c r="R59" s="1768"/>
      <c r="S59" s="261"/>
      <c r="T59" s="261"/>
      <c r="U59" s="1742"/>
      <c r="V59" s="1743"/>
      <c r="W59" s="1743"/>
      <c r="X59" s="1743"/>
      <c r="Y59" s="1743"/>
      <c r="Z59" s="1746"/>
      <c r="AA59" s="1743"/>
      <c r="AB59" s="1743"/>
      <c r="AC59" s="1743"/>
      <c r="AD59" s="1743"/>
      <c r="AE59" s="1743"/>
      <c r="AF59" s="1743"/>
      <c r="AG59" s="1747"/>
      <c r="AH59" s="1766"/>
      <c r="AI59" s="1767"/>
      <c r="AJ59" s="1767"/>
      <c r="AK59" s="1768"/>
    </row>
  </sheetData>
  <sheetProtection algorithmName="SHA-512" hashValue="LJw2ShIziL6DEhulin4Dl/EgZuTaIkHoFSRWoeJmC+3NPIdo1BLWhWhaWike/OKYkvKPVScetqfe4COU8uzohg==" saltValue="6eWxy+z6Tm8titx8t81srQ==" spinCount="100000" sheet="1" objects="1" scenarios="1" formatCells="0" formatRows="0"/>
  <mergeCells count="261">
    <mergeCell ref="C26:D26"/>
    <mergeCell ref="E26:L26"/>
    <mergeCell ref="M26:T26"/>
    <mergeCell ref="U26:Y26"/>
    <mergeCell ref="Z26:AA26"/>
    <mergeCell ref="AB26:AD26"/>
    <mergeCell ref="AE26:AG26"/>
    <mergeCell ref="AH26:AI26"/>
    <mergeCell ref="AJ26:AK26"/>
    <mergeCell ref="B7:F7"/>
    <mergeCell ref="B5:O5"/>
    <mergeCell ref="M13:O13"/>
    <mergeCell ref="F14:H14"/>
    <mergeCell ref="I14:L14"/>
    <mergeCell ref="M14:O14"/>
    <mergeCell ref="B9:O9"/>
    <mergeCell ref="M10:O10"/>
    <mergeCell ref="I10:L10"/>
    <mergeCell ref="F10:H10"/>
    <mergeCell ref="M11:O11"/>
    <mergeCell ref="I11:L11"/>
    <mergeCell ref="F11:H11"/>
    <mergeCell ref="F12:H12"/>
    <mergeCell ref="I12:L12"/>
    <mergeCell ref="M12:O12"/>
    <mergeCell ref="O52:R59"/>
    <mergeCell ref="U52:Y53"/>
    <mergeCell ref="Z52:AG53"/>
    <mergeCell ref="AH52:AK59"/>
    <mergeCell ref="B54:F55"/>
    <mergeCell ref="G54:N55"/>
    <mergeCell ref="U54:Y55"/>
    <mergeCell ref="Z54:AG55"/>
    <mergeCell ref="B56:F57"/>
    <mergeCell ref="G56:N57"/>
    <mergeCell ref="U56:Y57"/>
    <mergeCell ref="Z56:AG57"/>
    <mergeCell ref="B58:F59"/>
    <mergeCell ref="G58:N59"/>
    <mergeCell ref="AJ37:AK37"/>
    <mergeCell ref="AE38:AG38"/>
    <mergeCell ref="AH38:AI38"/>
    <mergeCell ref="AJ38:AK38"/>
    <mergeCell ref="C37:D37"/>
    <mergeCell ref="E37:L37"/>
    <mergeCell ref="M37:T37"/>
    <mergeCell ref="U37:Y37"/>
    <mergeCell ref="Z37:AA37"/>
    <mergeCell ref="AB37:AD37"/>
    <mergeCell ref="AE37:AG37"/>
    <mergeCell ref="C38:D38"/>
    <mergeCell ref="E38:L38"/>
    <mergeCell ref="M38:T38"/>
    <mergeCell ref="U38:Y38"/>
    <mergeCell ref="Z38:AA38"/>
    <mergeCell ref="AB38:AD38"/>
    <mergeCell ref="C36:D36"/>
    <mergeCell ref="E36:L36"/>
    <mergeCell ref="M36:T36"/>
    <mergeCell ref="U36:Y36"/>
    <mergeCell ref="Z36:AA36"/>
    <mergeCell ref="AB36:AD36"/>
    <mergeCell ref="AE36:AG36"/>
    <mergeCell ref="AH36:AI36"/>
    <mergeCell ref="U58:Y59"/>
    <mergeCell ref="AH37:AI37"/>
    <mergeCell ref="C39:D39"/>
    <mergeCell ref="E39:L39"/>
    <mergeCell ref="C43:D43"/>
    <mergeCell ref="E43:L43"/>
    <mergeCell ref="Z58:AG59"/>
    <mergeCell ref="B46:AK48"/>
    <mergeCell ref="B51:F51"/>
    <mergeCell ref="G51:N51"/>
    <mergeCell ref="O51:R51"/>
    <mergeCell ref="U51:Y51"/>
    <mergeCell ref="Z51:AG51"/>
    <mergeCell ref="AH51:AK51"/>
    <mergeCell ref="B52:F53"/>
    <mergeCell ref="G52:N53"/>
    <mergeCell ref="AE39:AG39"/>
    <mergeCell ref="AH39:AI39"/>
    <mergeCell ref="AJ39:AK39"/>
    <mergeCell ref="C40:D40"/>
    <mergeCell ref="E40:L40"/>
    <mergeCell ref="M40:T40"/>
    <mergeCell ref="U40:Y40"/>
    <mergeCell ref="Z40:AA40"/>
    <mergeCell ref="AB40:AD40"/>
    <mergeCell ref="AE40:AG40"/>
    <mergeCell ref="M39:T39"/>
    <mergeCell ref="AJ40:AK40"/>
    <mergeCell ref="M43:T43"/>
    <mergeCell ref="U43:Y43"/>
    <mergeCell ref="Z43:AA43"/>
    <mergeCell ref="AB43:AD43"/>
    <mergeCell ref="AE43:AG43"/>
    <mergeCell ref="AH43:AI43"/>
    <mergeCell ref="AH40:AI40"/>
    <mergeCell ref="AJ43:AK43"/>
    <mergeCell ref="C41:D41"/>
    <mergeCell ref="E41:L41"/>
    <mergeCell ref="M41:T41"/>
    <mergeCell ref="U41:Y41"/>
    <mergeCell ref="Z41:AA41"/>
    <mergeCell ref="AB41:AD41"/>
    <mergeCell ref="AE41:AG41"/>
    <mergeCell ref="AH41:AI41"/>
    <mergeCell ref="AJ41:AK41"/>
    <mergeCell ref="C42:D42"/>
    <mergeCell ref="E42:L42"/>
    <mergeCell ref="M42:T42"/>
    <mergeCell ref="U42:Y42"/>
    <mergeCell ref="Z42:AA42"/>
    <mergeCell ref="AB42:AD42"/>
    <mergeCell ref="AE42:AG42"/>
    <mergeCell ref="AH42:AI42"/>
    <mergeCell ref="AJ42:AK42"/>
    <mergeCell ref="AE34:AG34"/>
    <mergeCell ref="AH34:AI34"/>
    <mergeCell ref="AJ34:AK34"/>
    <mergeCell ref="C35:D35"/>
    <mergeCell ref="E35:L35"/>
    <mergeCell ref="M35:T35"/>
    <mergeCell ref="U35:Y35"/>
    <mergeCell ref="Z35:AA35"/>
    <mergeCell ref="AB35:AD35"/>
    <mergeCell ref="AE35:AG35"/>
    <mergeCell ref="C34:D34"/>
    <mergeCell ref="E34:L34"/>
    <mergeCell ref="M34:T34"/>
    <mergeCell ref="U34:Y34"/>
    <mergeCell ref="Z34:AA34"/>
    <mergeCell ref="AB34:AD34"/>
    <mergeCell ref="AH35:AI35"/>
    <mergeCell ref="AJ35:AK35"/>
    <mergeCell ref="AJ36:AK36"/>
    <mergeCell ref="U39:Y39"/>
    <mergeCell ref="Z39:AA39"/>
    <mergeCell ref="AB39:AD39"/>
    <mergeCell ref="C33:D33"/>
    <mergeCell ref="E33:L33"/>
    <mergeCell ref="M33:T33"/>
    <mergeCell ref="U33:Y33"/>
    <mergeCell ref="Z33:AA33"/>
    <mergeCell ref="AB33:AD33"/>
    <mergeCell ref="AE33:AG33"/>
    <mergeCell ref="AH33:AI33"/>
    <mergeCell ref="AJ33:AK33"/>
    <mergeCell ref="B29:AK30"/>
    <mergeCell ref="B31:B32"/>
    <mergeCell ref="C31:D32"/>
    <mergeCell ref="E31:L32"/>
    <mergeCell ref="M31:T32"/>
    <mergeCell ref="U31:Y32"/>
    <mergeCell ref="Z31:AA32"/>
    <mergeCell ref="AB31:AD32"/>
    <mergeCell ref="AE31:AG32"/>
    <mergeCell ref="AH31:AI32"/>
    <mergeCell ref="AJ31:AK32"/>
    <mergeCell ref="C27:D27"/>
    <mergeCell ref="E27:L27"/>
    <mergeCell ref="M27:T27"/>
    <mergeCell ref="U27:Y27"/>
    <mergeCell ref="Z27:AA27"/>
    <mergeCell ref="AB27:AD27"/>
    <mergeCell ref="AE27:AG27"/>
    <mergeCell ref="AH27:AI27"/>
    <mergeCell ref="AJ27:AK27"/>
    <mergeCell ref="C25:D25"/>
    <mergeCell ref="E25:L25"/>
    <mergeCell ref="M25:T25"/>
    <mergeCell ref="U25:Y25"/>
    <mergeCell ref="Z25:AA25"/>
    <mergeCell ref="AB25:AD25"/>
    <mergeCell ref="AE25:AG25"/>
    <mergeCell ref="AH25:AI25"/>
    <mergeCell ref="AJ25:AK25"/>
    <mergeCell ref="AE23:AG23"/>
    <mergeCell ref="AH23:AI23"/>
    <mergeCell ref="AJ23:AK23"/>
    <mergeCell ref="C24:D24"/>
    <mergeCell ref="E24:L24"/>
    <mergeCell ref="M24:T24"/>
    <mergeCell ref="U24:Y24"/>
    <mergeCell ref="Z24:AA24"/>
    <mergeCell ref="AB24:AD24"/>
    <mergeCell ref="AE24:AG24"/>
    <mergeCell ref="C23:D23"/>
    <mergeCell ref="E23:L23"/>
    <mergeCell ref="M23:T23"/>
    <mergeCell ref="U23:Y23"/>
    <mergeCell ref="Z23:AA23"/>
    <mergeCell ref="AB23:AD23"/>
    <mergeCell ref="AH24:AI24"/>
    <mergeCell ref="AJ24:AK24"/>
    <mergeCell ref="C22:D22"/>
    <mergeCell ref="E22:L22"/>
    <mergeCell ref="M22:T22"/>
    <mergeCell ref="U22:Y22"/>
    <mergeCell ref="Z22:AA22"/>
    <mergeCell ref="AB22:AD22"/>
    <mergeCell ref="AE22:AG22"/>
    <mergeCell ref="AH22:AI22"/>
    <mergeCell ref="AJ22:AK22"/>
    <mergeCell ref="B18:AK19"/>
    <mergeCell ref="B20:B21"/>
    <mergeCell ref="C20:D21"/>
    <mergeCell ref="E20:L21"/>
    <mergeCell ref="M20:T21"/>
    <mergeCell ref="U20:Y21"/>
    <mergeCell ref="Z20:AA21"/>
    <mergeCell ref="AB20:AD21"/>
    <mergeCell ref="AE20:AG21"/>
    <mergeCell ref="AH20:AI21"/>
    <mergeCell ref="AJ20:AK21"/>
    <mergeCell ref="AG11:AK15"/>
    <mergeCell ref="AG9:AK10"/>
    <mergeCell ref="AG6:AK7"/>
    <mergeCell ref="AG5:AK5"/>
    <mergeCell ref="Q9:AE9"/>
    <mergeCell ref="AA15:AE15"/>
    <mergeCell ref="AA14:AE14"/>
    <mergeCell ref="AA13:AE13"/>
    <mergeCell ref="AA12:AE12"/>
    <mergeCell ref="AA11:AE11"/>
    <mergeCell ref="V15:Z15"/>
    <mergeCell ref="Q15:U15"/>
    <mergeCell ref="Q14:U14"/>
    <mergeCell ref="Q13:U13"/>
    <mergeCell ref="Q12:U12"/>
    <mergeCell ref="Q11:U11"/>
    <mergeCell ref="Q5:AE5"/>
    <mergeCell ref="V14:Z14"/>
    <mergeCell ref="V13:Z13"/>
    <mergeCell ref="V12:Z12"/>
    <mergeCell ref="V11:Z11"/>
    <mergeCell ref="P1:R1"/>
    <mergeCell ref="P2:R2"/>
    <mergeCell ref="B1:O2"/>
    <mergeCell ref="V6:AE6"/>
    <mergeCell ref="Q7:U7"/>
    <mergeCell ref="Q6:U6"/>
    <mergeCell ref="B6:F6"/>
    <mergeCell ref="B15:E15"/>
    <mergeCell ref="F15:H15"/>
    <mergeCell ref="I15:L15"/>
    <mergeCell ref="M15:O15"/>
    <mergeCell ref="B11:E11"/>
    <mergeCell ref="B12:E12"/>
    <mergeCell ref="B13:E13"/>
    <mergeCell ref="B14:E14"/>
    <mergeCell ref="B10:E10"/>
    <mergeCell ref="V7:AE7"/>
    <mergeCell ref="AA10:AE10"/>
    <mergeCell ref="V10:Z10"/>
    <mergeCell ref="Q10:U10"/>
    <mergeCell ref="G7:O7"/>
    <mergeCell ref="G6:O6"/>
    <mergeCell ref="F13:H13"/>
    <mergeCell ref="I13:L13"/>
  </mergeCells>
  <conditionalFormatting sqref="B18">
    <cfRule type="expression" dxfId="366" priority="26">
      <formula>MAX($AZ$22:$AZ$27)=0</formula>
    </cfRule>
    <cfRule type="expression" dxfId="365" priority="27">
      <formula>MAX($AZ$22:$AZ$27)=1</formula>
    </cfRule>
    <cfRule type="expression" dxfId="364" priority="28">
      <formula>MAX($AZ$22:$AZ$27)=2</formula>
    </cfRule>
    <cfRule type="expression" dxfId="363" priority="29">
      <formula>MAX($AZ$22:$AZ$27)=3</formula>
    </cfRule>
  </conditionalFormatting>
  <conditionalFormatting sqref="B29">
    <cfRule type="expression" dxfId="362" priority="22">
      <formula>MAX($AZ$33:$AZ$43)=0</formula>
    </cfRule>
    <cfRule type="expression" dxfId="361" priority="23">
      <formula>MAX($AZ$33:$AZ$43)=1</formula>
    </cfRule>
    <cfRule type="expression" dxfId="360" priority="24">
      <formula>MAX($AZ$33:$AZ$43)=2</formula>
    </cfRule>
    <cfRule type="expression" dxfId="359" priority="25">
      <formula>MAX($AZ$33:$AZ$43)=3</formula>
    </cfRule>
  </conditionalFormatting>
  <conditionalFormatting sqref="Z22:AA27">
    <cfRule type="expression" dxfId="358" priority="3">
      <formula>$AZ22=3</formula>
    </cfRule>
    <cfRule type="expression" dxfId="357" priority="4">
      <formula>$AZ22=2</formula>
    </cfRule>
    <cfRule type="expression" dxfId="356" priority="5">
      <formula>$AZ22=1</formula>
    </cfRule>
  </conditionalFormatting>
  <conditionalFormatting sqref="Z33:AA43">
    <cfRule type="expression" dxfId="355" priority="8">
      <formula>$AZ33=3</formula>
    </cfRule>
    <cfRule type="expression" dxfId="354" priority="9">
      <formula>$AZ33=2</formula>
    </cfRule>
    <cfRule type="expression" dxfId="353" priority="10">
      <formula>$AZ33=1</formula>
    </cfRule>
  </conditionalFormatting>
  <conditionalFormatting sqref="AG11">
    <cfRule type="expression" dxfId="352" priority="12">
      <formula>$BB$21=6</formula>
    </cfRule>
    <cfRule type="expression" dxfId="351" priority="13">
      <formula>$BB$21=5</formula>
    </cfRule>
    <cfRule type="expression" dxfId="350" priority="14">
      <formula>AND($BB$21&gt;0,$BB$21&lt;5)</formula>
    </cfRule>
  </conditionalFormatting>
  <conditionalFormatting sqref="AG11:AK15">
    <cfRule type="expression" dxfId="349" priority="11">
      <formula>$BB$21=10</formula>
    </cfRule>
  </conditionalFormatting>
  <conditionalFormatting sqref="AJ22:AK27">
    <cfRule type="expression" dxfId="348" priority="1">
      <formula>$BA22=3</formula>
    </cfRule>
    <cfRule type="expression" dxfId="347" priority="2">
      <formula>$BA22=1</formula>
    </cfRule>
  </conditionalFormatting>
  <conditionalFormatting sqref="AJ33:AK43">
    <cfRule type="expression" dxfId="346" priority="6">
      <formula>$BA33=3</formula>
    </cfRule>
    <cfRule type="expression" dxfId="345" priority="7">
      <formula>$BA33=1</formula>
    </cfRule>
  </conditionalFormatting>
  <dataValidations count="2">
    <dataValidation type="list" allowBlank="1" showInputMessage="1" showErrorMessage="1" sqref="Z33:AA43 Z22:AA27" xr:uid="{00000000-0002-0000-0B00-000000000000}">
      <formula1>Status_Bewertung</formula1>
    </dataValidation>
    <dataValidation type="list" allowBlank="1" showInputMessage="1" showErrorMessage="1" sqref="AJ33:AK43 AJ22:AK27" xr:uid="{00000000-0002-0000-0B00-000001000000}">
      <formula1>Status_Maßnahme</formula1>
    </dataValidation>
  </dataValidations>
  <printOptions horizontalCentered="1"/>
  <pageMargins left="0.39370078740157483" right="0.39370078740157483" top="0.9055118110236221" bottom="0.9055118110236221" header="0.23622047244094491" footer="0.23622047244094491"/>
  <pageSetup paperSize="9" scale="64" fitToHeight="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3" manualBreakCount="3">
    <brk id="25" min="1" max="36" man="1"/>
    <brk id="36" min="1" max="36" man="1"/>
    <brk id="43" min="1" max="36" man="1"/>
  </rowBreaks>
  <colBreaks count="1" manualBreakCount="1">
    <brk id="1" max="1048575" man="1"/>
  </colBreaks>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48133" r:id="rId6" name="Drop Down 5">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pageSetUpPr fitToPage="1"/>
  </sheetPr>
  <dimension ref="A1:BQ61"/>
  <sheetViews>
    <sheetView showGridLines="0" showZeros="0" zoomScaleNormal="100" zoomScaleSheetLayoutView="40" zoomScalePageLayoutView="70" workbookViewId="0">
      <selection activeCell="BU14" sqref="BU14"/>
    </sheetView>
  </sheetViews>
  <sheetFormatPr baseColWidth="10" defaultColWidth="11" defaultRowHeight="13.15" x14ac:dyDescent="0.25"/>
  <cols>
    <col min="1" max="22" width="2.3984375" customWidth="1"/>
    <col min="23" max="23" width="1.3984375" customWidth="1"/>
    <col min="24" max="45" width="2.3984375" customWidth="1"/>
    <col min="46" max="46" width="1.3984375" customWidth="1"/>
    <col min="47" max="68" width="2.3984375" customWidth="1"/>
    <col min="69" max="69" width="3.09765625" customWidth="1"/>
  </cols>
  <sheetData>
    <row r="1" spans="1:68" ht="25.55" customHeight="1" x14ac:dyDescent="0.25">
      <c r="A1" s="1815" t="s">
        <v>1852</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c r="AR1" s="1815"/>
      <c r="AS1" s="1815"/>
      <c r="AT1" s="1815"/>
      <c r="AU1" s="1815"/>
      <c r="AV1" s="1815"/>
      <c r="AW1" s="1815"/>
      <c r="AX1" s="1815"/>
      <c r="AY1" s="1815"/>
      <c r="AZ1" s="1815"/>
      <c r="BA1" s="1815"/>
      <c r="BB1" s="1815"/>
      <c r="BC1" s="1815"/>
      <c r="BD1" s="1815"/>
      <c r="BE1" s="1815"/>
      <c r="BF1" s="1815"/>
      <c r="BG1" s="1815"/>
      <c r="BH1" s="1815"/>
      <c r="BI1" s="1815"/>
      <c r="BJ1" s="1815"/>
      <c r="BK1" s="1815"/>
      <c r="BL1" s="1815"/>
      <c r="BM1" s="1815"/>
      <c r="BN1" s="1815"/>
      <c r="BO1" s="1815"/>
      <c r="BP1" s="1815"/>
    </row>
    <row r="2" spans="1:68" ht="10.199999999999999" customHeight="1" thickBot="1" x14ac:dyDescent="0.3">
      <c r="A2" s="1816"/>
      <c r="B2" s="1816"/>
      <c r="C2" s="1816"/>
      <c r="D2" s="1816"/>
      <c r="E2" s="1816"/>
      <c r="F2" s="1816"/>
      <c r="G2" s="1816"/>
      <c r="H2" s="1816"/>
      <c r="I2" s="1816"/>
      <c r="J2" s="1816"/>
      <c r="K2" s="1816"/>
      <c r="L2" s="1816"/>
      <c r="M2" s="1816"/>
      <c r="N2" s="1816"/>
      <c r="O2" s="1816"/>
      <c r="P2" s="1816"/>
      <c r="Q2" s="1816"/>
      <c r="R2" s="1816"/>
      <c r="S2" s="1816"/>
      <c r="T2" s="1816"/>
      <c r="U2" s="1816"/>
      <c r="V2" s="1816"/>
      <c r="W2" s="1816"/>
      <c r="X2" s="1816"/>
      <c r="Y2" s="1816"/>
      <c r="Z2" s="1816"/>
      <c r="AA2" s="1816"/>
      <c r="AB2" s="1816"/>
      <c r="AC2" s="1816"/>
      <c r="AD2" s="1816"/>
      <c r="AE2" s="1816"/>
      <c r="AF2" s="1816"/>
      <c r="AG2" s="1816"/>
      <c r="AH2" s="1816"/>
      <c r="AI2" s="1816"/>
      <c r="AJ2" s="1816"/>
      <c r="AK2" s="1816"/>
      <c r="AL2" s="1816"/>
      <c r="AM2" s="1816"/>
      <c r="AN2" s="1816"/>
      <c r="AO2" s="1816"/>
      <c r="AP2" s="1816"/>
      <c r="AQ2" s="1816"/>
      <c r="AR2" s="1816"/>
      <c r="AS2" s="1816"/>
      <c r="AT2" s="1816"/>
      <c r="AU2" s="1816"/>
      <c r="AV2" s="1816"/>
      <c r="AW2" s="1816"/>
      <c r="AX2" s="1816"/>
      <c r="AY2" s="1816"/>
      <c r="AZ2" s="1816"/>
      <c r="BA2" s="1816"/>
      <c r="BB2" s="1816"/>
      <c r="BC2" s="1816"/>
      <c r="BD2" s="1816"/>
      <c r="BE2" s="1816"/>
      <c r="BF2" s="1816"/>
      <c r="BG2" s="1816"/>
      <c r="BH2" s="1816"/>
      <c r="BI2" s="1816"/>
      <c r="BJ2" s="1816"/>
      <c r="BK2" s="1816"/>
      <c r="BL2" s="1816"/>
      <c r="BM2" s="1816"/>
      <c r="BN2" s="1816"/>
      <c r="BO2" s="1816"/>
      <c r="BP2" s="1816"/>
    </row>
    <row r="3" spans="1:68" ht="12.05" customHeight="1" thickBot="1" x14ac:dyDescent="0.3">
      <c r="A3" s="1817" t="s">
        <v>1853</v>
      </c>
      <c r="B3" s="1818"/>
      <c r="C3" s="1818"/>
      <c r="D3" s="1818"/>
      <c r="E3" s="1818"/>
      <c r="F3" s="1818"/>
      <c r="G3" s="1818"/>
      <c r="H3" s="1844" t="e">
        <f>Basic_Data!#REF!</f>
        <v>#REF!</v>
      </c>
      <c r="I3" s="1844"/>
      <c r="J3" s="1844"/>
      <c r="K3" s="1844"/>
      <c r="L3" s="1844"/>
      <c r="M3" s="1844"/>
      <c r="N3" s="1844"/>
      <c r="O3" s="1844"/>
      <c r="P3" s="1844"/>
      <c r="Q3" s="1844"/>
      <c r="R3" s="1844"/>
      <c r="S3" s="1844"/>
      <c r="T3" s="1844"/>
      <c r="U3" s="1844"/>
      <c r="V3" s="1845"/>
      <c r="W3" s="15"/>
      <c r="X3" s="1817" t="s">
        <v>1854</v>
      </c>
      <c r="Y3" s="1818"/>
      <c r="Z3" s="1818"/>
      <c r="AA3" s="1818"/>
      <c r="AB3" s="1818"/>
      <c r="AC3" s="1818"/>
      <c r="AD3" s="1818"/>
      <c r="AE3" s="105"/>
      <c r="AF3" s="1832" t="e">
        <f>Basic_Data!#REF!</f>
        <v>#REF!</v>
      </c>
      <c r="AG3" s="1833"/>
      <c r="AH3" s="1833"/>
      <c r="AI3" s="1833"/>
      <c r="AJ3" s="1833"/>
      <c r="AK3" s="1833"/>
      <c r="AL3" s="1833"/>
      <c r="AM3" s="1833"/>
      <c r="AN3" s="1833"/>
      <c r="AO3" s="1833"/>
      <c r="AP3" s="1833"/>
      <c r="AQ3" s="1833"/>
      <c r="AR3" s="1833"/>
      <c r="AS3" s="1834"/>
      <c r="AT3" s="15"/>
      <c r="AU3" s="1898"/>
      <c r="AV3" s="1898"/>
      <c r="AW3" s="1898"/>
      <c r="AX3" s="1898"/>
      <c r="AY3" s="1898"/>
      <c r="AZ3" s="1898"/>
      <c r="BA3" s="1898"/>
      <c r="BB3" s="1839"/>
      <c r="BC3" s="1839"/>
      <c r="BD3" s="1839"/>
      <c r="BE3" s="1839"/>
      <c r="BF3" s="1839"/>
      <c r="BG3" s="1839"/>
      <c r="BH3" s="1839"/>
      <c r="BI3" s="1839"/>
      <c r="BJ3" s="1839"/>
      <c r="BK3" s="1839"/>
      <c r="BL3" s="1839"/>
      <c r="BM3" s="1839"/>
      <c r="BN3" s="1839"/>
      <c r="BO3" s="1839"/>
      <c r="BP3" s="1839"/>
    </row>
    <row r="4" spans="1:68" ht="10.199999999999999" customHeight="1" thickBot="1" x14ac:dyDescent="0.3">
      <c r="A4" s="1819"/>
      <c r="B4" s="1819"/>
      <c r="C4" s="1819"/>
      <c r="D4" s="1819"/>
      <c r="E4" s="1819"/>
      <c r="F4" s="1819"/>
      <c r="G4" s="1819"/>
      <c r="H4" s="1819"/>
      <c r="I4" s="1819"/>
      <c r="J4" s="1819"/>
      <c r="K4" s="1819"/>
      <c r="L4" s="1819"/>
      <c r="M4" s="1819"/>
      <c r="N4" s="1819"/>
      <c r="O4" s="1819"/>
      <c r="P4" s="1819"/>
      <c r="Q4" s="1819"/>
      <c r="R4" s="1819"/>
      <c r="S4" s="1819"/>
      <c r="T4" s="1819"/>
      <c r="U4" s="1819"/>
      <c r="V4" s="1819"/>
      <c r="W4" s="1816"/>
      <c r="X4" s="1819"/>
      <c r="Y4" s="1819"/>
      <c r="Z4" s="1819"/>
      <c r="AA4" s="1819"/>
      <c r="AB4" s="1819"/>
      <c r="AC4" s="1819"/>
      <c r="AD4" s="1819"/>
      <c r="AE4" s="1819"/>
      <c r="AF4" s="1819"/>
      <c r="AG4" s="1819"/>
      <c r="AH4" s="1819"/>
      <c r="AI4" s="1819"/>
      <c r="AJ4" s="1819"/>
      <c r="AK4" s="1819"/>
      <c r="AL4" s="1819"/>
      <c r="AM4" s="1819"/>
      <c r="AN4" s="1819"/>
      <c r="AO4" s="1819"/>
      <c r="AP4" s="1819"/>
      <c r="AQ4" s="1819"/>
      <c r="AR4" s="1819"/>
      <c r="AS4" s="1819"/>
      <c r="AT4" s="1816"/>
      <c r="AU4" s="1816"/>
      <c r="AV4" s="1816"/>
      <c r="AW4" s="1816"/>
      <c r="AX4" s="1816"/>
      <c r="AY4" s="1816"/>
      <c r="AZ4" s="1816"/>
      <c r="BA4" s="1816"/>
      <c r="BB4" s="1816"/>
      <c r="BC4" s="1816"/>
      <c r="BD4" s="1816"/>
      <c r="BE4" s="1816"/>
      <c r="BF4" s="1816"/>
      <c r="BG4" s="1816"/>
      <c r="BH4" s="1816"/>
      <c r="BI4" s="1816"/>
      <c r="BJ4" s="1816"/>
      <c r="BK4" s="1816"/>
      <c r="BL4" s="1816"/>
      <c r="BM4" s="1816"/>
      <c r="BN4" s="1816"/>
      <c r="BO4" s="1816"/>
      <c r="BP4" s="1816"/>
    </row>
    <row r="5" spans="1:68" ht="12.05" customHeight="1" x14ac:dyDescent="0.25">
      <c r="A5" s="1820" t="s">
        <v>1855</v>
      </c>
      <c r="B5" s="1821"/>
      <c r="C5" s="1821"/>
      <c r="D5" s="1821"/>
      <c r="E5" s="1821"/>
      <c r="F5" s="1821"/>
      <c r="G5" s="1822"/>
      <c r="H5" s="1835">
        <f>Basic_Data!R6</f>
        <v>0</v>
      </c>
      <c r="I5" s="1836"/>
      <c r="J5" s="1836"/>
      <c r="K5" s="1836"/>
      <c r="L5" s="1836"/>
      <c r="M5" s="1836"/>
      <c r="N5" s="1836"/>
      <c r="O5" s="1836"/>
      <c r="P5" s="1836"/>
      <c r="Q5" s="1836"/>
      <c r="R5" s="1836"/>
      <c r="S5" s="1836"/>
      <c r="T5" s="1836"/>
      <c r="U5" s="1836"/>
      <c r="V5" s="1837"/>
      <c r="X5" s="1846" t="s">
        <v>1856</v>
      </c>
      <c r="Y5" s="1847"/>
      <c r="Z5" s="1847"/>
      <c r="AA5" s="1847"/>
      <c r="AB5" s="1847"/>
      <c r="AC5" s="1847"/>
      <c r="AD5" s="1847"/>
      <c r="AE5" s="1848"/>
      <c r="AF5" s="1829">
        <f>Basic_Data!R8</f>
        <v>0</v>
      </c>
      <c r="AG5" s="1830"/>
      <c r="AH5" s="1830"/>
      <c r="AI5" s="1830"/>
      <c r="AJ5" s="1830"/>
      <c r="AK5" s="1830"/>
      <c r="AL5" s="1830"/>
      <c r="AM5" s="1830"/>
      <c r="AN5" s="1830"/>
      <c r="AO5" s="1830"/>
      <c r="AP5" s="1830"/>
      <c r="AQ5" s="1830"/>
      <c r="AR5" s="1830"/>
      <c r="AS5" s="1831"/>
      <c r="AU5" s="1820" t="s">
        <v>1857</v>
      </c>
      <c r="AV5" s="1821"/>
      <c r="AW5" s="1821"/>
      <c r="AX5" s="1821"/>
      <c r="AY5" s="1821"/>
      <c r="AZ5" s="1821"/>
      <c r="BA5" s="1822"/>
      <c r="BB5" s="1835">
        <f>Basic_Data!R7</f>
        <v>0</v>
      </c>
      <c r="BC5" s="1836"/>
      <c r="BD5" s="1836"/>
      <c r="BE5" s="1836"/>
      <c r="BF5" s="1836"/>
      <c r="BG5" s="1836"/>
      <c r="BH5" s="1836"/>
      <c r="BI5" s="1836"/>
      <c r="BJ5" s="1836"/>
      <c r="BK5" s="1836"/>
      <c r="BL5" s="1836"/>
      <c r="BM5" s="1836"/>
      <c r="BN5" s="1836"/>
      <c r="BO5" s="1836"/>
      <c r="BP5" s="1837"/>
    </row>
    <row r="6" spans="1:68" ht="12.05" customHeight="1" x14ac:dyDescent="0.25">
      <c r="A6" s="1823"/>
      <c r="B6" s="1824"/>
      <c r="C6" s="1824"/>
      <c r="D6" s="1824"/>
      <c r="E6" s="1824"/>
      <c r="F6" s="1824"/>
      <c r="G6" s="1825"/>
      <c r="H6" s="1838"/>
      <c r="I6" s="1839"/>
      <c r="J6" s="1839"/>
      <c r="K6" s="1839"/>
      <c r="L6" s="1839"/>
      <c r="M6" s="1839"/>
      <c r="N6" s="1839"/>
      <c r="O6" s="1839"/>
      <c r="P6" s="1839"/>
      <c r="Q6" s="1839"/>
      <c r="R6" s="1839"/>
      <c r="S6" s="1839"/>
      <c r="T6" s="1839"/>
      <c r="U6" s="1839"/>
      <c r="V6" s="1840"/>
      <c r="X6" s="1849"/>
      <c r="Y6" s="1850"/>
      <c r="Z6" s="1850"/>
      <c r="AA6" s="1850"/>
      <c r="AB6" s="1850"/>
      <c r="AC6" s="1850"/>
      <c r="AD6" s="1850"/>
      <c r="AE6" s="1851"/>
      <c r="AF6" s="1855" t="e">
        <f>Basic_Data!#REF!</f>
        <v>#REF!</v>
      </c>
      <c r="AG6" s="1856"/>
      <c r="AH6" s="1856"/>
      <c r="AI6" s="1856"/>
      <c r="AJ6" s="1856"/>
      <c r="AK6" s="1856"/>
      <c r="AL6" s="1856"/>
      <c r="AM6" s="1856"/>
      <c r="AN6" s="1856"/>
      <c r="AO6" s="1856"/>
      <c r="AP6" s="1856"/>
      <c r="AQ6" s="1856"/>
      <c r="AR6" s="1856"/>
      <c r="AS6" s="1857"/>
      <c r="AU6" s="1823"/>
      <c r="AV6" s="1824"/>
      <c r="AW6" s="1824"/>
      <c r="AX6" s="1824"/>
      <c r="AY6" s="1824"/>
      <c r="AZ6" s="1824"/>
      <c r="BA6" s="1825"/>
      <c r="BB6" s="1838"/>
      <c r="BC6" s="1839"/>
      <c r="BD6" s="1839"/>
      <c r="BE6" s="1839"/>
      <c r="BF6" s="1839"/>
      <c r="BG6" s="1839"/>
      <c r="BH6" s="1839"/>
      <c r="BI6" s="1839"/>
      <c r="BJ6" s="1839"/>
      <c r="BK6" s="1839"/>
      <c r="BL6" s="1839"/>
      <c r="BM6" s="1839"/>
      <c r="BN6" s="1839"/>
      <c r="BO6" s="1839"/>
      <c r="BP6" s="1840"/>
    </row>
    <row r="7" spans="1:68" ht="12.05" customHeight="1" thickBot="1" x14ac:dyDescent="0.3">
      <c r="A7" s="1826"/>
      <c r="B7" s="1827"/>
      <c r="C7" s="1827"/>
      <c r="D7" s="1827"/>
      <c r="E7" s="1827"/>
      <c r="F7" s="1827"/>
      <c r="G7" s="1828"/>
      <c r="H7" s="1841"/>
      <c r="I7" s="1842"/>
      <c r="J7" s="1842"/>
      <c r="K7" s="1842"/>
      <c r="L7" s="1842"/>
      <c r="M7" s="1842"/>
      <c r="N7" s="1842"/>
      <c r="O7" s="1842"/>
      <c r="P7" s="1842"/>
      <c r="Q7" s="1842"/>
      <c r="R7" s="1842"/>
      <c r="S7" s="1842"/>
      <c r="T7" s="1842"/>
      <c r="U7" s="1842"/>
      <c r="V7" s="1843"/>
      <c r="X7" s="1852"/>
      <c r="Y7" s="1853"/>
      <c r="Z7" s="1853"/>
      <c r="AA7" s="1853"/>
      <c r="AB7" s="1853"/>
      <c r="AC7" s="1853"/>
      <c r="AD7" s="1853"/>
      <c r="AE7" s="1854"/>
      <c r="AF7" s="1858">
        <f>Basic_Data!R9</f>
        <v>0</v>
      </c>
      <c r="AG7" s="1859"/>
      <c r="AH7" s="1859"/>
      <c r="AI7" s="1859"/>
      <c r="AJ7" s="1859"/>
      <c r="AK7" s="1859"/>
      <c r="AL7" s="1859"/>
      <c r="AM7" s="1859"/>
      <c r="AN7" s="1859"/>
      <c r="AO7" s="1859"/>
      <c r="AP7" s="1859"/>
      <c r="AQ7" s="1859"/>
      <c r="AR7" s="1859"/>
      <c r="AS7" s="1860"/>
      <c r="AU7" s="1826"/>
      <c r="AV7" s="1827"/>
      <c r="AW7" s="1827"/>
      <c r="AX7" s="1827"/>
      <c r="AY7" s="1827"/>
      <c r="AZ7" s="1827"/>
      <c r="BA7" s="1828"/>
      <c r="BB7" s="1841"/>
      <c r="BC7" s="1842"/>
      <c r="BD7" s="1842"/>
      <c r="BE7" s="1842"/>
      <c r="BF7" s="1842"/>
      <c r="BG7" s="1842"/>
      <c r="BH7" s="1842"/>
      <c r="BI7" s="1842"/>
      <c r="BJ7" s="1842"/>
      <c r="BK7" s="1842"/>
      <c r="BL7" s="1842"/>
      <c r="BM7" s="1842"/>
      <c r="BN7" s="1842"/>
      <c r="BO7" s="1842"/>
      <c r="BP7" s="1843"/>
    </row>
    <row r="8" spans="1:68" ht="10.199999999999999" customHeight="1" thickBot="1" x14ac:dyDescent="0.3">
      <c r="A8" s="2"/>
      <c r="B8" s="2"/>
      <c r="C8" s="2"/>
      <c r="D8" s="2"/>
      <c r="E8" s="2"/>
      <c r="F8" s="2"/>
      <c r="G8" s="2"/>
      <c r="H8" s="2"/>
      <c r="I8" s="2"/>
      <c r="J8" s="2"/>
      <c r="K8" s="2"/>
      <c r="L8" s="2"/>
      <c r="M8" s="2"/>
      <c r="N8" s="2"/>
      <c r="O8" s="2"/>
      <c r="P8" s="2"/>
      <c r="Q8" s="2"/>
      <c r="R8" s="2"/>
      <c r="S8" s="2"/>
      <c r="T8" s="2"/>
      <c r="U8" s="2"/>
      <c r="V8" s="2"/>
      <c r="X8" s="2"/>
      <c r="Y8" s="2"/>
      <c r="Z8" s="2"/>
      <c r="AA8" s="2"/>
      <c r="AB8" s="2"/>
      <c r="AC8" s="2"/>
      <c r="AD8" s="2"/>
      <c r="AE8" s="2"/>
      <c r="AF8" s="2"/>
      <c r="AG8" s="2"/>
      <c r="AH8" s="2"/>
      <c r="AI8" s="2"/>
      <c r="AJ8" s="2"/>
      <c r="AK8" s="2"/>
      <c r="AL8" s="2"/>
      <c r="AM8" s="2"/>
      <c r="AN8" s="2"/>
      <c r="AO8" s="2"/>
      <c r="AP8" s="2"/>
      <c r="AQ8" s="2"/>
      <c r="AR8" s="2"/>
      <c r="AS8" s="2"/>
      <c r="AU8" s="2"/>
      <c r="AV8" s="2"/>
      <c r="AW8" s="2"/>
      <c r="AX8" s="2"/>
      <c r="AY8" s="2"/>
      <c r="AZ8" s="2"/>
      <c r="BA8" s="2"/>
      <c r="BB8" s="2"/>
      <c r="BC8" s="2"/>
      <c r="BD8" s="2"/>
      <c r="BE8" s="2"/>
      <c r="BF8" s="2"/>
      <c r="BG8" s="2"/>
      <c r="BH8" s="2"/>
      <c r="BI8" s="2"/>
      <c r="BJ8" s="2"/>
      <c r="BK8" s="2"/>
      <c r="BL8" s="2"/>
      <c r="BM8" s="2"/>
      <c r="BN8" s="2"/>
      <c r="BO8" s="2"/>
      <c r="BP8" s="2"/>
    </row>
    <row r="9" spans="1:68" ht="13.8" thickBot="1" x14ac:dyDescent="0.3">
      <c r="A9" s="1806" t="s">
        <v>1858</v>
      </c>
      <c r="B9" s="1807"/>
      <c r="C9" s="1807"/>
      <c r="D9" s="1807"/>
      <c r="E9" s="1807"/>
      <c r="F9" s="1807"/>
      <c r="G9" s="1807"/>
      <c r="H9" s="1807"/>
      <c r="I9" s="1807"/>
      <c r="J9" s="1807"/>
      <c r="K9" s="1807"/>
      <c r="L9" s="1807"/>
      <c r="M9" s="1807"/>
      <c r="N9" s="1807"/>
      <c r="O9" s="1807"/>
      <c r="P9" s="1807"/>
      <c r="Q9" s="1807"/>
      <c r="R9" s="1807"/>
      <c r="S9" s="1807"/>
      <c r="T9" s="1807"/>
      <c r="U9" s="1807"/>
      <c r="V9" s="1808"/>
      <c r="W9" s="1"/>
      <c r="X9" s="1806" t="s">
        <v>1859</v>
      </c>
      <c r="Y9" s="1807"/>
      <c r="Z9" s="1807"/>
      <c r="AA9" s="1807"/>
      <c r="AB9" s="1807"/>
      <c r="AC9" s="1807"/>
      <c r="AD9" s="1807"/>
      <c r="AE9" s="1807"/>
      <c r="AF9" s="1807"/>
      <c r="AG9" s="1807"/>
      <c r="AH9" s="1807"/>
      <c r="AI9" s="1807"/>
      <c r="AJ9" s="1807"/>
      <c r="AK9" s="1807"/>
      <c r="AL9" s="1807"/>
      <c r="AM9" s="1807"/>
      <c r="AN9" s="1807"/>
      <c r="AO9" s="1807"/>
      <c r="AP9" s="1807"/>
      <c r="AQ9" s="1807"/>
      <c r="AR9" s="1807"/>
      <c r="AS9" s="1808"/>
      <c r="AT9" s="1"/>
      <c r="AU9" s="1806" t="s">
        <v>1860</v>
      </c>
      <c r="AV9" s="1807"/>
      <c r="AW9" s="1807"/>
      <c r="AX9" s="1807"/>
      <c r="AY9" s="1807"/>
      <c r="AZ9" s="1807"/>
      <c r="BA9" s="1807"/>
      <c r="BB9" s="1807"/>
      <c r="BC9" s="1807"/>
      <c r="BD9" s="1807"/>
      <c r="BE9" s="1807"/>
      <c r="BF9" s="1807"/>
      <c r="BG9" s="1807"/>
      <c r="BH9" s="1807"/>
      <c r="BI9" s="1807"/>
      <c r="BJ9" s="1807"/>
      <c r="BK9" s="1807"/>
      <c r="BL9" s="1807"/>
      <c r="BM9" s="1807"/>
      <c r="BN9" s="1807"/>
      <c r="BO9" s="1807"/>
      <c r="BP9" s="1808"/>
    </row>
    <row r="10" spans="1:68" ht="12.7" customHeight="1" thickBot="1" x14ac:dyDescent="0.3">
      <c r="A10" s="1809" t="s">
        <v>49</v>
      </c>
      <c r="B10" s="1810"/>
      <c r="C10" s="1810"/>
      <c r="D10" s="1810"/>
      <c r="E10" s="1810"/>
      <c r="F10" s="1810"/>
      <c r="G10" s="1810"/>
      <c r="H10" s="1799" t="s">
        <v>51</v>
      </c>
      <c r="I10" s="1800"/>
      <c r="J10" s="1800"/>
      <c r="K10" s="1801"/>
      <c r="L10" s="1811" t="s">
        <v>52</v>
      </c>
      <c r="M10" s="1811"/>
      <c r="N10" s="1811"/>
      <c r="O10" s="1811"/>
      <c r="P10" s="1811"/>
      <c r="Q10" s="1811"/>
      <c r="R10" s="1811"/>
      <c r="S10" s="1811"/>
      <c r="T10" s="1812" t="s">
        <v>51</v>
      </c>
      <c r="U10" s="1812"/>
      <c r="V10" s="1813"/>
      <c r="W10" s="1"/>
      <c r="X10" s="1809" t="s">
        <v>49</v>
      </c>
      <c r="Y10" s="1810"/>
      <c r="Z10" s="1810"/>
      <c r="AA10" s="1810"/>
      <c r="AB10" s="1810"/>
      <c r="AC10" s="1810"/>
      <c r="AD10" s="1810"/>
      <c r="AE10" s="1799" t="s">
        <v>51</v>
      </c>
      <c r="AF10" s="1800"/>
      <c r="AG10" s="1800"/>
      <c r="AH10" s="1801"/>
      <c r="AI10" s="1811" t="s">
        <v>52</v>
      </c>
      <c r="AJ10" s="1811"/>
      <c r="AK10" s="1811"/>
      <c r="AL10" s="1811"/>
      <c r="AM10" s="1811"/>
      <c r="AN10" s="1811"/>
      <c r="AO10" s="1811"/>
      <c r="AP10" s="1811"/>
      <c r="AQ10" s="1812" t="s">
        <v>51</v>
      </c>
      <c r="AR10" s="1812"/>
      <c r="AS10" s="1813"/>
      <c r="AT10" s="1"/>
      <c r="AU10" s="1809" t="s">
        <v>49</v>
      </c>
      <c r="AV10" s="1810"/>
      <c r="AW10" s="1810"/>
      <c r="AX10" s="1810"/>
      <c r="AY10" s="1810"/>
      <c r="AZ10" s="1810"/>
      <c r="BA10" s="1810"/>
      <c r="BB10" s="1799" t="s">
        <v>51</v>
      </c>
      <c r="BC10" s="1800"/>
      <c r="BD10" s="1800"/>
      <c r="BE10" s="1801"/>
      <c r="BF10" s="1811" t="s">
        <v>52</v>
      </c>
      <c r="BG10" s="1811"/>
      <c r="BH10" s="1811"/>
      <c r="BI10" s="1811"/>
      <c r="BJ10" s="1811"/>
      <c r="BK10" s="1811"/>
      <c r="BL10" s="1811"/>
      <c r="BM10" s="1811"/>
      <c r="BN10" s="1812" t="s">
        <v>51</v>
      </c>
      <c r="BO10" s="1812"/>
      <c r="BP10" s="1813"/>
    </row>
    <row r="11" spans="1:68" ht="30.05" customHeight="1" x14ac:dyDescent="0.25">
      <c r="A11" s="1814">
        <v>123</v>
      </c>
      <c r="B11" s="1778"/>
      <c r="C11" s="1778"/>
      <c r="D11" s="1778"/>
      <c r="E11" s="1778"/>
      <c r="F11" s="1778"/>
      <c r="G11" s="1778"/>
      <c r="H11" s="1790">
        <v>101</v>
      </c>
      <c r="I11" s="1791"/>
      <c r="J11" s="1791"/>
      <c r="K11" s="1792"/>
      <c r="L11" s="1778" t="s">
        <v>1861</v>
      </c>
      <c r="M11" s="1778"/>
      <c r="N11" s="1778"/>
      <c r="O11" s="1778"/>
      <c r="P11" s="1778"/>
      <c r="Q11" s="1778"/>
      <c r="R11" s="1778"/>
      <c r="S11" s="1778"/>
      <c r="T11" s="1776">
        <v>345</v>
      </c>
      <c r="U11" s="1776"/>
      <c r="V11" s="1777"/>
      <c r="X11" s="1802">
        <v>123</v>
      </c>
      <c r="Y11" s="1787"/>
      <c r="Z11" s="1787"/>
      <c r="AA11" s="1787"/>
      <c r="AB11" s="1787"/>
      <c r="AC11" s="1787"/>
      <c r="AD11" s="1787"/>
      <c r="AE11" s="1790">
        <v>100</v>
      </c>
      <c r="AF11" s="1791"/>
      <c r="AG11" s="1791"/>
      <c r="AH11" s="1792"/>
      <c r="AI11" s="1787" t="s">
        <v>1862</v>
      </c>
      <c r="AJ11" s="1787"/>
      <c r="AK11" s="1787"/>
      <c r="AL11" s="1787"/>
      <c r="AM11" s="1787"/>
      <c r="AN11" s="1787"/>
      <c r="AO11" s="1787"/>
      <c r="AP11" s="1787"/>
      <c r="AQ11" s="1788"/>
      <c r="AR11" s="1788"/>
      <c r="AS11" s="1789"/>
      <c r="AU11" s="1802">
        <v>452</v>
      </c>
      <c r="AV11" s="1787"/>
      <c r="AW11" s="1787"/>
      <c r="AX11" s="1787"/>
      <c r="AY11" s="1787"/>
      <c r="AZ11" s="1787"/>
      <c r="BA11" s="1787"/>
      <c r="BB11" s="1790">
        <v>101</v>
      </c>
      <c r="BC11" s="1791"/>
      <c r="BD11" s="1791"/>
      <c r="BE11" s="1792"/>
      <c r="BF11" s="1787" t="s">
        <v>1863</v>
      </c>
      <c r="BG11" s="1787"/>
      <c r="BH11" s="1787"/>
      <c r="BI11" s="1787"/>
      <c r="BJ11" s="1787"/>
      <c r="BK11" s="1787"/>
      <c r="BL11" s="1787"/>
      <c r="BM11" s="1787"/>
      <c r="BN11" s="1788">
        <v>100</v>
      </c>
      <c r="BO11" s="1788"/>
      <c r="BP11" s="1789"/>
    </row>
    <row r="12" spans="1:68" ht="30.05" customHeight="1" x14ac:dyDescent="0.25">
      <c r="A12" s="1861">
        <v>345</v>
      </c>
      <c r="B12" s="1862"/>
      <c r="C12" s="1862"/>
      <c r="D12" s="1862"/>
      <c r="E12" s="1862"/>
      <c r="F12" s="1862"/>
      <c r="G12" s="1862"/>
      <c r="H12" s="1793"/>
      <c r="I12" s="1794"/>
      <c r="J12" s="1794"/>
      <c r="K12" s="1795"/>
      <c r="L12" s="1862"/>
      <c r="M12" s="1862"/>
      <c r="N12" s="1862"/>
      <c r="O12" s="1862"/>
      <c r="P12" s="1862"/>
      <c r="Q12" s="1862"/>
      <c r="R12" s="1862"/>
      <c r="S12" s="1862"/>
      <c r="T12" s="1863"/>
      <c r="U12" s="1863"/>
      <c r="V12" s="1864"/>
      <c r="X12" s="1814"/>
      <c r="Y12" s="1778"/>
      <c r="Z12" s="1778"/>
      <c r="AA12" s="1778"/>
      <c r="AB12" s="1778"/>
      <c r="AC12" s="1778"/>
      <c r="AD12" s="1778"/>
      <c r="AE12" s="1793"/>
      <c r="AF12" s="1794"/>
      <c r="AG12" s="1794"/>
      <c r="AH12" s="1795"/>
      <c r="AI12" s="1778"/>
      <c r="AJ12" s="1778"/>
      <c r="AK12" s="1778"/>
      <c r="AL12" s="1778"/>
      <c r="AM12" s="1778"/>
      <c r="AN12" s="1778"/>
      <c r="AO12" s="1778"/>
      <c r="AP12" s="1778"/>
      <c r="AQ12" s="1776"/>
      <c r="AR12" s="1776"/>
      <c r="AS12" s="1777"/>
      <c r="AU12" s="1814"/>
      <c r="AV12" s="1778"/>
      <c r="AW12" s="1778"/>
      <c r="AX12" s="1778"/>
      <c r="AY12" s="1778"/>
      <c r="AZ12" s="1778"/>
      <c r="BA12" s="1778"/>
      <c r="BB12" s="1793"/>
      <c r="BC12" s="1794"/>
      <c r="BD12" s="1794"/>
      <c r="BE12" s="1795"/>
      <c r="BF12" s="1778"/>
      <c r="BG12" s="1778"/>
      <c r="BH12" s="1778"/>
      <c r="BI12" s="1778"/>
      <c r="BJ12" s="1778"/>
      <c r="BK12" s="1778"/>
      <c r="BL12" s="1778"/>
      <c r="BM12" s="1778"/>
      <c r="BN12" s="1776"/>
      <c r="BO12" s="1776"/>
      <c r="BP12" s="1777"/>
    </row>
    <row r="13" spans="1:68" ht="30.05" customHeight="1" x14ac:dyDescent="0.25">
      <c r="A13" s="1861">
        <v>658</v>
      </c>
      <c r="B13" s="1862"/>
      <c r="C13" s="1862"/>
      <c r="D13" s="1862"/>
      <c r="E13" s="1862"/>
      <c r="F13" s="1862"/>
      <c r="G13" s="1862"/>
      <c r="H13" s="1793"/>
      <c r="I13" s="1794"/>
      <c r="J13" s="1794"/>
      <c r="K13" s="1795"/>
      <c r="L13" s="1862"/>
      <c r="M13" s="1862"/>
      <c r="N13" s="1862"/>
      <c r="O13" s="1862"/>
      <c r="P13" s="1862"/>
      <c r="Q13" s="1862"/>
      <c r="R13" s="1862"/>
      <c r="S13" s="1862"/>
      <c r="T13" s="1863"/>
      <c r="U13" s="1863"/>
      <c r="V13" s="1864"/>
      <c r="X13" s="1814"/>
      <c r="Y13" s="1778"/>
      <c r="Z13" s="1778"/>
      <c r="AA13" s="1778"/>
      <c r="AB13" s="1778"/>
      <c r="AC13" s="1778"/>
      <c r="AD13" s="1778"/>
      <c r="AE13" s="1793"/>
      <c r="AF13" s="1794"/>
      <c r="AG13" s="1794"/>
      <c r="AH13" s="1795"/>
      <c r="AI13" s="1778"/>
      <c r="AJ13" s="1778"/>
      <c r="AK13" s="1778"/>
      <c r="AL13" s="1778"/>
      <c r="AM13" s="1778"/>
      <c r="AN13" s="1778"/>
      <c r="AO13" s="1778"/>
      <c r="AP13" s="1778"/>
      <c r="AQ13" s="1776"/>
      <c r="AR13" s="1776"/>
      <c r="AS13" s="1777"/>
      <c r="AU13" s="1814"/>
      <c r="AV13" s="1778"/>
      <c r="AW13" s="1778"/>
      <c r="AX13" s="1778"/>
      <c r="AY13" s="1778"/>
      <c r="AZ13" s="1778"/>
      <c r="BA13" s="1778"/>
      <c r="BB13" s="1793"/>
      <c r="BC13" s="1794"/>
      <c r="BD13" s="1794"/>
      <c r="BE13" s="1795"/>
      <c r="BF13" s="1778"/>
      <c r="BG13" s="1778"/>
      <c r="BH13" s="1778"/>
      <c r="BI13" s="1778"/>
      <c r="BJ13" s="1778"/>
      <c r="BK13" s="1778"/>
      <c r="BL13" s="1778"/>
      <c r="BM13" s="1778"/>
      <c r="BN13" s="1776"/>
      <c r="BO13" s="1776"/>
      <c r="BP13" s="1777"/>
    </row>
    <row r="14" spans="1:68" ht="30.05" customHeight="1" thickBot="1" x14ac:dyDescent="0.3">
      <c r="A14" s="1866"/>
      <c r="B14" s="1867"/>
      <c r="C14" s="1867"/>
      <c r="D14" s="1867"/>
      <c r="E14" s="1867"/>
      <c r="F14" s="1867"/>
      <c r="G14" s="1867"/>
      <c r="H14" s="1796"/>
      <c r="I14" s="1797"/>
      <c r="J14" s="1797"/>
      <c r="K14" s="1798"/>
      <c r="L14" s="1867"/>
      <c r="M14" s="1867"/>
      <c r="N14" s="1867"/>
      <c r="O14" s="1867"/>
      <c r="P14" s="1867"/>
      <c r="Q14" s="1867"/>
      <c r="R14" s="1867"/>
      <c r="S14" s="1867"/>
      <c r="T14" s="1868"/>
      <c r="U14" s="1868"/>
      <c r="V14" s="1869"/>
      <c r="X14" s="1865"/>
      <c r="Y14" s="1803"/>
      <c r="Z14" s="1803"/>
      <c r="AA14" s="1803"/>
      <c r="AB14" s="1803"/>
      <c r="AC14" s="1803"/>
      <c r="AD14" s="1803"/>
      <c r="AE14" s="1796"/>
      <c r="AF14" s="1797"/>
      <c r="AG14" s="1797"/>
      <c r="AH14" s="1798"/>
      <c r="AI14" s="1803"/>
      <c r="AJ14" s="1803"/>
      <c r="AK14" s="1803"/>
      <c r="AL14" s="1803"/>
      <c r="AM14" s="1803"/>
      <c r="AN14" s="1803"/>
      <c r="AO14" s="1803"/>
      <c r="AP14" s="1803"/>
      <c r="AQ14" s="1804"/>
      <c r="AR14" s="1804"/>
      <c r="AS14" s="1805"/>
      <c r="AT14" s="8"/>
      <c r="AU14" s="1865"/>
      <c r="AV14" s="1803"/>
      <c r="AW14" s="1803"/>
      <c r="AX14" s="1803"/>
      <c r="AY14" s="1803"/>
      <c r="AZ14" s="1803"/>
      <c r="BA14" s="1803"/>
      <c r="BB14" s="1796"/>
      <c r="BC14" s="1797"/>
      <c r="BD14" s="1797"/>
      <c r="BE14" s="1798"/>
      <c r="BF14" s="1803"/>
      <c r="BG14" s="1803"/>
      <c r="BH14" s="1803"/>
      <c r="BI14" s="1803"/>
      <c r="BJ14" s="1803"/>
      <c r="BK14" s="1803"/>
      <c r="BL14" s="1803"/>
      <c r="BM14" s="1803"/>
      <c r="BN14" s="1804"/>
      <c r="BO14" s="1804"/>
      <c r="BP14" s="1805"/>
    </row>
    <row r="15" spans="1:68" ht="10.199999999999999" customHeight="1" thickBot="1" x14ac:dyDescent="0.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row>
    <row r="16" spans="1:68" ht="13.5" customHeight="1" x14ac:dyDescent="0.25">
      <c r="A16" s="1806" t="s">
        <v>1858</v>
      </c>
      <c r="B16" s="1807"/>
      <c r="C16" s="1807"/>
      <c r="D16" s="1807"/>
      <c r="E16" s="1807"/>
      <c r="F16" s="1807"/>
      <c r="G16" s="1807"/>
      <c r="H16" s="1807"/>
      <c r="I16" s="1807"/>
      <c r="J16" s="1807"/>
      <c r="K16" s="1807"/>
      <c r="L16" s="1807"/>
      <c r="M16" s="1807"/>
      <c r="N16" s="1807"/>
      <c r="O16" s="1807"/>
      <c r="P16" s="1807"/>
      <c r="Q16" s="1807"/>
      <c r="R16" s="1807"/>
      <c r="S16" s="1807"/>
      <c r="T16" s="1807"/>
      <c r="U16" s="1807"/>
      <c r="V16" s="1808"/>
      <c r="W16" s="9"/>
      <c r="X16" s="1806" t="s">
        <v>1859</v>
      </c>
      <c r="Y16" s="1807"/>
      <c r="Z16" s="1807"/>
      <c r="AA16" s="1807"/>
      <c r="AB16" s="1807"/>
      <c r="AC16" s="1807"/>
      <c r="AD16" s="1807"/>
      <c r="AE16" s="1807"/>
      <c r="AF16" s="1807"/>
      <c r="AG16" s="1807"/>
      <c r="AH16" s="1807"/>
      <c r="AI16" s="1807"/>
      <c r="AJ16" s="1807"/>
      <c r="AK16" s="1807"/>
      <c r="AL16" s="1807"/>
      <c r="AM16" s="1807"/>
      <c r="AN16" s="1807"/>
      <c r="AO16" s="1807"/>
      <c r="AP16" s="1807"/>
      <c r="AQ16" s="1807"/>
      <c r="AR16" s="1807"/>
      <c r="AS16" s="1808"/>
      <c r="AT16" s="9"/>
      <c r="AU16" s="1806" t="s">
        <v>1860</v>
      </c>
      <c r="AV16" s="1807"/>
      <c r="AW16" s="1807"/>
      <c r="AX16" s="1807"/>
      <c r="AY16" s="1807"/>
      <c r="AZ16" s="1807"/>
      <c r="BA16" s="1807"/>
      <c r="BB16" s="1807"/>
      <c r="BC16" s="1807"/>
      <c r="BD16" s="1807"/>
      <c r="BE16" s="1807"/>
      <c r="BF16" s="1807"/>
      <c r="BG16" s="1807"/>
      <c r="BH16" s="1807"/>
      <c r="BI16" s="1807"/>
      <c r="BJ16" s="1807"/>
      <c r="BK16" s="1807"/>
      <c r="BL16" s="1807"/>
      <c r="BM16" s="1807"/>
      <c r="BN16" s="1807"/>
      <c r="BO16" s="1807"/>
      <c r="BP16" s="1808"/>
    </row>
    <row r="17" spans="1:68" ht="13.5" customHeight="1" thickBot="1" x14ac:dyDescent="0.3">
      <c r="A17" s="1870" t="s">
        <v>1864</v>
      </c>
      <c r="B17" s="1871"/>
      <c r="C17" s="1871"/>
      <c r="D17" s="1871"/>
      <c r="E17" s="1871"/>
      <c r="F17" s="1871"/>
      <c r="G17" s="1871"/>
      <c r="H17" s="1874" t="s">
        <v>1865</v>
      </c>
      <c r="I17" s="1875"/>
      <c r="J17" s="1875"/>
      <c r="K17" s="1876"/>
      <c r="L17" s="1872" t="s">
        <v>78</v>
      </c>
      <c r="M17" s="1872"/>
      <c r="N17" s="1872"/>
      <c r="O17" s="1872"/>
      <c r="P17" s="1872"/>
      <c r="Q17" s="1872"/>
      <c r="R17" s="1872"/>
      <c r="S17" s="1872"/>
      <c r="T17" s="1872"/>
      <c r="U17" s="1872"/>
      <c r="V17" s="1873"/>
      <c r="W17" s="9"/>
      <c r="X17" s="1870" t="s">
        <v>1864</v>
      </c>
      <c r="Y17" s="1871"/>
      <c r="Z17" s="1871"/>
      <c r="AA17" s="1871"/>
      <c r="AB17" s="1871"/>
      <c r="AC17" s="1871"/>
      <c r="AD17" s="1871"/>
      <c r="AE17" s="1874" t="s">
        <v>1865</v>
      </c>
      <c r="AF17" s="1875"/>
      <c r="AG17" s="1875"/>
      <c r="AH17" s="1876"/>
      <c r="AI17" s="1872" t="s">
        <v>78</v>
      </c>
      <c r="AJ17" s="1872"/>
      <c r="AK17" s="1872"/>
      <c r="AL17" s="1872"/>
      <c r="AM17" s="1872"/>
      <c r="AN17" s="1872"/>
      <c r="AO17" s="1872"/>
      <c r="AP17" s="1872"/>
      <c r="AQ17" s="1872"/>
      <c r="AR17" s="1872"/>
      <c r="AS17" s="1873"/>
      <c r="AT17" s="9"/>
      <c r="AU17" s="1870" t="s">
        <v>1866</v>
      </c>
      <c r="AV17" s="1871"/>
      <c r="AW17" s="1871"/>
      <c r="AX17" s="1871"/>
      <c r="AY17" s="1871"/>
      <c r="AZ17" s="1871"/>
      <c r="BA17" s="1871"/>
      <c r="BB17" s="1874" t="s">
        <v>1865</v>
      </c>
      <c r="BC17" s="1875"/>
      <c r="BD17" s="1875"/>
      <c r="BE17" s="1876"/>
      <c r="BF17" s="1872" t="s">
        <v>78</v>
      </c>
      <c r="BG17" s="1872"/>
      <c r="BH17" s="1872"/>
      <c r="BI17" s="1872"/>
      <c r="BJ17" s="1872"/>
      <c r="BK17" s="1872"/>
      <c r="BL17" s="1872"/>
      <c r="BM17" s="1872"/>
      <c r="BN17" s="1872"/>
      <c r="BO17" s="1872"/>
      <c r="BP17" s="1873"/>
    </row>
    <row r="18" spans="1:68" ht="30.05" customHeight="1" x14ac:dyDescent="0.25">
      <c r="A18" s="1877" t="s">
        <v>81</v>
      </c>
      <c r="B18" s="1878"/>
      <c r="C18" s="1878"/>
      <c r="D18" s="1878"/>
      <c r="E18" s="1878"/>
      <c r="F18" s="1878"/>
      <c r="G18" s="1879"/>
      <c r="H18" s="1785">
        <f>'LQG1'!S17</f>
        <v>0</v>
      </c>
      <c r="I18" s="1785"/>
      <c r="J18" s="1785"/>
      <c r="K18" s="1785"/>
      <c r="L18" s="1880">
        <f>'LQG1'!AA17</f>
        <v>0</v>
      </c>
      <c r="M18" s="1881"/>
      <c r="N18" s="1881"/>
      <c r="O18" s="1881"/>
      <c r="P18" s="1881"/>
      <c r="Q18" s="1881"/>
      <c r="R18" s="1881"/>
      <c r="S18" s="1881"/>
      <c r="T18" s="1881"/>
      <c r="U18" s="1881"/>
      <c r="V18" s="1882"/>
      <c r="W18" s="8"/>
      <c r="X18" s="1883" t="s">
        <v>81</v>
      </c>
      <c r="Y18" s="1884"/>
      <c r="Z18" s="1884"/>
      <c r="AA18" s="1884"/>
      <c r="AB18" s="1884"/>
      <c r="AC18" s="1884"/>
      <c r="AD18" s="1885"/>
      <c r="AE18" s="1785">
        <f>'LQG2'!S17</f>
        <v>0</v>
      </c>
      <c r="AF18" s="1785"/>
      <c r="AG18" s="1785"/>
      <c r="AH18" s="1785"/>
      <c r="AI18" s="1880">
        <f>'LQG2'!AA17</f>
        <v>0</v>
      </c>
      <c r="AJ18" s="1881"/>
      <c r="AK18" s="1881"/>
      <c r="AL18" s="1881"/>
      <c r="AM18" s="1881"/>
      <c r="AN18" s="1881"/>
      <c r="AO18" s="1881"/>
      <c r="AP18" s="1881"/>
      <c r="AQ18" s="1881"/>
      <c r="AR18" s="1881"/>
      <c r="AS18" s="1882"/>
      <c r="AT18" s="8"/>
      <c r="AU18" s="1883" t="s">
        <v>81</v>
      </c>
      <c r="AV18" s="1884"/>
      <c r="AW18" s="1884"/>
      <c r="AX18" s="1884"/>
      <c r="AY18" s="1884"/>
      <c r="AZ18" s="1884"/>
      <c r="BA18" s="1885"/>
      <c r="BB18" s="1785">
        <f>'LQG3'!S17</f>
        <v>0</v>
      </c>
      <c r="BC18" s="1785"/>
      <c r="BD18" s="1785"/>
      <c r="BE18" s="1785"/>
      <c r="BF18" s="1779">
        <f>'LQG3'!AA17</f>
        <v>0</v>
      </c>
      <c r="BG18" s="1780"/>
      <c r="BH18" s="1780"/>
      <c r="BI18" s="1780"/>
      <c r="BJ18" s="1780"/>
      <c r="BK18" s="1780"/>
      <c r="BL18" s="1780"/>
      <c r="BM18" s="1780"/>
      <c r="BN18" s="1780"/>
      <c r="BO18" s="1780"/>
      <c r="BP18" s="1781"/>
    </row>
    <row r="19" spans="1:68" ht="30.05" customHeight="1" x14ac:dyDescent="0.25">
      <c r="A19" s="1886" t="s">
        <v>1867</v>
      </c>
      <c r="B19" s="1887"/>
      <c r="C19" s="1887"/>
      <c r="D19" s="1887"/>
      <c r="E19" s="1887"/>
      <c r="F19" s="1887"/>
      <c r="G19" s="1888"/>
      <c r="H19" s="1786">
        <f>'LQG1'!S18</f>
        <v>0</v>
      </c>
      <c r="I19" s="1786"/>
      <c r="J19" s="1786"/>
      <c r="K19" s="1786"/>
      <c r="L19" s="1779">
        <f>'LQG1'!AA18</f>
        <v>0</v>
      </c>
      <c r="M19" s="1780"/>
      <c r="N19" s="1780"/>
      <c r="O19" s="1780"/>
      <c r="P19" s="1780"/>
      <c r="Q19" s="1780"/>
      <c r="R19" s="1780"/>
      <c r="S19" s="1780"/>
      <c r="T19" s="1780"/>
      <c r="U19" s="1780"/>
      <c r="V19" s="1781"/>
      <c r="W19" s="8"/>
      <c r="X19" s="1886" t="s">
        <v>1867</v>
      </c>
      <c r="Y19" s="1887"/>
      <c r="Z19" s="1887"/>
      <c r="AA19" s="1887"/>
      <c r="AB19" s="1887"/>
      <c r="AC19" s="1887"/>
      <c r="AD19" s="1888"/>
      <c r="AE19" s="1786">
        <f>'LQG2'!AP18</f>
        <v>0</v>
      </c>
      <c r="AF19" s="1786"/>
      <c r="AG19" s="1786"/>
      <c r="AH19" s="1786"/>
      <c r="AI19" s="1779">
        <f>'LQG2'!AX18</f>
        <v>0</v>
      </c>
      <c r="AJ19" s="1780"/>
      <c r="AK19" s="1780"/>
      <c r="AL19" s="1780"/>
      <c r="AM19" s="1780"/>
      <c r="AN19" s="1780"/>
      <c r="AO19" s="1780"/>
      <c r="AP19" s="1780"/>
      <c r="AQ19" s="1780"/>
      <c r="AR19" s="1780"/>
      <c r="AS19" s="1781"/>
      <c r="AT19" s="8"/>
      <c r="AU19" s="1886" t="s">
        <v>1867</v>
      </c>
      <c r="AV19" s="1887"/>
      <c r="AW19" s="1887"/>
      <c r="AX19" s="1887"/>
      <c r="AY19" s="1887"/>
      <c r="AZ19" s="1887"/>
      <c r="BA19" s="1888"/>
      <c r="BB19" s="1786">
        <f>'LQG3'!BM18</f>
        <v>0</v>
      </c>
      <c r="BC19" s="1786"/>
      <c r="BD19" s="1786"/>
      <c r="BE19" s="1786"/>
      <c r="BF19" s="1779">
        <f>'LQG3'!BU18</f>
        <v>0</v>
      </c>
      <c r="BG19" s="1780"/>
      <c r="BH19" s="1780"/>
      <c r="BI19" s="1780"/>
      <c r="BJ19" s="1780"/>
      <c r="BK19" s="1780"/>
      <c r="BL19" s="1780"/>
      <c r="BM19" s="1780"/>
      <c r="BN19" s="1780"/>
      <c r="BO19" s="1780"/>
      <c r="BP19" s="1781"/>
    </row>
    <row r="20" spans="1:68" ht="30.05" customHeight="1" x14ac:dyDescent="0.25">
      <c r="A20" s="1889" t="s">
        <v>1868</v>
      </c>
      <c r="B20" s="1890"/>
      <c r="C20" s="1890"/>
      <c r="D20" s="1890"/>
      <c r="E20" s="1890"/>
      <c r="F20" s="1890"/>
      <c r="G20" s="1891"/>
      <c r="H20" s="1786">
        <f>'LQG1'!S19</f>
        <v>0</v>
      </c>
      <c r="I20" s="1786"/>
      <c r="J20" s="1786"/>
      <c r="K20" s="1786"/>
      <c r="L20" s="1779">
        <f>'LQG1'!AA19</f>
        <v>0</v>
      </c>
      <c r="M20" s="1780"/>
      <c r="N20" s="1780"/>
      <c r="O20" s="1780"/>
      <c r="P20" s="1780"/>
      <c r="Q20" s="1780"/>
      <c r="R20" s="1780"/>
      <c r="S20" s="1780"/>
      <c r="T20" s="1780"/>
      <c r="U20" s="1780"/>
      <c r="V20" s="1781"/>
      <c r="W20" s="8"/>
      <c r="X20" s="1892" t="s">
        <v>1868</v>
      </c>
      <c r="Y20" s="1893"/>
      <c r="Z20" s="1893"/>
      <c r="AA20" s="1893"/>
      <c r="AB20" s="1893"/>
      <c r="AC20" s="1893"/>
      <c r="AD20" s="1894"/>
      <c r="AE20" s="1786">
        <f>'LQG2'!AP19</f>
        <v>0</v>
      </c>
      <c r="AF20" s="1786"/>
      <c r="AG20" s="1786"/>
      <c r="AH20" s="1786"/>
      <c r="AI20" s="1779">
        <f>'LQG2'!AX19</f>
        <v>0</v>
      </c>
      <c r="AJ20" s="1780"/>
      <c r="AK20" s="1780"/>
      <c r="AL20" s="1780"/>
      <c r="AM20" s="1780"/>
      <c r="AN20" s="1780"/>
      <c r="AO20" s="1780"/>
      <c r="AP20" s="1780"/>
      <c r="AQ20" s="1780"/>
      <c r="AR20" s="1780"/>
      <c r="AS20" s="1781"/>
      <c r="AT20" s="8"/>
      <c r="AU20" s="1892" t="s">
        <v>1868</v>
      </c>
      <c r="AV20" s="1893"/>
      <c r="AW20" s="1893"/>
      <c r="AX20" s="1893"/>
      <c r="AY20" s="1893"/>
      <c r="AZ20" s="1893"/>
      <c r="BA20" s="1894"/>
      <c r="BB20" s="1786">
        <f>'LQG3'!BM19</f>
        <v>0</v>
      </c>
      <c r="BC20" s="1786"/>
      <c r="BD20" s="1786"/>
      <c r="BE20" s="1786"/>
      <c r="BF20" s="1779">
        <f>'LQG3'!BU19</f>
        <v>0</v>
      </c>
      <c r="BG20" s="1780"/>
      <c r="BH20" s="1780"/>
      <c r="BI20" s="1780"/>
      <c r="BJ20" s="1780"/>
      <c r="BK20" s="1780"/>
      <c r="BL20" s="1780"/>
      <c r="BM20" s="1780"/>
      <c r="BN20" s="1780"/>
      <c r="BO20" s="1780"/>
      <c r="BP20" s="1781"/>
    </row>
    <row r="21" spans="1:68" ht="30.05" customHeight="1" x14ac:dyDescent="0.25">
      <c r="A21" s="1889" t="s">
        <v>703</v>
      </c>
      <c r="B21" s="1890"/>
      <c r="C21" s="1890"/>
      <c r="D21" s="1890"/>
      <c r="E21" s="1890"/>
      <c r="F21" s="1890"/>
      <c r="G21" s="1891"/>
      <c r="H21" s="1786">
        <f>'LQG1'!S20</f>
        <v>0</v>
      </c>
      <c r="I21" s="1786"/>
      <c r="J21" s="1786"/>
      <c r="K21" s="1786"/>
      <c r="L21" s="1779">
        <f>'LQG1'!AA20</f>
        <v>0</v>
      </c>
      <c r="M21" s="1780"/>
      <c r="N21" s="1780"/>
      <c r="O21" s="1780"/>
      <c r="P21" s="1780"/>
      <c r="Q21" s="1780"/>
      <c r="R21" s="1780"/>
      <c r="S21" s="1780"/>
      <c r="T21" s="1780"/>
      <c r="U21" s="1780"/>
      <c r="V21" s="1781"/>
      <c r="W21" s="8"/>
      <c r="X21" s="1892" t="s">
        <v>703</v>
      </c>
      <c r="Y21" s="1893"/>
      <c r="Z21" s="1893"/>
      <c r="AA21" s="1893"/>
      <c r="AB21" s="1893"/>
      <c r="AC21" s="1893"/>
      <c r="AD21" s="1894"/>
      <c r="AE21" s="1786">
        <f>'LQG2'!AP20</f>
        <v>0</v>
      </c>
      <c r="AF21" s="1786"/>
      <c r="AG21" s="1786"/>
      <c r="AH21" s="1786"/>
      <c r="AI21" s="1779">
        <f>'LQG2'!AX20</f>
        <v>0</v>
      </c>
      <c r="AJ21" s="1780"/>
      <c r="AK21" s="1780"/>
      <c r="AL21" s="1780"/>
      <c r="AM21" s="1780"/>
      <c r="AN21" s="1780"/>
      <c r="AO21" s="1780"/>
      <c r="AP21" s="1780"/>
      <c r="AQ21" s="1780"/>
      <c r="AR21" s="1780"/>
      <c r="AS21" s="1781"/>
      <c r="AT21" s="8"/>
      <c r="AU21" s="1892" t="s">
        <v>703</v>
      </c>
      <c r="AV21" s="1893"/>
      <c r="AW21" s="1893"/>
      <c r="AX21" s="1893"/>
      <c r="AY21" s="1893"/>
      <c r="AZ21" s="1893"/>
      <c r="BA21" s="1894"/>
      <c r="BB21" s="1786">
        <f>'LQG3'!BM20</f>
        <v>0</v>
      </c>
      <c r="BC21" s="1786"/>
      <c r="BD21" s="1786"/>
      <c r="BE21" s="1786"/>
      <c r="BF21" s="1779">
        <f>'LQG3'!BU20</f>
        <v>0</v>
      </c>
      <c r="BG21" s="1780"/>
      <c r="BH21" s="1780"/>
      <c r="BI21" s="1780"/>
      <c r="BJ21" s="1780"/>
      <c r="BK21" s="1780"/>
      <c r="BL21" s="1780"/>
      <c r="BM21" s="1780"/>
      <c r="BN21" s="1780"/>
      <c r="BO21" s="1780"/>
      <c r="BP21" s="1781"/>
    </row>
    <row r="22" spans="1:68" ht="30.05" customHeight="1" x14ac:dyDescent="0.25">
      <c r="A22" s="1889" t="s">
        <v>1869</v>
      </c>
      <c r="B22" s="1890"/>
      <c r="C22" s="1890"/>
      <c r="D22" s="1890"/>
      <c r="E22" s="1890"/>
      <c r="F22" s="1890"/>
      <c r="G22" s="1891"/>
      <c r="H22" s="1786">
        <f>'LQG1'!S21</f>
        <v>0</v>
      </c>
      <c r="I22" s="1786"/>
      <c r="J22" s="1786"/>
      <c r="K22" s="1786"/>
      <c r="L22" s="1779">
        <f>'LQG1'!AA21</f>
        <v>0</v>
      </c>
      <c r="M22" s="1780"/>
      <c r="N22" s="1780"/>
      <c r="O22" s="1780"/>
      <c r="P22" s="1780"/>
      <c r="Q22" s="1780"/>
      <c r="R22" s="1780"/>
      <c r="S22" s="1780"/>
      <c r="T22" s="1780"/>
      <c r="U22" s="1780"/>
      <c r="V22" s="1781"/>
      <c r="W22" s="8"/>
      <c r="X22" s="1892" t="s">
        <v>1869</v>
      </c>
      <c r="Y22" s="1893"/>
      <c r="Z22" s="1893"/>
      <c r="AA22" s="1893"/>
      <c r="AB22" s="1893"/>
      <c r="AC22" s="1893"/>
      <c r="AD22" s="1894"/>
      <c r="AE22" s="1786">
        <f>'LQG2'!AP21</f>
        <v>0</v>
      </c>
      <c r="AF22" s="1786"/>
      <c r="AG22" s="1786"/>
      <c r="AH22" s="1786"/>
      <c r="AI22" s="1779">
        <f>'LQG2'!AX21</f>
        <v>0</v>
      </c>
      <c r="AJ22" s="1780"/>
      <c r="AK22" s="1780"/>
      <c r="AL22" s="1780"/>
      <c r="AM22" s="1780"/>
      <c r="AN22" s="1780"/>
      <c r="AO22" s="1780"/>
      <c r="AP22" s="1780"/>
      <c r="AQ22" s="1780"/>
      <c r="AR22" s="1780"/>
      <c r="AS22" s="1781"/>
      <c r="AT22" s="8"/>
      <c r="AU22" s="1892" t="s">
        <v>1869</v>
      </c>
      <c r="AV22" s="1893"/>
      <c r="AW22" s="1893"/>
      <c r="AX22" s="1893"/>
      <c r="AY22" s="1893"/>
      <c r="AZ22" s="1893"/>
      <c r="BA22" s="1894"/>
      <c r="BB22" s="1786">
        <f>'LQG3'!BM21</f>
        <v>0</v>
      </c>
      <c r="BC22" s="1786"/>
      <c r="BD22" s="1786"/>
      <c r="BE22" s="1786"/>
      <c r="BF22" s="1779">
        <f>'LQG3'!BU21</f>
        <v>0</v>
      </c>
      <c r="BG22" s="1780"/>
      <c r="BH22" s="1780"/>
      <c r="BI22" s="1780"/>
      <c r="BJ22" s="1780"/>
      <c r="BK22" s="1780"/>
      <c r="BL22" s="1780"/>
      <c r="BM22" s="1780"/>
      <c r="BN22" s="1780"/>
      <c r="BO22" s="1780"/>
      <c r="BP22" s="1781"/>
    </row>
    <row r="23" spans="1:68" ht="30.05" customHeight="1" x14ac:dyDescent="0.25">
      <c r="A23" s="1889" t="s">
        <v>1870</v>
      </c>
      <c r="B23" s="1890"/>
      <c r="C23" s="1890"/>
      <c r="D23" s="1890"/>
      <c r="E23" s="1890"/>
      <c r="F23" s="1890"/>
      <c r="G23" s="1891"/>
      <c r="H23" s="1786">
        <f>'LQG1'!S22</f>
        <v>0</v>
      </c>
      <c r="I23" s="1786"/>
      <c r="J23" s="1786"/>
      <c r="K23" s="1786"/>
      <c r="L23" s="1779">
        <f>'LQG1'!AA22</f>
        <v>0</v>
      </c>
      <c r="M23" s="1780"/>
      <c r="N23" s="1780"/>
      <c r="O23" s="1780"/>
      <c r="P23" s="1780"/>
      <c r="Q23" s="1780"/>
      <c r="R23" s="1780"/>
      <c r="S23" s="1780"/>
      <c r="T23" s="1780"/>
      <c r="U23" s="1780"/>
      <c r="V23" s="1781"/>
      <c r="W23" s="8"/>
      <c r="X23" s="1892" t="s">
        <v>1870</v>
      </c>
      <c r="Y23" s="1893"/>
      <c r="Z23" s="1893"/>
      <c r="AA23" s="1893"/>
      <c r="AB23" s="1893"/>
      <c r="AC23" s="1893"/>
      <c r="AD23" s="1894"/>
      <c r="AE23" s="1786">
        <f>'LQG2'!AP22</f>
        <v>0</v>
      </c>
      <c r="AF23" s="1786"/>
      <c r="AG23" s="1786"/>
      <c r="AH23" s="1786"/>
      <c r="AI23" s="1779">
        <f>'LQG2'!AX22</f>
        <v>0</v>
      </c>
      <c r="AJ23" s="1780"/>
      <c r="AK23" s="1780"/>
      <c r="AL23" s="1780"/>
      <c r="AM23" s="1780"/>
      <c r="AN23" s="1780"/>
      <c r="AO23" s="1780"/>
      <c r="AP23" s="1780"/>
      <c r="AQ23" s="1780"/>
      <c r="AR23" s="1780"/>
      <c r="AS23" s="1781"/>
      <c r="AT23" s="8"/>
      <c r="AU23" s="1892" t="s">
        <v>1870</v>
      </c>
      <c r="AV23" s="1893"/>
      <c r="AW23" s="1893"/>
      <c r="AX23" s="1893"/>
      <c r="AY23" s="1893"/>
      <c r="AZ23" s="1893"/>
      <c r="BA23" s="1894"/>
      <c r="BB23" s="1786">
        <f>'LQG3'!BM22</f>
        <v>0</v>
      </c>
      <c r="BC23" s="1786"/>
      <c r="BD23" s="1786"/>
      <c r="BE23" s="1786"/>
      <c r="BF23" s="1779">
        <f>'LQG3'!BU22</f>
        <v>0</v>
      </c>
      <c r="BG23" s="1780"/>
      <c r="BH23" s="1780"/>
      <c r="BI23" s="1780"/>
      <c r="BJ23" s="1780"/>
      <c r="BK23" s="1780"/>
      <c r="BL23" s="1780"/>
      <c r="BM23" s="1780"/>
      <c r="BN23" s="1780"/>
      <c r="BO23" s="1780"/>
      <c r="BP23" s="1781"/>
    </row>
    <row r="24" spans="1:68" ht="30.05" customHeight="1" x14ac:dyDescent="0.25">
      <c r="A24" s="1895" t="s">
        <v>1871</v>
      </c>
      <c r="B24" s="1890"/>
      <c r="C24" s="1890"/>
      <c r="D24" s="1890"/>
      <c r="E24" s="1890"/>
      <c r="F24" s="1890"/>
      <c r="G24" s="1891"/>
      <c r="H24" s="1786">
        <f>'LQG1'!S23</f>
        <v>0</v>
      </c>
      <c r="I24" s="1786"/>
      <c r="J24" s="1786"/>
      <c r="K24" s="1786"/>
      <c r="L24" s="1779">
        <f>'LQG1'!AA23</f>
        <v>0</v>
      </c>
      <c r="M24" s="1780"/>
      <c r="N24" s="1780"/>
      <c r="O24" s="1780"/>
      <c r="P24" s="1780"/>
      <c r="Q24" s="1780"/>
      <c r="R24" s="1780"/>
      <c r="S24" s="1780"/>
      <c r="T24" s="1780"/>
      <c r="U24" s="1780"/>
      <c r="V24" s="1781"/>
      <c r="W24" s="8"/>
      <c r="X24" s="1896" t="s">
        <v>1871</v>
      </c>
      <c r="Y24" s="1893"/>
      <c r="Z24" s="1893"/>
      <c r="AA24" s="1893"/>
      <c r="AB24" s="1893"/>
      <c r="AC24" s="1893"/>
      <c r="AD24" s="1894"/>
      <c r="AE24" s="1786">
        <f>'LQG2'!AP23</f>
        <v>0</v>
      </c>
      <c r="AF24" s="1786"/>
      <c r="AG24" s="1786"/>
      <c r="AH24" s="1786"/>
      <c r="AI24" s="1779">
        <f>'LQG2'!AX23</f>
        <v>0</v>
      </c>
      <c r="AJ24" s="1780"/>
      <c r="AK24" s="1780"/>
      <c r="AL24" s="1780"/>
      <c r="AM24" s="1780"/>
      <c r="AN24" s="1780"/>
      <c r="AO24" s="1780"/>
      <c r="AP24" s="1780"/>
      <c r="AQ24" s="1780"/>
      <c r="AR24" s="1780"/>
      <c r="AS24" s="1781"/>
      <c r="AT24" s="8"/>
      <c r="AU24" s="1896" t="s">
        <v>1871</v>
      </c>
      <c r="AV24" s="1893"/>
      <c r="AW24" s="1893"/>
      <c r="AX24" s="1893"/>
      <c r="AY24" s="1893"/>
      <c r="AZ24" s="1893"/>
      <c r="BA24" s="1894"/>
      <c r="BB24" s="1786">
        <f>'LQG3'!BM23</f>
        <v>0</v>
      </c>
      <c r="BC24" s="1786"/>
      <c r="BD24" s="1786"/>
      <c r="BE24" s="1786"/>
      <c r="BF24" s="1779">
        <f>'LQG3'!BU23</f>
        <v>0</v>
      </c>
      <c r="BG24" s="1780"/>
      <c r="BH24" s="1780"/>
      <c r="BI24" s="1780"/>
      <c r="BJ24" s="1780"/>
      <c r="BK24" s="1780"/>
      <c r="BL24" s="1780"/>
      <c r="BM24" s="1780"/>
      <c r="BN24" s="1780"/>
      <c r="BO24" s="1780"/>
      <c r="BP24" s="1781"/>
    </row>
    <row r="25" spans="1:68" ht="30.05" customHeight="1" x14ac:dyDescent="0.25">
      <c r="A25" s="1895" t="s">
        <v>1872</v>
      </c>
      <c r="B25" s="1890"/>
      <c r="C25" s="1890"/>
      <c r="D25" s="1890"/>
      <c r="E25" s="1890"/>
      <c r="F25" s="1890"/>
      <c r="G25" s="1891"/>
      <c r="H25" s="1786">
        <f>'LQG1'!S24</f>
        <v>0</v>
      </c>
      <c r="I25" s="1786"/>
      <c r="J25" s="1786"/>
      <c r="K25" s="1786"/>
      <c r="L25" s="1779">
        <f>'LQG1'!AA24</f>
        <v>0</v>
      </c>
      <c r="M25" s="1780"/>
      <c r="N25" s="1780"/>
      <c r="O25" s="1780"/>
      <c r="P25" s="1780"/>
      <c r="Q25" s="1780"/>
      <c r="R25" s="1780"/>
      <c r="S25" s="1780"/>
      <c r="T25" s="1780"/>
      <c r="U25" s="1780"/>
      <c r="V25" s="1781"/>
      <c r="W25" s="8"/>
      <c r="X25" s="1896" t="s">
        <v>1872</v>
      </c>
      <c r="Y25" s="1893"/>
      <c r="Z25" s="1893"/>
      <c r="AA25" s="1893"/>
      <c r="AB25" s="1893"/>
      <c r="AC25" s="1893"/>
      <c r="AD25" s="1894"/>
      <c r="AE25" s="1786">
        <f>'LQG2'!AP24</f>
        <v>0</v>
      </c>
      <c r="AF25" s="1786"/>
      <c r="AG25" s="1786"/>
      <c r="AH25" s="1786"/>
      <c r="AI25" s="1779">
        <f>'LQG2'!AX24</f>
        <v>0</v>
      </c>
      <c r="AJ25" s="1780"/>
      <c r="AK25" s="1780"/>
      <c r="AL25" s="1780"/>
      <c r="AM25" s="1780"/>
      <c r="AN25" s="1780"/>
      <c r="AO25" s="1780"/>
      <c r="AP25" s="1780"/>
      <c r="AQ25" s="1780"/>
      <c r="AR25" s="1780"/>
      <c r="AS25" s="1781"/>
      <c r="AT25" s="8"/>
      <c r="AU25" s="1896" t="s">
        <v>1872</v>
      </c>
      <c r="AV25" s="1893"/>
      <c r="AW25" s="1893"/>
      <c r="AX25" s="1893"/>
      <c r="AY25" s="1893"/>
      <c r="AZ25" s="1893"/>
      <c r="BA25" s="1894"/>
      <c r="BB25" s="1786">
        <f>'LQG3'!BM24</f>
        <v>0</v>
      </c>
      <c r="BC25" s="1786"/>
      <c r="BD25" s="1786"/>
      <c r="BE25" s="1786"/>
      <c r="BF25" s="1779">
        <f>'LQG3'!BU24</f>
        <v>0</v>
      </c>
      <c r="BG25" s="1780"/>
      <c r="BH25" s="1780"/>
      <c r="BI25" s="1780"/>
      <c r="BJ25" s="1780"/>
      <c r="BK25" s="1780"/>
      <c r="BL25" s="1780"/>
      <c r="BM25" s="1780"/>
      <c r="BN25" s="1780"/>
      <c r="BO25" s="1780"/>
      <c r="BP25" s="1781"/>
    </row>
    <row r="26" spans="1:68" ht="30.05" customHeight="1" x14ac:dyDescent="0.25">
      <c r="A26" s="1889" t="s">
        <v>1873</v>
      </c>
      <c r="B26" s="1890"/>
      <c r="C26" s="1890"/>
      <c r="D26" s="1890"/>
      <c r="E26" s="1890"/>
      <c r="F26" s="1890"/>
      <c r="G26" s="1891"/>
      <c r="H26" s="1786">
        <f>'LQG1'!S25</f>
        <v>0</v>
      </c>
      <c r="I26" s="1786"/>
      <c r="J26" s="1786"/>
      <c r="K26" s="1786"/>
      <c r="L26" s="1779">
        <f>'LQG1'!AA25</f>
        <v>0</v>
      </c>
      <c r="M26" s="1780"/>
      <c r="N26" s="1780"/>
      <c r="O26" s="1780"/>
      <c r="P26" s="1780"/>
      <c r="Q26" s="1780"/>
      <c r="R26" s="1780"/>
      <c r="S26" s="1780"/>
      <c r="T26" s="1780"/>
      <c r="U26" s="1780"/>
      <c r="V26" s="1781"/>
      <c r="W26" s="8"/>
      <c r="X26" s="1892" t="s">
        <v>1873</v>
      </c>
      <c r="Y26" s="1893"/>
      <c r="Z26" s="1893"/>
      <c r="AA26" s="1893"/>
      <c r="AB26" s="1893"/>
      <c r="AC26" s="1893"/>
      <c r="AD26" s="1894"/>
      <c r="AE26" s="1786">
        <f>'LQG2'!AP25</f>
        <v>0</v>
      </c>
      <c r="AF26" s="1786"/>
      <c r="AG26" s="1786"/>
      <c r="AH26" s="1786"/>
      <c r="AI26" s="1779">
        <f>'LQG2'!AX25</f>
        <v>0</v>
      </c>
      <c r="AJ26" s="1780"/>
      <c r="AK26" s="1780"/>
      <c r="AL26" s="1780"/>
      <c r="AM26" s="1780"/>
      <c r="AN26" s="1780"/>
      <c r="AO26" s="1780"/>
      <c r="AP26" s="1780"/>
      <c r="AQ26" s="1780"/>
      <c r="AR26" s="1780"/>
      <c r="AS26" s="1781"/>
      <c r="AT26" s="8"/>
      <c r="AU26" s="1892" t="s">
        <v>1873</v>
      </c>
      <c r="AV26" s="1893"/>
      <c r="AW26" s="1893"/>
      <c r="AX26" s="1893"/>
      <c r="AY26" s="1893"/>
      <c r="AZ26" s="1893"/>
      <c r="BA26" s="1894"/>
      <c r="BB26" s="1786">
        <f>'LQG3'!BM25</f>
        <v>0</v>
      </c>
      <c r="BC26" s="1786"/>
      <c r="BD26" s="1786"/>
      <c r="BE26" s="1786"/>
      <c r="BF26" s="1779">
        <f>'LQG3'!BU25</f>
        <v>0</v>
      </c>
      <c r="BG26" s="1780"/>
      <c r="BH26" s="1780"/>
      <c r="BI26" s="1780"/>
      <c r="BJ26" s="1780"/>
      <c r="BK26" s="1780"/>
      <c r="BL26" s="1780"/>
      <c r="BM26" s="1780"/>
      <c r="BN26" s="1780"/>
      <c r="BO26" s="1780"/>
      <c r="BP26" s="1781"/>
    </row>
    <row r="27" spans="1:68" ht="30.05" customHeight="1" x14ac:dyDescent="0.25">
      <c r="A27" s="1889" t="s">
        <v>1874</v>
      </c>
      <c r="B27" s="1890"/>
      <c r="C27" s="1890"/>
      <c r="D27" s="1890"/>
      <c r="E27" s="1890"/>
      <c r="F27" s="1890"/>
      <c r="G27" s="1891"/>
      <c r="H27" s="1786">
        <f>'LQG1'!S26</f>
        <v>0</v>
      </c>
      <c r="I27" s="1786"/>
      <c r="J27" s="1786"/>
      <c r="K27" s="1786"/>
      <c r="L27" s="1779">
        <f>'LQG1'!AA26</f>
        <v>0</v>
      </c>
      <c r="M27" s="1780"/>
      <c r="N27" s="1780"/>
      <c r="O27" s="1780"/>
      <c r="P27" s="1780"/>
      <c r="Q27" s="1780"/>
      <c r="R27" s="1780"/>
      <c r="S27" s="1780"/>
      <c r="T27" s="1780"/>
      <c r="U27" s="1780"/>
      <c r="V27" s="1781"/>
      <c r="W27" s="8"/>
      <c r="X27" s="1892" t="s">
        <v>1874</v>
      </c>
      <c r="Y27" s="1893"/>
      <c r="Z27" s="1893"/>
      <c r="AA27" s="1893"/>
      <c r="AB27" s="1893"/>
      <c r="AC27" s="1893"/>
      <c r="AD27" s="1894"/>
      <c r="AE27" s="1786">
        <f>'LQG2'!AP26</f>
        <v>0</v>
      </c>
      <c r="AF27" s="1786"/>
      <c r="AG27" s="1786"/>
      <c r="AH27" s="1786"/>
      <c r="AI27" s="1779">
        <f>'LQG2'!AX26</f>
        <v>0</v>
      </c>
      <c r="AJ27" s="1780"/>
      <c r="AK27" s="1780"/>
      <c r="AL27" s="1780"/>
      <c r="AM27" s="1780"/>
      <c r="AN27" s="1780"/>
      <c r="AO27" s="1780"/>
      <c r="AP27" s="1780"/>
      <c r="AQ27" s="1780"/>
      <c r="AR27" s="1780"/>
      <c r="AS27" s="1781"/>
      <c r="AT27" s="8"/>
      <c r="AU27" s="1892" t="s">
        <v>1874</v>
      </c>
      <c r="AV27" s="1893"/>
      <c r="AW27" s="1893"/>
      <c r="AX27" s="1893"/>
      <c r="AY27" s="1893"/>
      <c r="AZ27" s="1893"/>
      <c r="BA27" s="1894"/>
      <c r="BB27" s="1786">
        <f>'LQG3'!BM26</f>
        <v>0</v>
      </c>
      <c r="BC27" s="1786"/>
      <c r="BD27" s="1786"/>
      <c r="BE27" s="1786"/>
      <c r="BF27" s="1779">
        <f>'LQG3'!BU26</f>
        <v>0</v>
      </c>
      <c r="BG27" s="1780"/>
      <c r="BH27" s="1780"/>
      <c r="BI27" s="1780"/>
      <c r="BJ27" s="1780"/>
      <c r="BK27" s="1780"/>
      <c r="BL27" s="1780"/>
      <c r="BM27" s="1780"/>
      <c r="BN27" s="1780"/>
      <c r="BO27" s="1780"/>
      <c r="BP27" s="1781"/>
    </row>
    <row r="28" spans="1:68" ht="30.05" customHeight="1" x14ac:dyDescent="0.25">
      <c r="A28" s="1889" t="s">
        <v>1875</v>
      </c>
      <c r="B28" s="1890"/>
      <c r="C28" s="1890"/>
      <c r="D28" s="1890"/>
      <c r="E28" s="1890"/>
      <c r="F28" s="1890"/>
      <c r="G28" s="1891"/>
      <c r="H28" s="1786">
        <f>'LQG1'!S27</f>
        <v>0</v>
      </c>
      <c r="I28" s="1786"/>
      <c r="J28" s="1786"/>
      <c r="K28" s="1786"/>
      <c r="L28" s="1779">
        <f>'LQG1'!AA27</f>
        <v>0</v>
      </c>
      <c r="M28" s="1780"/>
      <c r="N28" s="1780"/>
      <c r="O28" s="1780"/>
      <c r="P28" s="1780"/>
      <c r="Q28" s="1780"/>
      <c r="R28" s="1780"/>
      <c r="S28" s="1780"/>
      <c r="T28" s="1780"/>
      <c r="U28" s="1780"/>
      <c r="V28" s="1781"/>
      <c r="W28" s="8"/>
      <c r="X28" s="1892" t="s">
        <v>1875</v>
      </c>
      <c r="Y28" s="1893"/>
      <c r="Z28" s="1893"/>
      <c r="AA28" s="1893"/>
      <c r="AB28" s="1893"/>
      <c r="AC28" s="1893"/>
      <c r="AD28" s="1894"/>
      <c r="AE28" s="1786">
        <f>'LQG2'!AP27</f>
        <v>0</v>
      </c>
      <c r="AF28" s="1786"/>
      <c r="AG28" s="1786"/>
      <c r="AH28" s="1786"/>
      <c r="AI28" s="1779">
        <f>'LQG2'!AX27</f>
        <v>0</v>
      </c>
      <c r="AJ28" s="1780"/>
      <c r="AK28" s="1780"/>
      <c r="AL28" s="1780"/>
      <c r="AM28" s="1780"/>
      <c r="AN28" s="1780"/>
      <c r="AO28" s="1780"/>
      <c r="AP28" s="1780"/>
      <c r="AQ28" s="1780"/>
      <c r="AR28" s="1780"/>
      <c r="AS28" s="1781"/>
      <c r="AT28" s="8"/>
      <c r="AU28" s="1892" t="s">
        <v>1875</v>
      </c>
      <c r="AV28" s="1893"/>
      <c r="AW28" s="1893"/>
      <c r="AX28" s="1893"/>
      <c r="AY28" s="1893"/>
      <c r="AZ28" s="1893"/>
      <c r="BA28" s="1894"/>
      <c r="BB28" s="1786">
        <f>'LQG3'!BM27</f>
        <v>0</v>
      </c>
      <c r="BC28" s="1786"/>
      <c r="BD28" s="1786"/>
      <c r="BE28" s="1786"/>
      <c r="BF28" s="1779">
        <f>'LQG3'!BU27</f>
        <v>0</v>
      </c>
      <c r="BG28" s="1780"/>
      <c r="BH28" s="1780"/>
      <c r="BI28" s="1780"/>
      <c r="BJ28" s="1780"/>
      <c r="BK28" s="1780"/>
      <c r="BL28" s="1780"/>
      <c r="BM28" s="1780"/>
      <c r="BN28" s="1780"/>
      <c r="BO28" s="1780"/>
      <c r="BP28" s="1781"/>
    </row>
    <row r="29" spans="1:68" ht="30.05" customHeight="1" x14ac:dyDescent="0.25">
      <c r="A29" s="1889" t="s">
        <v>1876</v>
      </c>
      <c r="B29" s="1890"/>
      <c r="C29" s="1890"/>
      <c r="D29" s="1890"/>
      <c r="E29" s="1890"/>
      <c r="F29" s="1890"/>
      <c r="G29" s="1891"/>
      <c r="H29" s="1786">
        <f>'LQG1'!S28</f>
        <v>0</v>
      </c>
      <c r="I29" s="1786"/>
      <c r="J29" s="1786"/>
      <c r="K29" s="1786"/>
      <c r="L29" s="1779">
        <f>'LQG1'!AA28</f>
        <v>0</v>
      </c>
      <c r="M29" s="1780"/>
      <c r="N29" s="1780"/>
      <c r="O29" s="1780"/>
      <c r="P29" s="1780"/>
      <c r="Q29" s="1780"/>
      <c r="R29" s="1780"/>
      <c r="S29" s="1780"/>
      <c r="T29" s="1780"/>
      <c r="U29" s="1780"/>
      <c r="V29" s="1781"/>
      <c r="W29" s="8"/>
      <c r="X29" s="1892" t="s">
        <v>1876</v>
      </c>
      <c r="Y29" s="1893"/>
      <c r="Z29" s="1893"/>
      <c r="AA29" s="1893"/>
      <c r="AB29" s="1893"/>
      <c r="AC29" s="1893"/>
      <c r="AD29" s="1894"/>
      <c r="AE29" s="1786">
        <f>'LQG2'!AP28</f>
        <v>0</v>
      </c>
      <c r="AF29" s="1786"/>
      <c r="AG29" s="1786"/>
      <c r="AH29" s="1786"/>
      <c r="AI29" s="1779">
        <f>'LQG2'!AX28</f>
        <v>0</v>
      </c>
      <c r="AJ29" s="1780"/>
      <c r="AK29" s="1780"/>
      <c r="AL29" s="1780"/>
      <c r="AM29" s="1780"/>
      <c r="AN29" s="1780"/>
      <c r="AO29" s="1780"/>
      <c r="AP29" s="1780"/>
      <c r="AQ29" s="1780"/>
      <c r="AR29" s="1780"/>
      <c r="AS29" s="1781"/>
      <c r="AT29" s="8"/>
      <c r="AU29" s="1892" t="s">
        <v>1876</v>
      </c>
      <c r="AV29" s="1893"/>
      <c r="AW29" s="1893"/>
      <c r="AX29" s="1893"/>
      <c r="AY29" s="1893"/>
      <c r="AZ29" s="1893"/>
      <c r="BA29" s="1894"/>
      <c r="BB29" s="1786">
        <f>'LQG3'!BM28</f>
        <v>0</v>
      </c>
      <c r="BC29" s="1786"/>
      <c r="BD29" s="1786"/>
      <c r="BE29" s="1786"/>
      <c r="BF29" s="1779">
        <f>'LQG3'!BU28</f>
        <v>0</v>
      </c>
      <c r="BG29" s="1780"/>
      <c r="BH29" s="1780"/>
      <c r="BI29" s="1780"/>
      <c r="BJ29" s="1780"/>
      <c r="BK29" s="1780"/>
      <c r="BL29" s="1780"/>
      <c r="BM29" s="1780"/>
      <c r="BN29" s="1780"/>
      <c r="BO29" s="1780"/>
      <c r="BP29" s="1781"/>
    </row>
    <row r="30" spans="1:68" ht="30.05" customHeight="1" x14ac:dyDescent="0.25">
      <c r="A30" s="1889" t="s">
        <v>1877</v>
      </c>
      <c r="B30" s="1890"/>
      <c r="C30" s="1890"/>
      <c r="D30" s="1890"/>
      <c r="E30" s="1890"/>
      <c r="F30" s="1890"/>
      <c r="G30" s="1891"/>
      <c r="H30" s="1786">
        <f>'LQG1'!S29</f>
        <v>0</v>
      </c>
      <c r="I30" s="1786"/>
      <c r="J30" s="1786"/>
      <c r="K30" s="1786"/>
      <c r="L30" s="1779">
        <f>'LQG1'!AA29</f>
        <v>0</v>
      </c>
      <c r="M30" s="1780"/>
      <c r="N30" s="1780"/>
      <c r="O30" s="1780"/>
      <c r="P30" s="1780"/>
      <c r="Q30" s="1780"/>
      <c r="R30" s="1780"/>
      <c r="S30" s="1780"/>
      <c r="T30" s="1780"/>
      <c r="U30" s="1780"/>
      <c r="V30" s="1781"/>
      <c r="W30" s="8"/>
      <c r="X30" s="1892" t="s">
        <v>1877</v>
      </c>
      <c r="Y30" s="1893"/>
      <c r="Z30" s="1893"/>
      <c r="AA30" s="1893"/>
      <c r="AB30" s="1893"/>
      <c r="AC30" s="1893"/>
      <c r="AD30" s="1894"/>
      <c r="AE30" s="1786">
        <f>'LQG2'!AP29</f>
        <v>0</v>
      </c>
      <c r="AF30" s="1786"/>
      <c r="AG30" s="1786"/>
      <c r="AH30" s="1786"/>
      <c r="AI30" s="1779">
        <f>'LQG2'!AX29</f>
        <v>0</v>
      </c>
      <c r="AJ30" s="1780"/>
      <c r="AK30" s="1780"/>
      <c r="AL30" s="1780"/>
      <c r="AM30" s="1780"/>
      <c r="AN30" s="1780"/>
      <c r="AO30" s="1780"/>
      <c r="AP30" s="1780"/>
      <c r="AQ30" s="1780"/>
      <c r="AR30" s="1780"/>
      <c r="AS30" s="1781"/>
      <c r="AT30" s="8"/>
      <c r="AU30" s="1892" t="s">
        <v>1877</v>
      </c>
      <c r="AV30" s="1893"/>
      <c r="AW30" s="1893"/>
      <c r="AX30" s="1893"/>
      <c r="AY30" s="1893"/>
      <c r="AZ30" s="1893"/>
      <c r="BA30" s="1894"/>
      <c r="BB30" s="1786">
        <f>'LQG3'!BM29</f>
        <v>0</v>
      </c>
      <c r="BC30" s="1786"/>
      <c r="BD30" s="1786"/>
      <c r="BE30" s="1786"/>
      <c r="BF30" s="1779">
        <f>'LQG3'!BU29</f>
        <v>0</v>
      </c>
      <c r="BG30" s="1780"/>
      <c r="BH30" s="1780"/>
      <c r="BI30" s="1780"/>
      <c r="BJ30" s="1780"/>
      <c r="BK30" s="1780"/>
      <c r="BL30" s="1780"/>
      <c r="BM30" s="1780"/>
      <c r="BN30" s="1780"/>
      <c r="BO30" s="1780"/>
      <c r="BP30" s="1781"/>
    </row>
    <row r="31" spans="1:68" ht="30.05" customHeight="1" x14ac:dyDescent="0.25">
      <c r="A31" s="1889" t="s">
        <v>278</v>
      </c>
      <c r="B31" s="1890"/>
      <c r="C31" s="1890"/>
      <c r="D31" s="1890"/>
      <c r="E31" s="1890"/>
      <c r="F31" s="1890"/>
      <c r="G31" s="1891"/>
      <c r="H31" s="1786">
        <f>'LQG1'!S30</f>
        <v>0</v>
      </c>
      <c r="I31" s="1786"/>
      <c r="J31" s="1786"/>
      <c r="K31" s="1786"/>
      <c r="L31" s="1779">
        <f>'LQG1'!AA30</f>
        <v>0</v>
      </c>
      <c r="M31" s="1780"/>
      <c r="N31" s="1780"/>
      <c r="O31" s="1780"/>
      <c r="P31" s="1780"/>
      <c r="Q31" s="1780"/>
      <c r="R31" s="1780"/>
      <c r="S31" s="1780"/>
      <c r="T31" s="1780"/>
      <c r="U31" s="1780"/>
      <c r="V31" s="1781"/>
      <c r="W31" s="8"/>
      <c r="X31" s="1892" t="s">
        <v>278</v>
      </c>
      <c r="Y31" s="1893"/>
      <c r="Z31" s="1893"/>
      <c r="AA31" s="1893"/>
      <c r="AB31" s="1893"/>
      <c r="AC31" s="1893"/>
      <c r="AD31" s="1894"/>
      <c r="AE31" s="1786">
        <f>'LQG2'!AP30</f>
        <v>0</v>
      </c>
      <c r="AF31" s="1786"/>
      <c r="AG31" s="1786"/>
      <c r="AH31" s="1786"/>
      <c r="AI31" s="1779">
        <f>'LQG2'!AX30</f>
        <v>0</v>
      </c>
      <c r="AJ31" s="1780"/>
      <c r="AK31" s="1780"/>
      <c r="AL31" s="1780"/>
      <c r="AM31" s="1780"/>
      <c r="AN31" s="1780"/>
      <c r="AO31" s="1780"/>
      <c r="AP31" s="1780"/>
      <c r="AQ31" s="1780"/>
      <c r="AR31" s="1780"/>
      <c r="AS31" s="1781"/>
      <c r="AT31" s="8"/>
      <c r="AU31" s="1892" t="s">
        <v>278</v>
      </c>
      <c r="AV31" s="1893"/>
      <c r="AW31" s="1893"/>
      <c r="AX31" s="1893"/>
      <c r="AY31" s="1893"/>
      <c r="AZ31" s="1893"/>
      <c r="BA31" s="1894"/>
      <c r="BB31" s="1786">
        <f>'LQG3'!BM30</f>
        <v>0</v>
      </c>
      <c r="BC31" s="1786"/>
      <c r="BD31" s="1786"/>
      <c r="BE31" s="1786"/>
      <c r="BF31" s="1779">
        <f>'LQG3'!BU30</f>
        <v>0</v>
      </c>
      <c r="BG31" s="1780"/>
      <c r="BH31" s="1780"/>
      <c r="BI31" s="1780"/>
      <c r="BJ31" s="1780"/>
      <c r="BK31" s="1780"/>
      <c r="BL31" s="1780"/>
      <c r="BM31" s="1780"/>
      <c r="BN31" s="1780"/>
      <c r="BO31" s="1780"/>
      <c r="BP31" s="1781"/>
    </row>
    <row r="32" spans="1:68" ht="30.05" customHeight="1" x14ac:dyDescent="0.25">
      <c r="A32" s="1889" t="s">
        <v>1878</v>
      </c>
      <c r="B32" s="1890"/>
      <c r="C32" s="1890"/>
      <c r="D32" s="1890"/>
      <c r="E32" s="1890"/>
      <c r="F32" s="1890"/>
      <c r="G32" s="1891"/>
      <c r="H32" s="1786">
        <f>'LQG1'!S31</f>
        <v>0</v>
      </c>
      <c r="I32" s="1786"/>
      <c r="J32" s="1786"/>
      <c r="K32" s="1786"/>
      <c r="L32" s="1779">
        <f>'LQG1'!AA31</f>
        <v>0</v>
      </c>
      <c r="M32" s="1780"/>
      <c r="N32" s="1780"/>
      <c r="O32" s="1780"/>
      <c r="P32" s="1780"/>
      <c r="Q32" s="1780"/>
      <c r="R32" s="1780"/>
      <c r="S32" s="1780"/>
      <c r="T32" s="1780"/>
      <c r="U32" s="1780"/>
      <c r="V32" s="1781"/>
      <c r="W32" s="8"/>
      <c r="X32" s="1892" t="s">
        <v>1878</v>
      </c>
      <c r="Y32" s="1893"/>
      <c r="Z32" s="1893"/>
      <c r="AA32" s="1893"/>
      <c r="AB32" s="1893"/>
      <c r="AC32" s="1893"/>
      <c r="AD32" s="1894"/>
      <c r="AE32" s="1786">
        <f>'LQG2'!AP31</f>
        <v>0</v>
      </c>
      <c r="AF32" s="1786"/>
      <c r="AG32" s="1786"/>
      <c r="AH32" s="1786"/>
      <c r="AI32" s="1779">
        <f>'LQG2'!AX31</f>
        <v>0</v>
      </c>
      <c r="AJ32" s="1780"/>
      <c r="AK32" s="1780"/>
      <c r="AL32" s="1780"/>
      <c r="AM32" s="1780"/>
      <c r="AN32" s="1780"/>
      <c r="AO32" s="1780"/>
      <c r="AP32" s="1780"/>
      <c r="AQ32" s="1780"/>
      <c r="AR32" s="1780"/>
      <c r="AS32" s="1781"/>
      <c r="AT32" s="8"/>
      <c r="AU32" s="1892" t="s">
        <v>1878</v>
      </c>
      <c r="AV32" s="1893"/>
      <c r="AW32" s="1893"/>
      <c r="AX32" s="1893"/>
      <c r="AY32" s="1893"/>
      <c r="AZ32" s="1893"/>
      <c r="BA32" s="1894"/>
      <c r="BB32" s="1786">
        <f>'LQG3'!BM31</f>
        <v>0</v>
      </c>
      <c r="BC32" s="1786"/>
      <c r="BD32" s="1786"/>
      <c r="BE32" s="1786"/>
      <c r="BF32" s="1779">
        <f>'LQG3'!BU31</f>
        <v>0</v>
      </c>
      <c r="BG32" s="1780"/>
      <c r="BH32" s="1780"/>
      <c r="BI32" s="1780"/>
      <c r="BJ32" s="1780"/>
      <c r="BK32" s="1780"/>
      <c r="BL32" s="1780"/>
      <c r="BM32" s="1780"/>
      <c r="BN32" s="1780"/>
      <c r="BO32" s="1780"/>
      <c r="BP32" s="1781"/>
    </row>
    <row r="33" spans="1:68" ht="30.05" customHeight="1" x14ac:dyDescent="0.25">
      <c r="A33" s="1889" t="s">
        <v>1879</v>
      </c>
      <c r="B33" s="1890"/>
      <c r="C33" s="1890"/>
      <c r="D33" s="1890"/>
      <c r="E33" s="1890"/>
      <c r="F33" s="1890"/>
      <c r="G33" s="1891"/>
      <c r="H33" s="1786">
        <f>'LQG1'!S32</f>
        <v>0</v>
      </c>
      <c r="I33" s="1786"/>
      <c r="J33" s="1786"/>
      <c r="K33" s="1786"/>
      <c r="L33" s="1779">
        <f>'LQG1'!AA32</f>
        <v>0</v>
      </c>
      <c r="M33" s="1780"/>
      <c r="N33" s="1780"/>
      <c r="O33" s="1780"/>
      <c r="P33" s="1780"/>
      <c r="Q33" s="1780"/>
      <c r="R33" s="1780"/>
      <c r="S33" s="1780"/>
      <c r="T33" s="1780"/>
      <c r="U33" s="1780"/>
      <c r="V33" s="1781"/>
      <c r="W33" s="8"/>
      <c r="X33" s="1892" t="s">
        <v>1879</v>
      </c>
      <c r="Y33" s="1893"/>
      <c r="Z33" s="1893"/>
      <c r="AA33" s="1893"/>
      <c r="AB33" s="1893"/>
      <c r="AC33" s="1893"/>
      <c r="AD33" s="1894"/>
      <c r="AE33" s="1786">
        <f>'LQG2'!AP32</f>
        <v>0</v>
      </c>
      <c r="AF33" s="1786"/>
      <c r="AG33" s="1786"/>
      <c r="AH33" s="1786"/>
      <c r="AI33" s="1779">
        <f>'LQG2'!AX32</f>
        <v>0</v>
      </c>
      <c r="AJ33" s="1780"/>
      <c r="AK33" s="1780"/>
      <c r="AL33" s="1780"/>
      <c r="AM33" s="1780"/>
      <c r="AN33" s="1780"/>
      <c r="AO33" s="1780"/>
      <c r="AP33" s="1780"/>
      <c r="AQ33" s="1780"/>
      <c r="AR33" s="1780"/>
      <c r="AS33" s="1781"/>
      <c r="AT33" s="8"/>
      <c r="AU33" s="1892" t="s">
        <v>1879</v>
      </c>
      <c r="AV33" s="1893"/>
      <c r="AW33" s="1893"/>
      <c r="AX33" s="1893"/>
      <c r="AY33" s="1893"/>
      <c r="AZ33" s="1893"/>
      <c r="BA33" s="1894"/>
      <c r="BB33" s="1786">
        <f>'LQG3'!BM32</f>
        <v>0</v>
      </c>
      <c r="BC33" s="1786"/>
      <c r="BD33" s="1786"/>
      <c r="BE33" s="1786"/>
      <c r="BF33" s="1779">
        <f>'LQG3'!BU32</f>
        <v>0</v>
      </c>
      <c r="BG33" s="1780"/>
      <c r="BH33" s="1780"/>
      <c r="BI33" s="1780"/>
      <c r="BJ33" s="1780"/>
      <c r="BK33" s="1780"/>
      <c r="BL33" s="1780"/>
      <c r="BM33" s="1780"/>
      <c r="BN33" s="1780"/>
      <c r="BO33" s="1780"/>
      <c r="BP33" s="1781"/>
    </row>
    <row r="34" spans="1:68" ht="30.05" customHeight="1" x14ac:dyDescent="0.25">
      <c r="A34" s="1889" t="s">
        <v>544</v>
      </c>
      <c r="B34" s="1890"/>
      <c r="C34" s="1890"/>
      <c r="D34" s="1890"/>
      <c r="E34" s="1890"/>
      <c r="F34" s="1890"/>
      <c r="G34" s="1891"/>
      <c r="H34" s="1786">
        <f>'LQG1'!S33</f>
        <v>0</v>
      </c>
      <c r="I34" s="1786"/>
      <c r="J34" s="1786"/>
      <c r="K34" s="1786"/>
      <c r="L34" s="1779">
        <f>'LQG1'!AA33</f>
        <v>0</v>
      </c>
      <c r="M34" s="1780"/>
      <c r="N34" s="1780"/>
      <c r="O34" s="1780"/>
      <c r="P34" s="1780"/>
      <c r="Q34" s="1780"/>
      <c r="R34" s="1780"/>
      <c r="S34" s="1780"/>
      <c r="T34" s="1780"/>
      <c r="U34" s="1780"/>
      <c r="V34" s="1781"/>
      <c r="W34" s="8"/>
      <c r="X34" s="1892" t="s">
        <v>544</v>
      </c>
      <c r="Y34" s="1893"/>
      <c r="Z34" s="1893"/>
      <c r="AA34" s="1893"/>
      <c r="AB34" s="1893"/>
      <c r="AC34" s="1893"/>
      <c r="AD34" s="1894"/>
      <c r="AE34" s="1786">
        <f>'LQG2'!AP33</f>
        <v>0</v>
      </c>
      <c r="AF34" s="1786"/>
      <c r="AG34" s="1786"/>
      <c r="AH34" s="1786"/>
      <c r="AI34" s="1779">
        <f>'LQG2'!AX33</f>
        <v>0</v>
      </c>
      <c r="AJ34" s="1780"/>
      <c r="AK34" s="1780"/>
      <c r="AL34" s="1780"/>
      <c r="AM34" s="1780"/>
      <c r="AN34" s="1780"/>
      <c r="AO34" s="1780"/>
      <c r="AP34" s="1780"/>
      <c r="AQ34" s="1780"/>
      <c r="AR34" s="1780"/>
      <c r="AS34" s="1781"/>
      <c r="AT34" s="8"/>
      <c r="AU34" s="1892" t="s">
        <v>544</v>
      </c>
      <c r="AV34" s="1893"/>
      <c r="AW34" s="1893"/>
      <c r="AX34" s="1893"/>
      <c r="AY34" s="1893"/>
      <c r="AZ34" s="1893"/>
      <c r="BA34" s="1894"/>
      <c r="BB34" s="1786">
        <f>'LQG3'!BM33</f>
        <v>0</v>
      </c>
      <c r="BC34" s="1786"/>
      <c r="BD34" s="1786"/>
      <c r="BE34" s="1786"/>
      <c r="BF34" s="1779">
        <f>'LQG3'!BU33</f>
        <v>0</v>
      </c>
      <c r="BG34" s="1780"/>
      <c r="BH34" s="1780"/>
      <c r="BI34" s="1780"/>
      <c r="BJ34" s="1780"/>
      <c r="BK34" s="1780"/>
      <c r="BL34" s="1780"/>
      <c r="BM34" s="1780"/>
      <c r="BN34" s="1780"/>
      <c r="BO34" s="1780"/>
      <c r="BP34" s="1781"/>
    </row>
    <row r="35" spans="1:68" ht="30.05" customHeight="1" x14ac:dyDescent="0.25">
      <c r="A35" s="1895" t="s">
        <v>1437</v>
      </c>
      <c r="B35" s="1890"/>
      <c r="C35" s="1890"/>
      <c r="D35" s="1890"/>
      <c r="E35" s="1890"/>
      <c r="F35" s="1890"/>
      <c r="G35" s="1891"/>
      <c r="H35" s="1786">
        <f>'LQG1'!S34</f>
        <v>0</v>
      </c>
      <c r="I35" s="1786"/>
      <c r="J35" s="1786"/>
      <c r="K35" s="1786"/>
      <c r="L35" s="1779">
        <f>'LQG1'!AA34</f>
        <v>0</v>
      </c>
      <c r="M35" s="1780"/>
      <c r="N35" s="1780"/>
      <c r="O35" s="1780"/>
      <c r="P35" s="1780"/>
      <c r="Q35" s="1780"/>
      <c r="R35" s="1780"/>
      <c r="S35" s="1780"/>
      <c r="T35" s="1780"/>
      <c r="U35" s="1780"/>
      <c r="V35" s="1781"/>
      <c r="W35" s="8"/>
      <c r="X35" s="1896" t="s">
        <v>1437</v>
      </c>
      <c r="Y35" s="1893"/>
      <c r="Z35" s="1893"/>
      <c r="AA35" s="1893"/>
      <c r="AB35" s="1893"/>
      <c r="AC35" s="1893"/>
      <c r="AD35" s="1894"/>
      <c r="AE35" s="1786">
        <f>'LQG2'!AP34</f>
        <v>0</v>
      </c>
      <c r="AF35" s="1786"/>
      <c r="AG35" s="1786"/>
      <c r="AH35" s="1786"/>
      <c r="AI35" s="1779">
        <f>'LQG2'!AX34</f>
        <v>0</v>
      </c>
      <c r="AJ35" s="1780"/>
      <c r="AK35" s="1780"/>
      <c r="AL35" s="1780"/>
      <c r="AM35" s="1780"/>
      <c r="AN35" s="1780"/>
      <c r="AO35" s="1780"/>
      <c r="AP35" s="1780"/>
      <c r="AQ35" s="1780"/>
      <c r="AR35" s="1780"/>
      <c r="AS35" s="1781"/>
      <c r="AT35" s="8"/>
      <c r="AU35" s="1896" t="s">
        <v>1437</v>
      </c>
      <c r="AV35" s="1893"/>
      <c r="AW35" s="1893"/>
      <c r="AX35" s="1893"/>
      <c r="AY35" s="1893"/>
      <c r="AZ35" s="1893"/>
      <c r="BA35" s="1894"/>
      <c r="BB35" s="1786">
        <f>'LQG3'!BM34</f>
        <v>0</v>
      </c>
      <c r="BC35" s="1786"/>
      <c r="BD35" s="1786"/>
      <c r="BE35" s="1786"/>
      <c r="BF35" s="1779">
        <f>'LQG3'!BU34</f>
        <v>0</v>
      </c>
      <c r="BG35" s="1780"/>
      <c r="BH35" s="1780"/>
      <c r="BI35" s="1780"/>
      <c r="BJ35" s="1780"/>
      <c r="BK35" s="1780"/>
      <c r="BL35" s="1780"/>
      <c r="BM35" s="1780"/>
      <c r="BN35" s="1780"/>
      <c r="BO35" s="1780"/>
      <c r="BP35" s="1781"/>
    </row>
    <row r="36" spans="1:68" ht="30.05" customHeight="1" x14ac:dyDescent="0.25">
      <c r="A36" s="1889" t="s">
        <v>1880</v>
      </c>
      <c r="B36" s="1890"/>
      <c r="C36" s="1890"/>
      <c r="D36" s="1890"/>
      <c r="E36" s="1890"/>
      <c r="F36" s="1890"/>
      <c r="G36" s="1891"/>
      <c r="H36" s="1786">
        <f>'LQG1'!S35</f>
        <v>0</v>
      </c>
      <c r="I36" s="1786"/>
      <c r="J36" s="1786"/>
      <c r="K36" s="1786"/>
      <c r="L36" s="1779">
        <f>'LQG1'!AA35</f>
        <v>0</v>
      </c>
      <c r="M36" s="1780"/>
      <c r="N36" s="1780"/>
      <c r="O36" s="1780"/>
      <c r="P36" s="1780"/>
      <c r="Q36" s="1780"/>
      <c r="R36" s="1780"/>
      <c r="S36" s="1780"/>
      <c r="T36" s="1780"/>
      <c r="U36" s="1780"/>
      <c r="V36" s="1781"/>
      <c r="W36" s="8"/>
      <c r="X36" s="1892" t="s">
        <v>1880</v>
      </c>
      <c r="Y36" s="1893"/>
      <c r="Z36" s="1893"/>
      <c r="AA36" s="1893"/>
      <c r="AB36" s="1893"/>
      <c r="AC36" s="1893"/>
      <c r="AD36" s="1894"/>
      <c r="AE36" s="1786">
        <f>'LQG2'!AP35</f>
        <v>0</v>
      </c>
      <c r="AF36" s="1786"/>
      <c r="AG36" s="1786"/>
      <c r="AH36" s="1786"/>
      <c r="AI36" s="1779">
        <f>'LQG2'!AX35</f>
        <v>0</v>
      </c>
      <c r="AJ36" s="1780"/>
      <c r="AK36" s="1780"/>
      <c r="AL36" s="1780"/>
      <c r="AM36" s="1780"/>
      <c r="AN36" s="1780"/>
      <c r="AO36" s="1780"/>
      <c r="AP36" s="1780"/>
      <c r="AQ36" s="1780"/>
      <c r="AR36" s="1780"/>
      <c r="AS36" s="1781"/>
      <c r="AT36" s="8"/>
      <c r="AU36" s="1892" t="s">
        <v>1880</v>
      </c>
      <c r="AV36" s="1893"/>
      <c r="AW36" s="1893"/>
      <c r="AX36" s="1893"/>
      <c r="AY36" s="1893"/>
      <c r="AZ36" s="1893"/>
      <c r="BA36" s="1894"/>
      <c r="BB36" s="1786">
        <f>'LQG3'!BM35</f>
        <v>0</v>
      </c>
      <c r="BC36" s="1786"/>
      <c r="BD36" s="1786"/>
      <c r="BE36" s="1786"/>
      <c r="BF36" s="1779">
        <f>'LQG3'!BU35</f>
        <v>0</v>
      </c>
      <c r="BG36" s="1780"/>
      <c r="BH36" s="1780"/>
      <c r="BI36" s="1780"/>
      <c r="BJ36" s="1780"/>
      <c r="BK36" s="1780"/>
      <c r="BL36" s="1780"/>
      <c r="BM36" s="1780"/>
      <c r="BN36" s="1780"/>
      <c r="BO36" s="1780"/>
      <c r="BP36" s="1781"/>
    </row>
    <row r="37" spans="1:68" ht="30.05" customHeight="1" x14ac:dyDescent="0.25">
      <c r="A37" s="1889" t="s">
        <v>290</v>
      </c>
      <c r="B37" s="1890"/>
      <c r="C37" s="1890"/>
      <c r="D37" s="1890"/>
      <c r="E37" s="1890"/>
      <c r="F37" s="1890"/>
      <c r="G37" s="1891"/>
      <c r="H37" s="1786">
        <f>'LQG1'!S36</f>
        <v>0</v>
      </c>
      <c r="I37" s="1786"/>
      <c r="J37" s="1786"/>
      <c r="K37" s="1786"/>
      <c r="L37" s="1779">
        <f>'LQG1'!AA36</f>
        <v>0</v>
      </c>
      <c r="M37" s="1780"/>
      <c r="N37" s="1780"/>
      <c r="O37" s="1780"/>
      <c r="P37" s="1780"/>
      <c r="Q37" s="1780"/>
      <c r="R37" s="1780"/>
      <c r="S37" s="1780"/>
      <c r="T37" s="1780"/>
      <c r="U37" s="1780"/>
      <c r="V37" s="1781"/>
      <c r="W37" s="8"/>
      <c r="X37" s="1892" t="s">
        <v>290</v>
      </c>
      <c r="Y37" s="1893"/>
      <c r="Z37" s="1893"/>
      <c r="AA37" s="1893"/>
      <c r="AB37" s="1893"/>
      <c r="AC37" s="1893"/>
      <c r="AD37" s="1894"/>
      <c r="AE37" s="1786">
        <f>'LQG2'!AP36</f>
        <v>0</v>
      </c>
      <c r="AF37" s="1786"/>
      <c r="AG37" s="1786"/>
      <c r="AH37" s="1786"/>
      <c r="AI37" s="1779">
        <f>'LQG2'!AX36</f>
        <v>0</v>
      </c>
      <c r="AJ37" s="1780"/>
      <c r="AK37" s="1780"/>
      <c r="AL37" s="1780"/>
      <c r="AM37" s="1780"/>
      <c r="AN37" s="1780"/>
      <c r="AO37" s="1780"/>
      <c r="AP37" s="1780"/>
      <c r="AQ37" s="1780"/>
      <c r="AR37" s="1780"/>
      <c r="AS37" s="1781"/>
      <c r="AT37" s="8"/>
      <c r="AU37" s="1892" t="s">
        <v>290</v>
      </c>
      <c r="AV37" s="1893"/>
      <c r="AW37" s="1893"/>
      <c r="AX37" s="1893"/>
      <c r="AY37" s="1893"/>
      <c r="AZ37" s="1893"/>
      <c r="BA37" s="1894"/>
      <c r="BB37" s="1786">
        <f>'LQG3'!BM36</f>
        <v>0</v>
      </c>
      <c r="BC37" s="1786"/>
      <c r="BD37" s="1786"/>
      <c r="BE37" s="1786"/>
      <c r="BF37" s="1779">
        <f>'LQG3'!BU36</f>
        <v>0</v>
      </c>
      <c r="BG37" s="1780"/>
      <c r="BH37" s="1780"/>
      <c r="BI37" s="1780"/>
      <c r="BJ37" s="1780"/>
      <c r="BK37" s="1780"/>
      <c r="BL37" s="1780"/>
      <c r="BM37" s="1780"/>
      <c r="BN37" s="1780"/>
      <c r="BO37" s="1780"/>
      <c r="BP37" s="1781"/>
    </row>
    <row r="38" spans="1:68" ht="30.05" customHeight="1" x14ac:dyDescent="0.25">
      <c r="A38" s="1889" t="s">
        <v>1881</v>
      </c>
      <c r="B38" s="1890"/>
      <c r="C38" s="1890"/>
      <c r="D38" s="1890"/>
      <c r="E38" s="1890"/>
      <c r="F38" s="1890"/>
      <c r="G38" s="1891"/>
      <c r="H38" s="1786">
        <f>'LQG1'!S37</f>
        <v>0</v>
      </c>
      <c r="I38" s="1786"/>
      <c r="J38" s="1786"/>
      <c r="K38" s="1786"/>
      <c r="L38" s="1779">
        <f>'LQG1'!AA37</f>
        <v>0</v>
      </c>
      <c r="M38" s="1780"/>
      <c r="N38" s="1780"/>
      <c r="O38" s="1780"/>
      <c r="P38" s="1780"/>
      <c r="Q38" s="1780"/>
      <c r="R38" s="1780"/>
      <c r="S38" s="1780"/>
      <c r="T38" s="1780"/>
      <c r="U38" s="1780"/>
      <c r="V38" s="1781"/>
      <c r="W38" s="8"/>
      <c r="X38" s="1892" t="s">
        <v>1881</v>
      </c>
      <c r="Y38" s="1893"/>
      <c r="Z38" s="1893"/>
      <c r="AA38" s="1893"/>
      <c r="AB38" s="1893"/>
      <c r="AC38" s="1893"/>
      <c r="AD38" s="1894"/>
      <c r="AE38" s="1786">
        <f>'LQG2'!AP37</f>
        <v>0</v>
      </c>
      <c r="AF38" s="1786"/>
      <c r="AG38" s="1786"/>
      <c r="AH38" s="1786"/>
      <c r="AI38" s="1779">
        <f>'LQG2'!AX37</f>
        <v>0</v>
      </c>
      <c r="AJ38" s="1780"/>
      <c r="AK38" s="1780"/>
      <c r="AL38" s="1780"/>
      <c r="AM38" s="1780"/>
      <c r="AN38" s="1780"/>
      <c r="AO38" s="1780"/>
      <c r="AP38" s="1780"/>
      <c r="AQ38" s="1780"/>
      <c r="AR38" s="1780"/>
      <c r="AS38" s="1781"/>
      <c r="AT38" s="8"/>
      <c r="AU38" s="1892" t="s">
        <v>1881</v>
      </c>
      <c r="AV38" s="1893"/>
      <c r="AW38" s="1893"/>
      <c r="AX38" s="1893"/>
      <c r="AY38" s="1893"/>
      <c r="AZ38" s="1893"/>
      <c r="BA38" s="1894"/>
      <c r="BB38" s="1786">
        <f>'LQG3'!BM37</f>
        <v>0</v>
      </c>
      <c r="BC38" s="1786"/>
      <c r="BD38" s="1786"/>
      <c r="BE38" s="1786"/>
      <c r="BF38" s="1779">
        <f>'LQG3'!BU37</f>
        <v>0</v>
      </c>
      <c r="BG38" s="1780"/>
      <c r="BH38" s="1780"/>
      <c r="BI38" s="1780"/>
      <c r="BJ38" s="1780"/>
      <c r="BK38" s="1780"/>
      <c r="BL38" s="1780"/>
      <c r="BM38" s="1780"/>
      <c r="BN38" s="1780"/>
      <c r="BO38" s="1780"/>
      <c r="BP38" s="1781"/>
    </row>
    <row r="39" spans="1:68" ht="30.05" customHeight="1" x14ac:dyDescent="0.25">
      <c r="A39" s="1889" t="s">
        <v>688</v>
      </c>
      <c r="B39" s="1890"/>
      <c r="C39" s="1890"/>
      <c r="D39" s="1890"/>
      <c r="E39" s="1890"/>
      <c r="F39" s="1890"/>
      <c r="G39" s="1891"/>
      <c r="H39" s="1786">
        <f>'LQG1'!S38</f>
        <v>0</v>
      </c>
      <c r="I39" s="1786"/>
      <c r="J39" s="1786"/>
      <c r="K39" s="1786"/>
      <c r="L39" s="1779">
        <f>'LQG1'!AA38</f>
        <v>0</v>
      </c>
      <c r="M39" s="1780"/>
      <c r="N39" s="1780"/>
      <c r="O39" s="1780"/>
      <c r="P39" s="1780"/>
      <c r="Q39" s="1780"/>
      <c r="R39" s="1780"/>
      <c r="S39" s="1780"/>
      <c r="T39" s="1780"/>
      <c r="U39" s="1780"/>
      <c r="V39" s="1781"/>
      <c r="W39" s="8"/>
      <c r="X39" s="1892" t="s">
        <v>688</v>
      </c>
      <c r="Y39" s="1893"/>
      <c r="Z39" s="1893"/>
      <c r="AA39" s="1893"/>
      <c r="AB39" s="1893"/>
      <c r="AC39" s="1893"/>
      <c r="AD39" s="1894"/>
      <c r="AE39" s="1786">
        <f>'LQG2'!AP38</f>
        <v>0</v>
      </c>
      <c r="AF39" s="1786"/>
      <c r="AG39" s="1786"/>
      <c r="AH39" s="1786"/>
      <c r="AI39" s="1779">
        <f>'LQG2'!AX38</f>
        <v>0</v>
      </c>
      <c r="AJ39" s="1780"/>
      <c r="AK39" s="1780"/>
      <c r="AL39" s="1780"/>
      <c r="AM39" s="1780"/>
      <c r="AN39" s="1780"/>
      <c r="AO39" s="1780"/>
      <c r="AP39" s="1780"/>
      <c r="AQ39" s="1780"/>
      <c r="AR39" s="1780"/>
      <c r="AS39" s="1781"/>
      <c r="AT39" s="8"/>
      <c r="AU39" s="1892" t="s">
        <v>688</v>
      </c>
      <c r="AV39" s="1893"/>
      <c r="AW39" s="1893"/>
      <c r="AX39" s="1893"/>
      <c r="AY39" s="1893"/>
      <c r="AZ39" s="1893"/>
      <c r="BA39" s="1894"/>
      <c r="BB39" s="1786">
        <f>'LQG3'!BM38</f>
        <v>0</v>
      </c>
      <c r="BC39" s="1786"/>
      <c r="BD39" s="1786"/>
      <c r="BE39" s="1786"/>
      <c r="BF39" s="1779">
        <f>'LQG3'!BU38</f>
        <v>0</v>
      </c>
      <c r="BG39" s="1780"/>
      <c r="BH39" s="1780"/>
      <c r="BI39" s="1780"/>
      <c r="BJ39" s="1780"/>
      <c r="BK39" s="1780"/>
      <c r="BL39" s="1780"/>
      <c r="BM39" s="1780"/>
      <c r="BN39" s="1780"/>
      <c r="BO39" s="1780"/>
      <c r="BP39" s="1781"/>
    </row>
    <row r="40" spans="1:68" ht="30.05" customHeight="1" x14ac:dyDescent="0.25">
      <c r="A40" s="1889" t="s">
        <v>1882</v>
      </c>
      <c r="B40" s="1890"/>
      <c r="C40" s="1890"/>
      <c r="D40" s="1890"/>
      <c r="E40" s="1890"/>
      <c r="F40" s="1890"/>
      <c r="G40" s="1891"/>
      <c r="H40" s="1786">
        <f>'LQG1'!S39</f>
        <v>0</v>
      </c>
      <c r="I40" s="1786"/>
      <c r="J40" s="1786"/>
      <c r="K40" s="1786"/>
      <c r="L40" s="1779">
        <f>'LQG1'!AA39</f>
        <v>0</v>
      </c>
      <c r="M40" s="1780"/>
      <c r="N40" s="1780"/>
      <c r="O40" s="1780"/>
      <c r="P40" s="1780"/>
      <c r="Q40" s="1780"/>
      <c r="R40" s="1780"/>
      <c r="S40" s="1780"/>
      <c r="T40" s="1780"/>
      <c r="U40" s="1780"/>
      <c r="V40" s="1781"/>
      <c r="W40" s="8"/>
      <c r="X40" s="1892" t="s">
        <v>1882</v>
      </c>
      <c r="Y40" s="1893"/>
      <c r="Z40" s="1893"/>
      <c r="AA40" s="1893"/>
      <c r="AB40" s="1893"/>
      <c r="AC40" s="1893"/>
      <c r="AD40" s="1894"/>
      <c r="AE40" s="1786">
        <f>'LQG2'!AP39</f>
        <v>0</v>
      </c>
      <c r="AF40" s="1786"/>
      <c r="AG40" s="1786"/>
      <c r="AH40" s="1786"/>
      <c r="AI40" s="1779">
        <f>'LQG2'!AX39</f>
        <v>0</v>
      </c>
      <c r="AJ40" s="1780"/>
      <c r="AK40" s="1780"/>
      <c r="AL40" s="1780"/>
      <c r="AM40" s="1780"/>
      <c r="AN40" s="1780"/>
      <c r="AO40" s="1780"/>
      <c r="AP40" s="1780"/>
      <c r="AQ40" s="1780"/>
      <c r="AR40" s="1780"/>
      <c r="AS40" s="1781"/>
      <c r="AT40" s="8"/>
      <c r="AU40" s="1892" t="s">
        <v>1882</v>
      </c>
      <c r="AV40" s="1893"/>
      <c r="AW40" s="1893"/>
      <c r="AX40" s="1893"/>
      <c r="AY40" s="1893"/>
      <c r="AZ40" s="1893"/>
      <c r="BA40" s="1894"/>
      <c r="BB40" s="1786">
        <f>'LQG3'!BM39</f>
        <v>0</v>
      </c>
      <c r="BC40" s="1786"/>
      <c r="BD40" s="1786"/>
      <c r="BE40" s="1786"/>
      <c r="BF40" s="1779">
        <f>'LQG3'!BU39</f>
        <v>0</v>
      </c>
      <c r="BG40" s="1780"/>
      <c r="BH40" s="1780"/>
      <c r="BI40" s="1780"/>
      <c r="BJ40" s="1780"/>
      <c r="BK40" s="1780"/>
      <c r="BL40" s="1780"/>
      <c r="BM40" s="1780"/>
      <c r="BN40" s="1780"/>
      <c r="BO40" s="1780"/>
      <c r="BP40" s="1781"/>
    </row>
    <row r="41" spans="1:68" ht="30.05" customHeight="1" x14ac:dyDescent="0.25">
      <c r="A41" s="1889" t="s">
        <v>378</v>
      </c>
      <c r="B41" s="1890"/>
      <c r="C41" s="1890"/>
      <c r="D41" s="1890"/>
      <c r="E41" s="1890"/>
      <c r="F41" s="1890"/>
      <c r="G41" s="1891"/>
      <c r="H41" s="1786">
        <f>'LQG1'!S40</f>
        <v>0</v>
      </c>
      <c r="I41" s="1786"/>
      <c r="J41" s="1786"/>
      <c r="K41" s="1786"/>
      <c r="L41" s="1779">
        <f>'LQG1'!AA40</f>
        <v>0</v>
      </c>
      <c r="M41" s="1780"/>
      <c r="N41" s="1780"/>
      <c r="O41" s="1780"/>
      <c r="P41" s="1780"/>
      <c r="Q41" s="1780"/>
      <c r="R41" s="1780"/>
      <c r="S41" s="1780"/>
      <c r="T41" s="1780"/>
      <c r="U41" s="1780"/>
      <c r="V41" s="1781"/>
      <c r="W41" s="8"/>
      <c r="X41" s="1892" t="s">
        <v>378</v>
      </c>
      <c r="Y41" s="1893"/>
      <c r="Z41" s="1893"/>
      <c r="AA41" s="1893"/>
      <c r="AB41" s="1893"/>
      <c r="AC41" s="1893"/>
      <c r="AD41" s="1894"/>
      <c r="AE41" s="1786">
        <f>'LQG2'!AP40</f>
        <v>0</v>
      </c>
      <c r="AF41" s="1786"/>
      <c r="AG41" s="1786"/>
      <c r="AH41" s="1786"/>
      <c r="AI41" s="1779">
        <f>'LQG2'!AX40</f>
        <v>0</v>
      </c>
      <c r="AJ41" s="1780"/>
      <c r="AK41" s="1780"/>
      <c r="AL41" s="1780"/>
      <c r="AM41" s="1780"/>
      <c r="AN41" s="1780"/>
      <c r="AO41" s="1780"/>
      <c r="AP41" s="1780"/>
      <c r="AQ41" s="1780"/>
      <c r="AR41" s="1780"/>
      <c r="AS41" s="1781"/>
      <c r="AT41" s="8"/>
      <c r="AU41" s="1892" t="s">
        <v>378</v>
      </c>
      <c r="AV41" s="1893"/>
      <c r="AW41" s="1893"/>
      <c r="AX41" s="1893"/>
      <c r="AY41" s="1893"/>
      <c r="AZ41" s="1893"/>
      <c r="BA41" s="1894"/>
      <c r="BB41" s="1786">
        <f>'LQG3'!BM40</f>
        <v>0</v>
      </c>
      <c r="BC41" s="1786"/>
      <c r="BD41" s="1786"/>
      <c r="BE41" s="1786"/>
      <c r="BF41" s="1779">
        <f>'LQG3'!BU40</f>
        <v>0</v>
      </c>
      <c r="BG41" s="1780"/>
      <c r="BH41" s="1780"/>
      <c r="BI41" s="1780"/>
      <c r="BJ41" s="1780"/>
      <c r="BK41" s="1780"/>
      <c r="BL41" s="1780"/>
      <c r="BM41" s="1780"/>
      <c r="BN41" s="1780"/>
      <c r="BO41" s="1780"/>
      <c r="BP41" s="1781"/>
    </row>
    <row r="42" spans="1:68" ht="30.05" customHeight="1" x14ac:dyDescent="0.25">
      <c r="A42" s="1889" t="s">
        <v>442</v>
      </c>
      <c r="B42" s="1890"/>
      <c r="C42" s="1890"/>
      <c r="D42" s="1890"/>
      <c r="E42" s="1890"/>
      <c r="F42" s="1890"/>
      <c r="G42" s="1891"/>
      <c r="H42" s="1786">
        <f>'LQG1'!S41</f>
        <v>0</v>
      </c>
      <c r="I42" s="1786"/>
      <c r="J42" s="1786"/>
      <c r="K42" s="1786"/>
      <c r="L42" s="1779">
        <f>'LQG1'!AA41</f>
        <v>0</v>
      </c>
      <c r="M42" s="1780"/>
      <c r="N42" s="1780"/>
      <c r="O42" s="1780"/>
      <c r="P42" s="1780"/>
      <c r="Q42" s="1780"/>
      <c r="R42" s="1780"/>
      <c r="S42" s="1780"/>
      <c r="T42" s="1780"/>
      <c r="U42" s="1780"/>
      <c r="V42" s="1781"/>
      <c r="W42" s="8"/>
      <c r="X42" s="1892" t="s">
        <v>442</v>
      </c>
      <c r="Y42" s="1893"/>
      <c r="Z42" s="1893"/>
      <c r="AA42" s="1893"/>
      <c r="AB42" s="1893"/>
      <c r="AC42" s="1893"/>
      <c r="AD42" s="1894"/>
      <c r="AE42" s="1786">
        <f>'LQG2'!AP41</f>
        <v>0</v>
      </c>
      <c r="AF42" s="1786"/>
      <c r="AG42" s="1786"/>
      <c r="AH42" s="1786"/>
      <c r="AI42" s="1779">
        <f>'LQG2'!AX41</f>
        <v>0</v>
      </c>
      <c r="AJ42" s="1780"/>
      <c r="AK42" s="1780"/>
      <c r="AL42" s="1780"/>
      <c r="AM42" s="1780"/>
      <c r="AN42" s="1780"/>
      <c r="AO42" s="1780"/>
      <c r="AP42" s="1780"/>
      <c r="AQ42" s="1780"/>
      <c r="AR42" s="1780"/>
      <c r="AS42" s="1781"/>
      <c r="AT42" s="8"/>
      <c r="AU42" s="1892" t="s">
        <v>442</v>
      </c>
      <c r="AV42" s="1893"/>
      <c r="AW42" s="1893"/>
      <c r="AX42" s="1893"/>
      <c r="AY42" s="1893"/>
      <c r="AZ42" s="1893"/>
      <c r="BA42" s="1894"/>
      <c r="BB42" s="1786">
        <f>'LQG3'!BM41</f>
        <v>0</v>
      </c>
      <c r="BC42" s="1786"/>
      <c r="BD42" s="1786"/>
      <c r="BE42" s="1786"/>
      <c r="BF42" s="1779">
        <f>'LQG3'!BU41</f>
        <v>0</v>
      </c>
      <c r="BG42" s="1780"/>
      <c r="BH42" s="1780"/>
      <c r="BI42" s="1780"/>
      <c r="BJ42" s="1780"/>
      <c r="BK42" s="1780"/>
      <c r="BL42" s="1780"/>
      <c r="BM42" s="1780"/>
      <c r="BN42" s="1780"/>
      <c r="BO42" s="1780"/>
      <c r="BP42" s="1781"/>
    </row>
    <row r="43" spans="1:68" ht="30.05" customHeight="1" x14ac:dyDescent="0.25">
      <c r="A43" s="1889" t="s">
        <v>1883</v>
      </c>
      <c r="B43" s="1890"/>
      <c r="C43" s="1890"/>
      <c r="D43" s="1890"/>
      <c r="E43" s="1890"/>
      <c r="F43" s="1890"/>
      <c r="G43" s="1891"/>
      <c r="H43" s="1786">
        <f>'LQG1'!S42</f>
        <v>0</v>
      </c>
      <c r="I43" s="1786"/>
      <c r="J43" s="1786"/>
      <c r="K43" s="1786"/>
      <c r="L43" s="1779">
        <f>'LQG1'!AA42</f>
        <v>0</v>
      </c>
      <c r="M43" s="1780"/>
      <c r="N43" s="1780"/>
      <c r="O43" s="1780"/>
      <c r="P43" s="1780"/>
      <c r="Q43" s="1780"/>
      <c r="R43" s="1780"/>
      <c r="S43" s="1780"/>
      <c r="T43" s="1780"/>
      <c r="U43" s="1780"/>
      <c r="V43" s="1781"/>
      <c r="W43" s="8"/>
      <c r="X43" s="1892" t="s">
        <v>1883</v>
      </c>
      <c r="Y43" s="1893"/>
      <c r="Z43" s="1893"/>
      <c r="AA43" s="1893"/>
      <c r="AB43" s="1893"/>
      <c r="AC43" s="1893"/>
      <c r="AD43" s="1894"/>
      <c r="AE43" s="1786">
        <f>'LQG2'!AP42</f>
        <v>0</v>
      </c>
      <c r="AF43" s="1786"/>
      <c r="AG43" s="1786"/>
      <c r="AH43" s="1786"/>
      <c r="AI43" s="1779">
        <f>'LQG2'!AX42</f>
        <v>0</v>
      </c>
      <c r="AJ43" s="1780"/>
      <c r="AK43" s="1780"/>
      <c r="AL43" s="1780"/>
      <c r="AM43" s="1780"/>
      <c r="AN43" s="1780"/>
      <c r="AO43" s="1780"/>
      <c r="AP43" s="1780"/>
      <c r="AQ43" s="1780"/>
      <c r="AR43" s="1780"/>
      <c r="AS43" s="1781"/>
      <c r="AT43" s="8"/>
      <c r="AU43" s="1892" t="s">
        <v>1883</v>
      </c>
      <c r="AV43" s="1893"/>
      <c r="AW43" s="1893"/>
      <c r="AX43" s="1893"/>
      <c r="AY43" s="1893"/>
      <c r="AZ43" s="1893"/>
      <c r="BA43" s="1894"/>
      <c r="BB43" s="1786">
        <f>'LQG3'!BM42</f>
        <v>0</v>
      </c>
      <c r="BC43" s="1786"/>
      <c r="BD43" s="1786"/>
      <c r="BE43" s="1786"/>
      <c r="BF43" s="1779">
        <f>'LQG3'!BU42</f>
        <v>0</v>
      </c>
      <c r="BG43" s="1780"/>
      <c r="BH43" s="1780"/>
      <c r="BI43" s="1780"/>
      <c r="BJ43" s="1780"/>
      <c r="BK43" s="1780"/>
      <c r="BL43" s="1780"/>
      <c r="BM43" s="1780"/>
      <c r="BN43" s="1780"/>
      <c r="BO43" s="1780"/>
      <c r="BP43" s="1781"/>
    </row>
    <row r="44" spans="1:68" ht="30.05" customHeight="1" x14ac:dyDescent="0.25">
      <c r="A44" s="1889" t="s">
        <v>1884</v>
      </c>
      <c r="B44" s="1890"/>
      <c r="C44" s="1890"/>
      <c r="D44" s="1890"/>
      <c r="E44" s="1890"/>
      <c r="F44" s="1890"/>
      <c r="G44" s="1891"/>
      <c r="H44" s="1786">
        <f>'LQG1'!S43</f>
        <v>0</v>
      </c>
      <c r="I44" s="1786"/>
      <c r="J44" s="1786"/>
      <c r="K44" s="1786"/>
      <c r="L44" s="1779">
        <f>'LQG1'!AA43</f>
        <v>0</v>
      </c>
      <c r="M44" s="1780"/>
      <c r="N44" s="1780"/>
      <c r="O44" s="1780"/>
      <c r="P44" s="1780"/>
      <c r="Q44" s="1780"/>
      <c r="R44" s="1780"/>
      <c r="S44" s="1780"/>
      <c r="T44" s="1780"/>
      <c r="U44" s="1780"/>
      <c r="V44" s="1781"/>
      <c r="W44" s="8"/>
      <c r="X44" s="1892" t="s">
        <v>1884</v>
      </c>
      <c r="Y44" s="1893"/>
      <c r="Z44" s="1893"/>
      <c r="AA44" s="1893"/>
      <c r="AB44" s="1893"/>
      <c r="AC44" s="1893"/>
      <c r="AD44" s="1894"/>
      <c r="AE44" s="1786">
        <f>'LQG2'!AP43</f>
        <v>0</v>
      </c>
      <c r="AF44" s="1786"/>
      <c r="AG44" s="1786"/>
      <c r="AH44" s="1786"/>
      <c r="AI44" s="1779">
        <f>'LQG2'!AX43</f>
        <v>0</v>
      </c>
      <c r="AJ44" s="1780"/>
      <c r="AK44" s="1780"/>
      <c r="AL44" s="1780"/>
      <c r="AM44" s="1780"/>
      <c r="AN44" s="1780"/>
      <c r="AO44" s="1780"/>
      <c r="AP44" s="1780"/>
      <c r="AQ44" s="1780"/>
      <c r="AR44" s="1780"/>
      <c r="AS44" s="1781"/>
      <c r="AT44" s="8"/>
      <c r="AU44" s="1892" t="s">
        <v>1884</v>
      </c>
      <c r="AV44" s="1893"/>
      <c r="AW44" s="1893"/>
      <c r="AX44" s="1893"/>
      <c r="AY44" s="1893"/>
      <c r="AZ44" s="1893"/>
      <c r="BA44" s="1894"/>
      <c r="BB44" s="1786">
        <f>'LQG3'!BM43</f>
        <v>0</v>
      </c>
      <c r="BC44" s="1786"/>
      <c r="BD44" s="1786"/>
      <c r="BE44" s="1786"/>
      <c r="BF44" s="1779">
        <f>'LQG3'!BU43</f>
        <v>0</v>
      </c>
      <c r="BG44" s="1780"/>
      <c r="BH44" s="1780"/>
      <c r="BI44" s="1780"/>
      <c r="BJ44" s="1780"/>
      <c r="BK44" s="1780"/>
      <c r="BL44" s="1780"/>
      <c r="BM44" s="1780"/>
      <c r="BN44" s="1780"/>
      <c r="BO44" s="1780"/>
      <c r="BP44" s="1781"/>
    </row>
    <row r="45" spans="1:68" ht="30.05" customHeight="1" x14ac:dyDescent="0.25">
      <c r="A45" s="1889" t="s">
        <v>1885</v>
      </c>
      <c r="B45" s="1890"/>
      <c r="C45" s="1890"/>
      <c r="D45" s="1890"/>
      <c r="E45" s="1890"/>
      <c r="F45" s="1890"/>
      <c r="G45" s="1891"/>
      <c r="H45" s="1786">
        <f>'LQG1'!S44</f>
        <v>0</v>
      </c>
      <c r="I45" s="1786"/>
      <c r="J45" s="1786"/>
      <c r="K45" s="1786"/>
      <c r="L45" s="1779">
        <f>'LQG1'!AA44</f>
        <v>0</v>
      </c>
      <c r="M45" s="1780"/>
      <c r="N45" s="1780"/>
      <c r="O45" s="1780"/>
      <c r="P45" s="1780"/>
      <c r="Q45" s="1780"/>
      <c r="R45" s="1780"/>
      <c r="S45" s="1780"/>
      <c r="T45" s="1780"/>
      <c r="U45" s="1780"/>
      <c r="V45" s="1781"/>
      <c r="W45" s="8"/>
      <c r="X45" s="1892" t="s">
        <v>1885</v>
      </c>
      <c r="Y45" s="1893"/>
      <c r="Z45" s="1893"/>
      <c r="AA45" s="1893"/>
      <c r="AB45" s="1893"/>
      <c r="AC45" s="1893"/>
      <c r="AD45" s="1894"/>
      <c r="AE45" s="1786">
        <f>'LQG2'!AP44</f>
        <v>0</v>
      </c>
      <c r="AF45" s="1786"/>
      <c r="AG45" s="1786"/>
      <c r="AH45" s="1786"/>
      <c r="AI45" s="1779">
        <f>'LQG2'!AX44</f>
        <v>0</v>
      </c>
      <c r="AJ45" s="1780"/>
      <c r="AK45" s="1780"/>
      <c r="AL45" s="1780"/>
      <c r="AM45" s="1780"/>
      <c r="AN45" s="1780"/>
      <c r="AO45" s="1780"/>
      <c r="AP45" s="1780"/>
      <c r="AQ45" s="1780"/>
      <c r="AR45" s="1780"/>
      <c r="AS45" s="1781"/>
      <c r="AT45" s="8"/>
      <c r="AU45" s="1892" t="s">
        <v>1885</v>
      </c>
      <c r="AV45" s="1893"/>
      <c r="AW45" s="1893"/>
      <c r="AX45" s="1893"/>
      <c r="AY45" s="1893"/>
      <c r="AZ45" s="1893"/>
      <c r="BA45" s="1894"/>
      <c r="BB45" s="1786">
        <f>'LQG3'!BM44</f>
        <v>0</v>
      </c>
      <c r="BC45" s="1786"/>
      <c r="BD45" s="1786"/>
      <c r="BE45" s="1786"/>
      <c r="BF45" s="1779">
        <f>'LQG3'!BU44</f>
        <v>0</v>
      </c>
      <c r="BG45" s="1780"/>
      <c r="BH45" s="1780"/>
      <c r="BI45" s="1780"/>
      <c r="BJ45" s="1780"/>
      <c r="BK45" s="1780"/>
      <c r="BL45" s="1780"/>
      <c r="BM45" s="1780"/>
      <c r="BN45" s="1780"/>
      <c r="BO45" s="1780"/>
      <c r="BP45" s="1781"/>
    </row>
    <row r="46" spans="1:68" ht="30.05" customHeight="1" x14ac:dyDescent="0.25">
      <c r="A46" s="1889" t="s">
        <v>1886</v>
      </c>
      <c r="B46" s="1890"/>
      <c r="C46" s="1890"/>
      <c r="D46" s="1890"/>
      <c r="E46" s="1890"/>
      <c r="F46" s="1890"/>
      <c r="G46" s="1891"/>
      <c r="H46" s="1786">
        <f>'LQG1'!S45</f>
        <v>0</v>
      </c>
      <c r="I46" s="1786"/>
      <c r="J46" s="1786"/>
      <c r="K46" s="1786"/>
      <c r="L46" s="1779">
        <f>'LQG1'!AA45</f>
        <v>0</v>
      </c>
      <c r="M46" s="1780"/>
      <c r="N46" s="1780"/>
      <c r="O46" s="1780"/>
      <c r="P46" s="1780"/>
      <c r="Q46" s="1780"/>
      <c r="R46" s="1780"/>
      <c r="S46" s="1780"/>
      <c r="T46" s="1780"/>
      <c r="U46" s="1780"/>
      <c r="V46" s="1781"/>
      <c r="W46" s="8"/>
      <c r="X46" s="1892" t="s">
        <v>1886</v>
      </c>
      <c r="Y46" s="1893"/>
      <c r="Z46" s="1893"/>
      <c r="AA46" s="1893"/>
      <c r="AB46" s="1893"/>
      <c r="AC46" s="1893"/>
      <c r="AD46" s="1894"/>
      <c r="AE46" s="1786">
        <f>'LQG2'!AP45</f>
        <v>0</v>
      </c>
      <c r="AF46" s="1786"/>
      <c r="AG46" s="1786"/>
      <c r="AH46" s="1786"/>
      <c r="AI46" s="1779">
        <f>'LQG2'!AX45</f>
        <v>0</v>
      </c>
      <c r="AJ46" s="1780"/>
      <c r="AK46" s="1780"/>
      <c r="AL46" s="1780"/>
      <c r="AM46" s="1780"/>
      <c r="AN46" s="1780"/>
      <c r="AO46" s="1780"/>
      <c r="AP46" s="1780"/>
      <c r="AQ46" s="1780"/>
      <c r="AR46" s="1780"/>
      <c r="AS46" s="1781"/>
      <c r="AT46" s="8"/>
      <c r="AU46" s="1892" t="s">
        <v>1886</v>
      </c>
      <c r="AV46" s="1893"/>
      <c r="AW46" s="1893"/>
      <c r="AX46" s="1893"/>
      <c r="AY46" s="1893"/>
      <c r="AZ46" s="1893"/>
      <c r="BA46" s="1894"/>
      <c r="BB46" s="1786">
        <f>'LQG3'!BM45</f>
        <v>0</v>
      </c>
      <c r="BC46" s="1786"/>
      <c r="BD46" s="1786"/>
      <c r="BE46" s="1786"/>
      <c r="BF46" s="1779">
        <f>'LQG3'!BU45</f>
        <v>0</v>
      </c>
      <c r="BG46" s="1780"/>
      <c r="BH46" s="1780"/>
      <c r="BI46" s="1780"/>
      <c r="BJ46" s="1780"/>
      <c r="BK46" s="1780"/>
      <c r="BL46" s="1780"/>
      <c r="BM46" s="1780"/>
      <c r="BN46" s="1780"/>
      <c r="BO46" s="1780"/>
      <c r="BP46" s="1781"/>
    </row>
    <row r="47" spans="1:68" ht="30.05" customHeight="1" x14ac:dyDescent="0.25">
      <c r="A47" s="1889" t="s">
        <v>1887</v>
      </c>
      <c r="B47" s="1890"/>
      <c r="C47" s="1890"/>
      <c r="D47" s="1890"/>
      <c r="E47" s="1890"/>
      <c r="F47" s="1890"/>
      <c r="G47" s="1891"/>
      <c r="H47" s="1786">
        <f>'LQG1'!S46</f>
        <v>0</v>
      </c>
      <c r="I47" s="1786"/>
      <c r="J47" s="1786"/>
      <c r="K47" s="1786"/>
      <c r="L47" s="1779">
        <f>'LQG1'!AA46</f>
        <v>0</v>
      </c>
      <c r="M47" s="1780"/>
      <c r="N47" s="1780"/>
      <c r="O47" s="1780"/>
      <c r="P47" s="1780"/>
      <c r="Q47" s="1780"/>
      <c r="R47" s="1780"/>
      <c r="S47" s="1780"/>
      <c r="T47" s="1780"/>
      <c r="U47" s="1780"/>
      <c r="V47" s="1781"/>
      <c r="W47" s="8"/>
      <c r="X47" s="1892" t="s">
        <v>1887</v>
      </c>
      <c r="Y47" s="1893"/>
      <c r="Z47" s="1893"/>
      <c r="AA47" s="1893"/>
      <c r="AB47" s="1893"/>
      <c r="AC47" s="1893"/>
      <c r="AD47" s="1894"/>
      <c r="AE47" s="1786">
        <f>'LQG2'!AP46</f>
        <v>0</v>
      </c>
      <c r="AF47" s="1786"/>
      <c r="AG47" s="1786"/>
      <c r="AH47" s="1786"/>
      <c r="AI47" s="1779">
        <f>'LQG2'!AX46</f>
        <v>0</v>
      </c>
      <c r="AJ47" s="1780"/>
      <c r="AK47" s="1780"/>
      <c r="AL47" s="1780"/>
      <c r="AM47" s="1780"/>
      <c r="AN47" s="1780"/>
      <c r="AO47" s="1780"/>
      <c r="AP47" s="1780"/>
      <c r="AQ47" s="1780"/>
      <c r="AR47" s="1780"/>
      <c r="AS47" s="1781"/>
      <c r="AT47" s="8"/>
      <c r="AU47" s="1892" t="s">
        <v>1887</v>
      </c>
      <c r="AV47" s="1893"/>
      <c r="AW47" s="1893"/>
      <c r="AX47" s="1893"/>
      <c r="AY47" s="1893"/>
      <c r="AZ47" s="1893"/>
      <c r="BA47" s="1894"/>
      <c r="BB47" s="1786">
        <f>'LQG3'!BM46</f>
        <v>0</v>
      </c>
      <c r="BC47" s="1786"/>
      <c r="BD47" s="1786"/>
      <c r="BE47" s="1786"/>
      <c r="BF47" s="1779">
        <f>'LQG3'!BU46</f>
        <v>0</v>
      </c>
      <c r="BG47" s="1780"/>
      <c r="BH47" s="1780"/>
      <c r="BI47" s="1780"/>
      <c r="BJ47" s="1780"/>
      <c r="BK47" s="1780"/>
      <c r="BL47" s="1780"/>
      <c r="BM47" s="1780"/>
      <c r="BN47" s="1780"/>
      <c r="BO47" s="1780"/>
      <c r="BP47" s="1781"/>
    </row>
    <row r="48" spans="1:68" ht="30.05" customHeight="1" x14ac:dyDescent="0.25">
      <c r="A48" s="1889" t="s">
        <v>1888</v>
      </c>
      <c r="B48" s="1890"/>
      <c r="C48" s="1890"/>
      <c r="D48" s="1890"/>
      <c r="E48" s="1890"/>
      <c r="F48" s="1890"/>
      <c r="G48" s="1891"/>
      <c r="H48" s="1786">
        <f>'LQG1'!S47</f>
        <v>0</v>
      </c>
      <c r="I48" s="1786"/>
      <c r="J48" s="1786"/>
      <c r="K48" s="1786"/>
      <c r="L48" s="1779">
        <f>'LQG1'!AA47</f>
        <v>0</v>
      </c>
      <c r="M48" s="1780"/>
      <c r="N48" s="1780"/>
      <c r="O48" s="1780"/>
      <c r="P48" s="1780"/>
      <c r="Q48" s="1780"/>
      <c r="R48" s="1780"/>
      <c r="S48" s="1780"/>
      <c r="T48" s="1780"/>
      <c r="U48" s="1780"/>
      <c r="V48" s="1781"/>
      <c r="W48" s="8"/>
      <c r="X48" s="1892" t="s">
        <v>1888</v>
      </c>
      <c r="Y48" s="1893"/>
      <c r="Z48" s="1893"/>
      <c r="AA48" s="1893"/>
      <c r="AB48" s="1893"/>
      <c r="AC48" s="1893"/>
      <c r="AD48" s="1894"/>
      <c r="AE48" s="1786">
        <f>'LQG2'!AP47</f>
        <v>0</v>
      </c>
      <c r="AF48" s="1786"/>
      <c r="AG48" s="1786"/>
      <c r="AH48" s="1786"/>
      <c r="AI48" s="1779">
        <f>'LQG2'!AX47</f>
        <v>0</v>
      </c>
      <c r="AJ48" s="1780"/>
      <c r="AK48" s="1780"/>
      <c r="AL48" s="1780"/>
      <c r="AM48" s="1780"/>
      <c r="AN48" s="1780"/>
      <c r="AO48" s="1780"/>
      <c r="AP48" s="1780"/>
      <c r="AQ48" s="1780"/>
      <c r="AR48" s="1780"/>
      <c r="AS48" s="1781"/>
      <c r="AT48" s="8"/>
      <c r="AU48" s="1892" t="s">
        <v>1888</v>
      </c>
      <c r="AV48" s="1893"/>
      <c r="AW48" s="1893"/>
      <c r="AX48" s="1893"/>
      <c r="AY48" s="1893"/>
      <c r="AZ48" s="1893"/>
      <c r="BA48" s="1894"/>
      <c r="BB48" s="1786">
        <f>'LQG3'!BM47</f>
        <v>0</v>
      </c>
      <c r="BC48" s="1786"/>
      <c r="BD48" s="1786"/>
      <c r="BE48" s="1786"/>
      <c r="BF48" s="1779">
        <f>'LQG3'!BU47</f>
        <v>0</v>
      </c>
      <c r="BG48" s="1780"/>
      <c r="BH48" s="1780"/>
      <c r="BI48" s="1780"/>
      <c r="BJ48" s="1780"/>
      <c r="BK48" s="1780"/>
      <c r="BL48" s="1780"/>
      <c r="BM48" s="1780"/>
      <c r="BN48" s="1780"/>
      <c r="BO48" s="1780"/>
      <c r="BP48" s="1781"/>
    </row>
    <row r="49" spans="1:69" ht="30.05" customHeight="1" x14ac:dyDescent="0.25">
      <c r="A49" s="1889" t="s">
        <v>1889</v>
      </c>
      <c r="B49" s="1890"/>
      <c r="C49" s="1890"/>
      <c r="D49" s="1890"/>
      <c r="E49" s="1890"/>
      <c r="F49" s="1890"/>
      <c r="G49" s="1891"/>
      <c r="H49" s="1786">
        <f>'LQG1'!S48</f>
        <v>0</v>
      </c>
      <c r="I49" s="1786"/>
      <c r="J49" s="1786"/>
      <c r="K49" s="1786"/>
      <c r="L49" s="1779">
        <f>'LQG1'!AA48</f>
        <v>0</v>
      </c>
      <c r="M49" s="1780"/>
      <c r="N49" s="1780"/>
      <c r="O49" s="1780"/>
      <c r="P49" s="1780"/>
      <c r="Q49" s="1780"/>
      <c r="R49" s="1780"/>
      <c r="S49" s="1780"/>
      <c r="T49" s="1780"/>
      <c r="U49" s="1780"/>
      <c r="V49" s="1781"/>
      <c r="W49" s="8"/>
      <c r="X49" s="1892" t="s">
        <v>1889</v>
      </c>
      <c r="Y49" s="1893"/>
      <c r="Z49" s="1893"/>
      <c r="AA49" s="1893"/>
      <c r="AB49" s="1893"/>
      <c r="AC49" s="1893"/>
      <c r="AD49" s="1894"/>
      <c r="AE49" s="1786">
        <f>'LQG2'!AP48</f>
        <v>0</v>
      </c>
      <c r="AF49" s="1786"/>
      <c r="AG49" s="1786"/>
      <c r="AH49" s="1786"/>
      <c r="AI49" s="1779">
        <f>'LQG2'!AX48</f>
        <v>0</v>
      </c>
      <c r="AJ49" s="1780"/>
      <c r="AK49" s="1780"/>
      <c r="AL49" s="1780"/>
      <c r="AM49" s="1780"/>
      <c r="AN49" s="1780"/>
      <c r="AO49" s="1780"/>
      <c r="AP49" s="1780"/>
      <c r="AQ49" s="1780"/>
      <c r="AR49" s="1780"/>
      <c r="AS49" s="1781"/>
      <c r="AT49" s="8"/>
      <c r="AU49" s="1892" t="s">
        <v>1889</v>
      </c>
      <c r="AV49" s="1893"/>
      <c r="AW49" s="1893"/>
      <c r="AX49" s="1893"/>
      <c r="AY49" s="1893"/>
      <c r="AZ49" s="1893"/>
      <c r="BA49" s="1894"/>
      <c r="BB49" s="1786">
        <f>'LQG3'!BM48</f>
        <v>0</v>
      </c>
      <c r="BC49" s="1786"/>
      <c r="BD49" s="1786"/>
      <c r="BE49" s="1786"/>
      <c r="BF49" s="1779">
        <f>'LQG3'!BU48</f>
        <v>0</v>
      </c>
      <c r="BG49" s="1780"/>
      <c r="BH49" s="1780"/>
      <c r="BI49" s="1780"/>
      <c r="BJ49" s="1780"/>
      <c r="BK49" s="1780"/>
      <c r="BL49" s="1780"/>
      <c r="BM49" s="1780"/>
      <c r="BN49" s="1780"/>
      <c r="BO49" s="1780"/>
      <c r="BP49" s="1781"/>
    </row>
    <row r="50" spans="1:69" ht="30.05" customHeight="1" x14ac:dyDescent="0.25">
      <c r="A50" s="1889" t="s">
        <v>1890</v>
      </c>
      <c r="B50" s="1890"/>
      <c r="C50" s="1890"/>
      <c r="D50" s="1890"/>
      <c r="E50" s="1890"/>
      <c r="F50" s="1890"/>
      <c r="G50" s="1891"/>
      <c r="H50" s="1786">
        <f>'LQG1'!S49</f>
        <v>0</v>
      </c>
      <c r="I50" s="1786"/>
      <c r="J50" s="1786"/>
      <c r="K50" s="1786"/>
      <c r="L50" s="1779">
        <f>'LQG1'!AA49</f>
        <v>0</v>
      </c>
      <c r="M50" s="1780"/>
      <c r="N50" s="1780"/>
      <c r="O50" s="1780"/>
      <c r="P50" s="1780"/>
      <c r="Q50" s="1780"/>
      <c r="R50" s="1780"/>
      <c r="S50" s="1780"/>
      <c r="T50" s="1780"/>
      <c r="U50" s="1780"/>
      <c r="V50" s="1781"/>
      <c r="W50" s="8"/>
      <c r="X50" s="1892" t="s">
        <v>1890</v>
      </c>
      <c r="Y50" s="1893"/>
      <c r="Z50" s="1893"/>
      <c r="AA50" s="1893"/>
      <c r="AB50" s="1893"/>
      <c r="AC50" s="1893"/>
      <c r="AD50" s="1894"/>
      <c r="AE50" s="1786">
        <f>'LQG2'!AP49</f>
        <v>0</v>
      </c>
      <c r="AF50" s="1786"/>
      <c r="AG50" s="1786"/>
      <c r="AH50" s="1786"/>
      <c r="AI50" s="1779">
        <f>'LQG2'!AX49</f>
        <v>0</v>
      </c>
      <c r="AJ50" s="1780"/>
      <c r="AK50" s="1780"/>
      <c r="AL50" s="1780"/>
      <c r="AM50" s="1780"/>
      <c r="AN50" s="1780"/>
      <c r="AO50" s="1780"/>
      <c r="AP50" s="1780"/>
      <c r="AQ50" s="1780"/>
      <c r="AR50" s="1780"/>
      <c r="AS50" s="1781"/>
      <c r="AT50" s="8"/>
      <c r="AU50" s="1892" t="s">
        <v>1890</v>
      </c>
      <c r="AV50" s="1893"/>
      <c r="AW50" s="1893"/>
      <c r="AX50" s="1893"/>
      <c r="AY50" s="1893"/>
      <c r="AZ50" s="1893"/>
      <c r="BA50" s="1894"/>
      <c r="BB50" s="1786">
        <f>'LQG3'!BM49</f>
        <v>0</v>
      </c>
      <c r="BC50" s="1786"/>
      <c r="BD50" s="1786"/>
      <c r="BE50" s="1786"/>
      <c r="BF50" s="1779">
        <f>'LQG3'!BU49</f>
        <v>0</v>
      </c>
      <c r="BG50" s="1780"/>
      <c r="BH50" s="1780"/>
      <c r="BI50" s="1780"/>
      <c r="BJ50" s="1780"/>
      <c r="BK50" s="1780"/>
      <c r="BL50" s="1780"/>
      <c r="BM50" s="1780"/>
      <c r="BN50" s="1780"/>
      <c r="BO50" s="1780"/>
      <c r="BP50" s="1781"/>
    </row>
    <row r="51" spans="1:69" ht="30.05" customHeight="1" x14ac:dyDescent="0.25">
      <c r="A51" s="1889" t="s">
        <v>1891</v>
      </c>
      <c r="B51" s="1890"/>
      <c r="C51" s="1890"/>
      <c r="D51" s="1890"/>
      <c r="E51" s="1890"/>
      <c r="F51" s="1890"/>
      <c r="G51" s="1891"/>
      <c r="H51" s="1786">
        <f>'LQG1'!S50</f>
        <v>0</v>
      </c>
      <c r="I51" s="1786"/>
      <c r="J51" s="1786"/>
      <c r="K51" s="1786"/>
      <c r="L51" s="1779">
        <f>'LQG1'!AA50</f>
        <v>0</v>
      </c>
      <c r="M51" s="1780"/>
      <c r="N51" s="1780"/>
      <c r="O51" s="1780"/>
      <c r="P51" s="1780"/>
      <c r="Q51" s="1780"/>
      <c r="R51" s="1780"/>
      <c r="S51" s="1780"/>
      <c r="T51" s="1780"/>
      <c r="U51" s="1780"/>
      <c r="V51" s="1781"/>
      <c r="W51" s="8"/>
      <c r="X51" s="1892" t="s">
        <v>1891</v>
      </c>
      <c r="Y51" s="1893"/>
      <c r="Z51" s="1893"/>
      <c r="AA51" s="1893"/>
      <c r="AB51" s="1893"/>
      <c r="AC51" s="1893"/>
      <c r="AD51" s="1894"/>
      <c r="AE51" s="1786">
        <f>'LQG2'!AP50</f>
        <v>0</v>
      </c>
      <c r="AF51" s="1786"/>
      <c r="AG51" s="1786"/>
      <c r="AH51" s="1786"/>
      <c r="AI51" s="1779">
        <f>'LQG2'!AX50</f>
        <v>0</v>
      </c>
      <c r="AJ51" s="1780"/>
      <c r="AK51" s="1780"/>
      <c r="AL51" s="1780"/>
      <c r="AM51" s="1780"/>
      <c r="AN51" s="1780"/>
      <c r="AO51" s="1780"/>
      <c r="AP51" s="1780"/>
      <c r="AQ51" s="1780"/>
      <c r="AR51" s="1780"/>
      <c r="AS51" s="1781"/>
      <c r="AT51" s="8"/>
      <c r="AU51" s="1892" t="s">
        <v>1891</v>
      </c>
      <c r="AV51" s="1893"/>
      <c r="AW51" s="1893"/>
      <c r="AX51" s="1893"/>
      <c r="AY51" s="1893"/>
      <c r="AZ51" s="1893"/>
      <c r="BA51" s="1894"/>
      <c r="BB51" s="1786">
        <f>'LQG3'!BM50</f>
        <v>0</v>
      </c>
      <c r="BC51" s="1786"/>
      <c r="BD51" s="1786"/>
      <c r="BE51" s="1786"/>
      <c r="BF51" s="1779">
        <f>'LQG3'!BU50</f>
        <v>0</v>
      </c>
      <c r="BG51" s="1780"/>
      <c r="BH51" s="1780"/>
      <c r="BI51" s="1780"/>
      <c r="BJ51" s="1780"/>
      <c r="BK51" s="1780"/>
      <c r="BL51" s="1780"/>
      <c r="BM51" s="1780"/>
      <c r="BN51" s="1780"/>
      <c r="BO51" s="1780"/>
      <c r="BP51" s="1781"/>
    </row>
    <row r="52" spans="1:69" ht="30.05" customHeight="1" x14ac:dyDescent="0.25">
      <c r="A52" s="1889" t="s">
        <v>1892</v>
      </c>
      <c r="B52" s="1890"/>
      <c r="C52" s="1890"/>
      <c r="D52" s="1890"/>
      <c r="E52" s="1890"/>
      <c r="F52" s="1890"/>
      <c r="G52" s="1891"/>
      <c r="H52" s="1786">
        <f>'LQG1'!S51</f>
        <v>0</v>
      </c>
      <c r="I52" s="1786"/>
      <c r="J52" s="1786"/>
      <c r="K52" s="1786"/>
      <c r="L52" s="1779">
        <f>'LQG1'!AA51</f>
        <v>0</v>
      </c>
      <c r="M52" s="1780"/>
      <c r="N52" s="1780"/>
      <c r="O52" s="1780"/>
      <c r="P52" s="1780"/>
      <c r="Q52" s="1780"/>
      <c r="R52" s="1780"/>
      <c r="S52" s="1780"/>
      <c r="T52" s="1780"/>
      <c r="U52" s="1780"/>
      <c r="V52" s="1781"/>
      <c r="W52" s="8"/>
      <c r="X52" s="1892" t="s">
        <v>1892</v>
      </c>
      <c r="Y52" s="1893"/>
      <c r="Z52" s="1893"/>
      <c r="AA52" s="1893"/>
      <c r="AB52" s="1893"/>
      <c r="AC52" s="1893"/>
      <c r="AD52" s="1894"/>
      <c r="AE52" s="1786">
        <f>'LQG2'!AP51</f>
        <v>0</v>
      </c>
      <c r="AF52" s="1786"/>
      <c r="AG52" s="1786"/>
      <c r="AH52" s="1786"/>
      <c r="AI52" s="1779">
        <f>'LQG2'!AX51</f>
        <v>0</v>
      </c>
      <c r="AJ52" s="1780"/>
      <c r="AK52" s="1780"/>
      <c r="AL52" s="1780"/>
      <c r="AM52" s="1780"/>
      <c r="AN52" s="1780"/>
      <c r="AO52" s="1780"/>
      <c r="AP52" s="1780"/>
      <c r="AQ52" s="1780"/>
      <c r="AR52" s="1780"/>
      <c r="AS52" s="1781"/>
      <c r="AT52" s="8"/>
      <c r="AU52" s="1892" t="s">
        <v>1892</v>
      </c>
      <c r="AV52" s="1893"/>
      <c r="AW52" s="1893"/>
      <c r="AX52" s="1893"/>
      <c r="AY52" s="1893"/>
      <c r="AZ52" s="1893"/>
      <c r="BA52" s="1894"/>
      <c r="BB52" s="1786">
        <f>'LQG3'!BM51</f>
        <v>0</v>
      </c>
      <c r="BC52" s="1786"/>
      <c r="BD52" s="1786"/>
      <c r="BE52" s="1786"/>
      <c r="BF52" s="1779">
        <f>'LQG3'!BU51</f>
        <v>0</v>
      </c>
      <c r="BG52" s="1780"/>
      <c r="BH52" s="1780"/>
      <c r="BI52" s="1780"/>
      <c r="BJ52" s="1780"/>
      <c r="BK52" s="1780"/>
      <c r="BL52" s="1780"/>
      <c r="BM52" s="1780"/>
      <c r="BN52" s="1780"/>
      <c r="BO52" s="1780"/>
      <c r="BP52" s="1781"/>
    </row>
    <row r="53" spans="1:69" ht="30.05" customHeight="1" x14ac:dyDescent="0.25">
      <c r="A53" s="1889" t="s">
        <v>401</v>
      </c>
      <c r="B53" s="1890"/>
      <c r="C53" s="1890"/>
      <c r="D53" s="1890"/>
      <c r="E53" s="1890"/>
      <c r="F53" s="1890"/>
      <c r="G53" s="1891"/>
      <c r="H53" s="1786">
        <f>'LQG1'!S52</f>
        <v>0</v>
      </c>
      <c r="I53" s="1786"/>
      <c r="J53" s="1786"/>
      <c r="K53" s="1786"/>
      <c r="L53" s="1779">
        <f>'LQG1'!AA52</f>
        <v>0</v>
      </c>
      <c r="M53" s="1780"/>
      <c r="N53" s="1780"/>
      <c r="O53" s="1780"/>
      <c r="P53" s="1780"/>
      <c r="Q53" s="1780"/>
      <c r="R53" s="1780"/>
      <c r="S53" s="1780"/>
      <c r="T53" s="1780"/>
      <c r="U53" s="1780"/>
      <c r="V53" s="1781"/>
      <c r="W53" s="8"/>
      <c r="X53" s="1892" t="s">
        <v>401</v>
      </c>
      <c r="Y53" s="1893"/>
      <c r="Z53" s="1893"/>
      <c r="AA53" s="1893"/>
      <c r="AB53" s="1893"/>
      <c r="AC53" s="1893"/>
      <c r="AD53" s="1894"/>
      <c r="AE53" s="1786">
        <f>'LQG2'!AP52</f>
        <v>0</v>
      </c>
      <c r="AF53" s="1786"/>
      <c r="AG53" s="1786"/>
      <c r="AH53" s="1786"/>
      <c r="AI53" s="1779">
        <f>'LQG2'!AX52</f>
        <v>0</v>
      </c>
      <c r="AJ53" s="1780"/>
      <c r="AK53" s="1780"/>
      <c r="AL53" s="1780"/>
      <c r="AM53" s="1780"/>
      <c r="AN53" s="1780"/>
      <c r="AO53" s="1780"/>
      <c r="AP53" s="1780"/>
      <c r="AQ53" s="1780"/>
      <c r="AR53" s="1780"/>
      <c r="AS53" s="1781"/>
      <c r="AT53" s="8"/>
      <c r="AU53" s="1892" t="s">
        <v>401</v>
      </c>
      <c r="AV53" s="1893"/>
      <c r="AW53" s="1893"/>
      <c r="AX53" s="1893"/>
      <c r="AY53" s="1893"/>
      <c r="AZ53" s="1893"/>
      <c r="BA53" s="1894"/>
      <c r="BB53" s="1786">
        <f>'LQG3'!BM52</f>
        <v>0</v>
      </c>
      <c r="BC53" s="1786"/>
      <c r="BD53" s="1786"/>
      <c r="BE53" s="1786"/>
      <c r="BF53" s="1779">
        <f>'LQG3'!BU52</f>
        <v>0</v>
      </c>
      <c r="BG53" s="1780"/>
      <c r="BH53" s="1780"/>
      <c r="BI53" s="1780"/>
      <c r="BJ53" s="1780"/>
      <c r="BK53" s="1780"/>
      <c r="BL53" s="1780"/>
      <c r="BM53" s="1780"/>
      <c r="BN53" s="1780"/>
      <c r="BO53" s="1780"/>
      <c r="BP53" s="1781"/>
    </row>
    <row r="54" spans="1:69" ht="30.05" customHeight="1" x14ac:dyDescent="0.25">
      <c r="A54" s="1889" t="s">
        <v>255</v>
      </c>
      <c r="B54" s="1890"/>
      <c r="C54" s="1890"/>
      <c r="D54" s="1890"/>
      <c r="E54" s="1890"/>
      <c r="F54" s="1890"/>
      <c r="G54" s="1891"/>
      <c r="H54" s="1786">
        <f>'LQG1'!S53</f>
        <v>0</v>
      </c>
      <c r="I54" s="1786"/>
      <c r="J54" s="1786"/>
      <c r="K54" s="1786"/>
      <c r="L54" s="1779">
        <f>'LQG1'!AA53</f>
        <v>0</v>
      </c>
      <c r="M54" s="1780"/>
      <c r="N54" s="1780"/>
      <c r="O54" s="1780"/>
      <c r="P54" s="1780"/>
      <c r="Q54" s="1780"/>
      <c r="R54" s="1780"/>
      <c r="S54" s="1780"/>
      <c r="T54" s="1780"/>
      <c r="U54" s="1780"/>
      <c r="V54" s="1781"/>
      <c r="W54" s="8"/>
      <c r="X54" s="1892" t="s">
        <v>255</v>
      </c>
      <c r="Y54" s="1893"/>
      <c r="Z54" s="1893"/>
      <c r="AA54" s="1893"/>
      <c r="AB54" s="1893"/>
      <c r="AC54" s="1893"/>
      <c r="AD54" s="1894"/>
      <c r="AE54" s="1786">
        <f>'LQG2'!AP53</f>
        <v>0</v>
      </c>
      <c r="AF54" s="1786"/>
      <c r="AG54" s="1786"/>
      <c r="AH54" s="1786"/>
      <c r="AI54" s="1779">
        <f>'LQG2'!AX53</f>
        <v>0</v>
      </c>
      <c r="AJ54" s="1780"/>
      <c r="AK54" s="1780"/>
      <c r="AL54" s="1780"/>
      <c r="AM54" s="1780"/>
      <c r="AN54" s="1780"/>
      <c r="AO54" s="1780"/>
      <c r="AP54" s="1780"/>
      <c r="AQ54" s="1780"/>
      <c r="AR54" s="1780"/>
      <c r="AS54" s="1781"/>
      <c r="AT54" s="8"/>
      <c r="AU54" s="1892" t="s">
        <v>255</v>
      </c>
      <c r="AV54" s="1893"/>
      <c r="AW54" s="1893"/>
      <c r="AX54" s="1893"/>
      <c r="AY54" s="1893"/>
      <c r="AZ54" s="1893"/>
      <c r="BA54" s="1894"/>
      <c r="BB54" s="1786">
        <f>'LQG3'!BM53</f>
        <v>0</v>
      </c>
      <c r="BC54" s="1786"/>
      <c r="BD54" s="1786"/>
      <c r="BE54" s="1786"/>
      <c r="BF54" s="1779">
        <f>'LQG3'!BU53</f>
        <v>0</v>
      </c>
      <c r="BG54" s="1780"/>
      <c r="BH54" s="1780"/>
      <c r="BI54" s="1780"/>
      <c r="BJ54" s="1780"/>
      <c r="BK54" s="1780"/>
      <c r="BL54" s="1780"/>
      <c r="BM54" s="1780"/>
      <c r="BN54" s="1780"/>
      <c r="BO54" s="1780"/>
      <c r="BP54" s="1781"/>
    </row>
    <row r="55" spans="1:69" ht="30.05" customHeight="1" x14ac:dyDescent="0.25">
      <c r="A55" s="1889" t="s">
        <v>371</v>
      </c>
      <c r="B55" s="1890"/>
      <c r="C55" s="1890"/>
      <c r="D55" s="1890"/>
      <c r="E55" s="1890"/>
      <c r="F55" s="1890"/>
      <c r="G55" s="1891"/>
      <c r="H55" s="1786">
        <f>'LQG1'!S54</f>
        <v>0</v>
      </c>
      <c r="I55" s="1786"/>
      <c r="J55" s="1786"/>
      <c r="K55" s="1786"/>
      <c r="L55" s="1779">
        <f>'LQG1'!AA54</f>
        <v>0</v>
      </c>
      <c r="M55" s="1780"/>
      <c r="N55" s="1780"/>
      <c r="O55" s="1780"/>
      <c r="P55" s="1780"/>
      <c r="Q55" s="1780"/>
      <c r="R55" s="1780"/>
      <c r="S55" s="1780"/>
      <c r="T55" s="1780"/>
      <c r="U55" s="1780"/>
      <c r="V55" s="1781"/>
      <c r="W55" s="8"/>
      <c r="X55" s="1892" t="s">
        <v>371</v>
      </c>
      <c r="Y55" s="1893"/>
      <c r="Z55" s="1893"/>
      <c r="AA55" s="1893"/>
      <c r="AB55" s="1893"/>
      <c r="AC55" s="1893"/>
      <c r="AD55" s="1894"/>
      <c r="AE55" s="1786">
        <f>'LQG2'!AP54</f>
        <v>0</v>
      </c>
      <c r="AF55" s="1786"/>
      <c r="AG55" s="1786"/>
      <c r="AH55" s="1786"/>
      <c r="AI55" s="1779">
        <f>'LQG2'!AX54</f>
        <v>0</v>
      </c>
      <c r="AJ55" s="1780"/>
      <c r="AK55" s="1780"/>
      <c r="AL55" s="1780"/>
      <c r="AM55" s="1780"/>
      <c r="AN55" s="1780"/>
      <c r="AO55" s="1780"/>
      <c r="AP55" s="1780"/>
      <c r="AQ55" s="1780"/>
      <c r="AR55" s="1780"/>
      <c r="AS55" s="1781"/>
      <c r="AT55" s="8"/>
      <c r="AU55" s="1892" t="s">
        <v>371</v>
      </c>
      <c r="AV55" s="1893"/>
      <c r="AW55" s="1893"/>
      <c r="AX55" s="1893"/>
      <c r="AY55" s="1893"/>
      <c r="AZ55" s="1893"/>
      <c r="BA55" s="1894"/>
      <c r="BB55" s="1786">
        <f>'LQG3'!BM54</f>
        <v>0</v>
      </c>
      <c r="BC55" s="1786"/>
      <c r="BD55" s="1786"/>
      <c r="BE55" s="1786"/>
      <c r="BF55" s="1779">
        <f>'LQG3'!BU54</f>
        <v>0</v>
      </c>
      <c r="BG55" s="1780"/>
      <c r="BH55" s="1780"/>
      <c r="BI55" s="1780"/>
      <c r="BJ55" s="1780"/>
      <c r="BK55" s="1780"/>
      <c r="BL55" s="1780"/>
      <c r="BM55" s="1780"/>
      <c r="BN55" s="1780"/>
      <c r="BO55" s="1780"/>
      <c r="BP55" s="1781"/>
    </row>
    <row r="56" spans="1:69" ht="30.05" customHeight="1" thickBot="1" x14ac:dyDescent="0.3">
      <c r="A56" s="1910" t="s">
        <v>1893</v>
      </c>
      <c r="B56" s="1911"/>
      <c r="C56" s="1911"/>
      <c r="D56" s="1911"/>
      <c r="E56" s="1911"/>
      <c r="F56" s="1911"/>
      <c r="G56" s="1912"/>
      <c r="H56" s="1897">
        <f>'LQG1'!S55</f>
        <v>0</v>
      </c>
      <c r="I56" s="1897"/>
      <c r="J56" s="1897"/>
      <c r="K56" s="1897"/>
      <c r="L56" s="1913">
        <f>'LQG1'!AA55</f>
        <v>0</v>
      </c>
      <c r="M56" s="1914"/>
      <c r="N56" s="1914"/>
      <c r="O56" s="1914"/>
      <c r="P56" s="1914"/>
      <c r="Q56" s="1914"/>
      <c r="R56" s="1914"/>
      <c r="S56" s="1914"/>
      <c r="T56" s="1914"/>
      <c r="U56" s="1914"/>
      <c r="V56" s="1915"/>
      <c r="W56" s="8"/>
      <c r="X56" s="1916" t="s">
        <v>1893</v>
      </c>
      <c r="Y56" s="1917"/>
      <c r="Z56" s="1917"/>
      <c r="AA56" s="1917"/>
      <c r="AB56" s="1917"/>
      <c r="AC56" s="1917"/>
      <c r="AD56" s="1918"/>
      <c r="AE56" s="1897">
        <f>'LQG2'!AP55</f>
        <v>0</v>
      </c>
      <c r="AF56" s="1897"/>
      <c r="AG56" s="1897"/>
      <c r="AH56" s="1897"/>
      <c r="AI56" s="1913">
        <f>'LQG2'!AX55</f>
        <v>0</v>
      </c>
      <c r="AJ56" s="1914"/>
      <c r="AK56" s="1914"/>
      <c r="AL56" s="1914"/>
      <c r="AM56" s="1914"/>
      <c r="AN56" s="1914"/>
      <c r="AO56" s="1914"/>
      <c r="AP56" s="1914"/>
      <c r="AQ56" s="1914"/>
      <c r="AR56" s="1914"/>
      <c r="AS56" s="1915"/>
      <c r="AT56" s="8"/>
      <c r="AU56" s="1916" t="s">
        <v>1893</v>
      </c>
      <c r="AV56" s="1917"/>
      <c r="AW56" s="1917"/>
      <c r="AX56" s="1917"/>
      <c r="AY56" s="1917"/>
      <c r="AZ56" s="1917"/>
      <c r="BA56" s="1918"/>
      <c r="BB56" s="1897">
        <f>'LQG3'!BM55</f>
        <v>0</v>
      </c>
      <c r="BC56" s="1897"/>
      <c r="BD56" s="1897"/>
      <c r="BE56" s="1897"/>
      <c r="BF56" s="1913">
        <f>'LQG3'!BU55</f>
        <v>0</v>
      </c>
      <c r="BG56" s="1914"/>
      <c r="BH56" s="1914"/>
      <c r="BI56" s="1914"/>
      <c r="BJ56" s="1914"/>
      <c r="BK56" s="1914"/>
      <c r="BL56" s="1914"/>
      <c r="BM56" s="1914"/>
      <c r="BN56" s="1914"/>
      <c r="BO56" s="1914"/>
      <c r="BP56" s="1915"/>
    </row>
    <row r="57" spans="1:69" ht="30.05" customHeight="1" thickBot="1" x14ac:dyDescent="0.3">
      <c r="A57" s="1907" t="s">
        <v>1894</v>
      </c>
      <c r="B57" s="1908"/>
      <c r="C57" s="1908"/>
      <c r="D57" s="1908"/>
      <c r="E57" s="1908"/>
      <c r="F57" s="1908"/>
      <c r="G57" s="1909"/>
      <c r="H57" s="1782">
        <f>'LQG1'!AA10</f>
        <v>0</v>
      </c>
      <c r="I57" s="1783"/>
      <c r="J57" s="1783"/>
      <c r="K57" s="1783"/>
      <c r="L57" s="1783"/>
      <c r="M57" s="1783"/>
      <c r="N57" s="1783"/>
      <c r="O57" s="1783"/>
      <c r="P57" s="1783"/>
      <c r="Q57" s="1783"/>
      <c r="R57" s="1783"/>
      <c r="S57" s="1783"/>
      <c r="T57" s="1783"/>
      <c r="U57" s="1783"/>
      <c r="V57" s="1784"/>
      <c r="W57" s="8"/>
      <c r="X57" s="1901" t="s">
        <v>1894</v>
      </c>
      <c r="Y57" s="1902"/>
      <c r="Z57" s="1902"/>
      <c r="AA57" s="1902"/>
      <c r="AB57" s="1902"/>
      <c r="AC57" s="1902"/>
      <c r="AD57" s="1903"/>
      <c r="AE57" s="1782">
        <f>'LQG2'!AA10</f>
        <v>0</v>
      </c>
      <c r="AF57" s="1783"/>
      <c r="AG57" s="1783"/>
      <c r="AH57" s="1783"/>
      <c r="AI57" s="1783"/>
      <c r="AJ57" s="1783"/>
      <c r="AK57" s="1783"/>
      <c r="AL57" s="1783"/>
      <c r="AM57" s="1783"/>
      <c r="AN57" s="1783"/>
      <c r="AO57" s="1783"/>
      <c r="AP57" s="1783"/>
      <c r="AQ57" s="1783"/>
      <c r="AR57" s="1783"/>
      <c r="AS57" s="1784"/>
      <c r="AT57" s="8"/>
      <c r="AU57" s="1901" t="s">
        <v>1894</v>
      </c>
      <c r="AV57" s="1902"/>
      <c r="AW57" s="1902"/>
      <c r="AX57" s="1902"/>
      <c r="AY57" s="1902"/>
      <c r="AZ57" s="1902"/>
      <c r="BA57" s="1903"/>
      <c r="BB57" s="1782">
        <f>'LQG3'!AA10</f>
        <v>0</v>
      </c>
      <c r="BC57" s="1783"/>
      <c r="BD57" s="1783"/>
      <c r="BE57" s="1783"/>
      <c r="BF57" s="1783"/>
      <c r="BG57" s="1783"/>
      <c r="BH57" s="1783"/>
      <c r="BI57" s="1783"/>
      <c r="BJ57" s="1783"/>
      <c r="BK57" s="1783"/>
      <c r="BL57" s="1783"/>
      <c r="BM57" s="1783"/>
      <c r="BN57" s="1783"/>
      <c r="BO57" s="1783"/>
      <c r="BP57" s="1784"/>
    </row>
    <row r="58" spans="1:69" ht="10.199999999999999" customHeight="1" thickBot="1" x14ac:dyDescent="0.3"/>
    <row r="59" spans="1:69" ht="30.05" customHeight="1" thickBot="1" x14ac:dyDescent="0.3">
      <c r="A59" s="1904" t="s">
        <v>1895</v>
      </c>
      <c r="B59" s="1905"/>
      <c r="C59" s="1905"/>
      <c r="D59" s="1905"/>
      <c r="E59" s="1905"/>
      <c r="F59" s="1905"/>
      <c r="G59" s="1906"/>
      <c r="H59" s="1770"/>
      <c r="I59" s="1771"/>
      <c r="J59" s="1771"/>
      <c r="K59" s="1771"/>
      <c r="L59" s="1771"/>
      <c r="M59" s="1771"/>
      <c r="N59" s="1771"/>
      <c r="O59" s="1771"/>
      <c r="P59" s="1771"/>
      <c r="Q59" s="1771"/>
      <c r="R59" s="1771"/>
      <c r="S59" s="1771"/>
      <c r="T59" s="1771"/>
      <c r="U59" s="1771"/>
      <c r="V59" s="1772"/>
      <c r="W59" s="8"/>
      <c r="X59" s="1904" t="s">
        <v>1895</v>
      </c>
      <c r="Y59" s="1905"/>
      <c r="Z59" s="1905"/>
      <c r="AA59" s="1905"/>
      <c r="AB59" s="1905"/>
      <c r="AC59" s="1905"/>
      <c r="AD59" s="1906"/>
      <c r="AE59" s="1770"/>
      <c r="AF59" s="1771"/>
      <c r="AG59" s="1771"/>
      <c r="AH59" s="1771"/>
      <c r="AI59" s="1771"/>
      <c r="AJ59" s="1771"/>
      <c r="AK59" s="1771"/>
      <c r="AL59" s="1771"/>
      <c r="AM59" s="1771"/>
      <c r="AN59" s="1771"/>
      <c r="AO59" s="1771"/>
      <c r="AP59" s="1771"/>
      <c r="AQ59" s="1771"/>
      <c r="AR59" s="1771"/>
      <c r="AS59" s="1772"/>
      <c r="AT59" s="8"/>
      <c r="AU59" s="1904" t="s">
        <v>1895</v>
      </c>
      <c r="AV59" s="1905"/>
      <c r="AW59" s="1905"/>
      <c r="AX59" s="1905"/>
      <c r="AY59" s="1905"/>
      <c r="AZ59" s="1905"/>
      <c r="BA59" s="1906"/>
      <c r="BB59" s="1770"/>
      <c r="BC59" s="1771"/>
      <c r="BD59" s="1771"/>
      <c r="BE59" s="1771"/>
      <c r="BF59" s="1771"/>
      <c r="BG59" s="1771"/>
      <c r="BH59" s="1771"/>
      <c r="BI59" s="1771"/>
      <c r="BJ59" s="1771"/>
      <c r="BK59" s="1771"/>
      <c r="BL59" s="1771"/>
      <c r="BM59" s="1771"/>
      <c r="BN59" s="1771"/>
      <c r="BO59" s="1771"/>
      <c r="BP59" s="1772"/>
    </row>
    <row r="60" spans="1:69" ht="10.199999999999999" customHeight="1" thickBot="1" x14ac:dyDescent="0.3">
      <c r="A60" s="2"/>
      <c r="B60" s="2"/>
      <c r="C60" s="2"/>
      <c r="D60" s="2"/>
      <c r="E60" s="2"/>
      <c r="F60" s="2"/>
      <c r="G60" s="2"/>
      <c r="H60" s="2"/>
      <c r="I60" s="2"/>
      <c r="J60" s="2"/>
      <c r="K60" s="2"/>
      <c r="L60" s="2"/>
      <c r="M60" s="2"/>
      <c r="N60" s="2"/>
      <c r="O60" s="2"/>
      <c r="P60" s="2"/>
      <c r="Q60" s="2"/>
      <c r="R60" s="2"/>
      <c r="S60" s="2"/>
      <c r="T60" s="2"/>
      <c r="U60" s="2"/>
      <c r="V60" s="2"/>
      <c r="X60" s="2"/>
      <c r="Y60" s="2"/>
      <c r="Z60" s="2"/>
      <c r="AA60" s="2"/>
      <c r="AB60" s="2"/>
      <c r="AC60" s="2"/>
      <c r="AD60" s="2"/>
      <c r="AE60" s="2"/>
      <c r="AF60" s="2"/>
      <c r="AG60" s="2"/>
      <c r="AH60" s="2"/>
      <c r="AI60" s="2"/>
      <c r="AJ60" s="2"/>
      <c r="AK60" s="2"/>
      <c r="AL60" s="2"/>
      <c r="AM60" s="2"/>
      <c r="AN60" s="2"/>
      <c r="AO60" s="2"/>
      <c r="AP60" s="2"/>
      <c r="AQ60" s="2"/>
      <c r="AR60" s="2"/>
      <c r="AS60" s="2"/>
      <c r="AU60" s="2"/>
      <c r="AV60" s="2"/>
      <c r="AW60" s="2"/>
      <c r="AX60" s="2"/>
      <c r="AY60" s="2"/>
      <c r="AZ60" s="2"/>
      <c r="BA60" s="2"/>
      <c r="BB60" s="2"/>
      <c r="BC60" s="2"/>
      <c r="BD60" s="2"/>
      <c r="BE60" s="2"/>
      <c r="BF60" s="2"/>
      <c r="BG60" s="2"/>
      <c r="BH60" s="2"/>
      <c r="BI60" s="2"/>
      <c r="BJ60" s="2"/>
      <c r="BK60" s="2"/>
      <c r="BL60" s="2"/>
      <c r="BM60" s="2"/>
      <c r="BN60" s="2"/>
      <c r="BO60" s="2"/>
      <c r="BP60" s="2"/>
    </row>
    <row r="61" spans="1:69" ht="30.05" customHeight="1" thickBot="1" x14ac:dyDescent="0.3">
      <c r="A61" s="1899" t="s">
        <v>1896</v>
      </c>
      <c r="B61" s="1900"/>
      <c r="C61" s="1900"/>
      <c r="D61" s="1900"/>
      <c r="E61" s="1900"/>
      <c r="F61" s="1900"/>
      <c r="G61" s="1900"/>
      <c r="H61" s="1773" t="e">
        <f>#REF!</f>
        <v>#REF!</v>
      </c>
      <c r="I61" s="1774"/>
      <c r="J61" s="1774"/>
      <c r="K61" s="1774"/>
      <c r="L61" s="1774"/>
      <c r="M61" s="1774"/>
      <c r="N61" s="1774"/>
      <c r="O61" s="1775"/>
      <c r="P61" s="10"/>
      <c r="Q61" s="10"/>
      <c r="R61" s="10"/>
      <c r="S61" s="10"/>
      <c r="T61" s="10"/>
      <c r="U61" s="10"/>
      <c r="V61" s="10"/>
      <c r="W61" s="11"/>
      <c r="X61" s="1899" t="s">
        <v>1896</v>
      </c>
      <c r="Y61" s="1900"/>
      <c r="Z61" s="1900"/>
      <c r="AA61" s="1900"/>
      <c r="AB61" s="1900"/>
      <c r="AC61" s="1900"/>
      <c r="AD61" s="1900"/>
      <c r="AE61" s="1773" t="e">
        <f>#REF!</f>
        <v>#REF!</v>
      </c>
      <c r="AF61" s="1774"/>
      <c r="AG61" s="1774"/>
      <c r="AH61" s="1774"/>
      <c r="AI61" s="1774"/>
      <c r="AJ61" s="1774"/>
      <c r="AK61" s="1774"/>
      <c r="AL61" s="1775"/>
      <c r="AM61" s="10"/>
      <c r="AN61" s="10"/>
      <c r="AO61" s="10"/>
      <c r="AP61" s="10"/>
      <c r="AQ61" s="10"/>
      <c r="AR61" s="10"/>
      <c r="AS61" s="10"/>
      <c r="AT61" s="11"/>
      <c r="AU61" s="1899" t="s">
        <v>1896</v>
      </c>
      <c r="AV61" s="1900"/>
      <c r="AW61" s="1900"/>
      <c r="AX61" s="1900"/>
      <c r="AY61" s="1900"/>
      <c r="AZ61" s="1900"/>
      <c r="BA61" s="1900"/>
      <c r="BB61" s="1773" t="e">
        <f>#REF!</f>
        <v>#REF!</v>
      </c>
      <c r="BC61" s="1774"/>
      <c r="BD61" s="1774"/>
      <c r="BE61" s="1774"/>
      <c r="BF61" s="1774"/>
      <c r="BG61" s="1774"/>
      <c r="BH61" s="1774"/>
      <c r="BI61" s="1775"/>
      <c r="BJ61" s="10"/>
      <c r="BK61" s="10"/>
      <c r="BL61" s="10"/>
      <c r="BM61" s="10"/>
      <c r="BN61" s="10"/>
      <c r="BO61" s="10"/>
      <c r="BP61" s="10"/>
      <c r="BQ61" s="3"/>
    </row>
  </sheetData>
  <mergeCells count="461">
    <mergeCell ref="AU3:BA3"/>
    <mergeCell ref="BB3:BP3"/>
    <mergeCell ref="A61:G61"/>
    <mergeCell ref="X61:AD61"/>
    <mergeCell ref="AU61:BA61"/>
    <mergeCell ref="AU57:BA57"/>
    <mergeCell ref="A59:G59"/>
    <mergeCell ref="X59:AD59"/>
    <mergeCell ref="AU59:BA59"/>
    <mergeCell ref="A57:G57"/>
    <mergeCell ref="X57:AD57"/>
    <mergeCell ref="H59:V59"/>
    <mergeCell ref="H61:O61"/>
    <mergeCell ref="AE59:AS59"/>
    <mergeCell ref="AE61:AL61"/>
    <mergeCell ref="H57:V57"/>
    <mergeCell ref="A56:G56"/>
    <mergeCell ref="L56:V56"/>
    <mergeCell ref="X56:AD56"/>
    <mergeCell ref="AI56:AS56"/>
    <mergeCell ref="AU56:BA56"/>
    <mergeCell ref="BF56:BP56"/>
    <mergeCell ref="H56:K56"/>
    <mergeCell ref="AE56:AH56"/>
    <mergeCell ref="BB56:BE56"/>
    <mergeCell ref="A55:G55"/>
    <mergeCell ref="L55:V55"/>
    <mergeCell ref="X55:AD55"/>
    <mergeCell ref="AI55:AS55"/>
    <mergeCell ref="AU55:BA55"/>
    <mergeCell ref="BF55:BP55"/>
    <mergeCell ref="H55:K55"/>
    <mergeCell ref="AE55:AH55"/>
    <mergeCell ref="BB55:BE55"/>
    <mergeCell ref="AU53:BA53"/>
    <mergeCell ref="BF53:BP53"/>
    <mergeCell ref="A54:G54"/>
    <mergeCell ref="L54:V54"/>
    <mergeCell ref="X54:AD54"/>
    <mergeCell ref="AI54:AS54"/>
    <mergeCell ref="AU54:BA54"/>
    <mergeCell ref="A53:G53"/>
    <mergeCell ref="L53:V53"/>
    <mergeCell ref="X53:AD53"/>
    <mergeCell ref="AI53:AS53"/>
    <mergeCell ref="BF54:BP54"/>
    <mergeCell ref="H53:K53"/>
    <mergeCell ref="H54:K54"/>
    <mergeCell ref="AE53:AH53"/>
    <mergeCell ref="AE54:AH54"/>
    <mergeCell ref="BB53:BE53"/>
    <mergeCell ref="BB54:BE54"/>
    <mergeCell ref="A52:G52"/>
    <mergeCell ref="L52:V52"/>
    <mergeCell ref="X52:AD52"/>
    <mergeCell ref="AI52:AS52"/>
    <mergeCell ref="AU52:BA52"/>
    <mergeCell ref="BF52:BP52"/>
    <mergeCell ref="H52:K52"/>
    <mergeCell ref="AE52:AH52"/>
    <mergeCell ref="BB52:BE52"/>
    <mergeCell ref="A51:G51"/>
    <mergeCell ref="L51:V51"/>
    <mergeCell ref="X51:AD51"/>
    <mergeCell ref="AI51:AS51"/>
    <mergeCell ref="AU51:BA51"/>
    <mergeCell ref="BF51:BP51"/>
    <mergeCell ref="H51:K51"/>
    <mergeCell ref="AE51:AH51"/>
    <mergeCell ref="BB51:BE51"/>
    <mergeCell ref="AU49:BA49"/>
    <mergeCell ref="BF49:BP49"/>
    <mergeCell ref="A50:G50"/>
    <mergeCell ref="L50:V50"/>
    <mergeCell ref="X50:AD50"/>
    <mergeCell ref="AI50:AS50"/>
    <mergeCell ref="AU50:BA50"/>
    <mergeCell ref="A49:G49"/>
    <mergeCell ref="L49:V49"/>
    <mergeCell ref="X49:AD49"/>
    <mergeCell ref="AI49:AS49"/>
    <mergeCell ref="BF50:BP50"/>
    <mergeCell ref="H49:K49"/>
    <mergeCell ref="H50:K50"/>
    <mergeCell ref="AE49:AH49"/>
    <mergeCell ref="AE50:AH50"/>
    <mergeCell ref="BB49:BE49"/>
    <mergeCell ref="BB50:BE50"/>
    <mergeCell ref="A48:G48"/>
    <mergeCell ref="L48:V48"/>
    <mergeCell ref="X48:AD48"/>
    <mergeCell ref="AI48:AS48"/>
    <mergeCell ref="AU48:BA48"/>
    <mergeCell ref="BF48:BP48"/>
    <mergeCell ref="H48:K48"/>
    <mergeCell ref="AE48:AH48"/>
    <mergeCell ref="BB48:BE48"/>
    <mergeCell ref="A47:G47"/>
    <mergeCell ref="L47:V47"/>
    <mergeCell ref="X47:AD47"/>
    <mergeCell ref="AI47:AS47"/>
    <mergeCell ref="AU47:BA47"/>
    <mergeCell ref="BF47:BP47"/>
    <mergeCell ref="H47:K47"/>
    <mergeCell ref="AE47:AH47"/>
    <mergeCell ref="BB47:BE47"/>
    <mergeCell ref="AU45:BA45"/>
    <mergeCell ref="BF45:BP45"/>
    <mergeCell ref="A46:G46"/>
    <mergeCell ref="L46:V46"/>
    <mergeCell ref="X46:AD46"/>
    <mergeCell ref="AI46:AS46"/>
    <mergeCell ref="AU46:BA46"/>
    <mergeCell ref="A45:G45"/>
    <mergeCell ref="L45:V45"/>
    <mergeCell ref="X45:AD45"/>
    <mergeCell ref="AI45:AS45"/>
    <mergeCell ref="BF46:BP46"/>
    <mergeCell ref="H45:K45"/>
    <mergeCell ref="H46:K46"/>
    <mergeCell ref="AE45:AH45"/>
    <mergeCell ref="AE46:AH46"/>
    <mergeCell ref="BB45:BE45"/>
    <mergeCell ref="BB46:BE46"/>
    <mergeCell ref="A44:G44"/>
    <mergeCell ref="L44:V44"/>
    <mergeCell ref="X44:AD44"/>
    <mergeCell ref="AI44:AS44"/>
    <mergeCell ref="AU44:BA44"/>
    <mergeCell ref="BF44:BP44"/>
    <mergeCell ref="H44:K44"/>
    <mergeCell ref="AE44:AH44"/>
    <mergeCell ref="BB44:BE44"/>
    <mergeCell ref="A43:G43"/>
    <mergeCell ref="L43:V43"/>
    <mergeCell ref="X43:AD43"/>
    <mergeCell ref="AI43:AS43"/>
    <mergeCell ref="AU43:BA43"/>
    <mergeCell ref="BF43:BP43"/>
    <mergeCell ref="H43:K43"/>
    <mergeCell ref="AE43:AH43"/>
    <mergeCell ref="BB43:BE43"/>
    <mergeCell ref="AU41:BA41"/>
    <mergeCell ref="BF41:BP41"/>
    <mergeCell ref="A42:G42"/>
    <mergeCell ref="L42:V42"/>
    <mergeCell ref="X42:AD42"/>
    <mergeCell ref="AI42:AS42"/>
    <mergeCell ref="AU42:BA42"/>
    <mergeCell ref="A41:G41"/>
    <mergeCell ref="L41:V41"/>
    <mergeCell ref="X41:AD41"/>
    <mergeCell ref="AI41:AS41"/>
    <mergeCell ref="BF42:BP42"/>
    <mergeCell ref="H41:K41"/>
    <mergeCell ref="H42:K42"/>
    <mergeCell ref="AE41:AH41"/>
    <mergeCell ref="AE42:AH42"/>
    <mergeCell ref="BB41:BE41"/>
    <mergeCell ref="BB42:BE42"/>
    <mergeCell ref="A39:G39"/>
    <mergeCell ref="L39:V39"/>
    <mergeCell ref="X39:AD39"/>
    <mergeCell ref="AI39:AS39"/>
    <mergeCell ref="AU39:BA39"/>
    <mergeCell ref="BF39:BP39"/>
    <mergeCell ref="H39:K39"/>
    <mergeCell ref="AE39:AH39"/>
    <mergeCell ref="A40:G40"/>
    <mergeCell ref="L40:V40"/>
    <mergeCell ref="X40:AD40"/>
    <mergeCell ref="AI40:AS40"/>
    <mergeCell ref="AU40:BA40"/>
    <mergeCell ref="BF40:BP40"/>
    <mergeCell ref="H40:K40"/>
    <mergeCell ref="AE40:AH40"/>
    <mergeCell ref="AU37:BA37"/>
    <mergeCell ref="BF37:BP37"/>
    <mergeCell ref="A38:G38"/>
    <mergeCell ref="L38:V38"/>
    <mergeCell ref="X38:AD38"/>
    <mergeCell ref="AI38:AS38"/>
    <mergeCell ref="AU38:BA38"/>
    <mergeCell ref="A37:G37"/>
    <mergeCell ref="L37:V37"/>
    <mergeCell ref="X37:AD37"/>
    <mergeCell ref="AI37:AS37"/>
    <mergeCell ref="BF38:BP38"/>
    <mergeCell ref="H37:K37"/>
    <mergeCell ref="H38:K38"/>
    <mergeCell ref="AE37:AH37"/>
    <mergeCell ref="AE38:AH38"/>
    <mergeCell ref="A35:G35"/>
    <mergeCell ref="L35:V35"/>
    <mergeCell ref="X35:AD35"/>
    <mergeCell ref="AI35:AS35"/>
    <mergeCell ref="AU35:BA35"/>
    <mergeCell ref="BF35:BP35"/>
    <mergeCell ref="H35:K35"/>
    <mergeCell ref="AE35:AH35"/>
    <mergeCell ref="A36:G36"/>
    <mergeCell ref="L36:V36"/>
    <mergeCell ref="X36:AD36"/>
    <mergeCell ref="AI36:AS36"/>
    <mergeCell ref="AU36:BA36"/>
    <mergeCell ref="BF36:BP36"/>
    <mergeCell ref="H36:K36"/>
    <mergeCell ref="AE36:AH36"/>
    <mergeCell ref="AU33:BA33"/>
    <mergeCell ref="BF33:BP33"/>
    <mergeCell ref="A34:G34"/>
    <mergeCell ref="L34:V34"/>
    <mergeCell ref="X34:AD34"/>
    <mergeCell ref="AI34:AS34"/>
    <mergeCell ref="AU34:BA34"/>
    <mergeCell ref="A33:G33"/>
    <mergeCell ref="L33:V33"/>
    <mergeCell ref="X33:AD33"/>
    <mergeCell ref="AI33:AS33"/>
    <mergeCell ref="BF34:BP34"/>
    <mergeCell ref="H33:K33"/>
    <mergeCell ref="H34:K34"/>
    <mergeCell ref="AE33:AH33"/>
    <mergeCell ref="AE34:AH34"/>
    <mergeCell ref="A31:G31"/>
    <mergeCell ref="L31:V31"/>
    <mergeCell ref="X31:AD31"/>
    <mergeCell ref="AI31:AS31"/>
    <mergeCell ref="AU31:BA31"/>
    <mergeCell ref="BF31:BP31"/>
    <mergeCell ref="H31:K31"/>
    <mergeCell ref="AE31:AH31"/>
    <mergeCell ref="A32:G32"/>
    <mergeCell ref="L32:V32"/>
    <mergeCell ref="X32:AD32"/>
    <mergeCell ref="AI32:AS32"/>
    <mergeCell ref="AU32:BA32"/>
    <mergeCell ref="BF32:BP32"/>
    <mergeCell ref="H32:K32"/>
    <mergeCell ref="AE32:AH32"/>
    <mergeCell ref="AU29:BA29"/>
    <mergeCell ref="BF29:BP29"/>
    <mergeCell ref="A30:G30"/>
    <mergeCell ref="L30:V30"/>
    <mergeCell ref="X30:AD30"/>
    <mergeCell ref="AI30:AS30"/>
    <mergeCell ref="AU30:BA30"/>
    <mergeCell ref="A29:G29"/>
    <mergeCell ref="L29:V29"/>
    <mergeCell ref="X29:AD29"/>
    <mergeCell ref="AI29:AS29"/>
    <mergeCell ref="BF30:BP30"/>
    <mergeCell ref="H29:K29"/>
    <mergeCell ref="H30:K30"/>
    <mergeCell ref="AE29:AH29"/>
    <mergeCell ref="AE30:AH30"/>
    <mergeCell ref="A27:G27"/>
    <mergeCell ref="L27:V27"/>
    <mergeCell ref="X27:AD27"/>
    <mergeCell ref="AI27:AS27"/>
    <mergeCell ref="AU27:BA27"/>
    <mergeCell ref="BF27:BP27"/>
    <mergeCell ref="H27:K27"/>
    <mergeCell ref="AE27:AH27"/>
    <mergeCell ref="A28:G28"/>
    <mergeCell ref="L28:V28"/>
    <mergeCell ref="X28:AD28"/>
    <mergeCell ref="AI28:AS28"/>
    <mergeCell ref="AU28:BA28"/>
    <mergeCell ref="BF28:BP28"/>
    <mergeCell ref="H28:K28"/>
    <mergeCell ref="AE28:AH28"/>
    <mergeCell ref="AU25:BA25"/>
    <mergeCell ref="BF25:BP25"/>
    <mergeCell ref="A26:G26"/>
    <mergeCell ref="L26:V26"/>
    <mergeCell ref="X26:AD26"/>
    <mergeCell ref="AI26:AS26"/>
    <mergeCell ref="AU26:BA26"/>
    <mergeCell ref="A25:G25"/>
    <mergeCell ref="L25:V25"/>
    <mergeCell ref="X25:AD25"/>
    <mergeCell ref="AI25:AS25"/>
    <mergeCell ref="BF26:BP26"/>
    <mergeCell ref="H25:K25"/>
    <mergeCell ref="H26:K26"/>
    <mergeCell ref="AE25:AH25"/>
    <mergeCell ref="AE26:AH26"/>
    <mergeCell ref="A23:G23"/>
    <mergeCell ref="L23:V23"/>
    <mergeCell ref="X23:AD23"/>
    <mergeCell ref="AI23:AS23"/>
    <mergeCell ref="AU23:BA23"/>
    <mergeCell ref="BF23:BP23"/>
    <mergeCell ref="H23:K23"/>
    <mergeCell ref="AE23:AH23"/>
    <mergeCell ref="A24:G24"/>
    <mergeCell ref="L24:V24"/>
    <mergeCell ref="X24:AD24"/>
    <mergeCell ref="AI24:AS24"/>
    <mergeCell ref="AU24:BA24"/>
    <mergeCell ref="BF24:BP24"/>
    <mergeCell ref="H24:K24"/>
    <mergeCell ref="AE24:AH24"/>
    <mergeCell ref="A22:G22"/>
    <mergeCell ref="L22:V22"/>
    <mergeCell ref="X22:AD22"/>
    <mergeCell ref="AI22:AS22"/>
    <mergeCell ref="AU22:BA22"/>
    <mergeCell ref="A21:G21"/>
    <mergeCell ref="L21:V21"/>
    <mergeCell ref="X21:AD21"/>
    <mergeCell ref="AI21:AS21"/>
    <mergeCell ref="H21:K21"/>
    <mergeCell ref="H22:K22"/>
    <mergeCell ref="AE21:AH21"/>
    <mergeCell ref="AE22:AH22"/>
    <mergeCell ref="A20:G20"/>
    <mergeCell ref="L20:V20"/>
    <mergeCell ref="X20:AD20"/>
    <mergeCell ref="AI20:AS20"/>
    <mergeCell ref="AU20:BA20"/>
    <mergeCell ref="BF20:BP20"/>
    <mergeCell ref="H20:K20"/>
    <mergeCell ref="AU21:BA21"/>
    <mergeCell ref="BF21:BP21"/>
    <mergeCell ref="A18:G18"/>
    <mergeCell ref="L18:V18"/>
    <mergeCell ref="X18:AD18"/>
    <mergeCell ref="AI18:AS18"/>
    <mergeCell ref="AU18:BA18"/>
    <mergeCell ref="BF18:BP18"/>
    <mergeCell ref="H18:K18"/>
    <mergeCell ref="A19:G19"/>
    <mergeCell ref="L19:V19"/>
    <mergeCell ref="X19:AD19"/>
    <mergeCell ref="AI19:AS19"/>
    <mergeCell ref="AU19:BA19"/>
    <mergeCell ref="BF19:BP19"/>
    <mergeCell ref="H19:K19"/>
    <mergeCell ref="A16:V16"/>
    <mergeCell ref="X16:AS16"/>
    <mergeCell ref="AU16:BP16"/>
    <mergeCell ref="A17:G17"/>
    <mergeCell ref="L17:V17"/>
    <mergeCell ref="X17:AD17"/>
    <mergeCell ref="AI17:AS17"/>
    <mergeCell ref="AU17:BA17"/>
    <mergeCell ref="BF17:BP17"/>
    <mergeCell ref="H17:K17"/>
    <mergeCell ref="AE17:AH17"/>
    <mergeCell ref="BB17:BE17"/>
    <mergeCell ref="AU14:BA14"/>
    <mergeCell ref="BF14:BM14"/>
    <mergeCell ref="BN14:BP14"/>
    <mergeCell ref="A14:G14"/>
    <mergeCell ref="L14:S14"/>
    <mergeCell ref="T14:V14"/>
    <mergeCell ref="X14:AD14"/>
    <mergeCell ref="H14:K14"/>
    <mergeCell ref="AE14:AH14"/>
    <mergeCell ref="A12:G12"/>
    <mergeCell ref="L12:S12"/>
    <mergeCell ref="T12:V12"/>
    <mergeCell ref="X12:AD12"/>
    <mergeCell ref="H12:K12"/>
    <mergeCell ref="AE12:AH12"/>
    <mergeCell ref="AI13:AP13"/>
    <mergeCell ref="AQ13:AS13"/>
    <mergeCell ref="AU13:BA13"/>
    <mergeCell ref="A13:G13"/>
    <mergeCell ref="L13:S13"/>
    <mergeCell ref="T13:V13"/>
    <mergeCell ref="X13:AD13"/>
    <mergeCell ref="H13:K13"/>
    <mergeCell ref="AE13:AH13"/>
    <mergeCell ref="AI12:AP12"/>
    <mergeCell ref="AQ12:AS12"/>
    <mergeCell ref="AU12:BA12"/>
    <mergeCell ref="A11:G11"/>
    <mergeCell ref="L11:S11"/>
    <mergeCell ref="T11:V11"/>
    <mergeCell ref="X11:AD11"/>
    <mergeCell ref="H11:K11"/>
    <mergeCell ref="AI10:AP10"/>
    <mergeCell ref="AQ10:AS10"/>
    <mergeCell ref="AU10:BA10"/>
    <mergeCell ref="A1:BP1"/>
    <mergeCell ref="A2:BP2"/>
    <mergeCell ref="A3:G3"/>
    <mergeCell ref="A4:BP4"/>
    <mergeCell ref="A5:G7"/>
    <mergeCell ref="AF5:AS5"/>
    <mergeCell ref="AU5:BA7"/>
    <mergeCell ref="X3:AD3"/>
    <mergeCell ref="AF3:AS3"/>
    <mergeCell ref="H5:V7"/>
    <mergeCell ref="H3:V3"/>
    <mergeCell ref="X5:AE7"/>
    <mergeCell ref="AF6:AS6"/>
    <mergeCell ref="AF7:AS7"/>
    <mergeCell ref="BB5:BP7"/>
    <mergeCell ref="A9:V9"/>
    <mergeCell ref="X9:AS9"/>
    <mergeCell ref="AU9:BP9"/>
    <mergeCell ref="A10:G10"/>
    <mergeCell ref="L10:S10"/>
    <mergeCell ref="T10:V10"/>
    <mergeCell ref="X10:AD10"/>
    <mergeCell ref="H10:K10"/>
    <mergeCell ref="AE10:AH10"/>
    <mergeCell ref="BF10:BM10"/>
    <mergeCell ref="BN10:BP10"/>
    <mergeCell ref="BF11:BM11"/>
    <mergeCell ref="BN11:BP11"/>
    <mergeCell ref="AE11:AH11"/>
    <mergeCell ref="BB40:BE40"/>
    <mergeCell ref="BB11:BE11"/>
    <mergeCell ref="BB12:BE12"/>
    <mergeCell ref="BB13:BE13"/>
    <mergeCell ref="BB14:BE14"/>
    <mergeCell ref="BB10:BE10"/>
    <mergeCell ref="BB34:BE34"/>
    <mergeCell ref="BB35:BE35"/>
    <mergeCell ref="BB36:BE36"/>
    <mergeCell ref="BB37:BE37"/>
    <mergeCell ref="BB38:BE38"/>
    <mergeCell ref="BB39:BE39"/>
    <mergeCell ref="BF12:BM12"/>
    <mergeCell ref="AE18:AH18"/>
    <mergeCell ref="AE19:AH19"/>
    <mergeCell ref="AE20:AH20"/>
    <mergeCell ref="AI11:AP11"/>
    <mergeCell ref="AQ11:AS11"/>
    <mergeCell ref="AU11:BA11"/>
    <mergeCell ref="AI14:AP14"/>
    <mergeCell ref="AQ14:AS14"/>
    <mergeCell ref="BB59:BP59"/>
    <mergeCell ref="BB61:BI61"/>
    <mergeCell ref="BN12:BP12"/>
    <mergeCell ref="BF13:BM13"/>
    <mergeCell ref="BN13:BP13"/>
    <mergeCell ref="BF22:BP22"/>
    <mergeCell ref="BB57:BP57"/>
    <mergeCell ref="AE57:AS57"/>
    <mergeCell ref="BB18:BE18"/>
    <mergeCell ref="BB19:BE19"/>
    <mergeCell ref="BB20:BE20"/>
    <mergeCell ref="BB21:BE21"/>
    <mergeCell ref="BB22:BE22"/>
    <mergeCell ref="BB23:BE23"/>
    <mergeCell ref="BB24:BE24"/>
    <mergeCell ref="BB25:BE25"/>
    <mergeCell ref="BB26:BE26"/>
    <mergeCell ref="BB27:BE27"/>
    <mergeCell ref="BB28:BE28"/>
    <mergeCell ref="BB29:BE29"/>
    <mergeCell ref="BB30:BE30"/>
    <mergeCell ref="BB31:BE31"/>
    <mergeCell ref="BB32:BE32"/>
    <mergeCell ref="BB33:BE33"/>
  </mergeCells>
  <conditionalFormatting sqref="A18:A20">
    <cfRule type="cellIs" dxfId="344" priority="855" stopIfTrue="1" operator="equal">
      <formula>""</formula>
    </cfRule>
  </conditionalFormatting>
  <conditionalFormatting sqref="A21:A57">
    <cfRule type="cellIs" dxfId="343" priority="853" stopIfTrue="1" operator="equal">
      <formula>#REF!</formula>
    </cfRule>
  </conditionalFormatting>
  <conditionalFormatting sqref="A59 X59 AU59">
    <cfRule type="cellIs" dxfId="342" priority="856" stopIfTrue="1" operator="equal">
      <formula>#REF!</formula>
    </cfRule>
  </conditionalFormatting>
  <conditionalFormatting sqref="A61">
    <cfRule type="cellIs" dxfId="341" priority="816" stopIfTrue="1" operator="equal">
      <formula>#REF!</formula>
    </cfRule>
  </conditionalFormatting>
  <conditionalFormatting sqref="H18:H56">
    <cfRule type="containsText" dxfId="340" priority="33" operator="containsText" text="gelb/yellow">
      <formula>NOT(ISERROR(SEARCH("gelb/yellow",H18)))</formula>
    </cfRule>
    <cfRule type="containsText" dxfId="339" priority="34" operator="containsText" text="rot/red">
      <formula>NOT(ISERROR(SEARCH("rot/red",H18)))</formula>
    </cfRule>
  </conditionalFormatting>
  <conditionalFormatting sqref="H57">
    <cfRule type="containsText" dxfId="338" priority="13" operator="containsText" text="erledigt">
      <formula>NOT(ISERROR(SEARCH("erledigt",H57)))</formula>
    </cfRule>
    <cfRule type="containsText" dxfId="337" priority="14" operator="containsText" text="offen">
      <formula>NOT(ISERROR(SEARCH("offen",H57)))</formula>
    </cfRule>
  </conditionalFormatting>
  <conditionalFormatting sqref="H18:K56">
    <cfRule type="containsText" dxfId="336" priority="32" operator="containsText" text="grün/green">
      <formula>NOT(ISERROR(SEARCH("grün/green",H18)))</formula>
    </cfRule>
  </conditionalFormatting>
  <conditionalFormatting sqref="L18:V56">
    <cfRule type="containsText" dxfId="335" priority="20" operator="containsText" text="erledigt">
      <formula>NOT(ISERROR(SEARCH("erledigt",L18)))</formula>
    </cfRule>
    <cfRule type="containsText" dxfId="334" priority="21" operator="containsText" text="offen">
      <formula>NOT(ISERROR(SEARCH("offen",L18)))</formula>
    </cfRule>
  </conditionalFormatting>
  <conditionalFormatting sqref="X18:X20">
    <cfRule type="cellIs" dxfId="333" priority="813" stopIfTrue="1" operator="equal">
      <formula>""</formula>
    </cfRule>
  </conditionalFormatting>
  <conditionalFormatting sqref="X21:X57">
    <cfRule type="cellIs" dxfId="332" priority="849" stopIfTrue="1" operator="equal">
      <formula>#REF!</formula>
    </cfRule>
  </conditionalFormatting>
  <conditionalFormatting sqref="X61">
    <cfRule type="cellIs" dxfId="331" priority="815" stopIfTrue="1" operator="equal">
      <formula>#REF!</formula>
    </cfRule>
  </conditionalFormatting>
  <conditionalFormatting sqref="AE18:AE56">
    <cfRule type="containsText" dxfId="330" priority="2" operator="containsText" text="gelb/yellow">
      <formula>NOT(ISERROR(SEARCH("gelb/yellow",AE18)))</formula>
    </cfRule>
    <cfRule type="containsText" dxfId="329" priority="3" operator="containsText" text="rot/red">
      <formula>NOT(ISERROR(SEARCH("rot/red",AE18)))</formula>
    </cfRule>
  </conditionalFormatting>
  <conditionalFormatting sqref="AE57">
    <cfRule type="containsText" dxfId="328" priority="11" operator="containsText" text="erledigt">
      <formula>NOT(ISERROR(SEARCH("erledigt",AE57)))</formula>
    </cfRule>
    <cfRule type="containsText" dxfId="327" priority="12" operator="containsText" text="offen">
      <formula>NOT(ISERROR(SEARCH("offen",AE57)))</formula>
    </cfRule>
  </conditionalFormatting>
  <conditionalFormatting sqref="AE18:AH56">
    <cfRule type="containsText" dxfId="326" priority="1" operator="containsText" text="grün/green">
      <formula>NOT(ISERROR(SEARCH("grün/green",AE18)))</formula>
    </cfRule>
  </conditionalFormatting>
  <conditionalFormatting sqref="AI18:AS56">
    <cfRule type="containsText" dxfId="325" priority="15" operator="containsText" text="erledigt">
      <formula>NOT(ISERROR(SEARCH("erledigt",AI18)))</formula>
    </cfRule>
    <cfRule type="containsText" dxfId="324" priority="16" operator="containsText" text="offen">
      <formula>NOT(ISERROR(SEARCH("offen",AI18)))</formula>
    </cfRule>
  </conditionalFormatting>
  <conditionalFormatting sqref="AU18:AU20">
    <cfRule type="cellIs" dxfId="323" priority="812" stopIfTrue="1" operator="equal">
      <formula>""</formula>
    </cfRule>
  </conditionalFormatting>
  <conditionalFormatting sqref="AU21:AU57">
    <cfRule type="cellIs" dxfId="322" priority="845" stopIfTrue="1" operator="equal">
      <formula>#REF!</formula>
    </cfRule>
  </conditionalFormatting>
  <conditionalFormatting sqref="AU61">
    <cfRule type="cellIs" dxfId="321" priority="814" stopIfTrue="1" operator="equal">
      <formula>#REF!</formula>
    </cfRule>
  </conditionalFormatting>
  <conditionalFormatting sqref="BB18:BB56">
    <cfRule type="containsText" dxfId="320" priority="9" operator="containsText" text="gelb/yellow">
      <formula>NOT(ISERROR(SEARCH("gelb/yellow",BB18)))</formula>
    </cfRule>
    <cfRule type="containsText" dxfId="319" priority="10" operator="containsText" text="rot/red">
      <formula>NOT(ISERROR(SEARCH("rot/red",BB18)))</formula>
    </cfRule>
  </conditionalFormatting>
  <conditionalFormatting sqref="BB57">
    <cfRule type="containsText" dxfId="318" priority="4" operator="containsText" text="erledigt">
      <formula>NOT(ISERROR(SEARCH("erledigt",BB57)))</formula>
    </cfRule>
    <cfRule type="containsText" dxfId="317" priority="5" operator="containsText" text="offen">
      <formula>NOT(ISERROR(SEARCH("offen",BB57)))</formula>
    </cfRule>
  </conditionalFormatting>
  <conditionalFormatting sqref="BB18:BE56">
    <cfRule type="containsText" dxfId="316" priority="8" operator="containsText" text="grün/green">
      <formula>NOT(ISERROR(SEARCH("grün/green",BB18)))</formula>
    </cfRule>
  </conditionalFormatting>
  <conditionalFormatting sqref="BF18:BP56">
    <cfRule type="containsText" dxfId="315" priority="6" operator="containsText" text="erledigt">
      <formula>NOT(ISERROR(SEARCH("erledigt",BF18)))</formula>
    </cfRule>
    <cfRule type="containsText" dxfId="314" priority="7" operator="containsText" text="offen">
      <formula>NOT(ISERROR(SEARCH("offen",BF18)))</formula>
    </cfRule>
  </conditionalFormatting>
  <printOptions horizontalCentered="1"/>
  <pageMargins left="0.74803149606299213" right="0.59055118110236227" top="0.98425196850393704" bottom="0.98425196850393704" header="0.27559055118110237" footer="0.31496062992125984"/>
  <pageSetup paperSize="9" scale="43" orientation="portrait"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AF62"/>
  <sheetViews>
    <sheetView showGridLines="0" topLeftCell="A50" zoomScale="70" zoomScaleNormal="70" zoomScaleSheetLayoutView="25" zoomScalePageLayoutView="70" workbookViewId="0">
      <selection activeCell="I17" sqref="I17:M55"/>
    </sheetView>
  </sheetViews>
  <sheetFormatPr baseColWidth="10" defaultColWidth="11" defaultRowHeight="13.15" x14ac:dyDescent="0.25"/>
  <cols>
    <col min="1" max="1" width="10.8984375" style="85" customWidth="1"/>
    <col min="2" max="2" width="15" style="85" customWidth="1"/>
    <col min="3" max="15" width="11" style="85" customWidth="1"/>
    <col min="16" max="18" width="11" style="85"/>
    <col min="19" max="19" width="3.69921875" style="85" customWidth="1"/>
    <col min="20" max="20" width="6.19921875" style="85" customWidth="1"/>
    <col min="21" max="22" width="30.3984375" style="85" customWidth="1"/>
    <col min="23" max="27" width="11" style="85"/>
    <col min="28" max="28" width="3.3984375" style="85" customWidth="1"/>
    <col min="29" max="16384" width="11" style="85"/>
  </cols>
  <sheetData>
    <row r="1" spans="1:32" ht="20.7" x14ac:dyDescent="0.25">
      <c r="A1" s="1957" t="s">
        <v>201</v>
      </c>
      <c r="B1" s="1957"/>
      <c r="C1" s="1957"/>
      <c r="D1" s="1957"/>
      <c r="E1" s="1957"/>
      <c r="F1" s="1957"/>
      <c r="G1" s="1957"/>
      <c r="H1" s="1957"/>
      <c r="I1" s="1957"/>
      <c r="J1" s="1957"/>
      <c r="K1" s="1957"/>
      <c r="L1" s="1957"/>
      <c r="M1" s="1957"/>
      <c r="N1" s="1957"/>
      <c r="O1" s="1957"/>
      <c r="P1" s="1957"/>
      <c r="Q1" s="1957"/>
      <c r="R1" s="1957"/>
      <c r="S1" s="1957"/>
      <c r="T1" s="1957"/>
      <c r="U1" s="1957"/>
      <c r="V1" s="1957"/>
      <c r="W1" s="1957"/>
      <c r="X1" s="1957"/>
      <c r="Y1" s="1957"/>
      <c r="Z1" s="1957"/>
      <c r="AA1" s="1957"/>
    </row>
    <row r="2" spans="1:32" ht="21.3" thickBot="1" x14ac:dyDescent="0.3">
      <c r="A2" s="87"/>
      <c r="B2" s="87"/>
      <c r="C2" s="87"/>
      <c r="D2" s="87"/>
      <c r="E2" s="87"/>
      <c r="F2" s="87"/>
      <c r="G2" s="87"/>
      <c r="H2" s="87"/>
      <c r="I2" s="87"/>
      <c r="J2" s="87"/>
      <c r="K2" s="87"/>
      <c r="L2" s="87"/>
      <c r="M2" s="87"/>
      <c r="N2" s="87"/>
      <c r="O2" s="87"/>
      <c r="P2" s="87"/>
      <c r="Q2" s="87"/>
      <c r="R2" s="87"/>
      <c r="S2" s="87"/>
      <c r="T2" s="87"/>
      <c r="U2" s="87"/>
      <c r="V2" s="87"/>
      <c r="W2" s="87"/>
      <c r="X2" s="87"/>
      <c r="Y2" s="87"/>
      <c r="Z2" s="87"/>
      <c r="AA2" s="87"/>
    </row>
    <row r="3" spans="1:32" ht="21.3" thickBot="1" x14ac:dyDescent="0.3">
      <c r="A3" s="1960" t="s">
        <v>1853</v>
      </c>
      <c r="B3" s="1961"/>
      <c r="C3" s="1962" t="e">
        <f>Basic_Data!#REF!</f>
        <v>#REF!</v>
      </c>
      <c r="D3" s="1963"/>
      <c r="E3" s="86"/>
      <c r="F3" s="1960" t="s">
        <v>1897</v>
      </c>
      <c r="G3" s="1961"/>
      <c r="H3" s="1962" t="e">
        <f>Basic_Data!#REF!</f>
        <v>#REF!</v>
      </c>
      <c r="I3" s="1964"/>
      <c r="J3" s="1964"/>
      <c r="K3" s="1963"/>
      <c r="L3" s="87"/>
      <c r="M3" s="2051" t="s">
        <v>1898</v>
      </c>
      <c r="N3" s="2052"/>
      <c r="O3" s="2053"/>
      <c r="P3" s="2054"/>
      <c r="Q3" s="2055"/>
      <c r="R3" s="87"/>
      <c r="S3" s="87"/>
      <c r="T3" s="87"/>
      <c r="U3" s="87"/>
      <c r="V3" s="87"/>
      <c r="W3" s="87"/>
      <c r="X3" s="87"/>
      <c r="Y3" s="87"/>
      <c r="Z3" s="87"/>
      <c r="AA3" s="87"/>
    </row>
    <row r="4" spans="1:32" ht="18.8" customHeight="1" thickBot="1" x14ac:dyDescent="0.3">
      <c r="A4" s="107"/>
      <c r="B4" s="107"/>
      <c r="C4" s="87"/>
      <c r="D4" s="87"/>
      <c r="E4" s="87"/>
      <c r="F4" s="87"/>
      <c r="G4" s="87"/>
      <c r="H4" s="87"/>
      <c r="I4" s="87"/>
      <c r="J4" s="87"/>
      <c r="K4" s="87"/>
      <c r="L4" s="87"/>
      <c r="M4" s="87"/>
      <c r="N4" s="87"/>
      <c r="O4" s="87"/>
      <c r="P4" s="87"/>
      <c r="Q4" s="87"/>
      <c r="R4" s="87"/>
      <c r="S4" s="87"/>
      <c r="T4" s="87"/>
      <c r="U4" s="87"/>
      <c r="V4" s="87"/>
      <c r="W4" s="87"/>
      <c r="X4" s="87"/>
      <c r="Y4" s="87"/>
      <c r="Z4" s="87"/>
      <c r="AA4" s="87"/>
    </row>
    <row r="5" spans="1:32" ht="18" customHeight="1" x14ac:dyDescent="0.25">
      <c r="A5" s="1965" t="s">
        <v>1899</v>
      </c>
      <c r="B5" s="1966"/>
      <c r="C5" s="1971">
        <f>Basic_Data!R6</f>
        <v>0</v>
      </c>
      <c r="D5" s="1972"/>
      <c r="E5" s="86"/>
      <c r="F5" s="1965" t="s">
        <v>1900</v>
      </c>
      <c r="G5" s="1977"/>
      <c r="H5" s="1980">
        <f>Basic_Data!R8</f>
        <v>0</v>
      </c>
      <c r="I5" s="1981"/>
      <c r="J5" s="1981"/>
      <c r="K5" s="1982"/>
      <c r="L5" s="87"/>
      <c r="M5" s="1965" t="s">
        <v>1857</v>
      </c>
      <c r="N5" s="1966"/>
      <c r="O5" s="1971">
        <f>Basic_Data!R7</f>
        <v>0</v>
      </c>
      <c r="P5" s="1983"/>
      <c r="Q5" s="1972"/>
      <c r="R5" s="87"/>
      <c r="S5" s="87"/>
      <c r="T5" s="87"/>
      <c r="U5" s="87"/>
      <c r="V5" s="87"/>
      <c r="W5" s="87"/>
      <c r="X5" s="87"/>
      <c r="Y5" s="87"/>
      <c r="Z5" s="87"/>
      <c r="AA5" s="87"/>
    </row>
    <row r="6" spans="1:32" ht="15.85" customHeight="1" x14ac:dyDescent="0.25">
      <c r="A6" s="1967"/>
      <c r="B6" s="1968"/>
      <c r="C6" s="1973"/>
      <c r="D6" s="1974"/>
      <c r="E6" s="86"/>
      <c r="F6" s="1967"/>
      <c r="G6" s="1978"/>
      <c r="H6" s="1985" t="e">
        <f>Basic_Data!#REF!</f>
        <v>#REF!</v>
      </c>
      <c r="I6" s="1986"/>
      <c r="J6" s="1986"/>
      <c r="K6" s="1987"/>
      <c r="M6" s="1967"/>
      <c r="N6" s="1968"/>
      <c r="O6" s="1973"/>
      <c r="P6" s="1959"/>
      <c r="Q6" s="1974"/>
      <c r="R6" s="87"/>
      <c r="S6" s="87"/>
      <c r="T6" s="87"/>
      <c r="U6" s="87"/>
      <c r="V6" s="87"/>
      <c r="W6" s="87"/>
      <c r="X6" s="87"/>
      <c r="Y6" s="87"/>
      <c r="Z6" s="87"/>
      <c r="AA6" s="87"/>
    </row>
    <row r="7" spans="1:32" ht="12.7" customHeight="1" thickBot="1" x14ac:dyDescent="0.3">
      <c r="A7" s="1969"/>
      <c r="B7" s="1970"/>
      <c r="C7" s="1975"/>
      <c r="D7" s="1976"/>
      <c r="E7" s="86"/>
      <c r="F7" s="1969"/>
      <c r="G7" s="1979"/>
      <c r="H7" s="1988">
        <f>Basic_Data!R9</f>
        <v>0</v>
      </c>
      <c r="I7" s="1989"/>
      <c r="J7" s="1989"/>
      <c r="K7" s="1990"/>
      <c r="L7" s="108"/>
      <c r="M7" s="1969"/>
      <c r="N7" s="1970"/>
      <c r="O7" s="1975"/>
      <c r="P7" s="1984"/>
      <c r="Q7" s="1976"/>
    </row>
    <row r="8" spans="1:32" ht="12.7" customHeight="1" thickBot="1" x14ac:dyDescent="0.3">
      <c r="A8" s="1925"/>
      <c r="B8" s="1925"/>
      <c r="C8" s="1959"/>
      <c r="D8" s="1959"/>
      <c r="E8" s="108"/>
      <c r="F8" s="1925"/>
      <c r="G8" s="1925"/>
      <c r="H8" s="1958"/>
      <c r="I8" s="1958"/>
      <c r="J8" s="1958"/>
      <c r="K8" s="1958"/>
      <c r="L8" s="108"/>
      <c r="M8" s="109"/>
      <c r="N8" s="1959"/>
      <c r="O8" s="1959"/>
      <c r="P8" s="1959"/>
      <c r="Q8" s="1959"/>
      <c r="T8" s="1925"/>
      <c r="U8" s="1925"/>
      <c r="V8" s="88"/>
    </row>
    <row r="9" spans="1:32" s="10" customFormat="1" ht="12.7" customHeight="1" thickBot="1" x14ac:dyDescent="0.3">
      <c r="A9" s="1991" t="s">
        <v>1901</v>
      </c>
      <c r="B9" s="1992"/>
      <c r="C9" s="1946"/>
      <c r="D9" s="1947"/>
      <c r="E9" s="12"/>
      <c r="F9" s="1939" t="s">
        <v>1902</v>
      </c>
      <c r="G9" s="1811"/>
      <c r="H9" s="106" t="s">
        <v>51</v>
      </c>
      <c r="I9" s="1811" t="s">
        <v>52</v>
      </c>
      <c r="J9" s="1811"/>
      <c r="K9" s="89" t="s">
        <v>51</v>
      </c>
      <c r="L9" s="12"/>
      <c r="M9" s="12"/>
      <c r="N9" s="12"/>
      <c r="O9" s="12"/>
      <c r="P9" s="12"/>
      <c r="Q9" s="12"/>
      <c r="R9" s="12"/>
      <c r="S9" s="12"/>
      <c r="V9" s="12"/>
      <c r="W9" s="12"/>
    </row>
    <row r="10" spans="1:32" s="10" customFormat="1" ht="12.7" customHeight="1" x14ac:dyDescent="0.25">
      <c r="A10" s="1955" t="s">
        <v>1903</v>
      </c>
      <c r="B10" s="1956"/>
      <c r="C10" s="1944"/>
      <c r="D10" s="1945"/>
      <c r="E10" s="12"/>
      <c r="F10" s="1928">
        <f>IF('LQG-Ergebnis'!A11="","",'LQG-Ergebnis'!A11)</f>
        <v>123</v>
      </c>
      <c r="G10" s="1929"/>
      <c r="H10" s="13" t="str">
        <f>IF('LQG-Ergebnis'!I11="","",'LQG-Ergebnis'!I11)</f>
        <v/>
      </c>
      <c r="I10" s="1929" t="str">
        <f>IF('LQG-Ergebnis'!L11="","",'LQG-Ergebnis'!L11)</f>
        <v>D55</v>
      </c>
      <c r="J10" s="1929"/>
      <c r="K10" s="14">
        <f>IF('LQG-Ergebnis'!T11="","",'LQG-Ergebnis'!T11)</f>
        <v>345</v>
      </c>
      <c r="L10" s="12"/>
      <c r="M10" s="2008" t="s">
        <v>1904</v>
      </c>
      <c r="N10" s="2009"/>
      <c r="O10" s="2009"/>
      <c r="P10" s="2009"/>
      <c r="Q10" s="2010"/>
      <c r="R10" s="12"/>
      <c r="U10" s="1925"/>
      <c r="V10" s="1925"/>
      <c r="W10" s="90"/>
      <c r="Y10" s="2017" t="s">
        <v>1894</v>
      </c>
      <c r="Z10" s="2018"/>
      <c r="AA10" s="2023"/>
    </row>
    <row r="11" spans="1:32" s="10" customFormat="1" ht="12.7" customHeight="1" x14ac:dyDescent="0.25">
      <c r="A11" s="1955" t="s">
        <v>1905</v>
      </c>
      <c r="B11" s="1956"/>
      <c r="C11" s="1944"/>
      <c r="D11" s="1945"/>
      <c r="E11" s="12"/>
      <c r="F11" s="1928">
        <f>IF('LQG-Ergebnis'!A12="","",'LQG-Ergebnis'!A12)</f>
        <v>345</v>
      </c>
      <c r="G11" s="1929"/>
      <c r="H11" s="13" t="str">
        <f>IF('LQG-Ergebnis'!I12="","",'LQG-Ergebnis'!I12)</f>
        <v/>
      </c>
      <c r="I11" s="1929" t="str">
        <f>IF('LQG-Ergebnis'!L12="","",'LQG-Ergebnis'!L12)</f>
        <v/>
      </c>
      <c r="J11" s="1929"/>
      <c r="K11" s="14" t="str">
        <f>IF('LQG-Ergebnis'!T12="","",'LQG-Ergebnis'!T12)</f>
        <v/>
      </c>
      <c r="L11" s="12"/>
      <c r="M11" s="2011"/>
      <c r="N11" s="2012"/>
      <c r="O11" s="2012"/>
      <c r="P11" s="2012"/>
      <c r="Q11" s="2013"/>
      <c r="R11" s="12"/>
      <c r="U11" s="1925"/>
      <c r="V11" s="1925"/>
      <c r="W11" s="90"/>
      <c r="Y11" s="2019"/>
      <c r="Z11" s="2020"/>
      <c r="AA11" s="2024"/>
    </row>
    <row r="12" spans="1:32" s="10" customFormat="1" ht="12.7" customHeight="1" x14ac:dyDescent="0.25">
      <c r="A12" s="1955" t="s">
        <v>1906</v>
      </c>
      <c r="B12" s="1956"/>
      <c r="C12" s="1944"/>
      <c r="D12" s="1945"/>
      <c r="E12" s="12"/>
      <c r="F12" s="1928">
        <f>IF('LQG-Ergebnis'!A13="","",'LQG-Ergebnis'!A13)</f>
        <v>658</v>
      </c>
      <c r="G12" s="1929"/>
      <c r="H12" s="13" t="str">
        <f>IF('LQG-Ergebnis'!I13="","",'LQG-Ergebnis'!I13)</f>
        <v/>
      </c>
      <c r="I12" s="1929" t="str">
        <f>IF('LQG-Ergebnis'!L13="","",'LQG-Ergebnis'!L13)</f>
        <v/>
      </c>
      <c r="J12" s="1929"/>
      <c r="K12" s="14" t="str">
        <f>IF('LQG-Ergebnis'!T13="","",'LQG-Ergebnis'!T13)</f>
        <v/>
      </c>
      <c r="L12" s="12"/>
      <c r="M12" s="2011"/>
      <c r="N12" s="2012"/>
      <c r="O12" s="2012"/>
      <c r="P12" s="2012"/>
      <c r="Q12" s="2013"/>
      <c r="R12" s="12"/>
      <c r="U12" s="1925"/>
      <c r="V12" s="1925"/>
      <c r="W12" s="90"/>
      <c r="Y12" s="2019"/>
      <c r="Z12" s="2020"/>
      <c r="AA12" s="2024"/>
    </row>
    <row r="13" spans="1:32" s="10" customFormat="1" ht="12.7" customHeight="1" thickBot="1" x14ac:dyDescent="0.3">
      <c r="A13" s="1999" t="s">
        <v>1907</v>
      </c>
      <c r="B13" s="2000"/>
      <c r="C13" s="1942"/>
      <c r="D13" s="1943"/>
      <c r="E13" s="4"/>
      <c r="F13" s="1928" t="str">
        <f>IF('LQG-Ergebnis'!A14="","",'LQG-Ergebnis'!A14)</f>
        <v/>
      </c>
      <c r="G13" s="1929"/>
      <c r="H13" s="13" t="str">
        <f>IF('LQG-Ergebnis'!I14="","",'LQG-Ergebnis'!I14)</f>
        <v/>
      </c>
      <c r="I13" s="1929" t="str">
        <f>IF('LQG-Ergebnis'!L14="","",'LQG-Ergebnis'!L14)</f>
        <v/>
      </c>
      <c r="J13" s="1929"/>
      <c r="K13" s="14" t="str">
        <f>IF('LQG-Ergebnis'!T14="","",'LQG-Ergebnis'!T14)</f>
        <v/>
      </c>
      <c r="L13" s="4"/>
      <c r="M13" s="2014"/>
      <c r="N13" s="2015"/>
      <c r="O13" s="2015"/>
      <c r="P13" s="2015"/>
      <c r="Q13" s="2016"/>
      <c r="R13" s="12"/>
      <c r="U13" s="1925"/>
      <c r="V13" s="1925"/>
      <c r="W13" s="90"/>
      <c r="Y13" s="2021"/>
      <c r="Z13" s="2022"/>
      <c r="AA13" s="2025"/>
    </row>
    <row r="14" spans="1:32" ht="13.8" thickBot="1" x14ac:dyDescent="0.3">
      <c r="AF14" s="10"/>
    </row>
    <row r="15" spans="1:32" ht="38.200000000000003" customHeight="1" x14ac:dyDescent="0.25">
      <c r="A15" s="2001" t="s">
        <v>90</v>
      </c>
      <c r="B15" s="1948" t="s">
        <v>1864</v>
      </c>
      <c r="C15" s="1949"/>
      <c r="D15" s="2003" t="s">
        <v>92</v>
      </c>
      <c r="E15" s="2004"/>
      <c r="F15" s="2004"/>
      <c r="G15" s="2004"/>
      <c r="H15" s="2004"/>
      <c r="I15" s="2005"/>
      <c r="J15" s="2005"/>
      <c r="K15" s="2005"/>
      <c r="L15" s="2005"/>
      <c r="M15" s="2006"/>
      <c r="N15" s="1930" t="s">
        <v>1908</v>
      </c>
      <c r="O15" s="1930"/>
      <c r="P15" s="1931"/>
      <c r="Q15" s="1931"/>
      <c r="R15" s="1931"/>
      <c r="S15" s="1993" t="s">
        <v>1865</v>
      </c>
      <c r="T15" s="1994"/>
      <c r="U15" s="1931" t="s">
        <v>96</v>
      </c>
      <c r="V15" s="1931"/>
      <c r="W15" s="1993" t="s">
        <v>98</v>
      </c>
      <c r="X15" s="1994"/>
      <c r="Y15" s="1993" t="s">
        <v>39</v>
      </c>
      <c r="Z15" s="1994"/>
      <c r="AA15" s="1997" t="s">
        <v>78</v>
      </c>
      <c r="AF15" s="10"/>
    </row>
    <row r="16" spans="1:32" ht="12.7" customHeight="1" thickBot="1" x14ac:dyDescent="0.3">
      <c r="A16" s="2002"/>
      <c r="B16" s="1950"/>
      <c r="C16" s="1951"/>
      <c r="D16" s="2007" t="s">
        <v>1909</v>
      </c>
      <c r="E16" s="2007"/>
      <c r="F16" s="2007"/>
      <c r="G16" s="2007"/>
      <c r="H16" s="2007"/>
      <c r="I16" s="2007" t="s">
        <v>1533</v>
      </c>
      <c r="J16" s="2007"/>
      <c r="K16" s="2007"/>
      <c r="L16" s="2007"/>
      <c r="M16" s="1998"/>
      <c r="N16" s="1932"/>
      <c r="O16" s="1932"/>
      <c r="P16" s="1933"/>
      <c r="Q16" s="1933"/>
      <c r="R16" s="1933"/>
      <c r="S16" s="2026"/>
      <c r="T16" s="2027"/>
      <c r="U16" s="1933"/>
      <c r="V16" s="1933"/>
      <c r="W16" s="1995"/>
      <c r="X16" s="1996"/>
      <c r="Y16" s="1995"/>
      <c r="Z16" s="1996"/>
      <c r="AA16" s="1998"/>
      <c r="AF16" s="10"/>
    </row>
    <row r="17" spans="1:32" ht="120.05" customHeight="1" x14ac:dyDescent="0.25">
      <c r="A17" s="91" t="s">
        <v>1910</v>
      </c>
      <c r="B17" s="1952" t="s">
        <v>81</v>
      </c>
      <c r="C17" s="1953"/>
      <c r="D17" s="2031" t="s">
        <v>1911</v>
      </c>
      <c r="E17" s="2032"/>
      <c r="F17" s="2032"/>
      <c r="G17" s="2032"/>
      <c r="H17" s="2032"/>
      <c r="I17" s="879" t="s">
        <v>1912</v>
      </c>
      <c r="J17" s="879"/>
      <c r="K17" s="879"/>
      <c r="L17" s="879"/>
      <c r="M17" s="880"/>
      <c r="N17" s="2033"/>
      <c r="O17" s="1935"/>
      <c r="P17" s="1935"/>
      <c r="Q17" s="1935"/>
      <c r="R17" s="2034"/>
      <c r="S17" s="2038"/>
      <c r="T17" s="2039"/>
      <c r="U17" s="1934"/>
      <c r="V17" s="1935"/>
      <c r="W17" s="2028"/>
      <c r="X17" s="2028"/>
      <c r="Y17" s="2028"/>
      <c r="Z17" s="2029"/>
      <c r="AA17" s="113"/>
      <c r="AF17" s="10"/>
    </row>
    <row r="18" spans="1:32" ht="120.05" customHeight="1" x14ac:dyDescent="0.25">
      <c r="A18" s="92" t="s">
        <v>1913</v>
      </c>
      <c r="B18" s="1954" t="s">
        <v>1867</v>
      </c>
      <c r="C18" s="1954"/>
      <c r="D18" s="853" t="s">
        <v>1914</v>
      </c>
      <c r="E18" s="853"/>
      <c r="F18" s="853"/>
      <c r="G18" s="853"/>
      <c r="H18" s="853"/>
      <c r="I18" s="853" t="s">
        <v>311</v>
      </c>
      <c r="J18" s="853"/>
      <c r="K18" s="853"/>
      <c r="L18" s="853"/>
      <c r="M18" s="866"/>
      <c r="N18" s="1936"/>
      <c r="O18" s="1937"/>
      <c r="P18" s="1937"/>
      <c r="Q18" s="1937"/>
      <c r="R18" s="2030"/>
      <c r="S18" s="1921"/>
      <c r="T18" s="1922"/>
      <c r="U18" s="2035"/>
      <c r="V18" s="1937"/>
      <c r="W18" s="2036"/>
      <c r="X18" s="2036"/>
      <c r="Y18" s="2036"/>
      <c r="Z18" s="2037"/>
      <c r="AA18" s="110"/>
    </row>
    <row r="19" spans="1:32" ht="120.05" customHeight="1" x14ac:dyDescent="0.25">
      <c r="A19" s="92" t="s">
        <v>1915</v>
      </c>
      <c r="B19" s="1926" t="s">
        <v>1916</v>
      </c>
      <c r="C19" s="1926"/>
      <c r="D19" s="853" t="s">
        <v>1917</v>
      </c>
      <c r="E19" s="853"/>
      <c r="F19" s="853"/>
      <c r="G19" s="853"/>
      <c r="H19" s="853"/>
      <c r="I19" s="853" t="s">
        <v>1918</v>
      </c>
      <c r="J19" s="853"/>
      <c r="K19" s="853"/>
      <c r="L19" s="853"/>
      <c r="M19" s="866"/>
      <c r="N19" s="1936"/>
      <c r="O19" s="1937"/>
      <c r="P19" s="1937"/>
      <c r="Q19" s="1937"/>
      <c r="R19" s="1938"/>
      <c r="S19" s="1921"/>
      <c r="T19" s="1922"/>
      <c r="U19" s="1937"/>
      <c r="V19" s="1937"/>
      <c r="W19" s="2036"/>
      <c r="X19" s="2036"/>
      <c r="Y19" s="2036"/>
      <c r="Z19" s="2037"/>
      <c r="AA19" s="110"/>
    </row>
    <row r="20" spans="1:32" ht="120.05" customHeight="1" x14ac:dyDescent="0.25">
      <c r="A20" s="92" t="s">
        <v>1919</v>
      </c>
      <c r="B20" s="1926" t="s">
        <v>1920</v>
      </c>
      <c r="C20" s="1926"/>
      <c r="D20" s="853" t="s">
        <v>1921</v>
      </c>
      <c r="E20" s="853"/>
      <c r="F20" s="853"/>
      <c r="G20" s="853"/>
      <c r="H20" s="853"/>
      <c r="I20" s="853" t="s">
        <v>1922</v>
      </c>
      <c r="J20" s="853"/>
      <c r="K20" s="853"/>
      <c r="L20" s="853"/>
      <c r="M20" s="866"/>
      <c r="N20" s="1936"/>
      <c r="O20" s="1937"/>
      <c r="P20" s="1937"/>
      <c r="Q20" s="1937"/>
      <c r="R20" s="1938"/>
      <c r="S20" s="1921"/>
      <c r="T20" s="1922"/>
      <c r="U20" s="1937"/>
      <c r="V20" s="1937"/>
      <c r="W20" s="2036"/>
      <c r="X20" s="2036"/>
      <c r="Y20" s="2036"/>
      <c r="Z20" s="2037"/>
      <c r="AA20" s="110"/>
    </row>
    <row r="21" spans="1:32" ht="120.05" customHeight="1" x14ac:dyDescent="0.25">
      <c r="A21" s="92" t="s">
        <v>1923</v>
      </c>
      <c r="B21" s="1926" t="s">
        <v>1924</v>
      </c>
      <c r="C21" s="1926"/>
      <c r="D21" s="853" t="s">
        <v>1925</v>
      </c>
      <c r="E21" s="853"/>
      <c r="F21" s="853"/>
      <c r="G21" s="853"/>
      <c r="H21" s="853"/>
      <c r="I21" s="853" t="s">
        <v>1627</v>
      </c>
      <c r="J21" s="853"/>
      <c r="K21" s="853"/>
      <c r="L21" s="853"/>
      <c r="M21" s="866"/>
      <c r="N21" s="1936"/>
      <c r="O21" s="1937"/>
      <c r="P21" s="1937"/>
      <c r="Q21" s="1937"/>
      <c r="R21" s="1938"/>
      <c r="S21" s="1921"/>
      <c r="T21" s="1922"/>
      <c r="U21" s="1937"/>
      <c r="V21" s="1937"/>
      <c r="W21" s="2036"/>
      <c r="X21" s="2036"/>
      <c r="Y21" s="2036"/>
      <c r="Z21" s="2037"/>
      <c r="AA21" s="110"/>
    </row>
    <row r="22" spans="1:32" ht="120.05" customHeight="1" x14ac:dyDescent="0.25">
      <c r="A22" s="92" t="s">
        <v>1926</v>
      </c>
      <c r="B22" s="1926" t="s">
        <v>1927</v>
      </c>
      <c r="C22" s="1926"/>
      <c r="D22" s="866" t="s">
        <v>1928</v>
      </c>
      <c r="E22" s="884"/>
      <c r="F22" s="884"/>
      <c r="G22" s="884"/>
      <c r="H22" s="2040"/>
      <c r="I22" s="853" t="s">
        <v>1929</v>
      </c>
      <c r="J22" s="853"/>
      <c r="K22" s="853"/>
      <c r="L22" s="853"/>
      <c r="M22" s="866"/>
      <c r="N22" s="1936"/>
      <c r="O22" s="1937"/>
      <c r="P22" s="1937"/>
      <c r="Q22" s="1937"/>
      <c r="R22" s="1938"/>
      <c r="S22" s="1921"/>
      <c r="T22" s="1922"/>
      <c r="U22" s="1937"/>
      <c r="V22" s="1937"/>
      <c r="W22" s="2036"/>
      <c r="X22" s="2036"/>
      <c r="Y22" s="2036"/>
      <c r="Z22" s="2037"/>
      <c r="AA22" s="110"/>
    </row>
    <row r="23" spans="1:32" ht="120.05" customHeight="1" x14ac:dyDescent="0.25">
      <c r="A23" s="93" t="s">
        <v>1930</v>
      </c>
      <c r="B23" s="1927" t="s">
        <v>1931</v>
      </c>
      <c r="C23" s="1927"/>
      <c r="D23" s="1940" t="s">
        <v>1932</v>
      </c>
      <c r="E23" s="1941"/>
      <c r="F23" s="1941"/>
      <c r="G23" s="1941"/>
      <c r="H23" s="1941"/>
      <c r="I23" s="855" t="s">
        <v>1631</v>
      </c>
      <c r="J23" s="855"/>
      <c r="K23" s="855"/>
      <c r="L23" s="855"/>
      <c r="M23" s="870"/>
      <c r="N23" s="2041"/>
      <c r="O23" s="2042"/>
      <c r="P23" s="2042"/>
      <c r="Q23" s="2042"/>
      <c r="R23" s="2042"/>
      <c r="S23" s="1919"/>
      <c r="T23" s="1920"/>
      <c r="U23" s="2042"/>
      <c r="V23" s="2042"/>
      <c r="W23" s="2043"/>
      <c r="X23" s="2043"/>
      <c r="Y23" s="2043"/>
      <c r="Z23" s="2044"/>
      <c r="AA23" s="111"/>
    </row>
    <row r="24" spans="1:32" ht="120.05" customHeight="1" x14ac:dyDescent="0.25">
      <c r="A24" s="94" t="s">
        <v>1933</v>
      </c>
      <c r="B24" s="1927" t="s">
        <v>1934</v>
      </c>
      <c r="C24" s="1927"/>
      <c r="D24" s="1940" t="s">
        <v>1935</v>
      </c>
      <c r="E24" s="1941"/>
      <c r="F24" s="1941"/>
      <c r="G24" s="1941"/>
      <c r="H24" s="1941"/>
      <c r="I24" s="855" t="s">
        <v>1546</v>
      </c>
      <c r="J24" s="855"/>
      <c r="K24" s="855"/>
      <c r="L24" s="855"/>
      <c r="M24" s="870"/>
      <c r="N24" s="2041"/>
      <c r="O24" s="2042"/>
      <c r="P24" s="2042"/>
      <c r="Q24" s="2042"/>
      <c r="R24" s="2042"/>
      <c r="S24" s="1919"/>
      <c r="T24" s="1920"/>
      <c r="U24" s="2042"/>
      <c r="V24" s="2042"/>
      <c r="W24" s="2043"/>
      <c r="X24" s="2043"/>
      <c r="Y24" s="2043"/>
      <c r="Z24" s="2044"/>
      <c r="AA24" s="111"/>
    </row>
    <row r="25" spans="1:32" ht="120.05" customHeight="1" x14ac:dyDescent="0.25">
      <c r="A25" s="92" t="s">
        <v>1936</v>
      </c>
      <c r="B25" s="1954" t="s">
        <v>1937</v>
      </c>
      <c r="C25" s="1954"/>
      <c r="D25" s="853" t="s">
        <v>1938</v>
      </c>
      <c r="E25" s="853"/>
      <c r="F25" s="853"/>
      <c r="G25" s="853"/>
      <c r="H25" s="853"/>
      <c r="I25" s="853" t="s">
        <v>1682</v>
      </c>
      <c r="J25" s="853"/>
      <c r="K25" s="853"/>
      <c r="L25" s="853"/>
      <c r="M25" s="866"/>
      <c r="N25" s="1936"/>
      <c r="O25" s="1937"/>
      <c r="P25" s="1937"/>
      <c r="Q25" s="1937"/>
      <c r="R25" s="1938"/>
      <c r="S25" s="1921"/>
      <c r="T25" s="1922"/>
      <c r="U25" s="1937"/>
      <c r="V25" s="1937"/>
      <c r="W25" s="2036"/>
      <c r="X25" s="2036"/>
      <c r="Y25" s="2036"/>
      <c r="Z25" s="2037"/>
      <c r="AA25" s="110"/>
    </row>
    <row r="26" spans="1:32" ht="120.05" customHeight="1" x14ac:dyDescent="0.25">
      <c r="A26" s="92" t="s">
        <v>1939</v>
      </c>
      <c r="B26" s="1954" t="s">
        <v>1940</v>
      </c>
      <c r="C26" s="1954"/>
      <c r="D26" s="853" t="s">
        <v>1941</v>
      </c>
      <c r="E26" s="853"/>
      <c r="F26" s="853"/>
      <c r="G26" s="853"/>
      <c r="H26" s="853"/>
      <c r="I26" s="853" t="s">
        <v>1942</v>
      </c>
      <c r="J26" s="853"/>
      <c r="K26" s="853"/>
      <c r="L26" s="853"/>
      <c r="M26" s="866"/>
      <c r="N26" s="1936"/>
      <c r="O26" s="1937"/>
      <c r="P26" s="1937"/>
      <c r="Q26" s="1937"/>
      <c r="R26" s="1938"/>
      <c r="S26" s="1921"/>
      <c r="T26" s="1922"/>
      <c r="U26" s="1937"/>
      <c r="V26" s="1937"/>
      <c r="W26" s="2036"/>
      <c r="X26" s="2036"/>
      <c r="Y26" s="2036"/>
      <c r="Z26" s="2037"/>
      <c r="AA26" s="110"/>
    </row>
    <row r="27" spans="1:32" ht="120.05" customHeight="1" x14ac:dyDescent="0.25">
      <c r="A27" s="92" t="s">
        <v>1943</v>
      </c>
      <c r="B27" s="1954" t="s">
        <v>1944</v>
      </c>
      <c r="C27" s="1954"/>
      <c r="D27" s="2045" t="s">
        <v>1945</v>
      </c>
      <c r="E27" s="2045"/>
      <c r="F27" s="2045"/>
      <c r="G27" s="2045"/>
      <c r="H27" s="2045"/>
      <c r="I27" s="853" t="s">
        <v>1946</v>
      </c>
      <c r="J27" s="853"/>
      <c r="K27" s="853"/>
      <c r="L27" s="853"/>
      <c r="M27" s="866"/>
      <c r="N27" s="1936"/>
      <c r="O27" s="1937"/>
      <c r="P27" s="1937"/>
      <c r="Q27" s="1937"/>
      <c r="R27" s="1937"/>
      <c r="S27" s="1921"/>
      <c r="T27" s="1922"/>
      <c r="U27" s="1937"/>
      <c r="V27" s="1937"/>
      <c r="W27" s="2036"/>
      <c r="X27" s="2036"/>
      <c r="Y27" s="2036"/>
      <c r="Z27" s="2037"/>
      <c r="AA27" s="110"/>
    </row>
    <row r="28" spans="1:32" ht="120.05" customHeight="1" x14ac:dyDescent="0.25">
      <c r="A28" s="92" t="s">
        <v>1947</v>
      </c>
      <c r="B28" s="1954" t="s">
        <v>1948</v>
      </c>
      <c r="C28" s="1954"/>
      <c r="D28" s="853" t="s">
        <v>1949</v>
      </c>
      <c r="E28" s="853"/>
      <c r="F28" s="853"/>
      <c r="G28" s="853"/>
      <c r="H28" s="853"/>
      <c r="I28" s="853" t="s">
        <v>1950</v>
      </c>
      <c r="J28" s="853"/>
      <c r="K28" s="853"/>
      <c r="L28" s="853"/>
      <c r="M28" s="866"/>
      <c r="N28" s="1936"/>
      <c r="O28" s="1937"/>
      <c r="P28" s="1937"/>
      <c r="Q28" s="1937"/>
      <c r="R28" s="1937"/>
      <c r="S28" s="1921"/>
      <c r="T28" s="1922"/>
      <c r="U28" s="1937"/>
      <c r="V28" s="1937"/>
      <c r="W28" s="2036"/>
      <c r="X28" s="2036"/>
      <c r="Y28" s="2036"/>
      <c r="Z28" s="2037"/>
      <c r="AA28" s="110"/>
    </row>
    <row r="29" spans="1:32" ht="120.05" customHeight="1" x14ac:dyDescent="0.25">
      <c r="A29" s="95" t="s">
        <v>1951</v>
      </c>
      <c r="B29" s="1954" t="s">
        <v>1952</v>
      </c>
      <c r="C29" s="1954"/>
      <c r="D29" s="853" t="s">
        <v>1953</v>
      </c>
      <c r="E29" s="853"/>
      <c r="F29" s="853"/>
      <c r="G29" s="853"/>
      <c r="H29" s="853"/>
      <c r="I29" s="853" t="s">
        <v>1954</v>
      </c>
      <c r="J29" s="853"/>
      <c r="K29" s="853"/>
      <c r="L29" s="853"/>
      <c r="M29" s="866"/>
      <c r="N29" s="1936"/>
      <c r="O29" s="1937"/>
      <c r="P29" s="1937"/>
      <c r="Q29" s="1937"/>
      <c r="R29" s="1938"/>
      <c r="S29" s="1921"/>
      <c r="T29" s="1922"/>
      <c r="U29" s="1937"/>
      <c r="V29" s="1937"/>
      <c r="W29" s="2036"/>
      <c r="X29" s="2036"/>
      <c r="Y29" s="2036"/>
      <c r="Z29" s="2037"/>
      <c r="AA29" s="110"/>
    </row>
    <row r="30" spans="1:32" ht="120.05" customHeight="1" x14ac:dyDescent="0.25">
      <c r="A30" s="96" t="s">
        <v>1955</v>
      </c>
      <c r="B30" s="1954" t="s">
        <v>1956</v>
      </c>
      <c r="C30" s="1954"/>
      <c r="D30" s="853" t="s">
        <v>1957</v>
      </c>
      <c r="E30" s="853"/>
      <c r="F30" s="853"/>
      <c r="G30" s="853"/>
      <c r="H30" s="853"/>
      <c r="I30" s="853" t="s">
        <v>1958</v>
      </c>
      <c r="J30" s="853"/>
      <c r="K30" s="853"/>
      <c r="L30" s="853"/>
      <c r="M30" s="866"/>
      <c r="N30" s="1936"/>
      <c r="O30" s="1937"/>
      <c r="P30" s="1937"/>
      <c r="Q30" s="1937"/>
      <c r="R30" s="1938"/>
      <c r="S30" s="1921"/>
      <c r="T30" s="1922"/>
      <c r="U30" s="1937"/>
      <c r="V30" s="1937"/>
      <c r="W30" s="2036"/>
      <c r="X30" s="2036"/>
      <c r="Y30" s="2036"/>
      <c r="Z30" s="2037"/>
      <c r="AA30" s="110"/>
    </row>
    <row r="31" spans="1:32" ht="120.05" customHeight="1" x14ac:dyDescent="0.25">
      <c r="A31" s="96" t="s">
        <v>1959</v>
      </c>
      <c r="B31" s="1926" t="s">
        <v>1960</v>
      </c>
      <c r="C31" s="1926"/>
      <c r="D31" s="853" t="s">
        <v>1961</v>
      </c>
      <c r="E31" s="853"/>
      <c r="F31" s="853"/>
      <c r="G31" s="853"/>
      <c r="H31" s="853"/>
      <c r="I31" s="853" t="s">
        <v>1559</v>
      </c>
      <c r="J31" s="853"/>
      <c r="K31" s="853"/>
      <c r="L31" s="853"/>
      <c r="M31" s="866"/>
      <c r="N31" s="1936"/>
      <c r="O31" s="1937"/>
      <c r="P31" s="1937"/>
      <c r="Q31" s="1937"/>
      <c r="R31" s="1938"/>
      <c r="S31" s="1921"/>
      <c r="T31" s="1922"/>
      <c r="U31" s="1937"/>
      <c r="V31" s="1937"/>
      <c r="W31" s="2036"/>
      <c r="X31" s="2036"/>
      <c r="Y31" s="2036"/>
      <c r="Z31" s="2037"/>
      <c r="AA31" s="110"/>
    </row>
    <row r="32" spans="1:32" ht="120.05" customHeight="1" x14ac:dyDescent="0.25">
      <c r="A32" s="96" t="s">
        <v>1962</v>
      </c>
      <c r="B32" s="1926" t="s">
        <v>1963</v>
      </c>
      <c r="C32" s="1926"/>
      <c r="D32" s="853" t="s">
        <v>1964</v>
      </c>
      <c r="E32" s="853"/>
      <c r="F32" s="853"/>
      <c r="G32" s="853"/>
      <c r="H32" s="853"/>
      <c r="I32" s="853" t="s">
        <v>1965</v>
      </c>
      <c r="J32" s="853"/>
      <c r="K32" s="853"/>
      <c r="L32" s="853"/>
      <c r="M32" s="853"/>
      <c r="N32" s="1936"/>
      <c r="O32" s="1937"/>
      <c r="P32" s="1937"/>
      <c r="Q32" s="1937"/>
      <c r="R32" s="1938"/>
      <c r="S32" s="1921"/>
      <c r="T32" s="1922"/>
      <c r="U32" s="1937"/>
      <c r="V32" s="1937"/>
      <c r="W32" s="2036"/>
      <c r="X32" s="2036"/>
      <c r="Y32" s="2036"/>
      <c r="Z32" s="2037"/>
      <c r="AA32" s="110"/>
    </row>
    <row r="33" spans="1:27" ht="120.05" customHeight="1" x14ac:dyDescent="0.25">
      <c r="A33" s="96" t="s">
        <v>1966</v>
      </c>
      <c r="B33" s="1926" t="s">
        <v>1967</v>
      </c>
      <c r="C33" s="1926"/>
      <c r="D33" s="853" t="s">
        <v>1968</v>
      </c>
      <c r="E33" s="853"/>
      <c r="F33" s="853"/>
      <c r="G33" s="853"/>
      <c r="H33" s="853"/>
      <c r="I33" s="853" t="s">
        <v>1969</v>
      </c>
      <c r="J33" s="853"/>
      <c r="K33" s="853"/>
      <c r="L33" s="853"/>
      <c r="M33" s="866"/>
      <c r="N33" s="1936"/>
      <c r="O33" s="1937"/>
      <c r="P33" s="1937"/>
      <c r="Q33" s="1937"/>
      <c r="R33" s="1938"/>
      <c r="S33" s="1921"/>
      <c r="T33" s="1922"/>
      <c r="U33" s="1937"/>
      <c r="V33" s="1937"/>
      <c r="W33" s="2036"/>
      <c r="X33" s="2036"/>
      <c r="Y33" s="2036"/>
      <c r="Z33" s="2037"/>
      <c r="AA33" s="110"/>
    </row>
    <row r="34" spans="1:27" ht="120.05" customHeight="1" x14ac:dyDescent="0.25">
      <c r="A34" s="96" t="s">
        <v>1970</v>
      </c>
      <c r="B34" s="1926" t="s">
        <v>1971</v>
      </c>
      <c r="C34" s="1926"/>
      <c r="D34" s="853" t="s">
        <v>1972</v>
      </c>
      <c r="E34" s="853"/>
      <c r="F34" s="853"/>
      <c r="G34" s="853"/>
      <c r="H34" s="853"/>
      <c r="I34" s="853" t="s">
        <v>1565</v>
      </c>
      <c r="J34" s="853"/>
      <c r="K34" s="853"/>
      <c r="L34" s="853"/>
      <c r="M34" s="866"/>
      <c r="N34" s="1936"/>
      <c r="O34" s="1937"/>
      <c r="P34" s="1937"/>
      <c r="Q34" s="1937"/>
      <c r="R34" s="1938"/>
      <c r="S34" s="1921"/>
      <c r="T34" s="1922"/>
      <c r="U34" s="1937"/>
      <c r="V34" s="1937"/>
      <c r="W34" s="2036"/>
      <c r="X34" s="2036"/>
      <c r="Y34" s="2036"/>
      <c r="Z34" s="2037"/>
      <c r="AA34" s="110"/>
    </row>
    <row r="35" spans="1:27" ht="120.05" customHeight="1" x14ac:dyDescent="0.25">
      <c r="A35" s="96" t="s">
        <v>1973</v>
      </c>
      <c r="B35" s="1926" t="s">
        <v>1974</v>
      </c>
      <c r="C35" s="1926"/>
      <c r="D35" s="853" t="s">
        <v>1975</v>
      </c>
      <c r="E35" s="853"/>
      <c r="F35" s="853"/>
      <c r="G35" s="853"/>
      <c r="H35" s="853"/>
      <c r="I35" s="853" t="s">
        <v>1976</v>
      </c>
      <c r="J35" s="853"/>
      <c r="K35" s="853"/>
      <c r="L35" s="853"/>
      <c r="M35" s="866"/>
      <c r="N35" s="1936"/>
      <c r="O35" s="1937"/>
      <c r="P35" s="1937"/>
      <c r="Q35" s="1937"/>
      <c r="R35" s="1938"/>
      <c r="S35" s="1921"/>
      <c r="T35" s="1922"/>
      <c r="U35" s="1937"/>
      <c r="V35" s="1937"/>
      <c r="W35" s="2036"/>
      <c r="X35" s="2036"/>
      <c r="Y35" s="2036"/>
      <c r="Z35" s="2037"/>
      <c r="AA35" s="110"/>
    </row>
    <row r="36" spans="1:27" ht="120.05" customHeight="1" x14ac:dyDescent="0.25">
      <c r="A36" s="96" t="s">
        <v>1977</v>
      </c>
      <c r="B36" s="1926" t="s">
        <v>1978</v>
      </c>
      <c r="C36" s="1926"/>
      <c r="D36" s="853" t="s">
        <v>1949</v>
      </c>
      <c r="E36" s="853"/>
      <c r="F36" s="853"/>
      <c r="G36" s="853"/>
      <c r="H36" s="853"/>
      <c r="I36" s="853" t="s">
        <v>1979</v>
      </c>
      <c r="J36" s="853"/>
      <c r="K36" s="853"/>
      <c r="L36" s="853"/>
      <c r="M36" s="866"/>
      <c r="N36" s="1936"/>
      <c r="O36" s="1937"/>
      <c r="P36" s="1937"/>
      <c r="Q36" s="1937"/>
      <c r="R36" s="1938"/>
      <c r="S36" s="1921"/>
      <c r="T36" s="1922"/>
      <c r="U36" s="1937"/>
      <c r="V36" s="1937"/>
      <c r="W36" s="2036"/>
      <c r="X36" s="2036"/>
      <c r="Y36" s="2036"/>
      <c r="Z36" s="2037"/>
      <c r="AA36" s="110"/>
    </row>
    <row r="37" spans="1:27" ht="120.05" customHeight="1" x14ac:dyDescent="0.25">
      <c r="A37" s="96" t="s">
        <v>1980</v>
      </c>
      <c r="B37" s="1926" t="s">
        <v>1981</v>
      </c>
      <c r="C37" s="1926"/>
      <c r="D37" s="853" t="s">
        <v>1982</v>
      </c>
      <c r="E37" s="853"/>
      <c r="F37" s="853"/>
      <c r="G37" s="853"/>
      <c r="H37" s="853"/>
      <c r="I37" s="853" t="s">
        <v>1983</v>
      </c>
      <c r="J37" s="853"/>
      <c r="K37" s="853"/>
      <c r="L37" s="853"/>
      <c r="M37" s="866"/>
      <c r="N37" s="1936"/>
      <c r="O37" s="1937"/>
      <c r="P37" s="1937"/>
      <c r="Q37" s="1937"/>
      <c r="R37" s="1938"/>
      <c r="S37" s="1921"/>
      <c r="T37" s="1922"/>
      <c r="U37" s="1937"/>
      <c r="V37" s="1937"/>
      <c r="W37" s="2036"/>
      <c r="X37" s="2036"/>
      <c r="Y37" s="2036"/>
      <c r="Z37" s="2037"/>
      <c r="AA37" s="110"/>
    </row>
    <row r="38" spans="1:27" ht="120.05" customHeight="1" x14ac:dyDescent="0.25">
      <c r="A38" s="96" t="s">
        <v>1984</v>
      </c>
      <c r="B38" s="1954" t="s">
        <v>1985</v>
      </c>
      <c r="C38" s="1954"/>
      <c r="D38" s="853" t="s">
        <v>1986</v>
      </c>
      <c r="E38" s="853"/>
      <c r="F38" s="853"/>
      <c r="G38" s="853"/>
      <c r="H38" s="853"/>
      <c r="I38" s="853" t="s">
        <v>1649</v>
      </c>
      <c r="J38" s="853"/>
      <c r="K38" s="853"/>
      <c r="L38" s="853"/>
      <c r="M38" s="866"/>
      <c r="N38" s="1936"/>
      <c r="O38" s="1937"/>
      <c r="P38" s="1937"/>
      <c r="Q38" s="1937"/>
      <c r="R38" s="1938"/>
      <c r="S38" s="1921"/>
      <c r="T38" s="1922"/>
      <c r="U38" s="1937"/>
      <c r="V38" s="1937"/>
      <c r="W38" s="2036"/>
      <c r="X38" s="2036"/>
      <c r="Y38" s="2036"/>
      <c r="Z38" s="2037"/>
      <c r="AA38" s="110"/>
    </row>
    <row r="39" spans="1:27" ht="120.05" customHeight="1" x14ac:dyDescent="0.25">
      <c r="A39" s="96" t="s">
        <v>1987</v>
      </c>
      <c r="B39" s="1926" t="s">
        <v>1988</v>
      </c>
      <c r="C39" s="1926"/>
      <c r="D39" s="853" t="s">
        <v>1989</v>
      </c>
      <c r="E39" s="853"/>
      <c r="F39" s="853"/>
      <c r="G39" s="853"/>
      <c r="H39" s="853"/>
      <c r="I39" s="853" t="s">
        <v>1573</v>
      </c>
      <c r="J39" s="853"/>
      <c r="K39" s="853"/>
      <c r="L39" s="853"/>
      <c r="M39" s="866"/>
      <c r="N39" s="1936"/>
      <c r="O39" s="1937"/>
      <c r="P39" s="1937"/>
      <c r="Q39" s="1937"/>
      <c r="R39" s="1938"/>
      <c r="S39" s="1921"/>
      <c r="T39" s="1922"/>
      <c r="U39" s="1937"/>
      <c r="V39" s="1937"/>
      <c r="W39" s="2036"/>
      <c r="X39" s="2036"/>
      <c r="Y39" s="2036"/>
      <c r="Z39" s="2037"/>
      <c r="AA39" s="110"/>
    </row>
    <row r="40" spans="1:27" ht="120.05" customHeight="1" x14ac:dyDescent="0.25">
      <c r="A40" s="96" t="s">
        <v>1990</v>
      </c>
      <c r="B40" s="1954" t="s">
        <v>1991</v>
      </c>
      <c r="C40" s="1954"/>
      <c r="D40" s="853" t="s">
        <v>1992</v>
      </c>
      <c r="E40" s="853"/>
      <c r="F40" s="853"/>
      <c r="G40" s="853"/>
      <c r="H40" s="853"/>
      <c r="I40" s="853" t="s">
        <v>1575</v>
      </c>
      <c r="J40" s="853"/>
      <c r="K40" s="853"/>
      <c r="L40" s="853"/>
      <c r="M40" s="866"/>
      <c r="N40" s="1936"/>
      <c r="O40" s="1937"/>
      <c r="P40" s="1937"/>
      <c r="Q40" s="1937"/>
      <c r="R40" s="1938"/>
      <c r="S40" s="1921"/>
      <c r="T40" s="1922"/>
      <c r="U40" s="1937"/>
      <c r="V40" s="1937"/>
      <c r="W40" s="2036"/>
      <c r="X40" s="2036"/>
      <c r="Y40" s="2036"/>
      <c r="Z40" s="2037"/>
      <c r="AA40" s="110"/>
    </row>
    <row r="41" spans="1:27" ht="120.05" customHeight="1" x14ac:dyDescent="0.25">
      <c r="A41" s="96" t="s">
        <v>1993</v>
      </c>
      <c r="B41" s="1954" t="s">
        <v>442</v>
      </c>
      <c r="C41" s="1954"/>
      <c r="D41" s="853" t="s">
        <v>1994</v>
      </c>
      <c r="E41" s="853"/>
      <c r="F41" s="853"/>
      <c r="G41" s="853"/>
      <c r="H41" s="853"/>
      <c r="I41" s="853" t="s">
        <v>1577</v>
      </c>
      <c r="J41" s="853"/>
      <c r="K41" s="853"/>
      <c r="L41" s="853"/>
      <c r="M41" s="866"/>
      <c r="N41" s="1936"/>
      <c r="O41" s="1937"/>
      <c r="P41" s="1937"/>
      <c r="Q41" s="1937"/>
      <c r="R41" s="1938"/>
      <c r="S41" s="1921"/>
      <c r="T41" s="1922"/>
      <c r="U41" s="1937"/>
      <c r="V41" s="1937"/>
      <c r="W41" s="2036"/>
      <c r="X41" s="2036"/>
      <c r="Y41" s="2036"/>
      <c r="Z41" s="2037"/>
      <c r="AA41" s="110"/>
    </row>
    <row r="42" spans="1:27" ht="120.05" customHeight="1" x14ac:dyDescent="0.25">
      <c r="A42" s="96" t="s">
        <v>1995</v>
      </c>
      <c r="B42" s="1926" t="s">
        <v>1996</v>
      </c>
      <c r="C42" s="1926"/>
      <c r="D42" s="853" t="s">
        <v>1997</v>
      </c>
      <c r="E42" s="853"/>
      <c r="F42" s="853"/>
      <c r="G42" s="853"/>
      <c r="H42" s="853"/>
      <c r="I42" s="853" t="s">
        <v>1998</v>
      </c>
      <c r="J42" s="853"/>
      <c r="K42" s="853"/>
      <c r="L42" s="853"/>
      <c r="M42" s="866"/>
      <c r="N42" s="1936"/>
      <c r="O42" s="1937"/>
      <c r="P42" s="1937"/>
      <c r="Q42" s="1937"/>
      <c r="R42" s="1938"/>
      <c r="S42" s="1921"/>
      <c r="T42" s="1922"/>
      <c r="U42" s="1937"/>
      <c r="V42" s="1937"/>
      <c r="W42" s="2036"/>
      <c r="X42" s="2036"/>
      <c r="Y42" s="2036"/>
      <c r="Z42" s="2037"/>
      <c r="AA42" s="110"/>
    </row>
    <row r="43" spans="1:27" ht="120.05" customHeight="1" x14ac:dyDescent="0.25">
      <c r="A43" s="96" t="s">
        <v>1999</v>
      </c>
      <c r="B43" s="1926" t="s">
        <v>2000</v>
      </c>
      <c r="C43" s="1926"/>
      <c r="D43" s="853" t="s">
        <v>2001</v>
      </c>
      <c r="E43" s="853"/>
      <c r="F43" s="853"/>
      <c r="G43" s="853"/>
      <c r="H43" s="853"/>
      <c r="I43" s="853" t="s">
        <v>1581</v>
      </c>
      <c r="J43" s="853"/>
      <c r="K43" s="853"/>
      <c r="L43" s="853"/>
      <c r="M43" s="866"/>
      <c r="N43" s="1936"/>
      <c r="O43" s="1937"/>
      <c r="P43" s="1937"/>
      <c r="Q43" s="1937"/>
      <c r="R43" s="1938"/>
      <c r="S43" s="1921"/>
      <c r="T43" s="1922"/>
      <c r="U43" s="1937"/>
      <c r="V43" s="1937"/>
      <c r="W43" s="2036"/>
      <c r="X43" s="2036"/>
      <c r="Y43" s="2036"/>
      <c r="Z43" s="2037"/>
      <c r="AA43" s="110"/>
    </row>
    <row r="44" spans="1:27" ht="120.05" customHeight="1" x14ac:dyDescent="0.25">
      <c r="A44" s="96" t="s">
        <v>2002</v>
      </c>
      <c r="B44" s="1954" t="s">
        <v>2003</v>
      </c>
      <c r="C44" s="1954"/>
      <c r="D44" s="853" t="s">
        <v>2004</v>
      </c>
      <c r="E44" s="853"/>
      <c r="F44" s="853"/>
      <c r="G44" s="853"/>
      <c r="H44" s="853"/>
      <c r="I44" s="853" t="s">
        <v>1583</v>
      </c>
      <c r="J44" s="853"/>
      <c r="K44" s="853"/>
      <c r="L44" s="853"/>
      <c r="M44" s="866"/>
      <c r="N44" s="1936"/>
      <c r="O44" s="1937"/>
      <c r="P44" s="1937"/>
      <c r="Q44" s="1937"/>
      <c r="R44" s="1938"/>
      <c r="S44" s="1921"/>
      <c r="T44" s="1922"/>
      <c r="U44" s="1937"/>
      <c r="V44" s="1937"/>
      <c r="W44" s="2036"/>
      <c r="X44" s="2036"/>
      <c r="Y44" s="2036"/>
      <c r="Z44" s="2037"/>
      <c r="AA44" s="110"/>
    </row>
    <row r="45" spans="1:27" ht="120.05" customHeight="1" x14ac:dyDescent="0.25">
      <c r="A45" s="96" t="s">
        <v>2005</v>
      </c>
      <c r="B45" s="1954" t="s">
        <v>1886</v>
      </c>
      <c r="C45" s="1954"/>
      <c r="D45" s="853" t="s">
        <v>2006</v>
      </c>
      <c r="E45" s="853"/>
      <c r="F45" s="853"/>
      <c r="G45" s="853"/>
      <c r="H45" s="853"/>
      <c r="I45" s="867" t="s">
        <v>2007</v>
      </c>
      <c r="J45" s="867"/>
      <c r="K45" s="867"/>
      <c r="L45" s="867"/>
      <c r="M45" s="868"/>
      <c r="N45" s="1936"/>
      <c r="O45" s="1937"/>
      <c r="P45" s="1937"/>
      <c r="Q45" s="1937"/>
      <c r="R45" s="1938"/>
      <c r="S45" s="1921"/>
      <c r="T45" s="1922"/>
      <c r="U45" s="1937"/>
      <c r="V45" s="1937"/>
      <c r="W45" s="2036"/>
      <c r="X45" s="2036"/>
      <c r="Y45" s="2036"/>
      <c r="Z45" s="2037"/>
      <c r="AA45" s="110"/>
    </row>
    <row r="46" spans="1:27" ht="120.05" customHeight="1" x14ac:dyDescent="0.25">
      <c r="A46" s="96" t="s">
        <v>2008</v>
      </c>
      <c r="B46" s="1926" t="s">
        <v>2009</v>
      </c>
      <c r="C46" s="1926"/>
      <c r="D46" s="853" t="s">
        <v>2010</v>
      </c>
      <c r="E46" s="853"/>
      <c r="F46" s="853"/>
      <c r="G46" s="853"/>
      <c r="H46" s="853"/>
      <c r="I46" s="853" t="s">
        <v>1587</v>
      </c>
      <c r="J46" s="853"/>
      <c r="K46" s="853"/>
      <c r="L46" s="853"/>
      <c r="M46" s="866"/>
      <c r="N46" s="1936"/>
      <c r="O46" s="1937"/>
      <c r="P46" s="1937"/>
      <c r="Q46" s="1937"/>
      <c r="R46" s="1938"/>
      <c r="S46" s="1921"/>
      <c r="T46" s="1922"/>
      <c r="U46" s="1937"/>
      <c r="V46" s="1937"/>
      <c r="W46" s="2036"/>
      <c r="X46" s="2036"/>
      <c r="Y46" s="2036"/>
      <c r="Z46" s="2037"/>
      <c r="AA46" s="110"/>
    </row>
    <row r="47" spans="1:27" ht="120.05" customHeight="1" x14ac:dyDescent="0.25">
      <c r="A47" s="96" t="s">
        <v>2011</v>
      </c>
      <c r="B47" s="1926" t="s">
        <v>2012</v>
      </c>
      <c r="C47" s="1926"/>
      <c r="D47" s="853" t="s">
        <v>2013</v>
      </c>
      <c r="E47" s="853"/>
      <c r="F47" s="853"/>
      <c r="G47" s="853"/>
      <c r="H47" s="853"/>
      <c r="I47" s="853" t="s">
        <v>2014</v>
      </c>
      <c r="J47" s="853"/>
      <c r="K47" s="853"/>
      <c r="L47" s="853"/>
      <c r="M47" s="866"/>
      <c r="N47" s="1936"/>
      <c r="O47" s="1937"/>
      <c r="P47" s="1937"/>
      <c r="Q47" s="1937"/>
      <c r="R47" s="1938"/>
      <c r="S47" s="1921"/>
      <c r="T47" s="1922"/>
      <c r="U47" s="1937"/>
      <c r="V47" s="1937"/>
      <c r="W47" s="2036"/>
      <c r="X47" s="2036"/>
      <c r="Y47" s="2036"/>
      <c r="Z47" s="2037"/>
      <c r="AA47" s="110"/>
    </row>
    <row r="48" spans="1:27" ht="120.05" customHeight="1" x14ac:dyDescent="0.25">
      <c r="A48" s="97" t="s">
        <v>2015</v>
      </c>
      <c r="B48" s="2043" t="s">
        <v>2016</v>
      </c>
      <c r="C48" s="2043"/>
      <c r="D48" s="855" t="s">
        <v>2017</v>
      </c>
      <c r="E48" s="855"/>
      <c r="F48" s="855"/>
      <c r="G48" s="855"/>
      <c r="H48" s="855"/>
      <c r="I48" s="855" t="s">
        <v>1591</v>
      </c>
      <c r="J48" s="855"/>
      <c r="K48" s="855"/>
      <c r="L48" s="855"/>
      <c r="M48" s="870"/>
      <c r="N48" s="2041"/>
      <c r="O48" s="2042"/>
      <c r="P48" s="2042"/>
      <c r="Q48" s="2042"/>
      <c r="R48" s="2042"/>
      <c r="S48" s="1919"/>
      <c r="T48" s="1920"/>
      <c r="U48" s="2042"/>
      <c r="V48" s="2042"/>
      <c r="W48" s="2043"/>
      <c r="X48" s="2043"/>
      <c r="Y48" s="2043"/>
      <c r="Z48" s="2044"/>
      <c r="AA48" s="111"/>
    </row>
    <row r="49" spans="1:27" ht="120.05" customHeight="1" x14ac:dyDescent="0.25">
      <c r="A49" s="96" t="s">
        <v>2018</v>
      </c>
      <c r="B49" s="1954" t="s">
        <v>2019</v>
      </c>
      <c r="C49" s="1954"/>
      <c r="D49" s="853" t="s">
        <v>2020</v>
      </c>
      <c r="E49" s="853"/>
      <c r="F49" s="853"/>
      <c r="G49" s="853"/>
      <c r="H49" s="853"/>
      <c r="I49" s="853" t="s">
        <v>1593</v>
      </c>
      <c r="J49" s="853"/>
      <c r="K49" s="853"/>
      <c r="L49" s="853"/>
      <c r="M49" s="866"/>
      <c r="N49" s="1936"/>
      <c r="O49" s="1937"/>
      <c r="P49" s="1937"/>
      <c r="Q49" s="1937"/>
      <c r="R49" s="1938"/>
      <c r="S49" s="1921"/>
      <c r="T49" s="1922"/>
      <c r="U49" s="1937"/>
      <c r="V49" s="1937"/>
      <c r="W49" s="2036"/>
      <c r="X49" s="2036"/>
      <c r="Y49" s="2036"/>
      <c r="Z49" s="2037"/>
      <c r="AA49" s="110"/>
    </row>
    <row r="50" spans="1:27" ht="120.05" customHeight="1" x14ac:dyDescent="0.25">
      <c r="A50" s="97" t="s">
        <v>2021</v>
      </c>
      <c r="B50" s="2043" t="s">
        <v>2022</v>
      </c>
      <c r="C50" s="2043"/>
      <c r="D50" s="855" t="s">
        <v>2023</v>
      </c>
      <c r="E50" s="855"/>
      <c r="F50" s="855"/>
      <c r="G50" s="855"/>
      <c r="H50" s="855"/>
      <c r="I50" s="855" t="s">
        <v>1595</v>
      </c>
      <c r="J50" s="855"/>
      <c r="K50" s="855"/>
      <c r="L50" s="855"/>
      <c r="M50" s="870"/>
      <c r="N50" s="2041"/>
      <c r="O50" s="2042"/>
      <c r="P50" s="2042"/>
      <c r="Q50" s="2042"/>
      <c r="R50" s="2042"/>
      <c r="S50" s="1919"/>
      <c r="T50" s="1920"/>
      <c r="U50" s="2042"/>
      <c r="V50" s="2042"/>
      <c r="W50" s="2043"/>
      <c r="X50" s="2043"/>
      <c r="Y50" s="2043"/>
      <c r="Z50" s="2044"/>
      <c r="AA50" s="111"/>
    </row>
    <row r="51" spans="1:27" ht="120.05" customHeight="1" x14ac:dyDescent="0.25">
      <c r="A51" s="97" t="s">
        <v>2024</v>
      </c>
      <c r="B51" s="1927" t="s">
        <v>2025</v>
      </c>
      <c r="C51" s="1927"/>
      <c r="D51" s="855" t="s">
        <v>2026</v>
      </c>
      <c r="E51" s="855"/>
      <c r="F51" s="855"/>
      <c r="G51" s="855"/>
      <c r="H51" s="855"/>
      <c r="I51" s="855" t="s">
        <v>1597</v>
      </c>
      <c r="J51" s="855"/>
      <c r="K51" s="855"/>
      <c r="L51" s="855"/>
      <c r="M51" s="870"/>
      <c r="N51" s="2041"/>
      <c r="O51" s="2042"/>
      <c r="P51" s="2042"/>
      <c r="Q51" s="2042"/>
      <c r="R51" s="2042"/>
      <c r="S51" s="1919"/>
      <c r="T51" s="1920"/>
      <c r="U51" s="2042"/>
      <c r="V51" s="2042"/>
      <c r="W51" s="2043"/>
      <c r="X51" s="2043"/>
      <c r="Y51" s="2043"/>
      <c r="Z51" s="2044"/>
      <c r="AA51" s="111"/>
    </row>
    <row r="52" spans="1:27" ht="120.05" customHeight="1" x14ac:dyDescent="0.25">
      <c r="A52" s="97" t="s">
        <v>2027</v>
      </c>
      <c r="B52" s="1927" t="s">
        <v>401</v>
      </c>
      <c r="C52" s="1927"/>
      <c r="D52" s="855" t="s">
        <v>1658</v>
      </c>
      <c r="E52" s="855"/>
      <c r="F52" s="855"/>
      <c r="G52" s="855"/>
      <c r="H52" s="855"/>
      <c r="I52" s="855" t="s">
        <v>1595</v>
      </c>
      <c r="J52" s="855"/>
      <c r="K52" s="855"/>
      <c r="L52" s="855"/>
      <c r="M52" s="870"/>
      <c r="N52" s="2041"/>
      <c r="O52" s="2042"/>
      <c r="P52" s="2042"/>
      <c r="Q52" s="2042"/>
      <c r="R52" s="2042"/>
      <c r="S52" s="1919"/>
      <c r="T52" s="1920"/>
      <c r="U52" s="2042"/>
      <c r="V52" s="2042"/>
      <c r="W52" s="2043"/>
      <c r="X52" s="2043"/>
      <c r="Y52" s="2043"/>
      <c r="Z52" s="2044"/>
      <c r="AA52" s="111"/>
    </row>
    <row r="53" spans="1:27" ht="120.05" customHeight="1" x14ac:dyDescent="0.25">
      <c r="A53" s="96" t="s">
        <v>2028</v>
      </c>
      <c r="B53" s="1954" t="s">
        <v>2029</v>
      </c>
      <c r="C53" s="1954"/>
      <c r="D53" s="853" t="s">
        <v>2030</v>
      </c>
      <c r="E53" s="853"/>
      <c r="F53" s="853"/>
      <c r="G53" s="853"/>
      <c r="H53" s="853"/>
      <c r="I53" s="853" t="s">
        <v>2031</v>
      </c>
      <c r="J53" s="853"/>
      <c r="K53" s="853"/>
      <c r="L53" s="853"/>
      <c r="M53" s="866"/>
      <c r="N53" s="1936"/>
      <c r="O53" s="1937"/>
      <c r="P53" s="1937"/>
      <c r="Q53" s="1937"/>
      <c r="R53" s="1938"/>
      <c r="S53" s="1921"/>
      <c r="T53" s="1922"/>
      <c r="U53" s="1937"/>
      <c r="V53" s="1937"/>
      <c r="W53" s="2036"/>
      <c r="X53" s="2036"/>
      <c r="Y53" s="2036"/>
      <c r="Z53" s="2037"/>
      <c r="AA53" s="110"/>
    </row>
    <row r="54" spans="1:27" ht="120.05" customHeight="1" x14ac:dyDescent="0.25">
      <c r="A54" s="96" t="s">
        <v>2032</v>
      </c>
      <c r="B54" s="1954" t="s">
        <v>2033</v>
      </c>
      <c r="C54" s="1954"/>
      <c r="D54" s="867" t="s">
        <v>1621</v>
      </c>
      <c r="E54" s="867"/>
      <c r="F54" s="867"/>
      <c r="G54" s="867"/>
      <c r="H54" s="867"/>
      <c r="I54" s="853" t="s">
        <v>1600</v>
      </c>
      <c r="J54" s="853"/>
      <c r="K54" s="853"/>
      <c r="L54" s="853"/>
      <c r="M54" s="866"/>
      <c r="N54" s="1936"/>
      <c r="O54" s="1937"/>
      <c r="P54" s="1937"/>
      <c r="Q54" s="1937"/>
      <c r="R54" s="1938"/>
      <c r="S54" s="1921"/>
      <c r="T54" s="1922"/>
      <c r="U54" s="1937"/>
      <c r="V54" s="1937"/>
      <c r="W54" s="2036"/>
      <c r="X54" s="2036"/>
      <c r="Y54" s="2036"/>
      <c r="Z54" s="2037"/>
      <c r="AA54" s="110"/>
    </row>
    <row r="55" spans="1:27" ht="120.05" customHeight="1" thickBot="1" x14ac:dyDescent="0.3">
      <c r="A55" s="98" t="s">
        <v>2034</v>
      </c>
      <c r="B55" s="2046" t="s">
        <v>407</v>
      </c>
      <c r="C55" s="2047"/>
      <c r="D55" s="889" t="s">
        <v>2035</v>
      </c>
      <c r="E55" s="889"/>
      <c r="F55" s="889"/>
      <c r="G55" s="889"/>
      <c r="H55" s="889"/>
      <c r="I55" s="889" t="s">
        <v>1601</v>
      </c>
      <c r="J55" s="889"/>
      <c r="K55" s="889"/>
      <c r="L55" s="889"/>
      <c r="M55" s="890"/>
      <c r="N55" s="2056"/>
      <c r="O55" s="2048"/>
      <c r="P55" s="2048"/>
      <c r="Q55" s="2048"/>
      <c r="R55" s="2057"/>
      <c r="S55" s="1923"/>
      <c r="T55" s="1924"/>
      <c r="U55" s="2048"/>
      <c r="V55" s="2048"/>
      <c r="W55" s="2049"/>
      <c r="X55" s="2049"/>
      <c r="Y55" s="2049"/>
      <c r="Z55" s="2050"/>
      <c r="AA55" s="112"/>
    </row>
    <row r="56" spans="1:27" ht="12.7" customHeight="1" thickBot="1" x14ac:dyDescent="0.3">
      <c r="A56" s="99"/>
      <c r="B56" s="100"/>
      <c r="C56" s="100"/>
      <c r="D56" s="101"/>
      <c r="E56" s="101"/>
      <c r="F56" s="101"/>
      <c r="G56" s="101"/>
      <c r="H56" s="101"/>
      <c r="I56" s="101"/>
      <c r="J56" s="101"/>
      <c r="K56" s="101"/>
      <c r="L56" s="101"/>
      <c r="M56" s="101"/>
      <c r="N56" s="101"/>
      <c r="O56" s="101"/>
      <c r="P56" s="102"/>
      <c r="Q56" s="102"/>
      <c r="R56" s="102"/>
      <c r="S56" s="102"/>
      <c r="T56" s="102"/>
      <c r="U56" s="102"/>
      <c r="V56" s="102"/>
      <c r="W56" s="102"/>
      <c r="X56" s="102"/>
      <c r="Y56" s="102"/>
      <c r="Z56" s="102"/>
      <c r="AA56" s="4"/>
    </row>
    <row r="57" spans="1:27" ht="12.7" customHeight="1" x14ac:dyDescent="0.25">
      <c r="A57" s="99"/>
      <c r="B57" s="100"/>
      <c r="C57" s="100"/>
      <c r="D57" s="2072" t="s">
        <v>2036</v>
      </c>
      <c r="E57" s="2073"/>
      <c r="F57" s="2076"/>
      <c r="G57" s="2077"/>
      <c r="H57" s="2077"/>
      <c r="I57" s="2077"/>
      <c r="J57" s="2077"/>
      <c r="K57" s="2077"/>
      <c r="L57" s="2078"/>
      <c r="M57" s="101"/>
      <c r="N57" s="103"/>
      <c r="O57" s="103"/>
      <c r="P57" s="2072" t="s">
        <v>2037</v>
      </c>
      <c r="Q57" s="2073"/>
      <c r="R57" s="2076"/>
      <c r="S57" s="2077"/>
      <c r="T57" s="2077"/>
      <c r="U57" s="2077"/>
      <c r="V57" s="2077"/>
      <c r="W57" s="2077"/>
      <c r="X57" s="2077"/>
      <c r="Y57" s="2078"/>
      <c r="Z57" s="102"/>
      <c r="AA57" s="4"/>
    </row>
    <row r="58" spans="1:27" ht="12.7" customHeight="1" x14ac:dyDescent="0.25">
      <c r="A58" s="99"/>
      <c r="B58" s="100"/>
      <c r="C58" s="100"/>
      <c r="D58" s="2074"/>
      <c r="E58" s="2075"/>
      <c r="F58" s="2079"/>
      <c r="G58" s="2080"/>
      <c r="H58" s="2080"/>
      <c r="I58" s="2080"/>
      <c r="J58" s="2080"/>
      <c r="K58" s="2080"/>
      <c r="L58" s="2081"/>
      <c r="M58" s="101"/>
      <c r="N58" s="103"/>
      <c r="O58" s="103"/>
      <c r="P58" s="2074"/>
      <c r="Q58" s="2075"/>
      <c r="R58" s="2079"/>
      <c r="S58" s="2080"/>
      <c r="T58" s="2080"/>
      <c r="U58" s="2080"/>
      <c r="V58" s="2080"/>
      <c r="W58" s="2080"/>
      <c r="X58" s="2080"/>
      <c r="Y58" s="2081"/>
      <c r="Z58" s="102"/>
      <c r="AA58" s="4"/>
    </row>
    <row r="59" spans="1:27" ht="12.7" customHeight="1" x14ac:dyDescent="0.25">
      <c r="A59" s="99"/>
      <c r="B59" s="100"/>
      <c r="C59" s="100"/>
      <c r="D59" s="2074"/>
      <c r="E59" s="2075"/>
      <c r="F59" s="2079"/>
      <c r="G59" s="2080"/>
      <c r="H59" s="2080"/>
      <c r="I59" s="2080"/>
      <c r="J59" s="2080"/>
      <c r="K59" s="2080"/>
      <c r="L59" s="2081"/>
      <c r="M59" s="101"/>
      <c r="N59" s="103"/>
      <c r="O59" s="103"/>
      <c r="P59" s="2074"/>
      <c r="Q59" s="2075"/>
      <c r="R59" s="2079"/>
      <c r="S59" s="2080"/>
      <c r="T59" s="2080"/>
      <c r="U59" s="2080"/>
      <c r="V59" s="2080"/>
      <c r="W59" s="2080"/>
      <c r="X59" s="2080"/>
      <c r="Y59" s="2081"/>
      <c r="Z59" s="102"/>
      <c r="AA59" s="4"/>
    </row>
    <row r="60" spans="1:27" ht="12.7" customHeight="1" thickBot="1" x14ac:dyDescent="0.3">
      <c r="A60" s="99"/>
      <c r="B60" s="100"/>
      <c r="C60" s="100"/>
      <c r="D60" s="2060"/>
      <c r="E60" s="2061"/>
      <c r="F60" s="2082"/>
      <c r="G60" s="2083"/>
      <c r="H60" s="2083"/>
      <c r="I60" s="2083"/>
      <c r="J60" s="2083"/>
      <c r="K60" s="2083"/>
      <c r="L60" s="2084"/>
      <c r="M60" s="101"/>
      <c r="N60" s="103"/>
      <c r="O60" s="103"/>
      <c r="P60" s="2060"/>
      <c r="Q60" s="2061"/>
      <c r="R60" s="2082"/>
      <c r="S60" s="2083"/>
      <c r="T60" s="2083"/>
      <c r="U60" s="2083"/>
      <c r="V60" s="2083"/>
      <c r="W60" s="2083"/>
      <c r="X60" s="2083"/>
      <c r="Y60" s="2084"/>
      <c r="Z60" s="102"/>
      <c r="AA60" s="4"/>
    </row>
    <row r="61" spans="1:27" ht="12.7" customHeight="1" x14ac:dyDescent="0.25">
      <c r="A61" s="99"/>
      <c r="B61" s="100"/>
      <c r="C61" s="100"/>
      <c r="D61" s="2058" t="s">
        <v>2038</v>
      </c>
      <c r="E61" s="2059"/>
      <c r="F61" s="2066"/>
      <c r="G61" s="2067"/>
      <c r="H61" s="2068"/>
      <c r="I61" s="2058" t="s">
        <v>2039</v>
      </c>
      <c r="J61" s="2059"/>
      <c r="K61" s="2062">
        <f>C11</f>
        <v>0</v>
      </c>
      <c r="L61" s="2063"/>
      <c r="M61" s="101"/>
      <c r="N61" s="101"/>
      <c r="O61" s="101"/>
      <c r="P61" s="2058" t="s">
        <v>2038</v>
      </c>
      <c r="Q61" s="2059"/>
      <c r="R61" s="2066"/>
      <c r="S61" s="2067"/>
      <c r="T61" s="2067"/>
      <c r="U61" s="2068"/>
      <c r="V61" s="2058" t="s">
        <v>2039</v>
      </c>
      <c r="W61" s="2059"/>
      <c r="X61" s="2062">
        <f>C11</f>
        <v>0</v>
      </c>
      <c r="Y61" s="2063"/>
      <c r="Z61" s="102"/>
      <c r="AA61" s="4"/>
    </row>
    <row r="62" spans="1:27" ht="12.7" customHeight="1" thickBot="1" x14ac:dyDescent="0.3">
      <c r="A62" s="99"/>
      <c r="B62" s="100"/>
      <c r="C62" s="100"/>
      <c r="D62" s="2060"/>
      <c r="E62" s="2061"/>
      <c r="F62" s="2069"/>
      <c r="G62" s="2070"/>
      <c r="H62" s="2071"/>
      <c r="I62" s="2060"/>
      <c r="J62" s="2061"/>
      <c r="K62" s="2064"/>
      <c r="L62" s="2065"/>
      <c r="M62" s="101"/>
      <c r="N62" s="101"/>
      <c r="O62" s="101"/>
      <c r="P62" s="2060"/>
      <c r="Q62" s="2061"/>
      <c r="R62" s="2069"/>
      <c r="S62" s="2070"/>
      <c r="T62" s="2070"/>
      <c r="U62" s="2071"/>
      <c r="V62" s="2060"/>
      <c r="W62" s="2061"/>
      <c r="X62" s="2064"/>
      <c r="Y62" s="2065"/>
      <c r="Z62" s="102"/>
      <c r="AA62" s="4"/>
    </row>
  </sheetData>
  <mergeCells count="383">
    <mergeCell ref="M3:N3"/>
    <mergeCell ref="O3:Q3"/>
    <mergeCell ref="N55:R55"/>
    <mergeCell ref="U53:V53"/>
    <mergeCell ref="W53:X53"/>
    <mergeCell ref="Y53:Z53"/>
    <mergeCell ref="V61:W62"/>
    <mergeCell ref="X61:Y62"/>
    <mergeCell ref="D61:E62"/>
    <mergeCell ref="F61:H62"/>
    <mergeCell ref="I61:J62"/>
    <mergeCell ref="K61:L62"/>
    <mergeCell ref="P61:Q62"/>
    <mergeCell ref="R61:U62"/>
    <mergeCell ref="D57:E60"/>
    <mergeCell ref="F57:L60"/>
    <mergeCell ref="P57:Q60"/>
    <mergeCell ref="R57:Y60"/>
    <mergeCell ref="D51:H51"/>
    <mergeCell ref="I51:M51"/>
    <mergeCell ref="N51:R51"/>
    <mergeCell ref="D49:H49"/>
    <mergeCell ref="I49:M49"/>
    <mergeCell ref="N49:R49"/>
    <mergeCell ref="B55:C55"/>
    <mergeCell ref="U55:V55"/>
    <mergeCell ref="W55:X55"/>
    <mergeCell ref="Y55:Z55"/>
    <mergeCell ref="D52:H52"/>
    <mergeCell ref="I52:M52"/>
    <mergeCell ref="N52:R52"/>
    <mergeCell ref="B52:C52"/>
    <mergeCell ref="D54:H54"/>
    <mergeCell ref="I54:M54"/>
    <mergeCell ref="N54:R54"/>
    <mergeCell ref="U52:V52"/>
    <mergeCell ref="W52:X52"/>
    <mergeCell ref="Y52:Z52"/>
    <mergeCell ref="D53:H53"/>
    <mergeCell ref="I53:M53"/>
    <mergeCell ref="N53:R53"/>
    <mergeCell ref="B53:C53"/>
    <mergeCell ref="B54:C54"/>
    <mergeCell ref="U54:V54"/>
    <mergeCell ref="W54:X54"/>
    <mergeCell ref="Y54:Z54"/>
    <mergeCell ref="D55:H55"/>
    <mergeCell ref="I55:M55"/>
    <mergeCell ref="B51:C51"/>
    <mergeCell ref="U51:V51"/>
    <mergeCell ref="W51:X51"/>
    <mergeCell ref="Y51:Z51"/>
    <mergeCell ref="D50:H50"/>
    <mergeCell ref="I50:M50"/>
    <mergeCell ref="N50:R50"/>
    <mergeCell ref="B50:C50"/>
    <mergeCell ref="U50:V50"/>
    <mergeCell ref="W50:X50"/>
    <mergeCell ref="Y50:Z50"/>
    <mergeCell ref="S50:T50"/>
    <mergeCell ref="S51:T51"/>
    <mergeCell ref="B49:C49"/>
    <mergeCell ref="U49:V49"/>
    <mergeCell ref="W49:X49"/>
    <mergeCell ref="Y49:Z49"/>
    <mergeCell ref="D48:H48"/>
    <mergeCell ref="I48:M48"/>
    <mergeCell ref="N48:R48"/>
    <mergeCell ref="B48:C48"/>
    <mergeCell ref="U48:V48"/>
    <mergeCell ref="W48:X48"/>
    <mergeCell ref="Y48:Z48"/>
    <mergeCell ref="S48:T48"/>
    <mergeCell ref="S49:T49"/>
    <mergeCell ref="D47:H47"/>
    <mergeCell ref="I47:M47"/>
    <mergeCell ref="N47:R47"/>
    <mergeCell ref="B47:C47"/>
    <mergeCell ref="U47:V47"/>
    <mergeCell ref="W47:X47"/>
    <mergeCell ref="Y47:Z47"/>
    <mergeCell ref="D46:H46"/>
    <mergeCell ref="I46:M46"/>
    <mergeCell ref="N46:R46"/>
    <mergeCell ref="B46:C46"/>
    <mergeCell ref="U46:V46"/>
    <mergeCell ref="W46:X46"/>
    <mergeCell ref="Y46:Z46"/>
    <mergeCell ref="S46:T46"/>
    <mergeCell ref="S47:T47"/>
    <mergeCell ref="D45:H45"/>
    <mergeCell ref="I45:M45"/>
    <mergeCell ref="N45:R45"/>
    <mergeCell ref="B45:C45"/>
    <mergeCell ref="U45:V45"/>
    <mergeCell ref="W45:X45"/>
    <mergeCell ref="Y45:Z45"/>
    <mergeCell ref="D44:H44"/>
    <mergeCell ref="I44:M44"/>
    <mergeCell ref="N44:R44"/>
    <mergeCell ref="B44:C44"/>
    <mergeCell ref="U44:V44"/>
    <mergeCell ref="W44:X44"/>
    <mergeCell ref="Y44:Z44"/>
    <mergeCell ref="S44:T44"/>
    <mergeCell ref="S45:T45"/>
    <mergeCell ref="D43:H43"/>
    <mergeCell ref="I43:M43"/>
    <mergeCell ref="N43:R43"/>
    <mergeCell ref="B43:C43"/>
    <mergeCell ref="U43:V43"/>
    <mergeCell ref="W43:X43"/>
    <mergeCell ref="Y43:Z43"/>
    <mergeCell ref="D42:H42"/>
    <mergeCell ref="I42:M42"/>
    <mergeCell ref="N42:R42"/>
    <mergeCell ref="B42:C42"/>
    <mergeCell ref="U42:V42"/>
    <mergeCell ref="W42:X42"/>
    <mergeCell ref="Y42:Z42"/>
    <mergeCell ref="S42:T42"/>
    <mergeCell ref="S43:T43"/>
    <mergeCell ref="D41:H41"/>
    <mergeCell ref="I41:M41"/>
    <mergeCell ref="N41:R41"/>
    <mergeCell ref="B41:C41"/>
    <mergeCell ref="U41:V41"/>
    <mergeCell ref="W41:X41"/>
    <mergeCell ref="Y41:Z41"/>
    <mergeCell ref="D40:H40"/>
    <mergeCell ref="I40:M40"/>
    <mergeCell ref="N40:R40"/>
    <mergeCell ref="B40:C40"/>
    <mergeCell ref="U40:V40"/>
    <mergeCell ref="W40:X40"/>
    <mergeCell ref="Y40:Z40"/>
    <mergeCell ref="S40:T40"/>
    <mergeCell ref="S41:T41"/>
    <mergeCell ref="D39:H39"/>
    <mergeCell ref="I39:M39"/>
    <mergeCell ref="N39:R39"/>
    <mergeCell ref="B39:C39"/>
    <mergeCell ref="U39:V39"/>
    <mergeCell ref="W39:X39"/>
    <mergeCell ref="Y39:Z39"/>
    <mergeCell ref="D38:H38"/>
    <mergeCell ref="I38:M38"/>
    <mergeCell ref="N38:R38"/>
    <mergeCell ref="B38:C38"/>
    <mergeCell ref="U38:V38"/>
    <mergeCell ref="W38:X38"/>
    <mergeCell ref="Y38:Z38"/>
    <mergeCell ref="S38:T38"/>
    <mergeCell ref="S39:T39"/>
    <mergeCell ref="D37:H37"/>
    <mergeCell ref="I37:M37"/>
    <mergeCell ref="N37:R37"/>
    <mergeCell ref="B37:C37"/>
    <mergeCell ref="U37:V37"/>
    <mergeCell ref="W37:X37"/>
    <mergeCell ref="Y37:Z37"/>
    <mergeCell ref="D36:H36"/>
    <mergeCell ref="I36:M36"/>
    <mergeCell ref="N36:R36"/>
    <mergeCell ref="B36:C36"/>
    <mergeCell ref="U36:V36"/>
    <mergeCell ref="W36:X36"/>
    <mergeCell ref="Y36:Z36"/>
    <mergeCell ref="S36:T36"/>
    <mergeCell ref="S37:T37"/>
    <mergeCell ref="D35:H35"/>
    <mergeCell ref="I35:M35"/>
    <mergeCell ref="N35:R35"/>
    <mergeCell ref="B35:C35"/>
    <mergeCell ref="U35:V35"/>
    <mergeCell ref="W35:X35"/>
    <mergeCell ref="Y35:Z35"/>
    <mergeCell ref="D34:H34"/>
    <mergeCell ref="I34:M34"/>
    <mergeCell ref="N34:R34"/>
    <mergeCell ref="B34:C34"/>
    <mergeCell ref="U34:V34"/>
    <mergeCell ref="W34:X34"/>
    <mergeCell ref="Y34:Z34"/>
    <mergeCell ref="S34:T34"/>
    <mergeCell ref="S35:T35"/>
    <mergeCell ref="D33:H33"/>
    <mergeCell ref="I33:M33"/>
    <mergeCell ref="N33:R33"/>
    <mergeCell ref="B33:C33"/>
    <mergeCell ref="U33:V33"/>
    <mergeCell ref="W33:X33"/>
    <mergeCell ref="Y33:Z33"/>
    <mergeCell ref="D32:H32"/>
    <mergeCell ref="I32:M32"/>
    <mergeCell ref="N32:R32"/>
    <mergeCell ref="B32:C32"/>
    <mergeCell ref="U32:V32"/>
    <mergeCell ref="W32:X32"/>
    <mergeCell ref="Y32:Z32"/>
    <mergeCell ref="S32:T32"/>
    <mergeCell ref="S33:T33"/>
    <mergeCell ref="D31:H31"/>
    <mergeCell ref="I31:M31"/>
    <mergeCell ref="N31:R31"/>
    <mergeCell ref="B31:C31"/>
    <mergeCell ref="U31:V31"/>
    <mergeCell ref="W31:X31"/>
    <mergeCell ref="Y31:Z31"/>
    <mergeCell ref="D30:H30"/>
    <mergeCell ref="I30:M30"/>
    <mergeCell ref="N30:R30"/>
    <mergeCell ref="B30:C30"/>
    <mergeCell ref="U30:V30"/>
    <mergeCell ref="W30:X30"/>
    <mergeCell ref="Y30:Z30"/>
    <mergeCell ref="S30:T30"/>
    <mergeCell ref="S31:T31"/>
    <mergeCell ref="D29:H29"/>
    <mergeCell ref="I29:M29"/>
    <mergeCell ref="N29:R29"/>
    <mergeCell ref="B29:C29"/>
    <mergeCell ref="U29:V29"/>
    <mergeCell ref="W29:X29"/>
    <mergeCell ref="Y29:Z29"/>
    <mergeCell ref="D28:H28"/>
    <mergeCell ref="I28:M28"/>
    <mergeCell ref="N28:R28"/>
    <mergeCell ref="B28:C28"/>
    <mergeCell ref="U28:V28"/>
    <mergeCell ref="W28:X28"/>
    <mergeCell ref="Y28:Z28"/>
    <mergeCell ref="S28:T28"/>
    <mergeCell ref="S29:T29"/>
    <mergeCell ref="D27:H27"/>
    <mergeCell ref="I27:M27"/>
    <mergeCell ref="N27:R27"/>
    <mergeCell ref="B27:C27"/>
    <mergeCell ref="U27:V27"/>
    <mergeCell ref="W27:X27"/>
    <mergeCell ref="Y27:Z27"/>
    <mergeCell ref="D26:H26"/>
    <mergeCell ref="I26:M26"/>
    <mergeCell ref="N26:R26"/>
    <mergeCell ref="B26:C26"/>
    <mergeCell ref="U26:V26"/>
    <mergeCell ref="W26:X26"/>
    <mergeCell ref="Y26:Z26"/>
    <mergeCell ref="S26:T26"/>
    <mergeCell ref="S27:T27"/>
    <mergeCell ref="D25:H25"/>
    <mergeCell ref="I25:M25"/>
    <mergeCell ref="N25:R25"/>
    <mergeCell ref="B25:C25"/>
    <mergeCell ref="U25:V25"/>
    <mergeCell ref="W25:X25"/>
    <mergeCell ref="Y25:Z25"/>
    <mergeCell ref="I23:M23"/>
    <mergeCell ref="N23:R23"/>
    <mergeCell ref="U23:V23"/>
    <mergeCell ref="W23:X23"/>
    <mergeCell ref="Y23:Z23"/>
    <mergeCell ref="D24:H24"/>
    <mergeCell ref="I24:M24"/>
    <mergeCell ref="N24:R24"/>
    <mergeCell ref="U24:V24"/>
    <mergeCell ref="W24:X24"/>
    <mergeCell ref="Y24:Z24"/>
    <mergeCell ref="S23:T23"/>
    <mergeCell ref="S24:T24"/>
    <mergeCell ref="S25:T25"/>
    <mergeCell ref="W21:X21"/>
    <mergeCell ref="Y21:Z21"/>
    <mergeCell ref="D22:H22"/>
    <mergeCell ref="I22:M22"/>
    <mergeCell ref="N22:R22"/>
    <mergeCell ref="U22:V22"/>
    <mergeCell ref="W22:X22"/>
    <mergeCell ref="Y22:Z22"/>
    <mergeCell ref="S21:T21"/>
    <mergeCell ref="S22:T22"/>
    <mergeCell ref="W19:X19"/>
    <mergeCell ref="Y19:Z19"/>
    <mergeCell ref="D20:H20"/>
    <mergeCell ref="I20:M20"/>
    <mergeCell ref="N20:R20"/>
    <mergeCell ref="U20:V20"/>
    <mergeCell ref="W20:X20"/>
    <mergeCell ref="Y20:Z20"/>
    <mergeCell ref="S19:T19"/>
    <mergeCell ref="S20:T20"/>
    <mergeCell ref="W17:X17"/>
    <mergeCell ref="Y17:Z17"/>
    <mergeCell ref="D18:H18"/>
    <mergeCell ref="I18:M18"/>
    <mergeCell ref="N18:R18"/>
    <mergeCell ref="D17:H17"/>
    <mergeCell ref="I17:M17"/>
    <mergeCell ref="N17:R17"/>
    <mergeCell ref="U18:V18"/>
    <mergeCell ref="W18:X18"/>
    <mergeCell ref="Y18:Z18"/>
    <mergeCell ref="S17:T17"/>
    <mergeCell ref="S18:T18"/>
    <mergeCell ref="W15:X16"/>
    <mergeCell ref="Y15:Z16"/>
    <mergeCell ref="AA15:AA16"/>
    <mergeCell ref="I12:J12"/>
    <mergeCell ref="A13:B13"/>
    <mergeCell ref="F13:G13"/>
    <mergeCell ref="I13:J13"/>
    <mergeCell ref="A15:A16"/>
    <mergeCell ref="D15:M15"/>
    <mergeCell ref="D16:H16"/>
    <mergeCell ref="I16:M16"/>
    <mergeCell ref="M10:Q13"/>
    <mergeCell ref="Y10:Z13"/>
    <mergeCell ref="AA10:AA13"/>
    <mergeCell ref="A11:B11"/>
    <mergeCell ref="F11:G11"/>
    <mergeCell ref="I11:J11"/>
    <mergeCell ref="A12:B12"/>
    <mergeCell ref="S15:T16"/>
    <mergeCell ref="I9:J9"/>
    <mergeCell ref="A10:B10"/>
    <mergeCell ref="F10:G10"/>
    <mergeCell ref="I10:J10"/>
    <mergeCell ref="A1:AA1"/>
    <mergeCell ref="A8:B8"/>
    <mergeCell ref="F8:G8"/>
    <mergeCell ref="H8:K8"/>
    <mergeCell ref="T8:U8"/>
    <mergeCell ref="N8:Q8"/>
    <mergeCell ref="C8:D8"/>
    <mergeCell ref="A3:B3"/>
    <mergeCell ref="C3:D3"/>
    <mergeCell ref="F3:G3"/>
    <mergeCell ref="H3:K3"/>
    <mergeCell ref="A5:B7"/>
    <mergeCell ref="C5:D7"/>
    <mergeCell ref="F5:G7"/>
    <mergeCell ref="H5:K5"/>
    <mergeCell ref="M5:N7"/>
    <mergeCell ref="O5:Q7"/>
    <mergeCell ref="H6:K6"/>
    <mergeCell ref="H7:K7"/>
    <mergeCell ref="A9:B9"/>
    <mergeCell ref="F9:G9"/>
    <mergeCell ref="D19:H19"/>
    <mergeCell ref="D21:H21"/>
    <mergeCell ref="D23:H23"/>
    <mergeCell ref="C13:D13"/>
    <mergeCell ref="C12:D12"/>
    <mergeCell ref="C11:D11"/>
    <mergeCell ref="C10:D10"/>
    <mergeCell ref="C9:D9"/>
    <mergeCell ref="B15:C16"/>
    <mergeCell ref="B17:C17"/>
    <mergeCell ref="B18:C18"/>
    <mergeCell ref="S52:T52"/>
    <mergeCell ref="S53:T53"/>
    <mergeCell ref="S54:T54"/>
    <mergeCell ref="S55:T55"/>
    <mergeCell ref="U10:V10"/>
    <mergeCell ref="U11:V11"/>
    <mergeCell ref="U12:V12"/>
    <mergeCell ref="U13:V13"/>
    <mergeCell ref="B19:C19"/>
    <mergeCell ref="B20:C20"/>
    <mergeCell ref="B21:C21"/>
    <mergeCell ref="B22:C22"/>
    <mergeCell ref="B23:C23"/>
    <mergeCell ref="B24:C24"/>
    <mergeCell ref="F12:G12"/>
    <mergeCell ref="N15:R16"/>
    <mergeCell ref="U15:V16"/>
    <mergeCell ref="U17:V17"/>
    <mergeCell ref="I19:M19"/>
    <mergeCell ref="N19:R19"/>
    <mergeCell ref="U19:V19"/>
    <mergeCell ref="I21:M21"/>
    <mergeCell ref="N21:R21"/>
    <mergeCell ref="U21:V21"/>
  </mergeCells>
  <conditionalFormatting sqref="S17:T55">
    <cfRule type="containsText" dxfId="313" priority="28" operator="containsText" text="rot/red">
      <formula>NOT(ISERROR(SEARCH("rot/red",S17)))</formula>
    </cfRule>
    <cfRule type="containsText" dxfId="312" priority="29" operator="containsText" text="gelb/yellow">
      <formula>NOT(ISERROR(SEARCH("gelb/yellow",S17)))</formula>
    </cfRule>
    <cfRule type="containsText" dxfId="311" priority="30" operator="containsText" text="grün/green">
      <formula>NOT(ISERROR(SEARCH("grün/green",S17)))</formula>
    </cfRule>
  </conditionalFormatting>
  <conditionalFormatting sqref="AA10">
    <cfRule type="containsText" dxfId="310" priority="1" operator="containsText" text="erledigt">
      <formula>NOT(ISERROR(SEARCH("erledigt",AA10)))</formula>
    </cfRule>
    <cfRule type="containsText" dxfId="309" priority="2" operator="containsText" text="offen">
      <formula>NOT(ISERROR(SEARCH("offen",AA10)))</formula>
    </cfRule>
  </conditionalFormatting>
  <conditionalFormatting sqref="AA17:AA55">
    <cfRule type="containsText" dxfId="308" priority="8" operator="containsText" text="erledigt">
      <formula>NOT(ISERROR(SEARCH("erledigt",AA17)))</formula>
    </cfRule>
    <cfRule type="containsText" dxfId="307" priority="12" operator="containsText" text="offen">
      <formula>NOT(ISERROR(SEARCH("offen",AA17)))</formula>
    </cfRule>
  </conditionalFormatting>
  <dataValidations disablePrompts="1" count="2">
    <dataValidation type="list" allowBlank="1" showInputMessage="1" showErrorMessage="1" sqref="AA17:AA55 AA10" xr:uid="{00000000-0002-0000-0D00-000000000000}">
      <formula1>"erledigt, offen"</formula1>
    </dataValidation>
    <dataValidation type="list" allowBlank="1" showInputMessage="1" showErrorMessage="1" sqref="S17:T55" xr:uid="{00000000-0002-0000-0D00-000001000000}">
      <formula1>#REF!</formula1>
    </dataValidation>
  </dataValidations>
  <printOptions horizontalCentered="1"/>
  <pageMargins left="0.70866141732283472" right="0.23622047244094491" top="0.98425196850393704" bottom="0.82677165354330717" header="0.23622047244094491" footer="0.23622047244094491"/>
  <pageSetup paperSize="9" scale="37" fitToHeight="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4" manualBreakCount="4">
    <brk id="23" max="27" man="1"/>
    <brk id="32" max="27" man="1"/>
    <brk id="41" max="27" man="1"/>
    <brk id="50" max="27" man="1"/>
  </rowBreaks>
  <customProperties>
    <customPr name="_pios_id" r:id="rId2"/>
  </customProperties>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pageSetUpPr fitToPage="1"/>
  </sheetPr>
  <dimension ref="A1:AE93"/>
  <sheetViews>
    <sheetView showGridLines="0" topLeftCell="A50" zoomScale="70" zoomScaleNormal="70" zoomScaleSheetLayoutView="25" zoomScalePageLayoutView="85" workbookViewId="0">
      <selection activeCell="I17" sqref="I17:M55"/>
    </sheetView>
  </sheetViews>
  <sheetFormatPr baseColWidth="10" defaultColWidth="11" defaultRowHeight="13.15" x14ac:dyDescent="0.25"/>
  <cols>
    <col min="1" max="15" width="11" style="85" customWidth="1"/>
    <col min="16" max="18" width="11" style="85"/>
    <col min="19" max="19" width="4.3984375" style="85" customWidth="1"/>
    <col min="20" max="20" width="6" style="104" customWidth="1"/>
    <col min="21" max="22" width="30.3984375" style="85" customWidth="1"/>
    <col min="23" max="27" width="11" style="85"/>
    <col min="28" max="28" width="2.3984375" style="85" customWidth="1"/>
    <col min="29" max="16384" width="11" style="85"/>
  </cols>
  <sheetData>
    <row r="1" spans="1:27" ht="20.7" x14ac:dyDescent="0.25">
      <c r="A1" s="1957" t="s">
        <v>314</v>
      </c>
      <c r="B1" s="1957"/>
      <c r="C1" s="1957"/>
      <c r="D1" s="1957"/>
      <c r="E1" s="1957"/>
      <c r="F1" s="1957"/>
      <c r="G1" s="1957"/>
      <c r="H1" s="1957"/>
      <c r="I1" s="1957"/>
      <c r="J1" s="1957"/>
      <c r="K1" s="1957"/>
      <c r="L1" s="1957"/>
      <c r="M1" s="1957"/>
      <c r="N1" s="1957"/>
      <c r="O1" s="1957"/>
      <c r="P1" s="1957"/>
      <c r="Q1" s="1957"/>
      <c r="R1" s="1957"/>
      <c r="S1" s="1957"/>
      <c r="T1" s="1957"/>
      <c r="U1" s="1957"/>
      <c r="V1" s="1957"/>
      <c r="W1" s="1957"/>
      <c r="X1" s="1957"/>
      <c r="Y1" s="1957"/>
      <c r="Z1" s="1957"/>
      <c r="AA1" s="1957"/>
    </row>
    <row r="2" spans="1:27" ht="21.3" thickBot="1" x14ac:dyDescent="0.3">
      <c r="A2" s="87"/>
      <c r="B2" s="87"/>
      <c r="C2" s="87"/>
      <c r="D2" s="87"/>
      <c r="E2" s="87"/>
      <c r="F2" s="87"/>
      <c r="G2" s="87"/>
      <c r="H2" s="87"/>
      <c r="I2" s="87"/>
      <c r="J2" s="87"/>
      <c r="K2" s="87"/>
      <c r="L2" s="87"/>
      <c r="M2" s="87"/>
      <c r="N2" s="87"/>
      <c r="O2" s="87"/>
      <c r="P2" s="87"/>
      <c r="Q2" s="87"/>
      <c r="R2" s="87"/>
      <c r="S2" s="87"/>
      <c r="T2" s="87"/>
      <c r="U2" s="87"/>
      <c r="V2" s="87"/>
      <c r="W2" s="87"/>
      <c r="X2" s="87"/>
      <c r="Y2" s="87"/>
      <c r="Z2" s="87"/>
      <c r="AA2" s="87"/>
    </row>
    <row r="3" spans="1:27" ht="21.3" thickBot="1" x14ac:dyDescent="0.3">
      <c r="A3" s="1960" t="s">
        <v>1853</v>
      </c>
      <c r="B3" s="1961"/>
      <c r="C3" s="1962" t="e">
        <f>Basic_Data!#REF!</f>
        <v>#REF!</v>
      </c>
      <c r="D3" s="1963"/>
      <c r="E3" s="86"/>
      <c r="F3" s="1960" t="s">
        <v>1897</v>
      </c>
      <c r="G3" s="1961"/>
      <c r="H3" s="1962" t="e">
        <f>Basic_Data!#REF!</f>
        <v>#REF!</v>
      </c>
      <c r="I3" s="1964"/>
      <c r="J3" s="1964"/>
      <c r="K3" s="1963"/>
      <c r="L3" s="87"/>
      <c r="M3" s="2051" t="s">
        <v>1898</v>
      </c>
      <c r="N3" s="2052"/>
      <c r="O3" s="2053"/>
      <c r="P3" s="2054"/>
      <c r="Q3" s="2055"/>
      <c r="R3" s="87"/>
      <c r="S3" s="87"/>
      <c r="T3" s="87"/>
      <c r="U3" s="87"/>
      <c r="V3" s="87"/>
      <c r="W3" s="87"/>
      <c r="X3" s="87"/>
      <c r="Y3" s="87"/>
      <c r="Z3" s="87"/>
      <c r="AA3" s="87"/>
    </row>
    <row r="4" spans="1:27" ht="15.05" customHeight="1" thickBot="1" x14ac:dyDescent="0.3">
      <c r="A4" s="107"/>
      <c r="B4" s="107"/>
      <c r="C4" s="87"/>
      <c r="D4" s="87"/>
      <c r="E4" s="87"/>
      <c r="F4" s="87"/>
      <c r="G4" s="87"/>
      <c r="H4" s="87"/>
      <c r="I4" s="87"/>
      <c r="J4" s="87"/>
      <c r="K4" s="87"/>
      <c r="L4" s="87"/>
      <c r="M4" s="87"/>
      <c r="N4" s="87"/>
      <c r="O4" s="87"/>
      <c r="P4" s="87"/>
      <c r="Q4" s="87"/>
      <c r="R4" s="87"/>
      <c r="S4" s="87"/>
      <c r="T4" s="87"/>
      <c r="U4" s="87"/>
      <c r="V4" s="87"/>
      <c r="W4" s="87"/>
      <c r="X4" s="87"/>
      <c r="Y4" s="87"/>
      <c r="Z4" s="87"/>
      <c r="AA4" s="87"/>
    </row>
    <row r="5" spans="1:27" ht="16.45" customHeight="1" x14ac:dyDescent="0.25">
      <c r="A5" s="1965" t="s">
        <v>1899</v>
      </c>
      <c r="B5" s="1966"/>
      <c r="C5" s="1971">
        <f>Basic_Data!R6</f>
        <v>0</v>
      </c>
      <c r="D5" s="1972"/>
      <c r="E5" s="86"/>
      <c r="F5" s="1965" t="s">
        <v>1900</v>
      </c>
      <c r="G5" s="1977"/>
      <c r="H5" s="1980">
        <f>Basic_Data!R8</f>
        <v>0</v>
      </c>
      <c r="I5" s="1981"/>
      <c r="J5" s="1981"/>
      <c r="K5" s="1982"/>
      <c r="L5" s="87"/>
      <c r="M5" s="1965" t="s">
        <v>1857</v>
      </c>
      <c r="N5" s="1966"/>
      <c r="O5" s="1971">
        <f>Basic_Data!R7</f>
        <v>0</v>
      </c>
      <c r="P5" s="1983"/>
      <c r="Q5" s="1972"/>
      <c r="R5" s="87"/>
      <c r="S5" s="87"/>
      <c r="T5" s="87"/>
      <c r="U5" s="87"/>
      <c r="V5" s="87"/>
      <c r="W5" s="87"/>
      <c r="X5" s="87"/>
      <c r="Y5" s="87"/>
      <c r="Z5" s="87"/>
      <c r="AA5" s="87"/>
    </row>
    <row r="6" spans="1:27" ht="14.25" customHeight="1" x14ac:dyDescent="0.25">
      <c r="A6" s="1967"/>
      <c r="B6" s="1968"/>
      <c r="C6" s="1973"/>
      <c r="D6" s="1974"/>
      <c r="E6" s="86"/>
      <c r="F6" s="1967"/>
      <c r="G6" s="1978"/>
      <c r="H6" s="1985" t="e">
        <f>Basic_Data!#REF!</f>
        <v>#REF!</v>
      </c>
      <c r="I6" s="1986"/>
      <c r="J6" s="1986"/>
      <c r="K6" s="1987"/>
      <c r="M6" s="1967"/>
      <c r="N6" s="1968"/>
      <c r="O6" s="1973"/>
      <c r="P6" s="1959"/>
      <c r="Q6" s="1974"/>
      <c r="R6" s="87"/>
      <c r="S6" s="87"/>
      <c r="T6" s="87"/>
      <c r="U6" s="87"/>
      <c r="V6" s="87"/>
      <c r="W6" s="87"/>
      <c r="X6" s="87"/>
      <c r="Y6" s="87"/>
      <c r="Z6" s="87"/>
      <c r="AA6" s="87"/>
    </row>
    <row r="7" spans="1:27" ht="12.7" customHeight="1" thickBot="1" x14ac:dyDescent="0.3">
      <c r="A7" s="1969"/>
      <c r="B7" s="1970"/>
      <c r="C7" s="1975"/>
      <c r="D7" s="1976"/>
      <c r="E7" s="86"/>
      <c r="F7" s="1969"/>
      <c r="G7" s="1979"/>
      <c r="H7" s="1988">
        <f>Basic_Data!R9</f>
        <v>0</v>
      </c>
      <c r="I7" s="1989"/>
      <c r="J7" s="1989"/>
      <c r="K7" s="1990"/>
      <c r="L7" s="108"/>
      <c r="M7" s="1969"/>
      <c r="N7" s="1970"/>
      <c r="O7" s="1975"/>
      <c r="P7" s="1984"/>
      <c r="Q7" s="1976"/>
    </row>
    <row r="8" spans="1:27" ht="12.7" customHeight="1" thickBot="1" x14ac:dyDescent="0.3">
      <c r="A8" s="1925"/>
      <c r="B8" s="1925"/>
      <c r="C8" s="1959"/>
      <c r="D8" s="1959"/>
      <c r="E8" s="108"/>
      <c r="F8" s="1925"/>
      <c r="G8" s="1925"/>
      <c r="H8" s="1958"/>
      <c r="I8" s="1958"/>
      <c r="J8" s="1958"/>
      <c r="K8" s="1958"/>
      <c r="L8" s="108"/>
      <c r="M8" s="109"/>
      <c r="N8" s="1959"/>
      <c r="O8" s="1959"/>
      <c r="P8" s="1959"/>
      <c r="Q8" s="1959"/>
      <c r="T8" s="1925"/>
      <c r="U8" s="1925"/>
      <c r="V8" s="88"/>
    </row>
    <row r="9" spans="1:27" s="10" customFormat="1" ht="12.7" customHeight="1" thickBot="1" x14ac:dyDescent="0.3">
      <c r="A9" s="1991" t="s">
        <v>1901</v>
      </c>
      <c r="B9" s="1992"/>
      <c r="C9" s="1946"/>
      <c r="D9" s="1947"/>
      <c r="E9" s="12"/>
      <c r="F9" s="1939" t="s">
        <v>1902</v>
      </c>
      <c r="G9" s="1811"/>
      <c r="H9" s="106" t="s">
        <v>51</v>
      </c>
      <c r="I9" s="1811" t="s">
        <v>52</v>
      </c>
      <c r="J9" s="1811"/>
      <c r="K9" s="89" t="s">
        <v>51</v>
      </c>
      <c r="L9" s="12"/>
      <c r="M9" s="12"/>
      <c r="N9" s="12"/>
      <c r="O9" s="12"/>
      <c r="P9" s="12"/>
      <c r="Q9" s="12"/>
      <c r="R9" s="12"/>
      <c r="S9" s="12"/>
      <c r="T9" s="108"/>
      <c r="V9" s="12"/>
      <c r="W9" s="12"/>
    </row>
    <row r="10" spans="1:27" s="10" customFormat="1" ht="12.7" customHeight="1" x14ac:dyDescent="0.25">
      <c r="A10" s="1955" t="s">
        <v>1903</v>
      </c>
      <c r="B10" s="1956"/>
      <c r="C10" s="1944"/>
      <c r="D10" s="1945"/>
      <c r="E10" s="12"/>
      <c r="F10" s="1928">
        <f>IF('LQG-Ergebnis'!X11="","",'LQG-Ergebnis'!X11)</f>
        <v>123</v>
      </c>
      <c r="G10" s="1929"/>
      <c r="H10" s="13" t="str">
        <f>IF('LQG-Ergebnis'!AF11="","", 'LQG-Ergebnis'!AF11)</f>
        <v/>
      </c>
      <c r="I10" s="1929" t="str">
        <f>IF('LQG-Ergebnis'!AI11="","",'LQG-Ergebnis'!AI11)</f>
        <v>DS45</v>
      </c>
      <c r="J10" s="1929"/>
      <c r="K10" s="14" t="str">
        <f>IF('LQG-Ergebnis'!AQ11="","",'LQG-Ergebnis'!AQ11)</f>
        <v/>
      </c>
      <c r="L10" s="12"/>
      <c r="M10" s="2008" t="s">
        <v>2040</v>
      </c>
      <c r="N10" s="2009"/>
      <c r="O10" s="2009"/>
      <c r="P10" s="2009"/>
      <c r="Q10" s="2010"/>
      <c r="R10" s="12"/>
      <c r="S10" s="87"/>
      <c r="T10" s="87"/>
      <c r="U10" s="2085"/>
      <c r="V10" s="2085"/>
      <c r="W10" s="90"/>
      <c r="Y10" s="2017" t="s">
        <v>1894</v>
      </c>
      <c r="Z10" s="2018"/>
      <c r="AA10" s="2023"/>
    </row>
    <row r="11" spans="1:27" s="10" customFormat="1" ht="12.7" customHeight="1" x14ac:dyDescent="0.25">
      <c r="A11" s="1955" t="s">
        <v>1905</v>
      </c>
      <c r="B11" s="1956"/>
      <c r="C11" s="1944"/>
      <c r="D11" s="1945"/>
      <c r="E11" s="12"/>
      <c r="F11" s="1928" t="str">
        <f>IF('LQG-Ergebnis'!X12="","",'LQG-Ergebnis'!X12)</f>
        <v/>
      </c>
      <c r="G11" s="1929"/>
      <c r="H11" s="13" t="str">
        <f>IF('LQG-Ergebnis'!AF12="","", 'LQG-Ergebnis'!AF12)</f>
        <v/>
      </c>
      <c r="I11" s="1929" t="str">
        <f>IF('LQG-Ergebnis'!AI12="","",'LQG-Ergebnis'!AI12)</f>
        <v/>
      </c>
      <c r="J11" s="1929"/>
      <c r="K11" s="14" t="str">
        <f>IF('LQG-Ergebnis'!AQ12="","",'LQG-Ergebnis'!AQ12)</f>
        <v/>
      </c>
      <c r="L11" s="12"/>
      <c r="M11" s="2011"/>
      <c r="N11" s="2012"/>
      <c r="O11" s="2012"/>
      <c r="P11" s="2012"/>
      <c r="Q11" s="2013"/>
      <c r="R11" s="12"/>
      <c r="S11" s="87"/>
      <c r="T11" s="87"/>
      <c r="U11" s="2085"/>
      <c r="V11" s="2085"/>
      <c r="W11" s="90"/>
      <c r="Y11" s="2019"/>
      <c r="Z11" s="2020"/>
      <c r="AA11" s="2024"/>
    </row>
    <row r="12" spans="1:27" s="10" customFormat="1" ht="12.7" customHeight="1" x14ac:dyDescent="0.25">
      <c r="A12" s="1955" t="s">
        <v>1906</v>
      </c>
      <c r="B12" s="1956"/>
      <c r="C12" s="1944"/>
      <c r="D12" s="1945"/>
      <c r="E12" s="12"/>
      <c r="F12" s="1928" t="str">
        <f>IF('LQG-Ergebnis'!X13="","",'LQG-Ergebnis'!X13)</f>
        <v/>
      </c>
      <c r="G12" s="1929"/>
      <c r="H12" s="13" t="str">
        <f>IF('LQG-Ergebnis'!AF13="","", 'LQG-Ergebnis'!AF13)</f>
        <v/>
      </c>
      <c r="I12" s="1929" t="str">
        <f>IF('LQG-Ergebnis'!AI13="","",'LQG-Ergebnis'!AI13)</f>
        <v/>
      </c>
      <c r="J12" s="1929"/>
      <c r="K12" s="14" t="str">
        <f>IF('LQG-Ergebnis'!AQ13="","",'LQG-Ergebnis'!AQ13)</f>
        <v/>
      </c>
      <c r="L12" s="12"/>
      <c r="M12" s="2011"/>
      <c r="N12" s="2012"/>
      <c r="O12" s="2012"/>
      <c r="P12" s="2012"/>
      <c r="Q12" s="2013"/>
      <c r="R12" s="12"/>
      <c r="S12" s="87"/>
      <c r="T12" s="87"/>
      <c r="U12" s="2085"/>
      <c r="V12" s="2085"/>
      <c r="W12" s="90"/>
      <c r="Y12" s="2019"/>
      <c r="Z12" s="2020"/>
      <c r="AA12" s="2024"/>
    </row>
    <row r="13" spans="1:27" s="10" customFormat="1" ht="12.7" customHeight="1" thickBot="1" x14ac:dyDescent="0.3">
      <c r="A13" s="1999" t="s">
        <v>1907</v>
      </c>
      <c r="B13" s="2000"/>
      <c r="C13" s="1942"/>
      <c r="D13" s="1943"/>
      <c r="E13" s="4"/>
      <c r="F13" s="1928" t="str">
        <f>IF('LQG-Ergebnis'!X14="","",'LQG-Ergebnis'!X14)</f>
        <v/>
      </c>
      <c r="G13" s="1929"/>
      <c r="H13" s="13" t="str">
        <f>IF('LQG-Ergebnis'!AF14="","", 'LQG-Ergebnis'!AF14)</f>
        <v/>
      </c>
      <c r="I13" s="1929" t="str">
        <f>IF('LQG-Ergebnis'!AI14="","",'LQG-Ergebnis'!AI14)</f>
        <v/>
      </c>
      <c r="J13" s="1929"/>
      <c r="K13" s="14" t="str">
        <f>IF('LQG-Ergebnis'!AQ14="","",'LQG-Ergebnis'!AQ14)</f>
        <v/>
      </c>
      <c r="L13" s="4"/>
      <c r="M13" s="2014"/>
      <c r="N13" s="2015"/>
      <c r="O13" s="2015"/>
      <c r="P13" s="2015"/>
      <c r="Q13" s="2016"/>
      <c r="R13" s="12"/>
      <c r="S13" s="87"/>
      <c r="T13" s="87"/>
      <c r="U13" s="2085"/>
      <c r="V13" s="2085"/>
      <c r="W13" s="90"/>
      <c r="Y13" s="2021"/>
      <c r="Z13" s="2022"/>
      <c r="AA13" s="2025"/>
    </row>
    <row r="14" spans="1:27" ht="13.8" thickBot="1" x14ac:dyDescent="0.3"/>
    <row r="15" spans="1:27" ht="38.200000000000003" customHeight="1" x14ac:dyDescent="0.25">
      <c r="A15" s="2001" t="s">
        <v>90</v>
      </c>
      <c r="B15" s="1948" t="s">
        <v>1864</v>
      </c>
      <c r="C15" s="1949"/>
      <c r="D15" s="2003" t="s">
        <v>92</v>
      </c>
      <c r="E15" s="2004"/>
      <c r="F15" s="2004"/>
      <c r="G15" s="2004"/>
      <c r="H15" s="2004"/>
      <c r="I15" s="2005"/>
      <c r="J15" s="2005"/>
      <c r="K15" s="2005"/>
      <c r="L15" s="2005"/>
      <c r="M15" s="2006"/>
      <c r="N15" s="1930" t="s">
        <v>1908</v>
      </c>
      <c r="O15" s="1930"/>
      <c r="P15" s="1931"/>
      <c r="Q15" s="1931"/>
      <c r="R15" s="1931"/>
      <c r="S15" s="1993" t="s">
        <v>1865</v>
      </c>
      <c r="T15" s="1994"/>
      <c r="U15" s="1931" t="s">
        <v>96</v>
      </c>
      <c r="V15" s="1931"/>
      <c r="W15" s="1993" t="s">
        <v>98</v>
      </c>
      <c r="X15" s="1994"/>
      <c r="Y15" s="1993" t="s">
        <v>39</v>
      </c>
      <c r="Z15" s="1994"/>
      <c r="AA15" s="1997" t="s">
        <v>78</v>
      </c>
    </row>
    <row r="16" spans="1:27" ht="12.7" customHeight="1" thickBot="1" x14ac:dyDescent="0.3">
      <c r="A16" s="2002"/>
      <c r="B16" s="1950"/>
      <c r="C16" s="1951"/>
      <c r="D16" s="2007" t="s">
        <v>1909</v>
      </c>
      <c r="E16" s="2007"/>
      <c r="F16" s="2007"/>
      <c r="G16" s="2007"/>
      <c r="H16" s="2007"/>
      <c r="I16" s="2007" t="s">
        <v>1533</v>
      </c>
      <c r="J16" s="2007"/>
      <c r="K16" s="2007"/>
      <c r="L16" s="2007"/>
      <c r="M16" s="1998"/>
      <c r="N16" s="1932"/>
      <c r="O16" s="1932"/>
      <c r="P16" s="1933"/>
      <c r="Q16" s="1933"/>
      <c r="R16" s="1933"/>
      <c r="S16" s="2026"/>
      <c r="T16" s="2027"/>
      <c r="U16" s="1933"/>
      <c r="V16" s="1933"/>
      <c r="W16" s="1995"/>
      <c r="X16" s="1996"/>
      <c r="Y16" s="1995"/>
      <c r="Z16" s="1996"/>
      <c r="AA16" s="1998"/>
    </row>
    <row r="17" spans="1:27" ht="120.05" customHeight="1" x14ac:dyDescent="0.25">
      <c r="A17" s="91" t="s">
        <v>2041</v>
      </c>
      <c r="B17" s="1952" t="s">
        <v>81</v>
      </c>
      <c r="C17" s="1953"/>
      <c r="D17" s="2031" t="s">
        <v>1911</v>
      </c>
      <c r="E17" s="2032"/>
      <c r="F17" s="2032"/>
      <c r="G17" s="2032"/>
      <c r="H17" s="2032"/>
      <c r="I17" s="879" t="s">
        <v>2042</v>
      </c>
      <c r="J17" s="879"/>
      <c r="K17" s="879"/>
      <c r="L17" s="879"/>
      <c r="M17" s="880"/>
      <c r="N17" s="2033"/>
      <c r="O17" s="1934"/>
      <c r="P17" s="1935"/>
      <c r="Q17" s="1935"/>
      <c r="R17" s="2034"/>
      <c r="S17" s="2038"/>
      <c r="T17" s="2039"/>
      <c r="U17" s="1934"/>
      <c r="V17" s="1935"/>
      <c r="W17" s="2028"/>
      <c r="X17" s="2028"/>
      <c r="Y17" s="2028"/>
      <c r="Z17" s="2029"/>
      <c r="AA17" s="113"/>
    </row>
    <row r="18" spans="1:27" ht="120.05" customHeight="1" x14ac:dyDescent="0.25">
      <c r="A18" s="92" t="s">
        <v>2043</v>
      </c>
      <c r="B18" s="1954" t="s">
        <v>1867</v>
      </c>
      <c r="C18" s="1954"/>
      <c r="D18" s="853" t="s">
        <v>1914</v>
      </c>
      <c r="E18" s="853"/>
      <c r="F18" s="853"/>
      <c r="G18" s="853"/>
      <c r="H18" s="853"/>
      <c r="I18" s="853" t="s">
        <v>2044</v>
      </c>
      <c r="J18" s="853"/>
      <c r="K18" s="853"/>
      <c r="L18" s="853"/>
      <c r="M18" s="866"/>
      <c r="N18" s="1936"/>
      <c r="O18" s="2035"/>
      <c r="P18" s="1937"/>
      <c r="Q18" s="1937"/>
      <c r="R18" s="1938"/>
      <c r="S18" s="1921"/>
      <c r="T18" s="1922"/>
      <c r="U18" s="1937"/>
      <c r="V18" s="1937"/>
      <c r="W18" s="2036"/>
      <c r="X18" s="2036"/>
      <c r="Y18" s="2036"/>
      <c r="Z18" s="2037"/>
      <c r="AA18" s="110"/>
    </row>
    <row r="19" spans="1:27" ht="120.05" customHeight="1" x14ac:dyDescent="0.25">
      <c r="A19" s="92" t="s">
        <v>2045</v>
      </c>
      <c r="B19" s="1926" t="s">
        <v>1916</v>
      </c>
      <c r="C19" s="1926"/>
      <c r="D19" s="853" t="s">
        <v>1917</v>
      </c>
      <c r="E19" s="853"/>
      <c r="F19" s="853"/>
      <c r="G19" s="853"/>
      <c r="H19" s="853"/>
      <c r="I19" s="853" t="s">
        <v>1918</v>
      </c>
      <c r="J19" s="853"/>
      <c r="K19" s="853"/>
      <c r="L19" s="853"/>
      <c r="M19" s="866"/>
      <c r="N19" s="1936"/>
      <c r="O19" s="2035"/>
      <c r="P19" s="1937"/>
      <c r="Q19" s="1937"/>
      <c r="R19" s="1938"/>
      <c r="S19" s="1921"/>
      <c r="T19" s="1922"/>
      <c r="U19" s="1937"/>
      <c r="V19" s="1937"/>
      <c r="W19" s="2036"/>
      <c r="X19" s="2036"/>
      <c r="Y19" s="2036"/>
      <c r="Z19" s="2037"/>
      <c r="AA19" s="110"/>
    </row>
    <row r="20" spans="1:27" ht="120.05" customHeight="1" x14ac:dyDescent="0.25">
      <c r="A20" s="92" t="s">
        <v>2046</v>
      </c>
      <c r="B20" s="1926" t="s">
        <v>1920</v>
      </c>
      <c r="C20" s="1926"/>
      <c r="D20" s="853" t="s">
        <v>2047</v>
      </c>
      <c r="E20" s="853"/>
      <c r="F20" s="853"/>
      <c r="G20" s="853"/>
      <c r="H20" s="853"/>
      <c r="I20" s="853" t="s">
        <v>1922</v>
      </c>
      <c r="J20" s="853"/>
      <c r="K20" s="853"/>
      <c r="L20" s="853"/>
      <c r="M20" s="866"/>
      <c r="N20" s="1936"/>
      <c r="O20" s="2035"/>
      <c r="P20" s="1937"/>
      <c r="Q20" s="1937"/>
      <c r="R20" s="1938"/>
      <c r="S20" s="1921"/>
      <c r="T20" s="1922"/>
      <c r="U20" s="1937"/>
      <c r="V20" s="1937"/>
      <c r="W20" s="2036"/>
      <c r="X20" s="2036"/>
      <c r="Y20" s="2036"/>
      <c r="Z20" s="2037"/>
      <c r="AA20" s="110"/>
    </row>
    <row r="21" spans="1:27" ht="120.05" customHeight="1" x14ac:dyDescent="0.25">
      <c r="A21" s="92" t="s">
        <v>2048</v>
      </c>
      <c r="B21" s="1926" t="s">
        <v>1924</v>
      </c>
      <c r="C21" s="1926"/>
      <c r="D21" s="866" t="s">
        <v>1925</v>
      </c>
      <c r="E21" s="884"/>
      <c r="F21" s="884"/>
      <c r="G21" s="884"/>
      <c r="H21" s="2040"/>
      <c r="I21" s="866" t="s">
        <v>1627</v>
      </c>
      <c r="J21" s="884"/>
      <c r="K21" s="884"/>
      <c r="L21" s="884"/>
      <c r="M21" s="885"/>
      <c r="N21" s="1936"/>
      <c r="O21" s="2035"/>
      <c r="P21" s="1937"/>
      <c r="Q21" s="1937"/>
      <c r="R21" s="1938"/>
      <c r="S21" s="1921"/>
      <c r="T21" s="1922"/>
      <c r="U21" s="1937"/>
      <c r="V21" s="1937"/>
      <c r="W21" s="2036"/>
      <c r="X21" s="2036"/>
      <c r="Y21" s="2036"/>
      <c r="Z21" s="2037"/>
      <c r="AA21" s="110"/>
    </row>
    <row r="22" spans="1:27" ht="120.05" customHeight="1" x14ac:dyDescent="0.25">
      <c r="A22" s="92" t="s">
        <v>2049</v>
      </c>
      <c r="B22" s="1926" t="s">
        <v>1927</v>
      </c>
      <c r="C22" s="1926"/>
      <c r="D22" s="866" t="s">
        <v>1928</v>
      </c>
      <c r="E22" s="884"/>
      <c r="F22" s="884"/>
      <c r="G22" s="884"/>
      <c r="H22" s="2040"/>
      <c r="I22" s="866" t="s">
        <v>2050</v>
      </c>
      <c r="J22" s="884"/>
      <c r="K22" s="884"/>
      <c r="L22" s="884"/>
      <c r="M22" s="885"/>
      <c r="N22" s="1936"/>
      <c r="O22" s="2035"/>
      <c r="P22" s="1937"/>
      <c r="Q22" s="1937"/>
      <c r="R22" s="1938"/>
      <c r="S22" s="1921"/>
      <c r="T22" s="1922"/>
      <c r="U22" s="1937"/>
      <c r="V22" s="1937"/>
      <c r="W22" s="2036"/>
      <c r="X22" s="2036"/>
      <c r="Y22" s="2036"/>
      <c r="Z22" s="2037"/>
      <c r="AA22" s="110"/>
    </row>
    <row r="23" spans="1:27" ht="120.05" customHeight="1" x14ac:dyDescent="0.25">
      <c r="A23" s="93" t="s">
        <v>2051</v>
      </c>
      <c r="B23" s="1927" t="s">
        <v>1931</v>
      </c>
      <c r="C23" s="1927"/>
      <c r="D23" s="870" t="s">
        <v>2052</v>
      </c>
      <c r="E23" s="886"/>
      <c r="F23" s="886"/>
      <c r="G23" s="886"/>
      <c r="H23" s="2086"/>
      <c r="I23" s="870" t="s">
        <v>1631</v>
      </c>
      <c r="J23" s="886"/>
      <c r="K23" s="886"/>
      <c r="L23" s="886"/>
      <c r="M23" s="887"/>
      <c r="N23" s="2041"/>
      <c r="O23" s="2087"/>
      <c r="P23" s="2042"/>
      <c r="Q23" s="2042"/>
      <c r="R23" s="2042"/>
      <c r="S23" s="1919"/>
      <c r="T23" s="1920"/>
      <c r="U23" s="2042"/>
      <c r="V23" s="2042"/>
      <c r="W23" s="2043"/>
      <c r="X23" s="2043"/>
      <c r="Y23" s="2043"/>
      <c r="Z23" s="2044"/>
      <c r="AA23" s="111"/>
    </row>
    <row r="24" spans="1:27" ht="120.05" customHeight="1" x14ac:dyDescent="0.25">
      <c r="A24" s="94" t="s">
        <v>2053</v>
      </c>
      <c r="B24" s="1927" t="s">
        <v>1934</v>
      </c>
      <c r="C24" s="1927"/>
      <c r="D24" s="870" t="s">
        <v>2054</v>
      </c>
      <c r="E24" s="886"/>
      <c r="F24" s="886"/>
      <c r="G24" s="886"/>
      <c r="H24" s="2086"/>
      <c r="I24" s="870" t="s">
        <v>1546</v>
      </c>
      <c r="J24" s="886"/>
      <c r="K24" s="886"/>
      <c r="L24" s="886"/>
      <c r="M24" s="887"/>
      <c r="N24" s="2041"/>
      <c r="O24" s="2087"/>
      <c r="P24" s="2042"/>
      <c r="Q24" s="2042"/>
      <c r="R24" s="2042"/>
      <c r="S24" s="1919"/>
      <c r="T24" s="1920"/>
      <c r="U24" s="2042"/>
      <c r="V24" s="2042"/>
      <c r="W24" s="2043"/>
      <c r="X24" s="2043"/>
      <c r="Y24" s="2043"/>
      <c r="Z24" s="2044"/>
      <c r="AA24" s="111"/>
    </row>
    <row r="25" spans="1:27" ht="120.05" customHeight="1" x14ac:dyDescent="0.25">
      <c r="A25" s="92" t="s">
        <v>2055</v>
      </c>
      <c r="B25" s="1954" t="s">
        <v>1937</v>
      </c>
      <c r="C25" s="1954"/>
      <c r="D25" s="866" t="s">
        <v>2056</v>
      </c>
      <c r="E25" s="884"/>
      <c r="F25" s="884"/>
      <c r="G25" s="884"/>
      <c r="H25" s="2040"/>
      <c r="I25" s="866" t="s">
        <v>1682</v>
      </c>
      <c r="J25" s="884"/>
      <c r="K25" s="884"/>
      <c r="L25" s="884"/>
      <c r="M25" s="885"/>
      <c r="N25" s="1936"/>
      <c r="O25" s="2035"/>
      <c r="P25" s="1937"/>
      <c r="Q25" s="1937"/>
      <c r="R25" s="1938"/>
      <c r="S25" s="1921"/>
      <c r="T25" s="1922"/>
      <c r="U25" s="1937"/>
      <c r="V25" s="1937"/>
      <c r="W25" s="2036"/>
      <c r="X25" s="2036"/>
      <c r="Y25" s="2036"/>
      <c r="Z25" s="2037"/>
      <c r="AA25" s="110"/>
    </row>
    <row r="26" spans="1:27" ht="120.05" customHeight="1" x14ac:dyDescent="0.25">
      <c r="A26" s="92" t="s">
        <v>2057</v>
      </c>
      <c r="B26" s="1954" t="s">
        <v>1940</v>
      </c>
      <c r="C26" s="1954"/>
      <c r="D26" s="866" t="s">
        <v>2058</v>
      </c>
      <c r="E26" s="884"/>
      <c r="F26" s="884"/>
      <c r="G26" s="884"/>
      <c r="H26" s="2040"/>
      <c r="I26" s="853" t="s">
        <v>2059</v>
      </c>
      <c r="J26" s="853"/>
      <c r="K26" s="853"/>
      <c r="L26" s="853"/>
      <c r="M26" s="866"/>
      <c r="N26" s="1936"/>
      <c r="O26" s="2035"/>
      <c r="P26" s="1937"/>
      <c r="Q26" s="1937"/>
      <c r="R26" s="1938"/>
      <c r="S26" s="1921"/>
      <c r="T26" s="1922"/>
      <c r="U26" s="1937"/>
      <c r="V26" s="1937"/>
      <c r="W26" s="2036"/>
      <c r="X26" s="2036"/>
      <c r="Y26" s="2036"/>
      <c r="Z26" s="2037"/>
      <c r="AA26" s="110"/>
    </row>
    <row r="27" spans="1:27" ht="120.05" customHeight="1" x14ac:dyDescent="0.25">
      <c r="A27" s="92" t="s">
        <v>2060</v>
      </c>
      <c r="B27" s="1954" t="s">
        <v>1944</v>
      </c>
      <c r="C27" s="1954"/>
      <c r="D27" s="853" t="s">
        <v>2061</v>
      </c>
      <c r="E27" s="853"/>
      <c r="F27" s="853"/>
      <c r="G27" s="853"/>
      <c r="H27" s="853"/>
      <c r="I27" s="853" t="s">
        <v>2062</v>
      </c>
      <c r="J27" s="853"/>
      <c r="K27" s="853"/>
      <c r="L27" s="853"/>
      <c r="M27" s="866"/>
      <c r="N27" s="1936"/>
      <c r="O27" s="2035"/>
      <c r="P27" s="1937"/>
      <c r="Q27" s="1937"/>
      <c r="R27" s="1937"/>
      <c r="S27" s="1921"/>
      <c r="T27" s="1922"/>
      <c r="U27" s="1937"/>
      <c r="V27" s="1937"/>
      <c r="W27" s="2036"/>
      <c r="X27" s="2036"/>
      <c r="Y27" s="2036"/>
      <c r="Z27" s="2037"/>
      <c r="AA27" s="110"/>
    </row>
    <row r="28" spans="1:27" ht="120.05" customHeight="1" x14ac:dyDescent="0.25">
      <c r="A28" s="92" t="s">
        <v>2063</v>
      </c>
      <c r="B28" s="1954" t="s">
        <v>1948</v>
      </c>
      <c r="C28" s="1954"/>
      <c r="D28" s="853" t="s">
        <v>2064</v>
      </c>
      <c r="E28" s="853"/>
      <c r="F28" s="853"/>
      <c r="G28" s="853"/>
      <c r="H28" s="853"/>
      <c r="I28" s="853" t="s">
        <v>2065</v>
      </c>
      <c r="J28" s="853"/>
      <c r="K28" s="853"/>
      <c r="L28" s="853"/>
      <c r="M28" s="866"/>
      <c r="N28" s="1936"/>
      <c r="O28" s="2035"/>
      <c r="P28" s="1937"/>
      <c r="Q28" s="1937"/>
      <c r="R28" s="1937"/>
      <c r="S28" s="1921"/>
      <c r="T28" s="1922"/>
      <c r="U28" s="1937"/>
      <c r="V28" s="1937"/>
      <c r="W28" s="2036"/>
      <c r="X28" s="2036"/>
      <c r="Y28" s="2036"/>
      <c r="Z28" s="2037"/>
      <c r="AA28" s="110"/>
    </row>
    <row r="29" spans="1:27" ht="120.05" customHeight="1" x14ac:dyDescent="0.25">
      <c r="A29" s="95" t="s">
        <v>2066</v>
      </c>
      <c r="B29" s="1954" t="s">
        <v>1952</v>
      </c>
      <c r="C29" s="1954"/>
      <c r="D29" s="853" t="s">
        <v>2067</v>
      </c>
      <c r="E29" s="853"/>
      <c r="F29" s="853"/>
      <c r="G29" s="853"/>
      <c r="H29" s="853"/>
      <c r="I29" s="853" t="s">
        <v>1954</v>
      </c>
      <c r="J29" s="853"/>
      <c r="K29" s="853"/>
      <c r="L29" s="853"/>
      <c r="M29" s="866"/>
      <c r="N29" s="1936"/>
      <c r="O29" s="2035"/>
      <c r="P29" s="1937"/>
      <c r="Q29" s="1937"/>
      <c r="R29" s="1938"/>
      <c r="S29" s="1921"/>
      <c r="T29" s="1922"/>
      <c r="U29" s="1937"/>
      <c r="V29" s="1937"/>
      <c r="W29" s="2036"/>
      <c r="X29" s="2036"/>
      <c r="Y29" s="2036"/>
      <c r="Z29" s="2037"/>
      <c r="AA29" s="110"/>
    </row>
    <row r="30" spans="1:27" ht="120.05" customHeight="1" x14ac:dyDescent="0.25">
      <c r="A30" s="96" t="s">
        <v>2068</v>
      </c>
      <c r="B30" s="1954" t="s">
        <v>1956</v>
      </c>
      <c r="C30" s="1954"/>
      <c r="D30" s="853" t="s">
        <v>2069</v>
      </c>
      <c r="E30" s="853"/>
      <c r="F30" s="853"/>
      <c r="G30" s="853"/>
      <c r="H30" s="853"/>
      <c r="I30" s="853" t="s">
        <v>1958</v>
      </c>
      <c r="J30" s="853"/>
      <c r="K30" s="853"/>
      <c r="L30" s="853"/>
      <c r="M30" s="866"/>
      <c r="N30" s="1936"/>
      <c r="O30" s="2035"/>
      <c r="P30" s="1937"/>
      <c r="Q30" s="1937"/>
      <c r="R30" s="1938"/>
      <c r="S30" s="1921"/>
      <c r="T30" s="1922"/>
      <c r="U30" s="1937"/>
      <c r="V30" s="1937"/>
      <c r="W30" s="2036"/>
      <c r="X30" s="2036"/>
      <c r="Y30" s="2036"/>
      <c r="Z30" s="2037"/>
      <c r="AA30" s="110"/>
    </row>
    <row r="31" spans="1:27" ht="120.05" customHeight="1" x14ac:dyDescent="0.25">
      <c r="A31" s="96" t="s">
        <v>2070</v>
      </c>
      <c r="B31" s="1926" t="s">
        <v>1960</v>
      </c>
      <c r="C31" s="1926"/>
      <c r="D31" s="853" t="s">
        <v>1961</v>
      </c>
      <c r="E31" s="853"/>
      <c r="F31" s="853"/>
      <c r="G31" s="853"/>
      <c r="H31" s="853"/>
      <c r="I31" s="853" t="s">
        <v>1559</v>
      </c>
      <c r="J31" s="853"/>
      <c r="K31" s="853"/>
      <c r="L31" s="853"/>
      <c r="M31" s="866"/>
      <c r="N31" s="1936"/>
      <c r="O31" s="2035"/>
      <c r="P31" s="1937"/>
      <c r="Q31" s="1937"/>
      <c r="R31" s="1938"/>
      <c r="S31" s="1921"/>
      <c r="T31" s="1922"/>
      <c r="U31" s="1937"/>
      <c r="V31" s="1937"/>
      <c r="W31" s="2036"/>
      <c r="X31" s="2036"/>
      <c r="Y31" s="2036"/>
      <c r="Z31" s="2037"/>
      <c r="AA31" s="110"/>
    </row>
    <row r="32" spans="1:27" ht="120.05" customHeight="1" x14ac:dyDescent="0.25">
      <c r="A32" s="96" t="s">
        <v>2071</v>
      </c>
      <c r="B32" s="1926" t="s">
        <v>1963</v>
      </c>
      <c r="C32" s="1926"/>
      <c r="D32" s="853" t="s">
        <v>2072</v>
      </c>
      <c r="E32" s="853"/>
      <c r="F32" s="853"/>
      <c r="G32" s="853"/>
      <c r="H32" s="853"/>
      <c r="I32" s="853" t="s">
        <v>2073</v>
      </c>
      <c r="J32" s="853"/>
      <c r="K32" s="853"/>
      <c r="L32" s="853"/>
      <c r="M32" s="866"/>
      <c r="N32" s="1936"/>
      <c r="O32" s="2035"/>
      <c r="P32" s="1937"/>
      <c r="Q32" s="1937"/>
      <c r="R32" s="1938"/>
      <c r="S32" s="1921"/>
      <c r="T32" s="1922"/>
      <c r="U32" s="1937"/>
      <c r="V32" s="1937"/>
      <c r="W32" s="2036"/>
      <c r="X32" s="2036"/>
      <c r="Y32" s="2036"/>
      <c r="Z32" s="2037"/>
      <c r="AA32" s="110"/>
    </row>
    <row r="33" spans="1:27" ht="120.05" customHeight="1" x14ac:dyDescent="0.25">
      <c r="A33" s="96" t="s">
        <v>2074</v>
      </c>
      <c r="B33" s="1926" t="s">
        <v>1967</v>
      </c>
      <c r="C33" s="1926"/>
      <c r="D33" s="853" t="s">
        <v>2075</v>
      </c>
      <c r="E33" s="853"/>
      <c r="F33" s="853"/>
      <c r="G33" s="853"/>
      <c r="H33" s="853"/>
      <c r="I33" s="853" t="s">
        <v>1969</v>
      </c>
      <c r="J33" s="853"/>
      <c r="K33" s="853"/>
      <c r="L33" s="853"/>
      <c r="M33" s="866"/>
      <c r="N33" s="1936"/>
      <c r="O33" s="2035"/>
      <c r="P33" s="1937"/>
      <c r="Q33" s="1937"/>
      <c r="R33" s="1938"/>
      <c r="S33" s="1921"/>
      <c r="T33" s="1922"/>
      <c r="U33" s="1937"/>
      <c r="V33" s="1937"/>
      <c r="W33" s="2036"/>
      <c r="X33" s="2036"/>
      <c r="Y33" s="2036"/>
      <c r="Z33" s="2037"/>
      <c r="AA33" s="110"/>
    </row>
    <row r="34" spans="1:27" ht="120.05" customHeight="1" x14ac:dyDescent="0.25">
      <c r="A34" s="96" t="s">
        <v>2076</v>
      </c>
      <c r="B34" s="1926" t="s">
        <v>1971</v>
      </c>
      <c r="C34" s="1926"/>
      <c r="D34" s="853" t="s">
        <v>2077</v>
      </c>
      <c r="E34" s="853"/>
      <c r="F34" s="853"/>
      <c r="G34" s="853"/>
      <c r="H34" s="853"/>
      <c r="I34" s="853" t="s">
        <v>2078</v>
      </c>
      <c r="J34" s="853"/>
      <c r="K34" s="853"/>
      <c r="L34" s="853"/>
      <c r="M34" s="866"/>
      <c r="N34" s="1936"/>
      <c r="O34" s="2035"/>
      <c r="P34" s="1937"/>
      <c r="Q34" s="1937"/>
      <c r="R34" s="1938"/>
      <c r="S34" s="1921"/>
      <c r="T34" s="1922"/>
      <c r="U34" s="1937"/>
      <c r="V34" s="1937"/>
      <c r="W34" s="2036"/>
      <c r="X34" s="2036"/>
      <c r="Y34" s="2036"/>
      <c r="Z34" s="2037"/>
      <c r="AA34" s="110"/>
    </row>
    <row r="35" spans="1:27" ht="120.05" customHeight="1" x14ac:dyDescent="0.25">
      <c r="A35" s="96" t="s">
        <v>2079</v>
      </c>
      <c r="B35" s="1926" t="s">
        <v>1974</v>
      </c>
      <c r="C35" s="1926"/>
      <c r="D35" s="853" t="s">
        <v>1975</v>
      </c>
      <c r="E35" s="853"/>
      <c r="F35" s="853"/>
      <c r="G35" s="853"/>
      <c r="H35" s="853"/>
      <c r="I35" s="853" t="s">
        <v>2080</v>
      </c>
      <c r="J35" s="853"/>
      <c r="K35" s="853"/>
      <c r="L35" s="853"/>
      <c r="M35" s="866"/>
      <c r="N35" s="1936"/>
      <c r="O35" s="2035"/>
      <c r="P35" s="1937"/>
      <c r="Q35" s="1937"/>
      <c r="R35" s="1938"/>
      <c r="S35" s="1921"/>
      <c r="T35" s="1922"/>
      <c r="U35" s="1937"/>
      <c r="V35" s="1937"/>
      <c r="W35" s="2036"/>
      <c r="X35" s="2036"/>
      <c r="Y35" s="2036"/>
      <c r="Z35" s="2037"/>
      <c r="AA35" s="110"/>
    </row>
    <row r="36" spans="1:27" ht="120.05" customHeight="1" x14ac:dyDescent="0.25">
      <c r="A36" s="96" t="s">
        <v>2081</v>
      </c>
      <c r="B36" s="1926" t="s">
        <v>1978</v>
      </c>
      <c r="C36" s="1926"/>
      <c r="D36" s="853" t="s">
        <v>1949</v>
      </c>
      <c r="E36" s="853"/>
      <c r="F36" s="853"/>
      <c r="G36" s="853"/>
      <c r="H36" s="853"/>
      <c r="I36" s="853" t="s">
        <v>1979</v>
      </c>
      <c r="J36" s="853"/>
      <c r="K36" s="853"/>
      <c r="L36" s="853"/>
      <c r="M36" s="866"/>
      <c r="N36" s="1936"/>
      <c r="O36" s="2035"/>
      <c r="P36" s="1937"/>
      <c r="Q36" s="1937"/>
      <c r="R36" s="1938"/>
      <c r="S36" s="1921"/>
      <c r="T36" s="1922"/>
      <c r="U36" s="1937"/>
      <c r="V36" s="1937"/>
      <c r="W36" s="2036"/>
      <c r="X36" s="2036"/>
      <c r="Y36" s="2036"/>
      <c r="Z36" s="2037"/>
      <c r="AA36" s="110"/>
    </row>
    <row r="37" spans="1:27" ht="120.05" customHeight="1" x14ac:dyDescent="0.25">
      <c r="A37" s="96" t="s">
        <v>2082</v>
      </c>
      <c r="B37" s="1926" t="s">
        <v>1981</v>
      </c>
      <c r="C37" s="1926"/>
      <c r="D37" s="853" t="s">
        <v>2083</v>
      </c>
      <c r="E37" s="853"/>
      <c r="F37" s="853"/>
      <c r="G37" s="853"/>
      <c r="H37" s="853"/>
      <c r="I37" s="853" t="s">
        <v>2084</v>
      </c>
      <c r="J37" s="853"/>
      <c r="K37" s="853"/>
      <c r="L37" s="853"/>
      <c r="M37" s="866"/>
      <c r="N37" s="1936"/>
      <c r="O37" s="2035"/>
      <c r="P37" s="1937"/>
      <c r="Q37" s="1937"/>
      <c r="R37" s="1938"/>
      <c r="S37" s="1921"/>
      <c r="T37" s="1922"/>
      <c r="U37" s="1937"/>
      <c r="V37" s="1937"/>
      <c r="W37" s="2036"/>
      <c r="X37" s="2036"/>
      <c r="Y37" s="2036"/>
      <c r="Z37" s="2037"/>
      <c r="AA37" s="110"/>
    </row>
    <row r="38" spans="1:27" ht="120.05" customHeight="1" x14ac:dyDescent="0.25">
      <c r="A38" s="96" t="s">
        <v>2085</v>
      </c>
      <c r="B38" s="1954" t="s">
        <v>1985</v>
      </c>
      <c r="C38" s="1954"/>
      <c r="D38" s="853" t="s">
        <v>1986</v>
      </c>
      <c r="E38" s="853"/>
      <c r="F38" s="853"/>
      <c r="G38" s="853"/>
      <c r="H38" s="853"/>
      <c r="I38" s="853" t="s">
        <v>1649</v>
      </c>
      <c r="J38" s="853"/>
      <c r="K38" s="853"/>
      <c r="L38" s="853"/>
      <c r="M38" s="866"/>
      <c r="N38" s="1936"/>
      <c r="O38" s="2035"/>
      <c r="P38" s="1937"/>
      <c r="Q38" s="1937"/>
      <c r="R38" s="1938"/>
      <c r="S38" s="1921"/>
      <c r="T38" s="1922"/>
      <c r="U38" s="1937"/>
      <c r="V38" s="1937"/>
      <c r="W38" s="2036"/>
      <c r="X38" s="2036"/>
      <c r="Y38" s="2036"/>
      <c r="Z38" s="2037"/>
      <c r="AA38" s="110"/>
    </row>
    <row r="39" spans="1:27" ht="120.05" customHeight="1" x14ac:dyDescent="0.25">
      <c r="A39" s="96" t="s">
        <v>2086</v>
      </c>
      <c r="B39" s="1926" t="s">
        <v>1988</v>
      </c>
      <c r="C39" s="1926"/>
      <c r="D39" s="853" t="s">
        <v>2087</v>
      </c>
      <c r="E39" s="853"/>
      <c r="F39" s="853"/>
      <c r="G39" s="853"/>
      <c r="H39" s="853"/>
      <c r="I39" s="853" t="s">
        <v>1573</v>
      </c>
      <c r="J39" s="853"/>
      <c r="K39" s="853"/>
      <c r="L39" s="853"/>
      <c r="M39" s="866"/>
      <c r="N39" s="1936"/>
      <c r="O39" s="2035"/>
      <c r="P39" s="1937"/>
      <c r="Q39" s="1937"/>
      <c r="R39" s="1938"/>
      <c r="S39" s="1921"/>
      <c r="T39" s="1922"/>
      <c r="U39" s="1937"/>
      <c r="V39" s="1937"/>
      <c r="W39" s="2036"/>
      <c r="X39" s="2036"/>
      <c r="Y39" s="2036"/>
      <c r="Z39" s="2037"/>
      <c r="AA39" s="110"/>
    </row>
    <row r="40" spans="1:27" ht="120.05" customHeight="1" x14ac:dyDescent="0.25">
      <c r="A40" s="96" t="s">
        <v>2088</v>
      </c>
      <c r="B40" s="1954" t="s">
        <v>1991</v>
      </c>
      <c r="C40" s="1954"/>
      <c r="D40" s="853" t="s">
        <v>1992</v>
      </c>
      <c r="E40" s="853"/>
      <c r="F40" s="853"/>
      <c r="G40" s="853"/>
      <c r="H40" s="853"/>
      <c r="I40" s="853" t="s">
        <v>2089</v>
      </c>
      <c r="J40" s="853"/>
      <c r="K40" s="853"/>
      <c r="L40" s="853"/>
      <c r="M40" s="866"/>
      <c r="N40" s="1936"/>
      <c r="O40" s="2035"/>
      <c r="P40" s="1937"/>
      <c r="Q40" s="1937"/>
      <c r="R40" s="1938"/>
      <c r="S40" s="1921"/>
      <c r="T40" s="1922"/>
      <c r="U40" s="1937"/>
      <c r="V40" s="1937"/>
      <c r="W40" s="2036"/>
      <c r="X40" s="2036"/>
      <c r="Y40" s="2036"/>
      <c r="Z40" s="2037"/>
      <c r="AA40" s="110"/>
    </row>
    <row r="41" spans="1:27" ht="120.05" customHeight="1" x14ac:dyDescent="0.25">
      <c r="A41" s="96" t="s">
        <v>2090</v>
      </c>
      <c r="B41" s="1954" t="s">
        <v>442</v>
      </c>
      <c r="C41" s="1954"/>
      <c r="D41" s="853" t="s">
        <v>1994</v>
      </c>
      <c r="E41" s="853"/>
      <c r="F41" s="853"/>
      <c r="G41" s="853"/>
      <c r="H41" s="853"/>
      <c r="I41" s="853" t="s">
        <v>1577</v>
      </c>
      <c r="J41" s="853"/>
      <c r="K41" s="853"/>
      <c r="L41" s="853"/>
      <c r="M41" s="866"/>
      <c r="N41" s="1936"/>
      <c r="O41" s="2035"/>
      <c r="P41" s="1937"/>
      <c r="Q41" s="1937"/>
      <c r="R41" s="1938"/>
      <c r="S41" s="1921"/>
      <c r="T41" s="1922"/>
      <c r="U41" s="1937"/>
      <c r="V41" s="1937"/>
      <c r="W41" s="2036"/>
      <c r="X41" s="2036"/>
      <c r="Y41" s="2036"/>
      <c r="Z41" s="2037"/>
      <c r="AA41" s="110"/>
    </row>
    <row r="42" spans="1:27" ht="120.05" customHeight="1" x14ac:dyDescent="0.25">
      <c r="A42" s="96" t="s">
        <v>2091</v>
      </c>
      <c r="B42" s="1926" t="s">
        <v>1996</v>
      </c>
      <c r="C42" s="1926"/>
      <c r="D42" s="853" t="s">
        <v>1997</v>
      </c>
      <c r="E42" s="853"/>
      <c r="F42" s="853"/>
      <c r="G42" s="853"/>
      <c r="H42" s="853"/>
      <c r="I42" s="853" t="s">
        <v>1652</v>
      </c>
      <c r="J42" s="853"/>
      <c r="K42" s="853"/>
      <c r="L42" s="853"/>
      <c r="M42" s="866"/>
      <c r="N42" s="1936"/>
      <c r="O42" s="2035"/>
      <c r="P42" s="1937"/>
      <c r="Q42" s="1937"/>
      <c r="R42" s="1938"/>
      <c r="S42" s="1921"/>
      <c r="T42" s="1922"/>
      <c r="U42" s="1937"/>
      <c r="V42" s="1937"/>
      <c r="W42" s="2036"/>
      <c r="X42" s="2036"/>
      <c r="Y42" s="2036"/>
      <c r="Z42" s="2037"/>
      <c r="AA42" s="110"/>
    </row>
    <row r="43" spans="1:27" ht="120.05" customHeight="1" x14ac:dyDescent="0.25">
      <c r="A43" s="96" t="s">
        <v>2092</v>
      </c>
      <c r="B43" s="1926" t="s">
        <v>2000</v>
      </c>
      <c r="C43" s="1926"/>
      <c r="D43" s="853" t="s">
        <v>2093</v>
      </c>
      <c r="E43" s="853"/>
      <c r="F43" s="853"/>
      <c r="G43" s="853"/>
      <c r="H43" s="853"/>
      <c r="I43" s="853" t="s">
        <v>1653</v>
      </c>
      <c r="J43" s="853"/>
      <c r="K43" s="853"/>
      <c r="L43" s="853"/>
      <c r="M43" s="866"/>
      <c r="N43" s="1936"/>
      <c r="O43" s="2035"/>
      <c r="P43" s="1937"/>
      <c r="Q43" s="1937"/>
      <c r="R43" s="1938"/>
      <c r="S43" s="1921"/>
      <c r="T43" s="1922"/>
      <c r="U43" s="1937"/>
      <c r="V43" s="1937"/>
      <c r="W43" s="2036"/>
      <c r="X43" s="2036"/>
      <c r="Y43" s="2036"/>
      <c r="Z43" s="2037"/>
      <c r="AA43" s="110"/>
    </row>
    <row r="44" spans="1:27" ht="120.05" customHeight="1" x14ac:dyDescent="0.25">
      <c r="A44" s="96" t="s">
        <v>2094</v>
      </c>
      <c r="B44" s="1954" t="s">
        <v>2003</v>
      </c>
      <c r="C44" s="1954"/>
      <c r="D44" s="853" t="s">
        <v>2004</v>
      </c>
      <c r="E44" s="853"/>
      <c r="F44" s="853"/>
      <c r="G44" s="853"/>
      <c r="H44" s="853"/>
      <c r="I44" s="853" t="s">
        <v>1654</v>
      </c>
      <c r="J44" s="853"/>
      <c r="K44" s="853"/>
      <c r="L44" s="853"/>
      <c r="M44" s="866"/>
      <c r="N44" s="1936"/>
      <c r="O44" s="2035"/>
      <c r="P44" s="1937"/>
      <c r="Q44" s="1937"/>
      <c r="R44" s="1938"/>
      <c r="S44" s="1921"/>
      <c r="T44" s="1922"/>
      <c r="U44" s="1937"/>
      <c r="V44" s="1937"/>
      <c r="W44" s="2036"/>
      <c r="X44" s="2036"/>
      <c r="Y44" s="2036"/>
      <c r="Z44" s="2037"/>
      <c r="AA44" s="110"/>
    </row>
    <row r="45" spans="1:27" ht="120.05" customHeight="1" x14ac:dyDescent="0.25">
      <c r="A45" s="96" t="s">
        <v>2095</v>
      </c>
      <c r="B45" s="1954" t="s">
        <v>1886</v>
      </c>
      <c r="C45" s="1954"/>
      <c r="D45" s="853" t="s">
        <v>2096</v>
      </c>
      <c r="E45" s="853"/>
      <c r="F45" s="853"/>
      <c r="G45" s="853"/>
      <c r="H45" s="853"/>
      <c r="I45" s="867" t="s">
        <v>2007</v>
      </c>
      <c r="J45" s="867"/>
      <c r="K45" s="867"/>
      <c r="L45" s="867"/>
      <c r="M45" s="868"/>
      <c r="N45" s="1936"/>
      <c r="O45" s="2035"/>
      <c r="P45" s="1937"/>
      <c r="Q45" s="1937"/>
      <c r="R45" s="1938"/>
      <c r="S45" s="1921"/>
      <c r="T45" s="1922"/>
      <c r="U45" s="1937"/>
      <c r="V45" s="1937"/>
      <c r="W45" s="2036"/>
      <c r="X45" s="2036"/>
      <c r="Y45" s="2036"/>
      <c r="Z45" s="2037"/>
      <c r="AA45" s="110"/>
    </row>
    <row r="46" spans="1:27" ht="120.05" customHeight="1" x14ac:dyDescent="0.25">
      <c r="A46" s="96" t="s">
        <v>2097</v>
      </c>
      <c r="B46" s="1926" t="s">
        <v>2009</v>
      </c>
      <c r="C46" s="1926"/>
      <c r="D46" s="853" t="s">
        <v>2010</v>
      </c>
      <c r="E46" s="853"/>
      <c r="F46" s="853"/>
      <c r="G46" s="853"/>
      <c r="H46" s="853"/>
      <c r="I46" s="853" t="s">
        <v>1587</v>
      </c>
      <c r="J46" s="853"/>
      <c r="K46" s="853"/>
      <c r="L46" s="853"/>
      <c r="M46" s="866"/>
      <c r="N46" s="1936"/>
      <c r="O46" s="2035"/>
      <c r="P46" s="1937"/>
      <c r="Q46" s="1937"/>
      <c r="R46" s="1938"/>
      <c r="S46" s="1921"/>
      <c r="T46" s="1922"/>
      <c r="U46" s="1937"/>
      <c r="V46" s="1937"/>
      <c r="W46" s="2036"/>
      <c r="X46" s="2036"/>
      <c r="Y46" s="2036"/>
      <c r="Z46" s="2037"/>
      <c r="AA46" s="110"/>
    </row>
    <row r="47" spans="1:27" ht="120.05" customHeight="1" x14ac:dyDescent="0.25">
      <c r="A47" s="96" t="s">
        <v>2098</v>
      </c>
      <c r="B47" s="1926" t="s">
        <v>2012</v>
      </c>
      <c r="C47" s="1926"/>
      <c r="D47" s="853" t="s">
        <v>2013</v>
      </c>
      <c r="E47" s="853"/>
      <c r="F47" s="853"/>
      <c r="G47" s="853"/>
      <c r="H47" s="853"/>
      <c r="I47" s="853" t="s">
        <v>2014</v>
      </c>
      <c r="J47" s="853"/>
      <c r="K47" s="853"/>
      <c r="L47" s="853"/>
      <c r="M47" s="866"/>
      <c r="N47" s="1936"/>
      <c r="O47" s="2035"/>
      <c r="P47" s="1937"/>
      <c r="Q47" s="1937"/>
      <c r="R47" s="1938"/>
      <c r="S47" s="1921"/>
      <c r="T47" s="1922"/>
      <c r="U47" s="1937"/>
      <c r="V47" s="1937"/>
      <c r="W47" s="2036"/>
      <c r="X47" s="2036"/>
      <c r="Y47" s="2036"/>
      <c r="Z47" s="2037"/>
      <c r="AA47" s="110"/>
    </row>
    <row r="48" spans="1:27" ht="120.05" customHeight="1" x14ac:dyDescent="0.25">
      <c r="A48" s="96" t="s">
        <v>2099</v>
      </c>
      <c r="B48" s="1926" t="s">
        <v>2016</v>
      </c>
      <c r="C48" s="1926"/>
      <c r="D48" s="853" t="s">
        <v>2100</v>
      </c>
      <c r="E48" s="853"/>
      <c r="F48" s="853"/>
      <c r="G48" s="853"/>
      <c r="H48" s="853"/>
      <c r="I48" s="853" t="s">
        <v>1656</v>
      </c>
      <c r="J48" s="853"/>
      <c r="K48" s="853"/>
      <c r="L48" s="853"/>
      <c r="M48" s="866"/>
      <c r="N48" s="1936"/>
      <c r="O48" s="2035"/>
      <c r="P48" s="1937"/>
      <c r="Q48" s="1937"/>
      <c r="R48" s="1938"/>
      <c r="S48" s="1921"/>
      <c r="T48" s="1922"/>
      <c r="U48" s="1937"/>
      <c r="V48" s="1937"/>
      <c r="W48" s="2036"/>
      <c r="X48" s="2036"/>
      <c r="Y48" s="2036"/>
      <c r="Z48" s="2037"/>
      <c r="AA48" s="110"/>
    </row>
    <row r="49" spans="1:31" ht="120.05" customHeight="1" x14ac:dyDescent="0.25">
      <c r="A49" s="96" t="s">
        <v>2101</v>
      </c>
      <c r="B49" s="1954" t="s">
        <v>2019</v>
      </c>
      <c r="C49" s="1954"/>
      <c r="D49" s="853" t="s">
        <v>2020</v>
      </c>
      <c r="E49" s="853"/>
      <c r="F49" s="853"/>
      <c r="G49" s="853"/>
      <c r="H49" s="853"/>
      <c r="I49" s="853" t="s">
        <v>1593</v>
      </c>
      <c r="J49" s="853"/>
      <c r="K49" s="853"/>
      <c r="L49" s="853"/>
      <c r="M49" s="866"/>
      <c r="N49" s="1936"/>
      <c r="O49" s="2035"/>
      <c r="P49" s="1937"/>
      <c r="Q49" s="1937"/>
      <c r="R49" s="1938"/>
      <c r="S49" s="1921"/>
      <c r="T49" s="1922"/>
      <c r="U49" s="1937"/>
      <c r="V49" s="1937"/>
      <c r="W49" s="2036"/>
      <c r="X49" s="2036"/>
      <c r="Y49" s="2036"/>
      <c r="Z49" s="2037"/>
      <c r="AA49" s="110"/>
    </row>
    <row r="50" spans="1:31" ht="120.05" customHeight="1" x14ac:dyDescent="0.25">
      <c r="A50" s="97" t="s">
        <v>2102</v>
      </c>
      <c r="B50" s="2043" t="s">
        <v>2022</v>
      </c>
      <c r="C50" s="2043"/>
      <c r="D50" s="855" t="s">
        <v>2103</v>
      </c>
      <c r="E50" s="855"/>
      <c r="F50" s="855"/>
      <c r="G50" s="855"/>
      <c r="H50" s="855"/>
      <c r="I50" s="855" t="s">
        <v>1595</v>
      </c>
      <c r="J50" s="855"/>
      <c r="K50" s="855"/>
      <c r="L50" s="855"/>
      <c r="M50" s="870"/>
      <c r="N50" s="2041"/>
      <c r="O50" s="2087"/>
      <c r="P50" s="2042"/>
      <c r="Q50" s="2042"/>
      <c r="R50" s="2042"/>
      <c r="S50" s="1919"/>
      <c r="T50" s="1920"/>
      <c r="U50" s="2042"/>
      <c r="V50" s="2042"/>
      <c r="W50" s="2043"/>
      <c r="X50" s="2043"/>
      <c r="Y50" s="2043"/>
      <c r="Z50" s="2044"/>
      <c r="AA50" s="111"/>
    </row>
    <row r="51" spans="1:31" ht="120.05" customHeight="1" x14ac:dyDescent="0.25">
      <c r="A51" s="97" t="s">
        <v>2104</v>
      </c>
      <c r="B51" s="1927" t="s">
        <v>2025</v>
      </c>
      <c r="C51" s="1927"/>
      <c r="D51" s="870" t="s">
        <v>2026</v>
      </c>
      <c r="E51" s="886"/>
      <c r="F51" s="886"/>
      <c r="G51" s="886"/>
      <c r="H51" s="2086"/>
      <c r="I51" s="855" t="s">
        <v>1597</v>
      </c>
      <c r="J51" s="855"/>
      <c r="K51" s="855"/>
      <c r="L51" s="855"/>
      <c r="M51" s="870"/>
      <c r="N51" s="2041"/>
      <c r="O51" s="2087"/>
      <c r="P51" s="2042"/>
      <c r="Q51" s="2042"/>
      <c r="R51" s="2042"/>
      <c r="S51" s="1919"/>
      <c r="T51" s="1920"/>
      <c r="U51" s="2042"/>
      <c r="V51" s="2042"/>
      <c r="W51" s="2043"/>
      <c r="X51" s="2043"/>
      <c r="Y51" s="2043"/>
      <c r="Z51" s="2044"/>
      <c r="AA51" s="111"/>
    </row>
    <row r="52" spans="1:31" ht="120.05" customHeight="1" x14ac:dyDescent="0.25">
      <c r="A52" s="97" t="s">
        <v>2105</v>
      </c>
      <c r="B52" s="1927" t="s">
        <v>401</v>
      </c>
      <c r="C52" s="1927"/>
      <c r="D52" s="855" t="s">
        <v>2106</v>
      </c>
      <c r="E52" s="855"/>
      <c r="F52" s="855"/>
      <c r="G52" s="855"/>
      <c r="H52" s="870"/>
      <c r="I52" s="855" t="s">
        <v>1658</v>
      </c>
      <c r="J52" s="855"/>
      <c r="K52" s="855"/>
      <c r="L52" s="855"/>
      <c r="M52" s="870"/>
      <c r="N52" s="2041"/>
      <c r="O52" s="2087"/>
      <c r="P52" s="2042"/>
      <c r="Q52" s="2042"/>
      <c r="R52" s="2042"/>
      <c r="S52" s="1919"/>
      <c r="T52" s="1920"/>
      <c r="U52" s="2042"/>
      <c r="V52" s="2042"/>
      <c r="W52" s="2043"/>
      <c r="X52" s="2043"/>
      <c r="Y52" s="2043"/>
      <c r="Z52" s="2044"/>
      <c r="AA52" s="111"/>
    </row>
    <row r="53" spans="1:31" ht="120.05" customHeight="1" x14ac:dyDescent="0.25">
      <c r="A53" s="96" t="s">
        <v>2107</v>
      </c>
      <c r="B53" s="1954" t="s">
        <v>2029</v>
      </c>
      <c r="C53" s="1954"/>
      <c r="D53" s="853" t="s">
        <v>2108</v>
      </c>
      <c r="E53" s="853"/>
      <c r="F53" s="853"/>
      <c r="G53" s="853"/>
      <c r="H53" s="853"/>
      <c r="I53" s="853" t="s">
        <v>2109</v>
      </c>
      <c r="J53" s="853"/>
      <c r="K53" s="853"/>
      <c r="L53" s="853"/>
      <c r="M53" s="853"/>
      <c r="N53" s="1936"/>
      <c r="O53" s="2035"/>
      <c r="P53" s="1937"/>
      <c r="Q53" s="1937"/>
      <c r="R53" s="1938"/>
      <c r="S53" s="1921"/>
      <c r="T53" s="1922"/>
      <c r="U53" s="1937"/>
      <c r="V53" s="1937"/>
      <c r="W53" s="2036"/>
      <c r="X53" s="2036"/>
      <c r="Y53" s="2036"/>
      <c r="Z53" s="2037"/>
      <c r="AA53" s="110"/>
    </row>
    <row r="54" spans="1:31" ht="120.05" customHeight="1" x14ac:dyDescent="0.25">
      <c r="A54" s="96" t="s">
        <v>2110</v>
      </c>
      <c r="B54" s="1954" t="s">
        <v>2033</v>
      </c>
      <c r="C54" s="1954"/>
      <c r="D54" s="867" t="s">
        <v>1621</v>
      </c>
      <c r="E54" s="867"/>
      <c r="F54" s="867"/>
      <c r="G54" s="867"/>
      <c r="H54" s="867"/>
      <c r="I54" s="853" t="s">
        <v>1600</v>
      </c>
      <c r="J54" s="853"/>
      <c r="K54" s="853"/>
      <c r="L54" s="853"/>
      <c r="M54" s="866"/>
      <c r="N54" s="1936"/>
      <c r="O54" s="2035"/>
      <c r="P54" s="1937"/>
      <c r="Q54" s="1937"/>
      <c r="R54" s="1938"/>
      <c r="S54" s="1921"/>
      <c r="T54" s="1922"/>
      <c r="U54" s="1937"/>
      <c r="V54" s="1937"/>
      <c r="W54" s="2036"/>
      <c r="X54" s="2036"/>
      <c r="Y54" s="2036"/>
      <c r="Z54" s="2037"/>
      <c r="AA54" s="110"/>
    </row>
    <row r="55" spans="1:31" ht="120.05" customHeight="1" thickBot="1" x14ac:dyDescent="0.3">
      <c r="A55" s="98" t="s">
        <v>2111</v>
      </c>
      <c r="B55" s="2046" t="s">
        <v>407</v>
      </c>
      <c r="C55" s="2047"/>
      <c r="D55" s="889" t="s">
        <v>2035</v>
      </c>
      <c r="E55" s="889"/>
      <c r="F55" s="889"/>
      <c r="G55" s="889"/>
      <c r="H55" s="889"/>
      <c r="I55" s="889" t="s">
        <v>1601</v>
      </c>
      <c r="J55" s="889"/>
      <c r="K55" s="889"/>
      <c r="L55" s="889"/>
      <c r="M55" s="890"/>
      <c r="N55" s="2056"/>
      <c r="O55" s="2088"/>
      <c r="P55" s="2048"/>
      <c r="Q55" s="2048"/>
      <c r="R55" s="2057"/>
      <c r="S55" s="1923"/>
      <c r="T55" s="1924"/>
      <c r="U55" s="2048"/>
      <c r="V55" s="2048"/>
      <c r="W55" s="2049"/>
      <c r="X55" s="2049"/>
      <c r="Y55" s="2049"/>
      <c r="Z55" s="2050"/>
      <c r="AA55" s="112"/>
    </row>
    <row r="56" spans="1:31" ht="12.7" customHeight="1" thickBot="1" x14ac:dyDescent="0.3">
      <c r="A56" s="99"/>
      <c r="B56" s="100"/>
      <c r="C56" s="100"/>
      <c r="D56" s="101"/>
      <c r="E56" s="101"/>
      <c r="F56" s="101"/>
      <c r="G56" s="101"/>
      <c r="H56" s="101"/>
      <c r="I56" s="101"/>
      <c r="J56" s="101"/>
      <c r="K56" s="101"/>
      <c r="L56" s="101"/>
      <c r="M56" s="101"/>
      <c r="N56" s="101"/>
      <c r="O56" s="101"/>
      <c r="P56" s="102"/>
      <c r="Q56" s="102"/>
      <c r="R56" s="102"/>
      <c r="S56" s="102"/>
      <c r="T56" s="102"/>
      <c r="U56" s="102"/>
      <c r="V56" s="102"/>
      <c r="W56" s="102"/>
      <c r="X56" s="102"/>
      <c r="Y56" s="102"/>
      <c r="Z56" s="102"/>
      <c r="AA56" s="4"/>
    </row>
    <row r="57" spans="1:31" ht="12.7" customHeight="1" x14ac:dyDescent="0.25">
      <c r="A57" s="99"/>
      <c r="B57" s="100"/>
      <c r="C57" s="100"/>
      <c r="D57" s="2072" t="s">
        <v>2036</v>
      </c>
      <c r="E57" s="2073"/>
      <c r="F57" s="2076"/>
      <c r="G57" s="2077"/>
      <c r="H57" s="2077"/>
      <c r="I57" s="2077"/>
      <c r="J57" s="2077"/>
      <c r="K57" s="2077"/>
      <c r="L57" s="2078"/>
      <c r="M57" s="101"/>
      <c r="N57" s="103"/>
      <c r="O57" s="103"/>
      <c r="P57" s="2072" t="s">
        <v>2037</v>
      </c>
      <c r="Q57" s="2073"/>
      <c r="R57" s="2076"/>
      <c r="S57" s="2077"/>
      <c r="T57" s="2077"/>
      <c r="U57" s="2077"/>
      <c r="V57" s="2077"/>
      <c r="W57" s="2077"/>
      <c r="X57" s="2077"/>
      <c r="Y57" s="2078"/>
      <c r="Z57" s="102"/>
      <c r="AA57" s="4"/>
    </row>
    <row r="58" spans="1:31" ht="12.7" customHeight="1" x14ac:dyDescent="0.25">
      <c r="A58" s="99"/>
      <c r="B58" s="100"/>
      <c r="C58" s="100"/>
      <c r="D58" s="2074"/>
      <c r="E58" s="2075"/>
      <c r="F58" s="2079"/>
      <c r="G58" s="2080"/>
      <c r="H58" s="2080"/>
      <c r="I58" s="2080"/>
      <c r="J58" s="2080"/>
      <c r="K58" s="2080"/>
      <c r="L58" s="2081"/>
      <c r="M58" s="101"/>
      <c r="N58" s="103"/>
      <c r="O58" s="103"/>
      <c r="P58" s="2074"/>
      <c r="Q58" s="2075"/>
      <c r="R58" s="2079"/>
      <c r="S58" s="2080"/>
      <c r="T58" s="2080"/>
      <c r="U58" s="2080"/>
      <c r="V58" s="2080"/>
      <c r="W58" s="2080"/>
      <c r="X58" s="2080"/>
      <c r="Y58" s="2081"/>
      <c r="Z58" s="102"/>
      <c r="AA58" s="4"/>
    </row>
    <row r="59" spans="1:31" ht="12.7" customHeight="1" x14ac:dyDescent="0.25">
      <c r="A59" s="99"/>
      <c r="B59" s="100"/>
      <c r="C59" s="100"/>
      <c r="D59" s="2074"/>
      <c r="E59" s="2075"/>
      <c r="F59" s="2079"/>
      <c r="G59" s="2080"/>
      <c r="H59" s="2080"/>
      <c r="I59" s="2080"/>
      <c r="J59" s="2080"/>
      <c r="K59" s="2080"/>
      <c r="L59" s="2081"/>
      <c r="M59" s="101"/>
      <c r="N59" s="103"/>
      <c r="O59" s="103"/>
      <c r="P59" s="2074"/>
      <c r="Q59" s="2075"/>
      <c r="R59" s="2079"/>
      <c r="S59" s="2080"/>
      <c r="T59" s="2080"/>
      <c r="U59" s="2080"/>
      <c r="V59" s="2080"/>
      <c r="W59" s="2080"/>
      <c r="X59" s="2080"/>
      <c r="Y59" s="2081"/>
      <c r="Z59" s="102"/>
      <c r="AA59" s="4"/>
    </row>
    <row r="60" spans="1:31" ht="12.7" customHeight="1" thickBot="1" x14ac:dyDescent="0.3">
      <c r="A60" s="99"/>
      <c r="B60" s="100"/>
      <c r="C60" s="100"/>
      <c r="D60" s="2060"/>
      <c r="E60" s="2061"/>
      <c r="F60" s="2082"/>
      <c r="G60" s="2083"/>
      <c r="H60" s="2083"/>
      <c r="I60" s="2083"/>
      <c r="J60" s="2083"/>
      <c r="K60" s="2083"/>
      <c r="L60" s="2084"/>
      <c r="M60" s="101"/>
      <c r="N60" s="103"/>
      <c r="O60" s="103"/>
      <c r="P60" s="2060"/>
      <c r="Q60" s="2061"/>
      <c r="R60" s="2082"/>
      <c r="S60" s="2083"/>
      <c r="T60" s="2083"/>
      <c r="U60" s="2083"/>
      <c r="V60" s="2083"/>
      <c r="W60" s="2083"/>
      <c r="X60" s="2083"/>
      <c r="Y60" s="2084"/>
      <c r="Z60" s="102"/>
      <c r="AA60" s="4"/>
      <c r="AE60" s="114"/>
    </row>
    <row r="61" spans="1:31" ht="12.7" customHeight="1" x14ac:dyDescent="0.25">
      <c r="A61" s="99"/>
      <c r="B61" s="100"/>
      <c r="C61" s="100"/>
      <c r="D61" s="2058" t="s">
        <v>2038</v>
      </c>
      <c r="E61" s="2059"/>
      <c r="F61" s="2066"/>
      <c r="G61" s="2067"/>
      <c r="H61" s="2068"/>
      <c r="I61" s="2058" t="s">
        <v>2039</v>
      </c>
      <c r="J61" s="2059"/>
      <c r="K61" s="2062">
        <f>C11</f>
        <v>0</v>
      </c>
      <c r="L61" s="2063"/>
      <c r="M61" s="101"/>
      <c r="N61" s="101"/>
      <c r="O61" s="101"/>
      <c r="P61" s="2058" t="s">
        <v>2038</v>
      </c>
      <c r="Q61" s="2059"/>
      <c r="R61" s="2066"/>
      <c r="S61" s="2067"/>
      <c r="T61" s="2067"/>
      <c r="U61" s="2068"/>
      <c r="V61" s="2058" t="s">
        <v>2039</v>
      </c>
      <c r="W61" s="2059"/>
      <c r="X61" s="2062">
        <f>C11</f>
        <v>0</v>
      </c>
      <c r="Y61" s="2063"/>
      <c r="Z61" s="102"/>
      <c r="AA61" s="4"/>
      <c r="AE61" s="114"/>
    </row>
    <row r="62" spans="1:31" ht="12.7" customHeight="1" thickBot="1" x14ac:dyDescent="0.3">
      <c r="A62" s="99"/>
      <c r="B62" s="100"/>
      <c r="C62" s="100"/>
      <c r="D62" s="2060"/>
      <c r="E62" s="2061"/>
      <c r="F62" s="2069"/>
      <c r="G62" s="2070"/>
      <c r="H62" s="2071"/>
      <c r="I62" s="2060"/>
      <c r="J62" s="2061"/>
      <c r="K62" s="2064"/>
      <c r="L62" s="2065"/>
      <c r="M62" s="101"/>
      <c r="N62" s="101"/>
      <c r="O62" s="101"/>
      <c r="P62" s="2060"/>
      <c r="Q62" s="2061"/>
      <c r="R62" s="2069"/>
      <c r="S62" s="2070"/>
      <c r="T62" s="2070"/>
      <c r="U62" s="2071"/>
      <c r="V62" s="2060"/>
      <c r="W62" s="2061"/>
      <c r="X62" s="2064"/>
      <c r="Y62" s="2065"/>
      <c r="Z62" s="102"/>
      <c r="AA62" s="4"/>
      <c r="AE62" s="114"/>
    </row>
    <row r="63" spans="1:31" ht="12.7" customHeight="1" x14ac:dyDescent="0.25">
      <c r="AE63" s="114"/>
    </row>
    <row r="64" spans="1:31" ht="15.05" x14ac:dyDescent="0.25">
      <c r="AE64" s="114"/>
    </row>
    <row r="65" spans="31:31" ht="15.05" x14ac:dyDescent="0.25">
      <c r="AE65" s="114"/>
    </row>
    <row r="66" spans="31:31" ht="15.05" x14ac:dyDescent="0.25">
      <c r="AE66" s="114"/>
    </row>
    <row r="67" spans="31:31" ht="12.7" customHeight="1" x14ac:dyDescent="0.25">
      <c r="AE67" s="114"/>
    </row>
    <row r="68" spans="31:31" ht="15.05" x14ac:dyDescent="0.25">
      <c r="AE68" s="114"/>
    </row>
    <row r="69" spans="31:31" ht="12.7" customHeight="1" x14ac:dyDescent="0.25">
      <c r="AE69" s="114"/>
    </row>
    <row r="70" spans="31:31" ht="15.05" x14ac:dyDescent="0.25">
      <c r="AE70" s="114"/>
    </row>
    <row r="71" spans="31:31" ht="12.7" customHeight="1" x14ac:dyDescent="0.25"/>
    <row r="73" spans="31:31" ht="12.7" customHeight="1" x14ac:dyDescent="0.25"/>
    <row r="75" spans="31:31" ht="12.7" customHeight="1" x14ac:dyDescent="0.25"/>
    <row r="77" spans="31:31" ht="12.7" customHeight="1" x14ac:dyDescent="0.25"/>
    <row r="79" spans="31:31" ht="12.7" customHeight="1" x14ac:dyDescent="0.25"/>
    <row r="81" ht="12.7" customHeight="1" x14ac:dyDescent="0.25"/>
    <row r="83" ht="12.7" customHeight="1" x14ac:dyDescent="0.25"/>
    <row r="85" ht="12.7" customHeight="1" x14ac:dyDescent="0.25"/>
    <row r="87" ht="12.7" customHeight="1" x14ac:dyDescent="0.25"/>
    <row r="89" ht="12.7" customHeight="1" x14ac:dyDescent="0.25"/>
    <row r="93" ht="12.7" customHeight="1" x14ac:dyDescent="0.25"/>
  </sheetData>
  <mergeCells count="380">
    <mergeCell ref="M3:N3"/>
    <mergeCell ref="O3:Q3"/>
    <mergeCell ref="C12:D12"/>
    <mergeCell ref="D23:H23"/>
    <mergeCell ref="I23:M23"/>
    <mergeCell ref="N23:R23"/>
    <mergeCell ref="B17:C17"/>
    <mergeCell ref="B18:C18"/>
    <mergeCell ref="B19:C19"/>
    <mergeCell ref="B20:C20"/>
    <mergeCell ref="B21:C21"/>
    <mergeCell ref="B22:C22"/>
    <mergeCell ref="B23:C23"/>
    <mergeCell ref="D22:H22"/>
    <mergeCell ref="I22:M22"/>
    <mergeCell ref="D20:H20"/>
    <mergeCell ref="I20:M20"/>
    <mergeCell ref="D19:H19"/>
    <mergeCell ref="I19:M19"/>
    <mergeCell ref="N19:R19"/>
    <mergeCell ref="D21:H21"/>
    <mergeCell ref="I21:M21"/>
    <mergeCell ref="N21:R21"/>
    <mergeCell ref="F9:G9"/>
    <mergeCell ref="B24:C24"/>
    <mergeCell ref="B25:C25"/>
    <mergeCell ref="B26:C26"/>
    <mergeCell ref="B27:C27"/>
    <mergeCell ref="B28:C28"/>
    <mergeCell ref="B29:C29"/>
    <mergeCell ref="B30:C30"/>
    <mergeCell ref="B31:C31"/>
    <mergeCell ref="B32:C32"/>
    <mergeCell ref="B33:C33"/>
    <mergeCell ref="B34:C34"/>
    <mergeCell ref="B35:C35"/>
    <mergeCell ref="B36:C36"/>
    <mergeCell ref="B15:C16"/>
    <mergeCell ref="V61:W62"/>
    <mergeCell ref="X61:Y62"/>
    <mergeCell ref="D61:E62"/>
    <mergeCell ref="F61:H62"/>
    <mergeCell ref="I61:J62"/>
    <mergeCell ref="K61:L62"/>
    <mergeCell ref="P61:Q62"/>
    <mergeCell ref="R61:U62"/>
    <mergeCell ref="D57:E60"/>
    <mergeCell ref="F57:L60"/>
    <mergeCell ref="P57:Q60"/>
    <mergeCell ref="R57:Y60"/>
    <mergeCell ref="U54:V54"/>
    <mergeCell ref="W54:X54"/>
    <mergeCell ref="Y54:Z54"/>
    <mergeCell ref="D55:H55"/>
    <mergeCell ref="I55:M55"/>
    <mergeCell ref="N55:R55"/>
    <mergeCell ref="U53:V53"/>
    <mergeCell ref="U49:V49"/>
    <mergeCell ref="W49:X49"/>
    <mergeCell ref="Y49:Z49"/>
    <mergeCell ref="B53:C53"/>
    <mergeCell ref="W53:X53"/>
    <mergeCell ref="Y53:Z53"/>
    <mergeCell ref="U55:V55"/>
    <mergeCell ref="W55:X55"/>
    <mergeCell ref="Y55:Z55"/>
    <mergeCell ref="D52:H52"/>
    <mergeCell ref="I52:M52"/>
    <mergeCell ref="N52:R52"/>
    <mergeCell ref="D54:H54"/>
    <mergeCell ref="I54:M54"/>
    <mergeCell ref="N54:R54"/>
    <mergeCell ref="U52:V52"/>
    <mergeCell ref="W52:X52"/>
    <mergeCell ref="Y52:Z52"/>
    <mergeCell ref="D53:H53"/>
    <mergeCell ref="I53:M53"/>
    <mergeCell ref="N53:R53"/>
    <mergeCell ref="B54:C54"/>
    <mergeCell ref="B55:C55"/>
    <mergeCell ref="D51:H51"/>
    <mergeCell ref="I51:M51"/>
    <mergeCell ref="N51:R51"/>
    <mergeCell ref="U51:V51"/>
    <mergeCell ref="W51:X51"/>
    <mergeCell ref="Y51:Z51"/>
    <mergeCell ref="B51:C51"/>
    <mergeCell ref="B52:C52"/>
    <mergeCell ref="D48:H48"/>
    <mergeCell ref="I48:M48"/>
    <mergeCell ref="N48:R48"/>
    <mergeCell ref="U48:V48"/>
    <mergeCell ref="W48:X48"/>
    <mergeCell ref="Y48:Z48"/>
    <mergeCell ref="D50:H50"/>
    <mergeCell ref="I50:M50"/>
    <mergeCell ref="N50:R50"/>
    <mergeCell ref="U50:V50"/>
    <mergeCell ref="W50:X50"/>
    <mergeCell ref="Y50:Z50"/>
    <mergeCell ref="B49:C49"/>
    <mergeCell ref="B50:C50"/>
    <mergeCell ref="D49:H49"/>
    <mergeCell ref="I49:M49"/>
    <mergeCell ref="S49:T49"/>
    <mergeCell ref="B47:C47"/>
    <mergeCell ref="B48:C48"/>
    <mergeCell ref="D47:H47"/>
    <mergeCell ref="I47:M47"/>
    <mergeCell ref="N47:R47"/>
    <mergeCell ref="U47:V47"/>
    <mergeCell ref="W47:X47"/>
    <mergeCell ref="Y47:Z47"/>
    <mergeCell ref="D46:H46"/>
    <mergeCell ref="I46:M46"/>
    <mergeCell ref="N46:R46"/>
    <mergeCell ref="U46:V46"/>
    <mergeCell ref="W46:X46"/>
    <mergeCell ref="Y46:Z46"/>
    <mergeCell ref="S47:T47"/>
    <mergeCell ref="S48:T48"/>
    <mergeCell ref="B45:C45"/>
    <mergeCell ref="B46:C46"/>
    <mergeCell ref="D45:H45"/>
    <mergeCell ref="I45:M45"/>
    <mergeCell ref="N45:R45"/>
    <mergeCell ref="U45:V45"/>
    <mergeCell ref="W45:X45"/>
    <mergeCell ref="Y45:Z45"/>
    <mergeCell ref="D44:H44"/>
    <mergeCell ref="I44:M44"/>
    <mergeCell ref="N44:R44"/>
    <mergeCell ref="U44:V44"/>
    <mergeCell ref="W44:X44"/>
    <mergeCell ref="Y44:Z44"/>
    <mergeCell ref="S45:T45"/>
    <mergeCell ref="S46:T46"/>
    <mergeCell ref="B43:C43"/>
    <mergeCell ref="B44:C44"/>
    <mergeCell ref="D43:H43"/>
    <mergeCell ref="I43:M43"/>
    <mergeCell ref="N43:R43"/>
    <mergeCell ref="U43:V43"/>
    <mergeCell ref="W43:X43"/>
    <mergeCell ref="Y43:Z43"/>
    <mergeCell ref="D42:H42"/>
    <mergeCell ref="I42:M42"/>
    <mergeCell ref="N42:R42"/>
    <mergeCell ref="U42:V42"/>
    <mergeCell ref="W42:X42"/>
    <mergeCell ref="Y42:Z42"/>
    <mergeCell ref="S43:T43"/>
    <mergeCell ref="S44:T44"/>
    <mergeCell ref="B41:C41"/>
    <mergeCell ref="B42:C42"/>
    <mergeCell ref="D41:H41"/>
    <mergeCell ref="I41:M41"/>
    <mergeCell ref="N41:R41"/>
    <mergeCell ref="U41:V41"/>
    <mergeCell ref="W41:X41"/>
    <mergeCell ref="Y41:Z41"/>
    <mergeCell ref="D40:H40"/>
    <mergeCell ref="I40:M40"/>
    <mergeCell ref="N40:R40"/>
    <mergeCell ref="U40:V40"/>
    <mergeCell ref="W40:X40"/>
    <mergeCell ref="Y40:Z40"/>
    <mergeCell ref="S41:T41"/>
    <mergeCell ref="S42:T42"/>
    <mergeCell ref="B39:C39"/>
    <mergeCell ref="B40:C40"/>
    <mergeCell ref="D39:H39"/>
    <mergeCell ref="I39:M39"/>
    <mergeCell ref="N39:R39"/>
    <mergeCell ref="U39:V39"/>
    <mergeCell ref="W39:X39"/>
    <mergeCell ref="Y39:Z39"/>
    <mergeCell ref="D38:H38"/>
    <mergeCell ref="I38:M38"/>
    <mergeCell ref="N38:R38"/>
    <mergeCell ref="U38:V38"/>
    <mergeCell ref="W38:X38"/>
    <mergeCell ref="Y38:Z38"/>
    <mergeCell ref="S39:T39"/>
    <mergeCell ref="S40:T40"/>
    <mergeCell ref="B37:C37"/>
    <mergeCell ref="B38:C38"/>
    <mergeCell ref="D37:H37"/>
    <mergeCell ref="I37:M37"/>
    <mergeCell ref="N37:R37"/>
    <mergeCell ref="U37:V37"/>
    <mergeCell ref="W37:X37"/>
    <mergeCell ref="Y37:Z37"/>
    <mergeCell ref="D36:H36"/>
    <mergeCell ref="I36:M36"/>
    <mergeCell ref="N36:R36"/>
    <mergeCell ref="U36:V36"/>
    <mergeCell ref="W36:X36"/>
    <mergeCell ref="Y36:Z36"/>
    <mergeCell ref="S36:T36"/>
    <mergeCell ref="S37:T37"/>
    <mergeCell ref="S38:T38"/>
    <mergeCell ref="D35:H35"/>
    <mergeCell ref="I35:M35"/>
    <mergeCell ref="N35:R35"/>
    <mergeCell ref="U35:V35"/>
    <mergeCell ref="W35:X35"/>
    <mergeCell ref="Y35:Z35"/>
    <mergeCell ref="D34:H34"/>
    <mergeCell ref="I34:M34"/>
    <mergeCell ref="N34:R34"/>
    <mergeCell ref="U34:V34"/>
    <mergeCell ref="W34:X34"/>
    <mergeCell ref="Y34:Z34"/>
    <mergeCell ref="S34:T34"/>
    <mergeCell ref="S35:T35"/>
    <mergeCell ref="D33:H33"/>
    <mergeCell ref="I33:M33"/>
    <mergeCell ref="N33:R33"/>
    <mergeCell ref="U33:V33"/>
    <mergeCell ref="W33:X33"/>
    <mergeCell ref="Y33:Z33"/>
    <mergeCell ref="D32:H32"/>
    <mergeCell ref="I32:M32"/>
    <mergeCell ref="N32:R32"/>
    <mergeCell ref="U32:V32"/>
    <mergeCell ref="W32:X32"/>
    <mergeCell ref="Y32:Z32"/>
    <mergeCell ref="S32:T32"/>
    <mergeCell ref="S33:T33"/>
    <mergeCell ref="I31:M31"/>
    <mergeCell ref="N31:R31"/>
    <mergeCell ref="U31:V31"/>
    <mergeCell ref="W31:X31"/>
    <mergeCell ref="Y31:Z31"/>
    <mergeCell ref="D30:H30"/>
    <mergeCell ref="I30:M30"/>
    <mergeCell ref="N30:R30"/>
    <mergeCell ref="U30:V30"/>
    <mergeCell ref="W30:X30"/>
    <mergeCell ref="Y30:Z30"/>
    <mergeCell ref="S30:T30"/>
    <mergeCell ref="S31:T31"/>
    <mergeCell ref="D31:H31"/>
    <mergeCell ref="U29:V29"/>
    <mergeCell ref="W29:X29"/>
    <mergeCell ref="Y29:Z29"/>
    <mergeCell ref="D28:H28"/>
    <mergeCell ref="I28:M28"/>
    <mergeCell ref="N28:R28"/>
    <mergeCell ref="U28:V28"/>
    <mergeCell ref="W28:X28"/>
    <mergeCell ref="Y28:Z28"/>
    <mergeCell ref="S28:T28"/>
    <mergeCell ref="S29:T29"/>
    <mergeCell ref="D29:H29"/>
    <mergeCell ref="I29:M29"/>
    <mergeCell ref="U27:V27"/>
    <mergeCell ref="W27:X27"/>
    <mergeCell ref="Y27:Z27"/>
    <mergeCell ref="D26:H26"/>
    <mergeCell ref="I26:M26"/>
    <mergeCell ref="N26:R26"/>
    <mergeCell ref="U26:V26"/>
    <mergeCell ref="W26:X26"/>
    <mergeCell ref="Y26:Z26"/>
    <mergeCell ref="S26:T26"/>
    <mergeCell ref="S27:T27"/>
    <mergeCell ref="Y23:Z23"/>
    <mergeCell ref="U22:V22"/>
    <mergeCell ref="W22:X22"/>
    <mergeCell ref="Y22:Z22"/>
    <mergeCell ref="U21:V21"/>
    <mergeCell ref="W21:X21"/>
    <mergeCell ref="Y21:Z21"/>
    <mergeCell ref="D25:H25"/>
    <mergeCell ref="I25:M25"/>
    <mergeCell ref="N25:R25"/>
    <mergeCell ref="U25:V25"/>
    <mergeCell ref="W25:X25"/>
    <mergeCell ref="Y25:Z25"/>
    <mergeCell ref="D24:H24"/>
    <mergeCell ref="I24:M24"/>
    <mergeCell ref="N24:R24"/>
    <mergeCell ref="U24:V24"/>
    <mergeCell ref="W24:X24"/>
    <mergeCell ref="Y24:Z24"/>
    <mergeCell ref="S25:T25"/>
    <mergeCell ref="AA15:AA16"/>
    <mergeCell ref="I12:J12"/>
    <mergeCell ref="A13:B13"/>
    <mergeCell ref="F13:G13"/>
    <mergeCell ref="I13:J13"/>
    <mergeCell ref="A15:A16"/>
    <mergeCell ref="D15:M15"/>
    <mergeCell ref="D16:H16"/>
    <mergeCell ref="I16:M16"/>
    <mergeCell ref="M10:Q13"/>
    <mergeCell ref="U10:V13"/>
    <mergeCell ref="Y10:Z13"/>
    <mergeCell ref="AA10:AA13"/>
    <mergeCell ref="A11:B11"/>
    <mergeCell ref="F11:G11"/>
    <mergeCell ref="I11:J11"/>
    <mergeCell ref="A12:B12"/>
    <mergeCell ref="F12:G12"/>
    <mergeCell ref="A10:B10"/>
    <mergeCell ref="C13:D13"/>
    <mergeCell ref="S15:T16"/>
    <mergeCell ref="U15:V16"/>
    <mergeCell ref="F10:G10"/>
    <mergeCell ref="I10:J10"/>
    <mergeCell ref="A1:AA1"/>
    <mergeCell ref="A8:B8"/>
    <mergeCell ref="F8:G8"/>
    <mergeCell ref="H8:K8"/>
    <mergeCell ref="T8:U8"/>
    <mergeCell ref="C8:D8"/>
    <mergeCell ref="C9:D9"/>
    <mergeCell ref="C10:D10"/>
    <mergeCell ref="C11:D11"/>
    <mergeCell ref="A3:B3"/>
    <mergeCell ref="C3:D3"/>
    <mergeCell ref="F3:G3"/>
    <mergeCell ref="H3:K3"/>
    <mergeCell ref="A5:B7"/>
    <mergeCell ref="C5:D7"/>
    <mergeCell ref="F5:G7"/>
    <mergeCell ref="H5:K5"/>
    <mergeCell ref="M5:N7"/>
    <mergeCell ref="O5:Q7"/>
    <mergeCell ref="H6:K6"/>
    <mergeCell ref="H7:K7"/>
    <mergeCell ref="N8:Q8"/>
    <mergeCell ref="I9:J9"/>
    <mergeCell ref="A9:B9"/>
    <mergeCell ref="S50:T50"/>
    <mergeCell ref="S51:T51"/>
    <mergeCell ref="S52:T52"/>
    <mergeCell ref="S53:T53"/>
    <mergeCell ref="S54:T54"/>
    <mergeCell ref="S55:T55"/>
    <mergeCell ref="N15:R16"/>
    <mergeCell ref="N22:R22"/>
    <mergeCell ref="N20:R20"/>
    <mergeCell ref="N29:R29"/>
    <mergeCell ref="N49:R49"/>
    <mergeCell ref="D18:H18"/>
    <mergeCell ref="I18:M18"/>
    <mergeCell ref="N18:R18"/>
    <mergeCell ref="D17:H17"/>
    <mergeCell ref="I17:M17"/>
    <mergeCell ref="N17:R17"/>
    <mergeCell ref="D27:H27"/>
    <mergeCell ref="I27:M27"/>
    <mergeCell ref="N27:R27"/>
    <mergeCell ref="Y15:Z16"/>
    <mergeCell ref="S17:T17"/>
    <mergeCell ref="S18:T18"/>
    <mergeCell ref="S19:T19"/>
    <mergeCell ref="S20:T20"/>
    <mergeCell ref="S21:T21"/>
    <mergeCell ref="S22:T22"/>
    <mergeCell ref="S23:T23"/>
    <mergeCell ref="S24:T24"/>
    <mergeCell ref="U17:V17"/>
    <mergeCell ref="W17:X17"/>
    <mergeCell ref="Y17:Z17"/>
    <mergeCell ref="U20:V20"/>
    <mergeCell ref="W20:X20"/>
    <mergeCell ref="Y20:Z20"/>
    <mergeCell ref="W15:X16"/>
    <mergeCell ref="W18:X18"/>
    <mergeCell ref="Y18:Z18"/>
    <mergeCell ref="U18:V18"/>
    <mergeCell ref="U19:V19"/>
    <mergeCell ref="W19:X19"/>
    <mergeCell ref="Y19:Z19"/>
    <mergeCell ref="U23:V23"/>
    <mergeCell ref="W23:X23"/>
  </mergeCells>
  <conditionalFormatting sqref="S17:T55">
    <cfRule type="containsText" dxfId="306" priority="5" operator="containsText" text="rot/red">
      <formula>NOT(ISERROR(SEARCH("rot/red",S17)))</formula>
    </cfRule>
    <cfRule type="containsText" dxfId="305" priority="6" operator="containsText" text="gelb/yellow">
      <formula>NOT(ISERROR(SEARCH("gelb/yellow",S17)))</formula>
    </cfRule>
    <cfRule type="containsText" dxfId="304" priority="7" operator="containsText" text="grün/green">
      <formula>NOT(ISERROR(SEARCH("grün/green",S17)))</formula>
    </cfRule>
  </conditionalFormatting>
  <conditionalFormatting sqref="AA10">
    <cfRule type="containsText" dxfId="303" priority="1" operator="containsText" text="erledigt">
      <formula>NOT(ISERROR(SEARCH("erledigt",AA10)))</formula>
    </cfRule>
    <cfRule type="containsText" dxfId="302" priority="2" operator="containsText" text="offen">
      <formula>NOT(ISERROR(SEARCH("offen",AA10)))</formula>
    </cfRule>
  </conditionalFormatting>
  <conditionalFormatting sqref="AA17:AA55">
    <cfRule type="containsText" dxfId="301" priority="3" operator="containsText" text="erledigt">
      <formula>NOT(ISERROR(SEARCH("erledigt",AA17)))</formula>
    </cfRule>
    <cfRule type="containsText" dxfId="300" priority="4" operator="containsText" text="offen">
      <formula>NOT(ISERROR(SEARCH("offen",AA17)))</formula>
    </cfRule>
  </conditionalFormatting>
  <dataValidations disablePrompts="1" count="2">
    <dataValidation type="list" allowBlank="1" showInputMessage="1" showErrorMessage="1" sqref="AA17:AA55 AA10" xr:uid="{00000000-0002-0000-0E00-000000000000}">
      <formula1>"erledigt, offen"</formula1>
    </dataValidation>
    <dataValidation type="list" allowBlank="1" showInputMessage="1" showErrorMessage="1" sqref="S17:T55" xr:uid="{00000000-0002-0000-0E00-000001000000}">
      <formula1>#REF!</formula1>
    </dataValidation>
  </dataValidations>
  <printOptions horizontalCentered="1"/>
  <pageMargins left="0.43307086614173229" right="0.23622047244094491" top="0.98425196850393704" bottom="0.74803149606299213" header="0.31496062992125984" footer="0.31496062992125984"/>
  <pageSetup paperSize="9" scale="37" fitToHeight="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4" manualBreakCount="4">
    <brk id="23" max="27" man="1"/>
    <brk id="32" max="27" man="1"/>
    <brk id="41" max="27" man="1"/>
    <brk id="50" max="27" man="1"/>
  </rowBreaks>
  <customProperties>
    <customPr name="_pios_id" r:id="rId2"/>
  </customProperties>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A1:AA62"/>
  <sheetViews>
    <sheetView showGridLines="0" topLeftCell="A50" zoomScale="70" zoomScaleNormal="70" zoomScaleSheetLayoutView="25" workbookViewId="0">
      <selection activeCell="I17" sqref="I17:M55"/>
    </sheetView>
  </sheetViews>
  <sheetFormatPr baseColWidth="10" defaultColWidth="11" defaultRowHeight="13.15" x14ac:dyDescent="0.25"/>
  <cols>
    <col min="1" max="15" width="11" style="85" customWidth="1"/>
    <col min="16" max="18" width="11" style="85"/>
    <col min="19" max="19" width="3.3984375" style="85" customWidth="1"/>
    <col min="20" max="20" width="5.8984375" style="85" customWidth="1"/>
    <col min="21" max="22" width="30.3984375" style="85" customWidth="1"/>
    <col min="23" max="26" width="11" style="85"/>
    <col min="27" max="27" width="11.19921875" style="85" customWidth="1"/>
    <col min="28" max="28" width="2.69921875" style="85" customWidth="1"/>
    <col min="29" max="16384" width="11" style="85"/>
  </cols>
  <sheetData>
    <row r="1" spans="1:27" ht="20.7" x14ac:dyDescent="0.25">
      <c r="A1" s="1957" t="s">
        <v>388</v>
      </c>
      <c r="B1" s="1957"/>
      <c r="C1" s="1957"/>
      <c r="D1" s="1957"/>
      <c r="E1" s="1957"/>
      <c r="F1" s="1957"/>
      <c r="G1" s="1957"/>
      <c r="H1" s="1957"/>
      <c r="I1" s="1957"/>
      <c r="J1" s="1957"/>
      <c r="K1" s="1957"/>
      <c r="L1" s="1957"/>
      <c r="M1" s="1957"/>
      <c r="N1" s="1957"/>
      <c r="O1" s="1957"/>
      <c r="P1" s="1957"/>
      <c r="Q1" s="1957"/>
      <c r="R1" s="1957"/>
      <c r="S1" s="1957"/>
      <c r="T1" s="1957"/>
      <c r="U1" s="1957"/>
      <c r="V1" s="1957"/>
      <c r="W1" s="1957"/>
      <c r="X1" s="1957"/>
      <c r="Y1" s="1957"/>
      <c r="Z1" s="1957"/>
      <c r="AA1" s="1957"/>
    </row>
    <row r="2" spans="1:27" ht="21.3" thickBot="1" x14ac:dyDescent="0.3">
      <c r="A2" s="87"/>
      <c r="B2" s="87"/>
      <c r="C2" s="87"/>
      <c r="D2" s="87"/>
      <c r="E2" s="87"/>
      <c r="F2" s="87"/>
      <c r="G2" s="87"/>
      <c r="H2" s="87"/>
      <c r="I2" s="87"/>
      <c r="J2" s="87"/>
      <c r="K2" s="87"/>
      <c r="L2" s="87"/>
      <c r="M2" s="87"/>
      <c r="N2" s="87"/>
      <c r="O2" s="87"/>
      <c r="P2" s="87"/>
      <c r="Q2" s="87"/>
      <c r="R2" s="87"/>
      <c r="S2" s="87"/>
      <c r="T2" s="87"/>
      <c r="U2" s="87"/>
      <c r="V2" s="87"/>
      <c r="W2" s="87"/>
      <c r="X2" s="87"/>
      <c r="Y2" s="87"/>
      <c r="Z2" s="87"/>
      <c r="AA2" s="87"/>
    </row>
    <row r="3" spans="1:27" ht="21.3" thickBot="1" x14ac:dyDescent="0.3">
      <c r="A3" s="1960" t="s">
        <v>1853</v>
      </c>
      <c r="B3" s="1961"/>
      <c r="C3" s="1962" t="e">
        <f>Basic_Data!#REF!</f>
        <v>#REF!</v>
      </c>
      <c r="D3" s="1963"/>
      <c r="E3" s="86"/>
      <c r="F3" s="1960" t="s">
        <v>1897</v>
      </c>
      <c r="G3" s="1961"/>
      <c r="H3" s="1962" t="e">
        <f>Basic_Data!#REF!</f>
        <v>#REF!</v>
      </c>
      <c r="I3" s="1964"/>
      <c r="J3" s="1964"/>
      <c r="K3" s="1963"/>
      <c r="L3" s="87"/>
      <c r="M3" s="2051" t="s">
        <v>1898</v>
      </c>
      <c r="N3" s="2052"/>
      <c r="O3" s="2053"/>
      <c r="P3" s="2054"/>
      <c r="Q3" s="2055"/>
      <c r="R3" s="87"/>
      <c r="S3" s="87"/>
      <c r="T3" s="87"/>
      <c r="U3" s="87"/>
      <c r="V3" s="87"/>
      <c r="W3" s="87"/>
      <c r="X3" s="87"/>
      <c r="Y3" s="87"/>
      <c r="Z3" s="87"/>
      <c r="AA3" s="87"/>
    </row>
    <row r="4" spans="1:27" ht="17.25" customHeight="1" thickBot="1" x14ac:dyDescent="0.3">
      <c r="A4" s="107"/>
      <c r="B4" s="107"/>
      <c r="C4" s="87"/>
      <c r="D4" s="87"/>
      <c r="E4" s="87"/>
      <c r="F4" s="87"/>
      <c r="G4" s="87"/>
      <c r="H4" s="87"/>
      <c r="I4" s="87"/>
      <c r="J4" s="87"/>
      <c r="K4" s="87"/>
      <c r="L4" s="87"/>
      <c r="M4" s="87"/>
      <c r="N4" s="87"/>
      <c r="O4" s="87"/>
      <c r="P4" s="87"/>
      <c r="Q4" s="87"/>
      <c r="R4" s="87"/>
      <c r="S4" s="87"/>
      <c r="T4" s="87"/>
      <c r="U4" s="87"/>
      <c r="V4" s="87"/>
      <c r="W4" s="87"/>
      <c r="X4" s="87"/>
      <c r="Y4" s="87"/>
      <c r="Z4" s="87"/>
      <c r="AA4" s="87"/>
    </row>
    <row r="5" spans="1:27" ht="16.45" customHeight="1" x14ac:dyDescent="0.25">
      <c r="A5" s="1965" t="s">
        <v>1899</v>
      </c>
      <c r="B5" s="1966"/>
      <c r="C5" s="1971">
        <f>Basic_Data!R6</f>
        <v>0</v>
      </c>
      <c r="D5" s="1972"/>
      <c r="E5" s="86"/>
      <c r="F5" s="1965" t="s">
        <v>1900</v>
      </c>
      <c r="G5" s="1977"/>
      <c r="H5" s="1980">
        <f>Basic_Data!R8</f>
        <v>0</v>
      </c>
      <c r="I5" s="1981"/>
      <c r="J5" s="1981"/>
      <c r="K5" s="1982"/>
      <c r="L5" s="87"/>
      <c r="M5" s="1965" t="s">
        <v>1857</v>
      </c>
      <c r="N5" s="1966"/>
      <c r="O5" s="1971">
        <f>Basic_Data!R7</f>
        <v>0</v>
      </c>
      <c r="P5" s="1983"/>
      <c r="Q5" s="1972"/>
      <c r="R5" s="87"/>
      <c r="S5" s="87"/>
      <c r="T5" s="87"/>
      <c r="U5" s="87"/>
      <c r="V5" s="87"/>
      <c r="W5" s="87"/>
      <c r="X5" s="87"/>
      <c r="Y5" s="87"/>
      <c r="Z5" s="87"/>
      <c r="AA5" s="87"/>
    </row>
    <row r="6" spans="1:27" ht="16.45" customHeight="1" x14ac:dyDescent="0.25">
      <c r="A6" s="1967"/>
      <c r="B6" s="1968"/>
      <c r="C6" s="1973"/>
      <c r="D6" s="1974"/>
      <c r="E6" s="86"/>
      <c r="F6" s="1967"/>
      <c r="G6" s="1978"/>
      <c r="H6" s="1985" t="e">
        <f>Basic_Data!#REF!</f>
        <v>#REF!</v>
      </c>
      <c r="I6" s="1986"/>
      <c r="J6" s="1986"/>
      <c r="K6" s="1987"/>
      <c r="M6" s="1967"/>
      <c r="N6" s="1968"/>
      <c r="O6" s="1973"/>
      <c r="P6" s="1959"/>
      <c r="Q6" s="1974"/>
      <c r="R6" s="87"/>
      <c r="S6" s="87"/>
      <c r="T6" s="87"/>
      <c r="U6" s="87"/>
      <c r="V6" s="87"/>
      <c r="W6" s="87"/>
      <c r="X6" s="87"/>
      <c r="Y6" s="87"/>
      <c r="Z6" s="87"/>
      <c r="AA6" s="87"/>
    </row>
    <row r="7" spans="1:27" ht="12.7" customHeight="1" thickBot="1" x14ac:dyDescent="0.3">
      <c r="A7" s="1969"/>
      <c r="B7" s="1970"/>
      <c r="C7" s="1975"/>
      <c r="D7" s="1976"/>
      <c r="E7" s="86"/>
      <c r="F7" s="1969"/>
      <c r="G7" s="1979"/>
      <c r="H7" s="1988">
        <f>Basic_Data!R9</f>
        <v>0</v>
      </c>
      <c r="I7" s="1989"/>
      <c r="J7" s="1989"/>
      <c r="K7" s="1990"/>
      <c r="L7" s="108"/>
      <c r="M7" s="1969"/>
      <c r="N7" s="1970"/>
      <c r="O7" s="1975"/>
      <c r="P7" s="1984"/>
      <c r="Q7" s="1976"/>
    </row>
    <row r="8" spans="1:27" ht="12.7" customHeight="1" thickBot="1" x14ac:dyDescent="0.3">
      <c r="A8" s="1925"/>
      <c r="B8" s="1925"/>
      <c r="C8" s="1959"/>
      <c r="D8" s="1959"/>
      <c r="E8" s="108"/>
      <c r="F8" s="1925"/>
      <c r="G8" s="1925"/>
      <c r="H8" s="1958"/>
      <c r="I8" s="1958"/>
      <c r="J8" s="1958"/>
      <c r="K8" s="1958"/>
      <c r="L8" s="108"/>
      <c r="M8" s="109"/>
      <c r="N8" s="1959"/>
      <c r="O8" s="1959"/>
      <c r="P8" s="1959"/>
      <c r="Q8" s="1959"/>
      <c r="T8" s="1925"/>
      <c r="U8" s="1925"/>
      <c r="V8" s="88"/>
    </row>
    <row r="9" spans="1:27" s="10" customFormat="1" ht="12.7" customHeight="1" thickBot="1" x14ac:dyDescent="0.3">
      <c r="A9" s="1991" t="s">
        <v>1901</v>
      </c>
      <c r="B9" s="1992"/>
      <c r="C9" s="1946"/>
      <c r="D9" s="1947"/>
      <c r="E9" s="12"/>
      <c r="F9" s="1939" t="s">
        <v>1902</v>
      </c>
      <c r="G9" s="1811"/>
      <c r="H9" s="106" t="s">
        <v>51</v>
      </c>
      <c r="I9" s="1811" t="s">
        <v>52</v>
      </c>
      <c r="J9" s="1811"/>
      <c r="K9" s="89" t="s">
        <v>51</v>
      </c>
      <c r="L9" s="12"/>
      <c r="M9" s="12"/>
      <c r="N9" s="12"/>
      <c r="O9" s="12"/>
      <c r="P9" s="12"/>
      <c r="Q9" s="12"/>
      <c r="R9" s="12"/>
      <c r="S9" s="12"/>
      <c r="V9" s="12"/>
      <c r="W9" s="12"/>
    </row>
    <row r="10" spans="1:27" s="10" customFormat="1" ht="12.7" customHeight="1" x14ac:dyDescent="0.25">
      <c r="A10" s="1955" t="s">
        <v>1903</v>
      </c>
      <c r="B10" s="1956"/>
      <c r="C10" s="1944"/>
      <c r="D10" s="1945"/>
      <c r="E10" s="12"/>
      <c r="F10" s="1928">
        <f>IF('LQG-Ergebnis'!AU11="","",'LQG-Ergebnis'!AU11)</f>
        <v>452</v>
      </c>
      <c r="G10" s="1929"/>
      <c r="H10" s="13" t="str">
        <f>IF('LQG-Ergebnis'!BC11="","",'LQG-Ergebnis'!BC11)</f>
        <v/>
      </c>
      <c r="I10" s="1929" t="str">
        <f>IF('LQG-Ergebnis'!BF11="","",'LQG-Ergebnis'!BF11)</f>
        <v>D658</v>
      </c>
      <c r="J10" s="1929"/>
      <c r="K10" s="14">
        <f>IF('LQG-Ergebnis'!BN11="","",'LQG-Ergebnis'!BN11)</f>
        <v>100</v>
      </c>
      <c r="L10" s="12"/>
      <c r="M10" s="2008" t="s">
        <v>2040</v>
      </c>
      <c r="N10" s="2009"/>
      <c r="O10" s="2009"/>
      <c r="P10" s="2009"/>
      <c r="Q10" s="2010"/>
      <c r="R10" s="12"/>
      <c r="S10" s="85"/>
      <c r="T10" s="85"/>
      <c r="U10" s="85"/>
      <c r="V10" s="85"/>
      <c r="W10" s="90"/>
      <c r="Y10" s="2017" t="s">
        <v>1894</v>
      </c>
      <c r="Z10" s="2018"/>
      <c r="AA10" s="2023"/>
    </row>
    <row r="11" spans="1:27" s="10" customFormat="1" ht="12.7" customHeight="1" x14ac:dyDescent="0.25">
      <c r="A11" s="1955" t="s">
        <v>1905</v>
      </c>
      <c r="B11" s="1956"/>
      <c r="C11" s="1944"/>
      <c r="D11" s="1945"/>
      <c r="E11" s="12"/>
      <c r="F11" s="1928" t="str">
        <f>IF('LQG-Ergebnis'!AU12="","",'LQG-Ergebnis'!AU12)</f>
        <v/>
      </c>
      <c r="G11" s="1929"/>
      <c r="H11" s="13" t="str">
        <f>IF('LQG-Ergebnis'!BC12="","",'LQG-Ergebnis'!BC12)</f>
        <v/>
      </c>
      <c r="I11" s="1929" t="str">
        <f>IF('LQG-Ergebnis'!BF12="","",'LQG-Ergebnis'!BF12)</f>
        <v/>
      </c>
      <c r="J11" s="1929"/>
      <c r="K11" s="14" t="str">
        <f>IF('LQG-Ergebnis'!BN12="","",'LQG-Ergebnis'!BN12)</f>
        <v/>
      </c>
      <c r="L11" s="12"/>
      <c r="M11" s="2011"/>
      <c r="N11" s="2012"/>
      <c r="O11" s="2012"/>
      <c r="P11" s="2012"/>
      <c r="Q11" s="2013"/>
      <c r="R11" s="12"/>
      <c r="S11" s="85"/>
      <c r="T11" s="85"/>
      <c r="U11" s="85"/>
      <c r="V11" s="85"/>
      <c r="W11" s="90"/>
      <c r="Y11" s="2019"/>
      <c r="Z11" s="2020"/>
      <c r="AA11" s="2024"/>
    </row>
    <row r="12" spans="1:27" s="10" customFormat="1" ht="12.7" customHeight="1" x14ac:dyDescent="0.25">
      <c r="A12" s="1955" t="s">
        <v>1906</v>
      </c>
      <c r="B12" s="1956"/>
      <c r="C12" s="1944"/>
      <c r="D12" s="1945"/>
      <c r="E12" s="12"/>
      <c r="F12" s="1928" t="str">
        <f>IF('LQG-Ergebnis'!AU13="","",'LQG-Ergebnis'!AU13)</f>
        <v/>
      </c>
      <c r="G12" s="1929"/>
      <c r="H12" s="13" t="str">
        <f>IF('LQG-Ergebnis'!BC13="","",'LQG-Ergebnis'!BC13)</f>
        <v/>
      </c>
      <c r="I12" s="1929" t="str">
        <f>IF('LQG-Ergebnis'!BF13="","",'LQG-Ergebnis'!BF13)</f>
        <v/>
      </c>
      <c r="J12" s="1929"/>
      <c r="K12" s="14" t="str">
        <f>IF('LQG-Ergebnis'!BN13="","",'LQG-Ergebnis'!BN13)</f>
        <v/>
      </c>
      <c r="L12" s="12"/>
      <c r="M12" s="2011"/>
      <c r="N12" s="2012"/>
      <c r="O12" s="2012"/>
      <c r="P12" s="2012"/>
      <c r="Q12" s="2013"/>
      <c r="R12" s="12"/>
      <c r="S12" s="85"/>
      <c r="T12" s="85"/>
      <c r="U12" s="85"/>
      <c r="V12" s="85"/>
      <c r="W12" s="90"/>
      <c r="Y12" s="2019"/>
      <c r="Z12" s="2020"/>
      <c r="AA12" s="2024"/>
    </row>
    <row r="13" spans="1:27" s="10" customFormat="1" ht="12.7" customHeight="1" thickBot="1" x14ac:dyDescent="0.3">
      <c r="A13" s="1999" t="s">
        <v>1907</v>
      </c>
      <c r="B13" s="2000"/>
      <c r="C13" s="1942"/>
      <c r="D13" s="1943"/>
      <c r="E13" s="4"/>
      <c r="F13" s="1928" t="str">
        <f>IF('LQG-Ergebnis'!AU14="","",'LQG-Ergebnis'!AU14)</f>
        <v/>
      </c>
      <c r="G13" s="1929"/>
      <c r="H13" s="13" t="str">
        <f>IF('LQG-Ergebnis'!BC14="","",'LQG-Ergebnis'!BC14)</f>
        <v/>
      </c>
      <c r="I13" s="1929" t="str">
        <f>IF('LQG-Ergebnis'!BF14="","",'LQG-Ergebnis'!BF14)</f>
        <v/>
      </c>
      <c r="J13" s="1929"/>
      <c r="K13" s="14" t="str">
        <f>IF('LQG-Ergebnis'!BN14="","",'LQG-Ergebnis'!BN14)</f>
        <v/>
      </c>
      <c r="L13" s="4"/>
      <c r="M13" s="2014"/>
      <c r="N13" s="2015"/>
      <c r="O13" s="2015"/>
      <c r="P13" s="2015"/>
      <c r="Q13" s="2016"/>
      <c r="R13" s="12"/>
      <c r="S13" s="85"/>
      <c r="T13" s="85"/>
      <c r="U13" s="85"/>
      <c r="V13" s="85"/>
      <c r="W13" s="90"/>
      <c r="Y13" s="2021"/>
      <c r="Z13" s="2022"/>
      <c r="AA13" s="2025"/>
    </row>
    <row r="14" spans="1:27" ht="13.8" thickBot="1" x14ac:dyDescent="0.3"/>
    <row r="15" spans="1:27" ht="38.200000000000003" customHeight="1" x14ac:dyDescent="0.25">
      <c r="A15" s="2001" t="s">
        <v>90</v>
      </c>
      <c r="B15" s="1948" t="s">
        <v>1864</v>
      </c>
      <c r="C15" s="1949"/>
      <c r="D15" s="2003" t="s">
        <v>92</v>
      </c>
      <c r="E15" s="2004"/>
      <c r="F15" s="2004"/>
      <c r="G15" s="2004"/>
      <c r="H15" s="2004"/>
      <c r="I15" s="2005"/>
      <c r="J15" s="2005"/>
      <c r="K15" s="2005"/>
      <c r="L15" s="2005"/>
      <c r="M15" s="2006"/>
      <c r="N15" s="1930" t="s">
        <v>1908</v>
      </c>
      <c r="O15" s="1930"/>
      <c r="P15" s="1931"/>
      <c r="Q15" s="1931"/>
      <c r="R15" s="1931"/>
      <c r="S15" s="1993" t="s">
        <v>1865</v>
      </c>
      <c r="T15" s="1994"/>
      <c r="U15" s="1931" t="s">
        <v>96</v>
      </c>
      <c r="V15" s="1931"/>
      <c r="W15" s="1993" t="s">
        <v>98</v>
      </c>
      <c r="X15" s="1994"/>
      <c r="Y15" s="1993" t="s">
        <v>39</v>
      </c>
      <c r="Z15" s="1994"/>
      <c r="AA15" s="1997" t="s">
        <v>78</v>
      </c>
    </row>
    <row r="16" spans="1:27" ht="12.7" customHeight="1" thickBot="1" x14ac:dyDescent="0.3">
      <c r="A16" s="2002"/>
      <c r="B16" s="1950"/>
      <c r="C16" s="1951"/>
      <c r="D16" s="2007" t="s">
        <v>1909</v>
      </c>
      <c r="E16" s="2007"/>
      <c r="F16" s="2007"/>
      <c r="G16" s="2007"/>
      <c r="H16" s="2007"/>
      <c r="I16" s="2007" t="s">
        <v>1533</v>
      </c>
      <c r="J16" s="2007"/>
      <c r="K16" s="2007"/>
      <c r="L16" s="2007"/>
      <c r="M16" s="1998"/>
      <c r="N16" s="1932"/>
      <c r="O16" s="1932"/>
      <c r="P16" s="1933"/>
      <c r="Q16" s="1933"/>
      <c r="R16" s="1933"/>
      <c r="S16" s="2026"/>
      <c r="T16" s="2027"/>
      <c r="U16" s="1933"/>
      <c r="V16" s="1933"/>
      <c r="W16" s="1995"/>
      <c r="X16" s="1996"/>
      <c r="Y16" s="1995"/>
      <c r="Z16" s="1996"/>
      <c r="AA16" s="1998"/>
    </row>
    <row r="17" spans="1:27" ht="120.05" customHeight="1" x14ac:dyDescent="0.25">
      <c r="A17" s="91" t="s">
        <v>2112</v>
      </c>
      <c r="B17" s="1952" t="s">
        <v>81</v>
      </c>
      <c r="C17" s="1953"/>
      <c r="D17" s="2031" t="s">
        <v>1911</v>
      </c>
      <c r="E17" s="2032"/>
      <c r="F17" s="2032"/>
      <c r="G17" s="2032"/>
      <c r="H17" s="2032"/>
      <c r="I17" s="879" t="s">
        <v>2042</v>
      </c>
      <c r="J17" s="879"/>
      <c r="K17" s="879"/>
      <c r="L17" s="879"/>
      <c r="M17" s="2089"/>
      <c r="N17" s="1934"/>
      <c r="O17" s="1934"/>
      <c r="P17" s="1935"/>
      <c r="Q17" s="1935"/>
      <c r="R17" s="2034"/>
      <c r="S17" s="2038"/>
      <c r="T17" s="2039"/>
      <c r="U17" s="1934"/>
      <c r="V17" s="1935"/>
      <c r="W17" s="2028"/>
      <c r="X17" s="2028"/>
      <c r="Y17" s="2028"/>
      <c r="Z17" s="2029"/>
      <c r="AA17" s="113"/>
    </row>
    <row r="18" spans="1:27" ht="120.05" customHeight="1" x14ac:dyDescent="0.25">
      <c r="A18" s="92" t="s">
        <v>2113</v>
      </c>
      <c r="B18" s="1954" t="s">
        <v>1867</v>
      </c>
      <c r="C18" s="1954"/>
      <c r="D18" s="853" t="s">
        <v>1914</v>
      </c>
      <c r="E18" s="853"/>
      <c r="F18" s="853"/>
      <c r="G18" s="853"/>
      <c r="H18" s="853"/>
      <c r="I18" s="853" t="s">
        <v>311</v>
      </c>
      <c r="J18" s="853"/>
      <c r="K18" s="853"/>
      <c r="L18" s="853"/>
      <c r="M18" s="854"/>
      <c r="N18" s="2035"/>
      <c r="O18" s="2035"/>
      <c r="P18" s="1937"/>
      <c r="Q18" s="1937"/>
      <c r="R18" s="1938"/>
      <c r="S18" s="1921"/>
      <c r="T18" s="1922"/>
      <c r="U18" s="1937"/>
      <c r="V18" s="1937"/>
      <c r="W18" s="2036"/>
      <c r="X18" s="2036"/>
      <c r="Y18" s="2036"/>
      <c r="Z18" s="2037"/>
      <c r="AA18" s="110"/>
    </row>
    <row r="19" spans="1:27" ht="120.05" customHeight="1" x14ac:dyDescent="0.25">
      <c r="A19" s="92" t="s">
        <v>2114</v>
      </c>
      <c r="B19" s="1926" t="s">
        <v>1916</v>
      </c>
      <c r="C19" s="1926"/>
      <c r="D19" s="853" t="s">
        <v>2115</v>
      </c>
      <c r="E19" s="853"/>
      <c r="F19" s="853"/>
      <c r="G19" s="853"/>
      <c r="H19" s="853"/>
      <c r="I19" s="853" t="s">
        <v>1918</v>
      </c>
      <c r="J19" s="853"/>
      <c r="K19" s="853"/>
      <c r="L19" s="853"/>
      <c r="M19" s="854"/>
      <c r="N19" s="2035"/>
      <c r="O19" s="2035"/>
      <c r="P19" s="1937"/>
      <c r="Q19" s="1937"/>
      <c r="R19" s="1938"/>
      <c r="S19" s="1921"/>
      <c r="T19" s="1922"/>
      <c r="U19" s="1937"/>
      <c r="V19" s="1937"/>
      <c r="W19" s="2036"/>
      <c r="X19" s="2036"/>
      <c r="Y19" s="2036"/>
      <c r="Z19" s="2037"/>
      <c r="AA19" s="110"/>
    </row>
    <row r="20" spans="1:27" ht="120.05" customHeight="1" x14ac:dyDescent="0.25">
      <c r="A20" s="92" t="s">
        <v>2116</v>
      </c>
      <c r="B20" s="1926" t="s">
        <v>1920</v>
      </c>
      <c r="C20" s="1926"/>
      <c r="D20" s="853" t="s">
        <v>2117</v>
      </c>
      <c r="E20" s="853"/>
      <c r="F20" s="853"/>
      <c r="G20" s="853"/>
      <c r="H20" s="853"/>
      <c r="I20" s="853" t="s">
        <v>1922</v>
      </c>
      <c r="J20" s="853"/>
      <c r="K20" s="853"/>
      <c r="L20" s="853"/>
      <c r="M20" s="854"/>
      <c r="N20" s="2035"/>
      <c r="O20" s="2035"/>
      <c r="P20" s="1937"/>
      <c r="Q20" s="1937"/>
      <c r="R20" s="1938"/>
      <c r="S20" s="1921"/>
      <c r="T20" s="1922"/>
      <c r="U20" s="1937"/>
      <c r="V20" s="1937"/>
      <c r="W20" s="2036"/>
      <c r="X20" s="2036"/>
      <c r="Y20" s="2036"/>
      <c r="Z20" s="2037"/>
      <c r="AA20" s="110"/>
    </row>
    <row r="21" spans="1:27" ht="120.05" customHeight="1" x14ac:dyDescent="0.25">
      <c r="A21" s="92" t="s">
        <v>2118</v>
      </c>
      <c r="B21" s="1926" t="s">
        <v>1924</v>
      </c>
      <c r="C21" s="1926"/>
      <c r="D21" s="866" t="s">
        <v>1925</v>
      </c>
      <c r="E21" s="884"/>
      <c r="F21" s="884"/>
      <c r="G21" s="884"/>
      <c r="H21" s="2040"/>
      <c r="I21" s="866" t="s">
        <v>1627</v>
      </c>
      <c r="J21" s="884"/>
      <c r="K21" s="884"/>
      <c r="L21" s="884"/>
      <c r="M21" s="885"/>
      <c r="N21" s="2035"/>
      <c r="O21" s="2035"/>
      <c r="P21" s="1937"/>
      <c r="Q21" s="1937"/>
      <c r="R21" s="1938"/>
      <c r="S21" s="1921"/>
      <c r="T21" s="1922"/>
      <c r="U21" s="1937"/>
      <c r="V21" s="1937"/>
      <c r="W21" s="2036"/>
      <c r="X21" s="2036"/>
      <c r="Y21" s="2036"/>
      <c r="Z21" s="2037"/>
      <c r="AA21" s="110"/>
    </row>
    <row r="22" spans="1:27" ht="120.05" customHeight="1" x14ac:dyDescent="0.25">
      <c r="A22" s="92" t="s">
        <v>2119</v>
      </c>
      <c r="B22" s="1926" t="s">
        <v>1927</v>
      </c>
      <c r="C22" s="1926"/>
      <c r="D22" s="866" t="s">
        <v>1928</v>
      </c>
      <c r="E22" s="884"/>
      <c r="F22" s="884"/>
      <c r="G22" s="884"/>
      <c r="H22" s="2040"/>
      <c r="I22" s="866" t="s">
        <v>1929</v>
      </c>
      <c r="J22" s="884"/>
      <c r="K22" s="884"/>
      <c r="L22" s="884"/>
      <c r="M22" s="885"/>
      <c r="N22" s="2035"/>
      <c r="O22" s="2035"/>
      <c r="P22" s="1937"/>
      <c r="Q22" s="1937"/>
      <c r="R22" s="1938"/>
      <c r="S22" s="1921"/>
      <c r="T22" s="1922"/>
      <c r="U22" s="1937"/>
      <c r="V22" s="1937"/>
      <c r="W22" s="2036"/>
      <c r="X22" s="2036"/>
      <c r="Y22" s="2036"/>
      <c r="Z22" s="2037"/>
      <c r="AA22" s="110"/>
    </row>
    <row r="23" spans="1:27" ht="120.05" customHeight="1" x14ac:dyDescent="0.25">
      <c r="A23" s="93" t="s">
        <v>2120</v>
      </c>
      <c r="B23" s="1927" t="s">
        <v>1931</v>
      </c>
      <c r="C23" s="1927"/>
      <c r="D23" s="870" t="s">
        <v>2121</v>
      </c>
      <c r="E23" s="886"/>
      <c r="F23" s="886"/>
      <c r="G23" s="886"/>
      <c r="H23" s="2086"/>
      <c r="I23" s="870" t="s">
        <v>1631</v>
      </c>
      <c r="J23" s="886"/>
      <c r="K23" s="886"/>
      <c r="L23" s="886"/>
      <c r="M23" s="887"/>
      <c r="N23" s="2087"/>
      <c r="O23" s="2042"/>
      <c r="P23" s="2042"/>
      <c r="Q23" s="2042"/>
      <c r="R23" s="2042"/>
      <c r="S23" s="1919"/>
      <c r="T23" s="1920"/>
      <c r="U23" s="2042"/>
      <c r="V23" s="2042"/>
      <c r="W23" s="2043"/>
      <c r="X23" s="2043"/>
      <c r="Y23" s="2043"/>
      <c r="Z23" s="2044"/>
      <c r="AA23" s="111"/>
    </row>
    <row r="24" spans="1:27" ht="120.05" customHeight="1" x14ac:dyDescent="0.25">
      <c r="A24" s="94" t="s">
        <v>2122</v>
      </c>
      <c r="B24" s="1927" t="s">
        <v>1934</v>
      </c>
      <c r="C24" s="1927"/>
      <c r="D24" s="870" t="s">
        <v>2123</v>
      </c>
      <c r="E24" s="886"/>
      <c r="F24" s="886"/>
      <c r="G24" s="886"/>
      <c r="H24" s="2086"/>
      <c r="I24" s="870" t="s">
        <v>1546</v>
      </c>
      <c r="J24" s="886"/>
      <c r="K24" s="886"/>
      <c r="L24" s="886"/>
      <c r="M24" s="887"/>
      <c r="N24" s="2087"/>
      <c r="O24" s="2087"/>
      <c r="P24" s="2042"/>
      <c r="Q24" s="2042"/>
      <c r="R24" s="2042"/>
      <c r="S24" s="1919"/>
      <c r="T24" s="1920"/>
      <c r="U24" s="2042"/>
      <c r="V24" s="2042"/>
      <c r="W24" s="2043"/>
      <c r="X24" s="2043"/>
      <c r="Y24" s="2043"/>
      <c r="Z24" s="2044"/>
      <c r="AA24" s="111"/>
    </row>
    <row r="25" spans="1:27" ht="120.05" customHeight="1" x14ac:dyDescent="0.25">
      <c r="A25" s="92" t="s">
        <v>2124</v>
      </c>
      <c r="B25" s="1954" t="s">
        <v>1937</v>
      </c>
      <c r="C25" s="1954"/>
      <c r="D25" s="866" t="s">
        <v>2125</v>
      </c>
      <c r="E25" s="884"/>
      <c r="F25" s="884"/>
      <c r="G25" s="884"/>
      <c r="H25" s="2040"/>
      <c r="I25" s="866" t="s">
        <v>1682</v>
      </c>
      <c r="J25" s="884"/>
      <c r="K25" s="884"/>
      <c r="L25" s="884"/>
      <c r="M25" s="885"/>
      <c r="N25" s="2035"/>
      <c r="O25" s="2035"/>
      <c r="P25" s="1937"/>
      <c r="Q25" s="1937"/>
      <c r="R25" s="1938"/>
      <c r="S25" s="1921"/>
      <c r="T25" s="1922"/>
      <c r="U25" s="1937"/>
      <c r="V25" s="1937"/>
      <c r="W25" s="2036"/>
      <c r="X25" s="2036"/>
      <c r="Y25" s="2036"/>
      <c r="Z25" s="2037"/>
      <c r="AA25" s="110"/>
    </row>
    <row r="26" spans="1:27" ht="120.05" customHeight="1" x14ac:dyDescent="0.25">
      <c r="A26" s="92" t="s">
        <v>2126</v>
      </c>
      <c r="B26" s="1954" t="s">
        <v>1940</v>
      </c>
      <c r="C26" s="1954"/>
      <c r="D26" s="866" t="s">
        <v>2127</v>
      </c>
      <c r="E26" s="884"/>
      <c r="F26" s="884"/>
      <c r="G26" s="884"/>
      <c r="H26" s="2040"/>
      <c r="I26" s="853" t="s">
        <v>2128</v>
      </c>
      <c r="J26" s="853"/>
      <c r="K26" s="853"/>
      <c r="L26" s="853"/>
      <c r="M26" s="854"/>
      <c r="N26" s="2035"/>
      <c r="O26" s="2035"/>
      <c r="P26" s="1937"/>
      <c r="Q26" s="1937"/>
      <c r="R26" s="1938"/>
      <c r="S26" s="1921"/>
      <c r="T26" s="1922"/>
      <c r="U26" s="1937"/>
      <c r="V26" s="1937"/>
      <c r="W26" s="2036"/>
      <c r="X26" s="2036"/>
      <c r="Y26" s="2036"/>
      <c r="Z26" s="2037"/>
      <c r="AA26" s="110"/>
    </row>
    <row r="27" spans="1:27" ht="120.05" customHeight="1" x14ac:dyDescent="0.25">
      <c r="A27" s="92" t="s">
        <v>2129</v>
      </c>
      <c r="B27" s="1954" t="s">
        <v>1944</v>
      </c>
      <c r="C27" s="1954"/>
      <c r="D27" s="853" t="s">
        <v>2061</v>
      </c>
      <c r="E27" s="853"/>
      <c r="F27" s="853"/>
      <c r="G27" s="853"/>
      <c r="H27" s="853"/>
      <c r="I27" s="853" t="s">
        <v>2062</v>
      </c>
      <c r="J27" s="853"/>
      <c r="K27" s="853"/>
      <c r="L27" s="853"/>
      <c r="M27" s="854"/>
      <c r="N27" s="2035"/>
      <c r="O27" s="2035"/>
      <c r="P27" s="1937"/>
      <c r="Q27" s="1937"/>
      <c r="R27" s="1937"/>
      <c r="S27" s="1921"/>
      <c r="T27" s="1922"/>
      <c r="U27" s="1937"/>
      <c r="V27" s="1937"/>
      <c r="W27" s="2036"/>
      <c r="X27" s="2036"/>
      <c r="Y27" s="2036"/>
      <c r="Z27" s="2037"/>
      <c r="AA27" s="110"/>
    </row>
    <row r="28" spans="1:27" ht="120.05" customHeight="1" x14ac:dyDescent="0.25">
      <c r="A28" s="92" t="s">
        <v>2130</v>
      </c>
      <c r="B28" s="1954" t="s">
        <v>1948</v>
      </c>
      <c r="C28" s="1954"/>
      <c r="D28" s="853" t="s">
        <v>2131</v>
      </c>
      <c r="E28" s="853"/>
      <c r="F28" s="853"/>
      <c r="G28" s="853"/>
      <c r="H28" s="853"/>
      <c r="I28" s="853" t="s">
        <v>2132</v>
      </c>
      <c r="J28" s="853"/>
      <c r="K28" s="853"/>
      <c r="L28" s="853"/>
      <c r="M28" s="854"/>
      <c r="N28" s="2035"/>
      <c r="O28" s="2035"/>
      <c r="P28" s="1937"/>
      <c r="Q28" s="1937"/>
      <c r="R28" s="1937"/>
      <c r="S28" s="1921"/>
      <c r="T28" s="1922"/>
      <c r="U28" s="1937"/>
      <c r="V28" s="1937"/>
      <c r="W28" s="2036"/>
      <c r="X28" s="2036"/>
      <c r="Y28" s="2036"/>
      <c r="Z28" s="2037"/>
      <c r="AA28" s="110"/>
    </row>
    <row r="29" spans="1:27" ht="120.05" customHeight="1" x14ac:dyDescent="0.25">
      <c r="A29" s="95" t="s">
        <v>2133</v>
      </c>
      <c r="B29" s="1954" t="s">
        <v>1952</v>
      </c>
      <c r="C29" s="1954"/>
      <c r="D29" s="853" t="s">
        <v>1953</v>
      </c>
      <c r="E29" s="853"/>
      <c r="F29" s="853"/>
      <c r="G29" s="853"/>
      <c r="H29" s="853"/>
      <c r="I29" s="853" t="s">
        <v>1954</v>
      </c>
      <c r="J29" s="853"/>
      <c r="K29" s="853"/>
      <c r="L29" s="853"/>
      <c r="M29" s="854"/>
      <c r="N29" s="2035"/>
      <c r="O29" s="2035"/>
      <c r="P29" s="1937"/>
      <c r="Q29" s="1937"/>
      <c r="R29" s="1938"/>
      <c r="S29" s="1921"/>
      <c r="T29" s="1922"/>
      <c r="U29" s="1937"/>
      <c r="V29" s="1937"/>
      <c r="W29" s="2036"/>
      <c r="X29" s="2036"/>
      <c r="Y29" s="2036"/>
      <c r="Z29" s="2037"/>
      <c r="AA29" s="110"/>
    </row>
    <row r="30" spans="1:27" ht="120.05" customHeight="1" x14ac:dyDescent="0.25">
      <c r="A30" s="96" t="s">
        <v>2134</v>
      </c>
      <c r="B30" s="1954" t="s">
        <v>1956</v>
      </c>
      <c r="C30" s="1954"/>
      <c r="D30" s="853" t="s">
        <v>2135</v>
      </c>
      <c r="E30" s="853"/>
      <c r="F30" s="853"/>
      <c r="G30" s="853"/>
      <c r="H30" s="853"/>
      <c r="I30" s="853" t="s">
        <v>1958</v>
      </c>
      <c r="J30" s="853"/>
      <c r="K30" s="853"/>
      <c r="L30" s="853"/>
      <c r="M30" s="854"/>
      <c r="N30" s="2035"/>
      <c r="O30" s="2035"/>
      <c r="P30" s="1937"/>
      <c r="Q30" s="1937"/>
      <c r="R30" s="1938"/>
      <c r="S30" s="1921"/>
      <c r="T30" s="1922"/>
      <c r="U30" s="1937"/>
      <c r="V30" s="1937"/>
      <c r="W30" s="2036"/>
      <c r="X30" s="2036"/>
      <c r="Y30" s="2036"/>
      <c r="Z30" s="2037"/>
      <c r="AA30" s="110"/>
    </row>
    <row r="31" spans="1:27" ht="120.05" customHeight="1" x14ac:dyDescent="0.25">
      <c r="A31" s="96" t="s">
        <v>2136</v>
      </c>
      <c r="B31" s="1926" t="s">
        <v>1960</v>
      </c>
      <c r="C31" s="1926"/>
      <c r="D31" s="853" t="s">
        <v>1961</v>
      </c>
      <c r="E31" s="853"/>
      <c r="F31" s="853"/>
      <c r="G31" s="853"/>
      <c r="H31" s="853"/>
      <c r="I31" s="853" t="s">
        <v>1559</v>
      </c>
      <c r="J31" s="853"/>
      <c r="K31" s="853"/>
      <c r="L31" s="853"/>
      <c r="M31" s="854"/>
      <c r="N31" s="2035"/>
      <c r="O31" s="2035"/>
      <c r="P31" s="1937"/>
      <c r="Q31" s="1937"/>
      <c r="R31" s="1938"/>
      <c r="S31" s="1921"/>
      <c r="T31" s="1922"/>
      <c r="U31" s="1937"/>
      <c r="V31" s="1937"/>
      <c r="W31" s="2036"/>
      <c r="X31" s="2036"/>
      <c r="Y31" s="2036"/>
      <c r="Z31" s="2037"/>
      <c r="AA31" s="110"/>
    </row>
    <row r="32" spans="1:27" ht="120.05" customHeight="1" x14ac:dyDescent="0.25">
      <c r="A32" s="96" t="s">
        <v>2137</v>
      </c>
      <c r="B32" s="1926" t="s">
        <v>1963</v>
      </c>
      <c r="C32" s="1926"/>
      <c r="D32" s="853" t="s">
        <v>2138</v>
      </c>
      <c r="E32" s="853"/>
      <c r="F32" s="853"/>
      <c r="G32" s="853"/>
      <c r="H32" s="853"/>
      <c r="I32" s="853" t="s">
        <v>2139</v>
      </c>
      <c r="J32" s="853"/>
      <c r="K32" s="853"/>
      <c r="L32" s="853"/>
      <c r="M32" s="854"/>
      <c r="N32" s="2035"/>
      <c r="O32" s="2035"/>
      <c r="P32" s="1937"/>
      <c r="Q32" s="1937"/>
      <c r="R32" s="1938"/>
      <c r="S32" s="1921"/>
      <c r="T32" s="1922"/>
      <c r="U32" s="1937"/>
      <c r="V32" s="1937"/>
      <c r="W32" s="2036"/>
      <c r="X32" s="2036"/>
      <c r="Y32" s="2036"/>
      <c r="Z32" s="2037"/>
      <c r="AA32" s="110"/>
    </row>
    <row r="33" spans="1:27" ht="120.05" customHeight="1" x14ac:dyDescent="0.25">
      <c r="A33" s="96" t="s">
        <v>2140</v>
      </c>
      <c r="B33" s="1926" t="s">
        <v>1967</v>
      </c>
      <c r="C33" s="1926"/>
      <c r="D33" s="853" t="s">
        <v>2075</v>
      </c>
      <c r="E33" s="853"/>
      <c r="F33" s="853"/>
      <c r="G33" s="853"/>
      <c r="H33" s="853"/>
      <c r="I33" s="853" t="s">
        <v>2141</v>
      </c>
      <c r="J33" s="853"/>
      <c r="K33" s="853"/>
      <c r="L33" s="853"/>
      <c r="M33" s="854"/>
      <c r="N33" s="2035"/>
      <c r="O33" s="2035"/>
      <c r="P33" s="1937"/>
      <c r="Q33" s="1937"/>
      <c r="R33" s="1938"/>
      <c r="S33" s="1921"/>
      <c r="T33" s="1922"/>
      <c r="U33" s="1937"/>
      <c r="V33" s="1937"/>
      <c r="W33" s="2036"/>
      <c r="X33" s="2036"/>
      <c r="Y33" s="2036"/>
      <c r="Z33" s="2037"/>
      <c r="AA33" s="110"/>
    </row>
    <row r="34" spans="1:27" ht="120.05" customHeight="1" x14ac:dyDescent="0.25">
      <c r="A34" s="96" t="s">
        <v>2142</v>
      </c>
      <c r="B34" s="1926" t="s">
        <v>1971</v>
      </c>
      <c r="C34" s="1926"/>
      <c r="D34" s="853" t="s">
        <v>2077</v>
      </c>
      <c r="E34" s="853"/>
      <c r="F34" s="853"/>
      <c r="G34" s="853"/>
      <c r="H34" s="853"/>
      <c r="I34" s="853" t="s">
        <v>1691</v>
      </c>
      <c r="J34" s="853"/>
      <c r="K34" s="853"/>
      <c r="L34" s="853"/>
      <c r="M34" s="854"/>
      <c r="N34" s="2035"/>
      <c r="O34" s="2035"/>
      <c r="P34" s="1937"/>
      <c r="Q34" s="1937"/>
      <c r="R34" s="1938"/>
      <c r="S34" s="1921"/>
      <c r="T34" s="1922"/>
      <c r="U34" s="1937"/>
      <c r="V34" s="1937"/>
      <c r="W34" s="2036"/>
      <c r="X34" s="2036"/>
      <c r="Y34" s="2036"/>
      <c r="Z34" s="2037"/>
      <c r="AA34" s="110"/>
    </row>
    <row r="35" spans="1:27" ht="120.05" customHeight="1" x14ac:dyDescent="0.25">
      <c r="A35" s="96" t="s">
        <v>2143</v>
      </c>
      <c r="B35" s="1926" t="s">
        <v>1974</v>
      </c>
      <c r="C35" s="1926"/>
      <c r="D35" s="853" t="s">
        <v>1975</v>
      </c>
      <c r="E35" s="853"/>
      <c r="F35" s="853"/>
      <c r="G35" s="853"/>
      <c r="H35" s="853"/>
      <c r="I35" s="853" t="s">
        <v>2080</v>
      </c>
      <c r="J35" s="853"/>
      <c r="K35" s="853"/>
      <c r="L35" s="853"/>
      <c r="M35" s="854"/>
      <c r="N35" s="2035"/>
      <c r="O35" s="2035"/>
      <c r="P35" s="1937"/>
      <c r="Q35" s="1937"/>
      <c r="R35" s="1938"/>
      <c r="S35" s="1921"/>
      <c r="T35" s="1922"/>
      <c r="U35" s="1937"/>
      <c r="V35" s="1937"/>
      <c r="W35" s="2036"/>
      <c r="X35" s="2036"/>
      <c r="Y35" s="2036"/>
      <c r="Z35" s="2037"/>
      <c r="AA35" s="110"/>
    </row>
    <row r="36" spans="1:27" ht="120.05" customHeight="1" x14ac:dyDescent="0.25">
      <c r="A36" s="96" t="s">
        <v>2144</v>
      </c>
      <c r="B36" s="1926" t="s">
        <v>1978</v>
      </c>
      <c r="C36" s="1926"/>
      <c r="D36" s="853" t="s">
        <v>1949</v>
      </c>
      <c r="E36" s="853"/>
      <c r="F36" s="853"/>
      <c r="G36" s="853"/>
      <c r="H36" s="853"/>
      <c r="I36" s="853" t="s">
        <v>1979</v>
      </c>
      <c r="J36" s="853"/>
      <c r="K36" s="853"/>
      <c r="L36" s="853"/>
      <c r="M36" s="854"/>
      <c r="N36" s="2035"/>
      <c r="O36" s="2035"/>
      <c r="P36" s="1937"/>
      <c r="Q36" s="1937"/>
      <c r="R36" s="1938"/>
      <c r="S36" s="1921"/>
      <c r="T36" s="1922"/>
      <c r="U36" s="1937"/>
      <c r="V36" s="1937"/>
      <c r="W36" s="2036"/>
      <c r="X36" s="2036"/>
      <c r="Y36" s="2036"/>
      <c r="Z36" s="2037"/>
      <c r="AA36" s="110"/>
    </row>
    <row r="37" spans="1:27" ht="120.05" customHeight="1" x14ac:dyDescent="0.25">
      <c r="A37" s="96" t="s">
        <v>2145</v>
      </c>
      <c r="B37" s="1926" t="s">
        <v>1981</v>
      </c>
      <c r="C37" s="1926"/>
      <c r="D37" s="853" t="s">
        <v>2083</v>
      </c>
      <c r="E37" s="853"/>
      <c r="F37" s="853"/>
      <c r="G37" s="853"/>
      <c r="H37" s="853"/>
      <c r="I37" s="853" t="s">
        <v>2084</v>
      </c>
      <c r="J37" s="853"/>
      <c r="K37" s="853"/>
      <c r="L37" s="853"/>
      <c r="M37" s="854"/>
      <c r="N37" s="2035"/>
      <c r="O37" s="2035"/>
      <c r="P37" s="1937"/>
      <c r="Q37" s="1937"/>
      <c r="R37" s="1938"/>
      <c r="S37" s="1921"/>
      <c r="T37" s="1922"/>
      <c r="U37" s="1937"/>
      <c r="V37" s="1937"/>
      <c r="W37" s="2036"/>
      <c r="X37" s="2036"/>
      <c r="Y37" s="2036"/>
      <c r="Z37" s="2037"/>
      <c r="AA37" s="110"/>
    </row>
    <row r="38" spans="1:27" ht="120.05" customHeight="1" x14ac:dyDescent="0.25">
      <c r="A38" s="96" t="s">
        <v>2146</v>
      </c>
      <c r="B38" s="1954" t="s">
        <v>1985</v>
      </c>
      <c r="C38" s="1954"/>
      <c r="D38" s="853" t="s">
        <v>2147</v>
      </c>
      <c r="E38" s="853"/>
      <c r="F38" s="853"/>
      <c r="G38" s="853"/>
      <c r="H38" s="866"/>
      <c r="I38" s="853" t="s">
        <v>2148</v>
      </c>
      <c r="J38" s="853"/>
      <c r="K38" s="853"/>
      <c r="L38" s="853"/>
      <c r="M38" s="854"/>
      <c r="N38" s="2035"/>
      <c r="O38" s="2035"/>
      <c r="P38" s="1937"/>
      <c r="Q38" s="1937"/>
      <c r="R38" s="1938"/>
      <c r="S38" s="1921"/>
      <c r="T38" s="1922"/>
      <c r="U38" s="1937"/>
      <c r="V38" s="1937"/>
      <c r="W38" s="2036"/>
      <c r="X38" s="2036"/>
      <c r="Y38" s="2036"/>
      <c r="Z38" s="2037"/>
      <c r="AA38" s="110"/>
    </row>
    <row r="39" spans="1:27" ht="120.05" customHeight="1" x14ac:dyDescent="0.25">
      <c r="A39" s="96" t="s">
        <v>2149</v>
      </c>
      <c r="B39" s="1926" t="s">
        <v>1988</v>
      </c>
      <c r="C39" s="1926"/>
      <c r="D39" s="853" t="s">
        <v>2087</v>
      </c>
      <c r="E39" s="853"/>
      <c r="F39" s="853"/>
      <c r="G39" s="853"/>
      <c r="H39" s="853"/>
      <c r="I39" s="853" t="s">
        <v>1573</v>
      </c>
      <c r="J39" s="853"/>
      <c r="K39" s="853"/>
      <c r="L39" s="853"/>
      <c r="M39" s="854"/>
      <c r="N39" s="2035"/>
      <c r="O39" s="2035"/>
      <c r="P39" s="1937"/>
      <c r="Q39" s="1937"/>
      <c r="R39" s="1938"/>
      <c r="S39" s="1921"/>
      <c r="T39" s="1922"/>
      <c r="U39" s="1937"/>
      <c r="V39" s="1937"/>
      <c r="W39" s="2036"/>
      <c r="X39" s="2036"/>
      <c r="Y39" s="2036"/>
      <c r="Z39" s="2037"/>
      <c r="AA39" s="110"/>
    </row>
    <row r="40" spans="1:27" ht="120.05" customHeight="1" x14ac:dyDescent="0.25">
      <c r="A40" s="96" t="s">
        <v>2150</v>
      </c>
      <c r="B40" s="1954" t="s">
        <v>1991</v>
      </c>
      <c r="C40" s="1954"/>
      <c r="D40" s="853" t="s">
        <v>2151</v>
      </c>
      <c r="E40" s="853"/>
      <c r="F40" s="853"/>
      <c r="G40" s="853"/>
      <c r="H40" s="853"/>
      <c r="I40" s="853" t="s">
        <v>2089</v>
      </c>
      <c r="J40" s="853"/>
      <c r="K40" s="853"/>
      <c r="L40" s="853"/>
      <c r="M40" s="854"/>
      <c r="N40" s="2035"/>
      <c r="O40" s="2035"/>
      <c r="P40" s="1937"/>
      <c r="Q40" s="1937"/>
      <c r="R40" s="1938"/>
      <c r="S40" s="1921"/>
      <c r="T40" s="1922"/>
      <c r="U40" s="1937"/>
      <c r="V40" s="1937"/>
      <c r="W40" s="2036"/>
      <c r="X40" s="2036"/>
      <c r="Y40" s="2036"/>
      <c r="Z40" s="2037"/>
      <c r="AA40" s="110"/>
    </row>
    <row r="41" spans="1:27" ht="120.05" customHeight="1" x14ac:dyDescent="0.25">
      <c r="A41" s="96" t="s">
        <v>2152</v>
      </c>
      <c r="B41" s="1954" t="s">
        <v>442</v>
      </c>
      <c r="C41" s="1954"/>
      <c r="D41" s="853" t="s">
        <v>1994</v>
      </c>
      <c r="E41" s="853"/>
      <c r="F41" s="853"/>
      <c r="G41" s="853"/>
      <c r="H41" s="853"/>
      <c r="I41" s="853" t="s">
        <v>1577</v>
      </c>
      <c r="J41" s="853"/>
      <c r="K41" s="853"/>
      <c r="L41" s="853"/>
      <c r="M41" s="854"/>
      <c r="N41" s="2035"/>
      <c r="O41" s="2035"/>
      <c r="P41" s="1937"/>
      <c r="Q41" s="1937"/>
      <c r="R41" s="1938"/>
      <c r="S41" s="1921"/>
      <c r="T41" s="1922"/>
      <c r="U41" s="1937"/>
      <c r="V41" s="1937"/>
      <c r="W41" s="2036"/>
      <c r="X41" s="2036"/>
      <c r="Y41" s="2036"/>
      <c r="Z41" s="2037"/>
      <c r="AA41" s="110"/>
    </row>
    <row r="42" spans="1:27" ht="120.05" customHeight="1" x14ac:dyDescent="0.25">
      <c r="A42" s="96" t="s">
        <v>2153</v>
      </c>
      <c r="B42" s="1926" t="s">
        <v>1996</v>
      </c>
      <c r="C42" s="1926"/>
      <c r="D42" s="853" t="s">
        <v>1997</v>
      </c>
      <c r="E42" s="853"/>
      <c r="F42" s="853"/>
      <c r="G42" s="853"/>
      <c r="H42" s="853"/>
      <c r="I42" s="853" t="s">
        <v>1652</v>
      </c>
      <c r="J42" s="853"/>
      <c r="K42" s="853"/>
      <c r="L42" s="853"/>
      <c r="M42" s="854"/>
      <c r="N42" s="2035"/>
      <c r="O42" s="2035"/>
      <c r="P42" s="1937"/>
      <c r="Q42" s="1937"/>
      <c r="R42" s="1938"/>
      <c r="S42" s="1921"/>
      <c r="T42" s="1922"/>
      <c r="U42" s="1937"/>
      <c r="V42" s="1937"/>
      <c r="W42" s="2036"/>
      <c r="X42" s="2036"/>
      <c r="Y42" s="2036"/>
      <c r="Z42" s="2037"/>
      <c r="AA42" s="110"/>
    </row>
    <row r="43" spans="1:27" ht="120.05" customHeight="1" x14ac:dyDescent="0.25">
      <c r="A43" s="96" t="s">
        <v>2154</v>
      </c>
      <c r="B43" s="1926" t="s">
        <v>2000</v>
      </c>
      <c r="C43" s="1926"/>
      <c r="D43" s="853" t="s">
        <v>2155</v>
      </c>
      <c r="E43" s="853"/>
      <c r="F43" s="853"/>
      <c r="G43" s="853"/>
      <c r="H43" s="853"/>
      <c r="I43" s="853" t="s">
        <v>1581</v>
      </c>
      <c r="J43" s="853"/>
      <c r="K43" s="853"/>
      <c r="L43" s="853"/>
      <c r="M43" s="854"/>
      <c r="N43" s="2035"/>
      <c r="O43" s="2035"/>
      <c r="P43" s="1937"/>
      <c r="Q43" s="1937"/>
      <c r="R43" s="1938"/>
      <c r="S43" s="1921"/>
      <c r="T43" s="1922"/>
      <c r="U43" s="1937"/>
      <c r="V43" s="1937"/>
      <c r="W43" s="2036"/>
      <c r="X43" s="2036"/>
      <c r="Y43" s="2036"/>
      <c r="Z43" s="2037"/>
      <c r="AA43" s="110"/>
    </row>
    <row r="44" spans="1:27" ht="120.05" customHeight="1" x14ac:dyDescent="0.25">
      <c r="A44" s="96" t="s">
        <v>2156</v>
      </c>
      <c r="B44" s="1954" t="s">
        <v>2003</v>
      </c>
      <c r="C44" s="1954"/>
      <c r="D44" s="853" t="s">
        <v>2004</v>
      </c>
      <c r="E44" s="853"/>
      <c r="F44" s="853"/>
      <c r="G44" s="853"/>
      <c r="H44" s="853"/>
      <c r="I44" s="853" t="s">
        <v>1654</v>
      </c>
      <c r="J44" s="853"/>
      <c r="K44" s="853"/>
      <c r="L44" s="853"/>
      <c r="M44" s="854"/>
      <c r="N44" s="2035"/>
      <c r="O44" s="2035"/>
      <c r="P44" s="1937"/>
      <c r="Q44" s="1937"/>
      <c r="R44" s="1938"/>
      <c r="S44" s="1921"/>
      <c r="T44" s="1922"/>
      <c r="U44" s="1937"/>
      <c r="V44" s="1937"/>
      <c r="W44" s="2036"/>
      <c r="X44" s="2036"/>
      <c r="Y44" s="2036"/>
      <c r="Z44" s="2037"/>
      <c r="AA44" s="110"/>
    </row>
    <row r="45" spans="1:27" ht="120.05" customHeight="1" x14ac:dyDescent="0.25">
      <c r="A45" s="96" t="s">
        <v>2157</v>
      </c>
      <c r="B45" s="1954" t="s">
        <v>1886</v>
      </c>
      <c r="C45" s="1954"/>
      <c r="D45" s="853" t="s">
        <v>2158</v>
      </c>
      <c r="E45" s="853"/>
      <c r="F45" s="853"/>
      <c r="G45" s="853"/>
      <c r="H45" s="853"/>
      <c r="I45" s="867" t="s">
        <v>2007</v>
      </c>
      <c r="J45" s="867"/>
      <c r="K45" s="867"/>
      <c r="L45" s="867"/>
      <c r="M45" s="893"/>
      <c r="N45" s="2035"/>
      <c r="O45" s="2035"/>
      <c r="P45" s="1937"/>
      <c r="Q45" s="1937"/>
      <c r="R45" s="1938"/>
      <c r="S45" s="1921"/>
      <c r="T45" s="1922"/>
      <c r="U45" s="1937"/>
      <c r="V45" s="1937"/>
      <c r="W45" s="2036"/>
      <c r="X45" s="2036"/>
      <c r="Y45" s="2036"/>
      <c r="Z45" s="2037"/>
      <c r="AA45" s="110"/>
    </row>
    <row r="46" spans="1:27" ht="120.05" customHeight="1" x14ac:dyDescent="0.25">
      <c r="A46" s="96" t="s">
        <v>2159</v>
      </c>
      <c r="B46" s="1926" t="s">
        <v>2009</v>
      </c>
      <c r="C46" s="1926"/>
      <c r="D46" s="853" t="s">
        <v>2160</v>
      </c>
      <c r="E46" s="853"/>
      <c r="F46" s="853"/>
      <c r="G46" s="853"/>
      <c r="H46" s="853"/>
      <c r="I46" s="853" t="s">
        <v>1698</v>
      </c>
      <c r="J46" s="853"/>
      <c r="K46" s="853"/>
      <c r="L46" s="853"/>
      <c r="M46" s="854"/>
      <c r="N46" s="2035"/>
      <c r="O46" s="2035"/>
      <c r="P46" s="1937"/>
      <c r="Q46" s="1937"/>
      <c r="R46" s="1938"/>
      <c r="S46" s="1921"/>
      <c r="T46" s="1922"/>
      <c r="U46" s="1937"/>
      <c r="V46" s="1937"/>
      <c r="W46" s="2036"/>
      <c r="X46" s="2036"/>
      <c r="Y46" s="2036"/>
      <c r="Z46" s="2037"/>
      <c r="AA46" s="110"/>
    </row>
    <row r="47" spans="1:27" ht="120.05" customHeight="1" x14ac:dyDescent="0.25">
      <c r="A47" s="96" t="s">
        <v>2161</v>
      </c>
      <c r="B47" s="1926" t="s">
        <v>2012</v>
      </c>
      <c r="C47" s="1926"/>
      <c r="D47" s="853" t="s">
        <v>2162</v>
      </c>
      <c r="E47" s="853"/>
      <c r="F47" s="853"/>
      <c r="G47" s="853"/>
      <c r="H47" s="853"/>
      <c r="I47" s="853" t="s">
        <v>2163</v>
      </c>
      <c r="J47" s="853"/>
      <c r="K47" s="853"/>
      <c r="L47" s="853"/>
      <c r="M47" s="854"/>
      <c r="N47" s="2035"/>
      <c r="O47" s="2035"/>
      <c r="P47" s="1937"/>
      <c r="Q47" s="1937"/>
      <c r="R47" s="1938"/>
      <c r="S47" s="1921"/>
      <c r="T47" s="1922"/>
      <c r="U47" s="1937"/>
      <c r="V47" s="1937"/>
      <c r="W47" s="2036"/>
      <c r="X47" s="2036"/>
      <c r="Y47" s="2036"/>
      <c r="Z47" s="2037"/>
      <c r="AA47" s="110"/>
    </row>
    <row r="48" spans="1:27" ht="120.05" customHeight="1" x14ac:dyDescent="0.25">
      <c r="A48" s="96" t="s">
        <v>2164</v>
      </c>
      <c r="B48" s="1926" t="s">
        <v>2016</v>
      </c>
      <c r="C48" s="1926"/>
      <c r="D48" s="853" t="s">
        <v>2017</v>
      </c>
      <c r="E48" s="853"/>
      <c r="F48" s="853"/>
      <c r="G48" s="853"/>
      <c r="H48" s="853"/>
      <c r="I48" s="853" t="s">
        <v>1656</v>
      </c>
      <c r="J48" s="853"/>
      <c r="K48" s="853"/>
      <c r="L48" s="853"/>
      <c r="M48" s="854"/>
      <c r="N48" s="2035"/>
      <c r="O48" s="2035"/>
      <c r="P48" s="1937"/>
      <c r="Q48" s="1937"/>
      <c r="R48" s="1938"/>
      <c r="S48" s="1921"/>
      <c r="T48" s="1922"/>
      <c r="U48" s="1937"/>
      <c r="V48" s="1937"/>
      <c r="W48" s="2036"/>
      <c r="X48" s="2036"/>
      <c r="Y48" s="2036"/>
      <c r="Z48" s="2037"/>
      <c r="AA48" s="110"/>
    </row>
    <row r="49" spans="1:27" ht="120.05" customHeight="1" x14ac:dyDescent="0.25">
      <c r="A49" s="96" t="s">
        <v>2165</v>
      </c>
      <c r="B49" s="1954" t="s">
        <v>2019</v>
      </c>
      <c r="C49" s="1954"/>
      <c r="D49" s="853" t="s">
        <v>2166</v>
      </c>
      <c r="E49" s="853"/>
      <c r="F49" s="853"/>
      <c r="G49" s="853"/>
      <c r="H49" s="853"/>
      <c r="I49" s="853" t="s">
        <v>2167</v>
      </c>
      <c r="J49" s="853"/>
      <c r="K49" s="853"/>
      <c r="L49" s="853"/>
      <c r="M49" s="854"/>
      <c r="N49" s="2035"/>
      <c r="O49" s="2035"/>
      <c r="P49" s="1937"/>
      <c r="Q49" s="1937"/>
      <c r="R49" s="1938"/>
      <c r="S49" s="1921"/>
      <c r="T49" s="1922"/>
      <c r="U49" s="1937"/>
      <c r="V49" s="1937"/>
      <c r="W49" s="2036"/>
      <c r="X49" s="2036"/>
      <c r="Y49" s="2036"/>
      <c r="Z49" s="2037"/>
      <c r="AA49" s="110"/>
    </row>
    <row r="50" spans="1:27" ht="120.05" customHeight="1" x14ac:dyDescent="0.25">
      <c r="A50" s="96" t="s">
        <v>2168</v>
      </c>
      <c r="B50" s="1926" t="s">
        <v>2022</v>
      </c>
      <c r="C50" s="1926"/>
      <c r="D50" s="853" t="s">
        <v>2103</v>
      </c>
      <c r="E50" s="853"/>
      <c r="F50" s="853"/>
      <c r="G50" s="853"/>
      <c r="H50" s="853"/>
      <c r="I50" s="853" t="s">
        <v>1702</v>
      </c>
      <c r="J50" s="853"/>
      <c r="K50" s="853"/>
      <c r="L50" s="853"/>
      <c r="M50" s="854"/>
      <c r="N50" s="2035"/>
      <c r="O50" s="2035"/>
      <c r="P50" s="1937"/>
      <c r="Q50" s="1937"/>
      <c r="R50" s="1938"/>
      <c r="S50" s="1921"/>
      <c r="T50" s="1922"/>
      <c r="U50" s="1937"/>
      <c r="V50" s="1937"/>
      <c r="W50" s="2036"/>
      <c r="X50" s="2036"/>
      <c r="Y50" s="2036"/>
      <c r="Z50" s="2037"/>
      <c r="AA50" s="110"/>
    </row>
    <row r="51" spans="1:27" ht="120.05" customHeight="1" x14ac:dyDescent="0.25">
      <c r="A51" s="96" t="s">
        <v>2169</v>
      </c>
      <c r="B51" s="1954" t="s">
        <v>2025</v>
      </c>
      <c r="C51" s="1954"/>
      <c r="D51" s="853" t="s">
        <v>2170</v>
      </c>
      <c r="E51" s="853"/>
      <c r="F51" s="853"/>
      <c r="G51" s="853"/>
      <c r="H51" s="853"/>
      <c r="I51" s="853" t="s">
        <v>1597</v>
      </c>
      <c r="J51" s="853"/>
      <c r="K51" s="853"/>
      <c r="L51" s="853"/>
      <c r="M51" s="854"/>
      <c r="N51" s="2035"/>
      <c r="O51" s="2035"/>
      <c r="P51" s="1937"/>
      <c r="Q51" s="1937"/>
      <c r="R51" s="1938"/>
      <c r="S51" s="1921"/>
      <c r="T51" s="1922"/>
      <c r="U51" s="1937"/>
      <c r="V51" s="1937"/>
      <c r="W51" s="2036"/>
      <c r="X51" s="2036"/>
      <c r="Y51" s="2036"/>
      <c r="Z51" s="2037"/>
      <c r="AA51" s="110"/>
    </row>
    <row r="52" spans="1:27" ht="120.05" customHeight="1" x14ac:dyDescent="0.25">
      <c r="A52" s="96" t="s">
        <v>2171</v>
      </c>
      <c r="B52" s="1954" t="s">
        <v>401</v>
      </c>
      <c r="C52" s="1954"/>
      <c r="D52" s="853" t="s">
        <v>2172</v>
      </c>
      <c r="E52" s="853"/>
      <c r="F52" s="853"/>
      <c r="G52" s="853"/>
      <c r="H52" s="853"/>
      <c r="I52" s="853" t="s">
        <v>404</v>
      </c>
      <c r="J52" s="853"/>
      <c r="K52" s="853"/>
      <c r="L52" s="853"/>
      <c r="M52" s="854"/>
      <c r="N52" s="2035"/>
      <c r="O52" s="2035"/>
      <c r="P52" s="1937"/>
      <c r="Q52" s="1937"/>
      <c r="R52" s="1938"/>
      <c r="S52" s="1921"/>
      <c r="T52" s="1922"/>
      <c r="U52" s="1937"/>
      <c r="V52" s="1937"/>
      <c r="W52" s="2036"/>
      <c r="X52" s="2036"/>
      <c r="Y52" s="2036"/>
      <c r="Z52" s="2037"/>
      <c r="AA52" s="110"/>
    </row>
    <row r="53" spans="1:27" ht="120.05" customHeight="1" x14ac:dyDescent="0.25">
      <c r="A53" s="96" t="s">
        <v>2173</v>
      </c>
      <c r="B53" s="1954" t="s">
        <v>2029</v>
      </c>
      <c r="C53" s="1954"/>
      <c r="D53" s="853" t="s">
        <v>2174</v>
      </c>
      <c r="E53" s="853"/>
      <c r="F53" s="853"/>
      <c r="G53" s="853"/>
      <c r="H53" s="853"/>
      <c r="I53" s="853" t="s">
        <v>2175</v>
      </c>
      <c r="J53" s="853"/>
      <c r="K53" s="853"/>
      <c r="L53" s="853"/>
      <c r="M53" s="854"/>
      <c r="N53" s="2035"/>
      <c r="O53" s="2035"/>
      <c r="P53" s="1937"/>
      <c r="Q53" s="1937"/>
      <c r="R53" s="1938"/>
      <c r="S53" s="1921"/>
      <c r="T53" s="1922"/>
      <c r="U53" s="1937"/>
      <c r="V53" s="1937"/>
      <c r="W53" s="2036"/>
      <c r="X53" s="2036"/>
      <c r="Y53" s="2036"/>
      <c r="Z53" s="2037"/>
      <c r="AA53" s="110"/>
    </row>
    <row r="54" spans="1:27" ht="120.05" customHeight="1" x14ac:dyDescent="0.25">
      <c r="A54" s="96" t="s">
        <v>2176</v>
      </c>
      <c r="B54" s="2091" t="s">
        <v>2033</v>
      </c>
      <c r="C54" s="2092"/>
      <c r="D54" s="867" t="s">
        <v>1621</v>
      </c>
      <c r="E54" s="867"/>
      <c r="F54" s="867"/>
      <c r="G54" s="867"/>
      <c r="H54" s="867"/>
      <c r="I54" s="853" t="s">
        <v>1600</v>
      </c>
      <c r="J54" s="853"/>
      <c r="K54" s="853"/>
      <c r="L54" s="853"/>
      <c r="M54" s="854"/>
      <c r="N54" s="2035"/>
      <c r="O54" s="2035"/>
      <c r="P54" s="1937"/>
      <c r="Q54" s="1937"/>
      <c r="R54" s="1938"/>
      <c r="S54" s="1921"/>
      <c r="T54" s="1922"/>
      <c r="U54" s="1937"/>
      <c r="V54" s="1937"/>
      <c r="W54" s="2036"/>
      <c r="X54" s="2036"/>
      <c r="Y54" s="2036"/>
      <c r="Z54" s="2037"/>
      <c r="AA54" s="110"/>
    </row>
    <row r="55" spans="1:27" ht="120.05" customHeight="1" thickBot="1" x14ac:dyDescent="0.3">
      <c r="A55" s="98" t="s">
        <v>2177</v>
      </c>
      <c r="B55" s="2046" t="s">
        <v>407</v>
      </c>
      <c r="C55" s="2047"/>
      <c r="D55" s="889" t="s">
        <v>2035</v>
      </c>
      <c r="E55" s="889"/>
      <c r="F55" s="889"/>
      <c r="G55" s="889"/>
      <c r="H55" s="889"/>
      <c r="I55" s="889" t="s">
        <v>1601</v>
      </c>
      <c r="J55" s="889"/>
      <c r="K55" s="889"/>
      <c r="L55" s="889"/>
      <c r="M55" s="2090"/>
      <c r="N55" s="2088"/>
      <c r="O55" s="2088"/>
      <c r="P55" s="2048"/>
      <c r="Q55" s="2048"/>
      <c r="R55" s="2057"/>
      <c r="S55" s="1921"/>
      <c r="T55" s="1922"/>
      <c r="U55" s="2048"/>
      <c r="V55" s="2048"/>
      <c r="W55" s="2049"/>
      <c r="X55" s="2049"/>
      <c r="Y55" s="2049"/>
      <c r="Z55" s="2050"/>
      <c r="AA55" s="112"/>
    </row>
    <row r="56" spans="1:27" ht="12.7" customHeight="1" thickBot="1" x14ac:dyDescent="0.3">
      <c r="A56" s="99"/>
      <c r="B56" s="100"/>
      <c r="C56" s="100"/>
      <c r="D56" s="101"/>
      <c r="E56" s="101"/>
      <c r="F56" s="101"/>
      <c r="G56" s="101"/>
      <c r="H56" s="101"/>
      <c r="I56" s="101"/>
      <c r="J56" s="101"/>
      <c r="K56" s="101"/>
      <c r="L56" s="101"/>
      <c r="M56" s="101"/>
      <c r="N56" s="101"/>
      <c r="O56" s="101"/>
      <c r="P56" s="102"/>
      <c r="Q56" s="102"/>
      <c r="R56" s="102"/>
      <c r="S56" s="102"/>
      <c r="T56" s="102"/>
      <c r="U56" s="102"/>
      <c r="V56" s="102"/>
      <c r="W56" s="102"/>
      <c r="X56" s="102"/>
      <c r="Y56" s="102"/>
      <c r="Z56" s="102"/>
      <c r="AA56" s="4"/>
    </row>
    <row r="57" spans="1:27" ht="12.7" customHeight="1" x14ac:dyDescent="0.25">
      <c r="A57" s="99"/>
      <c r="B57" s="100"/>
      <c r="C57" s="100"/>
      <c r="D57" s="2072" t="s">
        <v>2036</v>
      </c>
      <c r="E57" s="2073"/>
      <c r="F57" s="2076"/>
      <c r="G57" s="2077"/>
      <c r="H57" s="2077"/>
      <c r="I57" s="2077"/>
      <c r="J57" s="2077"/>
      <c r="K57" s="2077"/>
      <c r="L57" s="2078"/>
      <c r="M57" s="101"/>
      <c r="N57" s="103"/>
      <c r="O57" s="103"/>
      <c r="P57" s="2072" t="s">
        <v>2037</v>
      </c>
      <c r="Q57" s="2073"/>
      <c r="R57" s="2076"/>
      <c r="S57" s="2077"/>
      <c r="T57" s="2077"/>
      <c r="U57" s="2077"/>
      <c r="V57" s="2077"/>
      <c r="W57" s="2077"/>
      <c r="X57" s="2077"/>
      <c r="Y57" s="2078"/>
      <c r="Z57" s="102"/>
      <c r="AA57" s="4"/>
    </row>
    <row r="58" spans="1:27" ht="12.7" customHeight="1" x14ac:dyDescent="0.25">
      <c r="A58" s="99"/>
      <c r="B58" s="100"/>
      <c r="C58" s="100"/>
      <c r="D58" s="2074"/>
      <c r="E58" s="2075"/>
      <c r="F58" s="2079"/>
      <c r="G58" s="2080"/>
      <c r="H58" s="2080"/>
      <c r="I58" s="2080"/>
      <c r="J58" s="2080"/>
      <c r="K58" s="2080"/>
      <c r="L58" s="2081"/>
      <c r="M58" s="101"/>
      <c r="N58" s="103"/>
      <c r="O58" s="103"/>
      <c r="P58" s="2074"/>
      <c r="Q58" s="2075"/>
      <c r="R58" s="2079"/>
      <c r="S58" s="2080"/>
      <c r="T58" s="2080"/>
      <c r="U58" s="2080"/>
      <c r="V58" s="2080"/>
      <c r="W58" s="2080"/>
      <c r="X58" s="2080"/>
      <c r="Y58" s="2081"/>
      <c r="Z58" s="102"/>
      <c r="AA58" s="4"/>
    </row>
    <row r="59" spans="1:27" ht="12.7" customHeight="1" x14ac:dyDescent="0.25">
      <c r="A59" s="99"/>
      <c r="B59" s="100"/>
      <c r="C59" s="100"/>
      <c r="D59" s="2074"/>
      <c r="E59" s="2075"/>
      <c r="F59" s="2079"/>
      <c r="G59" s="2080"/>
      <c r="H59" s="2080"/>
      <c r="I59" s="2080"/>
      <c r="J59" s="2080"/>
      <c r="K59" s="2080"/>
      <c r="L59" s="2081"/>
      <c r="M59" s="101"/>
      <c r="N59" s="103"/>
      <c r="O59" s="103"/>
      <c r="P59" s="2074"/>
      <c r="Q59" s="2075"/>
      <c r="R59" s="2079"/>
      <c r="S59" s="2080"/>
      <c r="T59" s="2080"/>
      <c r="U59" s="2080"/>
      <c r="V59" s="2080"/>
      <c r="W59" s="2080"/>
      <c r="X59" s="2080"/>
      <c r="Y59" s="2081"/>
      <c r="Z59" s="102"/>
      <c r="AA59" s="4"/>
    </row>
    <row r="60" spans="1:27" ht="12.7" customHeight="1" thickBot="1" x14ac:dyDescent="0.3">
      <c r="A60" s="99"/>
      <c r="B60" s="100"/>
      <c r="C60" s="100"/>
      <c r="D60" s="2060"/>
      <c r="E60" s="2061"/>
      <c r="F60" s="2082"/>
      <c r="G60" s="2083"/>
      <c r="H60" s="2083"/>
      <c r="I60" s="2083"/>
      <c r="J60" s="2083"/>
      <c r="K60" s="2083"/>
      <c r="L60" s="2084"/>
      <c r="M60" s="101"/>
      <c r="N60" s="103"/>
      <c r="O60" s="103"/>
      <c r="P60" s="2060"/>
      <c r="Q60" s="2061"/>
      <c r="R60" s="2082"/>
      <c r="S60" s="2083"/>
      <c r="T60" s="2083"/>
      <c r="U60" s="2083"/>
      <c r="V60" s="2083"/>
      <c r="W60" s="2083"/>
      <c r="X60" s="2083"/>
      <c r="Y60" s="2084"/>
      <c r="Z60" s="102"/>
      <c r="AA60" s="4"/>
    </row>
    <row r="61" spans="1:27" ht="12.7" customHeight="1" x14ac:dyDescent="0.25">
      <c r="A61" s="99"/>
      <c r="B61" s="100"/>
      <c r="C61" s="100"/>
      <c r="D61" s="2058" t="s">
        <v>2038</v>
      </c>
      <c r="E61" s="2059"/>
      <c r="F61" s="2066"/>
      <c r="G61" s="2067"/>
      <c r="H61" s="2068"/>
      <c r="I61" s="2058" t="s">
        <v>2039</v>
      </c>
      <c r="J61" s="2059"/>
      <c r="K61" s="2062">
        <f>C1</f>
        <v>0</v>
      </c>
      <c r="L61" s="2063"/>
      <c r="M61" s="101"/>
      <c r="N61" s="101"/>
      <c r="O61" s="101"/>
      <c r="P61" s="2058" t="s">
        <v>2038</v>
      </c>
      <c r="Q61" s="2059"/>
      <c r="R61" s="2066"/>
      <c r="S61" s="2067"/>
      <c r="T61" s="2067"/>
      <c r="U61" s="2068"/>
      <c r="V61" s="2058" t="s">
        <v>2039</v>
      </c>
      <c r="W61" s="2059"/>
      <c r="X61" s="2062">
        <f>C1</f>
        <v>0</v>
      </c>
      <c r="Y61" s="2063"/>
      <c r="Z61" s="102"/>
      <c r="AA61" s="4"/>
    </row>
    <row r="62" spans="1:27" ht="12.7" customHeight="1" thickBot="1" x14ac:dyDescent="0.3">
      <c r="A62" s="99"/>
      <c r="B62" s="100"/>
      <c r="C62" s="100"/>
      <c r="D62" s="2060"/>
      <c r="E62" s="2061"/>
      <c r="F62" s="2069"/>
      <c r="G62" s="2070"/>
      <c r="H62" s="2071"/>
      <c r="I62" s="2060"/>
      <c r="J62" s="2061"/>
      <c r="K62" s="2064"/>
      <c r="L62" s="2065"/>
      <c r="M62" s="101"/>
      <c r="N62" s="101"/>
      <c r="O62" s="101"/>
      <c r="P62" s="2060"/>
      <c r="Q62" s="2061"/>
      <c r="R62" s="2069"/>
      <c r="S62" s="2070"/>
      <c r="T62" s="2070"/>
      <c r="U62" s="2071"/>
      <c r="V62" s="2060"/>
      <c r="W62" s="2061"/>
      <c r="X62" s="2064"/>
      <c r="Y62" s="2065"/>
      <c r="Z62" s="102"/>
      <c r="AA62" s="4"/>
    </row>
  </sheetData>
  <mergeCells count="379">
    <mergeCell ref="N15:R16"/>
    <mergeCell ref="A9:B9"/>
    <mergeCell ref="F9:G9"/>
    <mergeCell ref="I9:J9"/>
    <mergeCell ref="F10:G10"/>
    <mergeCell ref="C12:D12"/>
    <mergeCell ref="B17:C17"/>
    <mergeCell ref="B18:C18"/>
    <mergeCell ref="B19:C19"/>
    <mergeCell ref="I10:J10"/>
    <mergeCell ref="B20:C20"/>
    <mergeCell ref="B21:C21"/>
    <mergeCell ref="B22:C22"/>
    <mergeCell ref="B23:C23"/>
    <mergeCell ref="B15:C16"/>
    <mergeCell ref="D23:H23"/>
    <mergeCell ref="D21:H21"/>
    <mergeCell ref="D19:H19"/>
    <mergeCell ref="V61:W62"/>
    <mergeCell ref="U54:V54"/>
    <mergeCell ref="W54:X54"/>
    <mergeCell ref="B53:C53"/>
    <mergeCell ref="B54:C54"/>
    <mergeCell ref="B55:C55"/>
    <mergeCell ref="D52:H52"/>
    <mergeCell ref="I52:M52"/>
    <mergeCell ref="N52:R52"/>
    <mergeCell ref="D51:H51"/>
    <mergeCell ref="I51:M51"/>
    <mergeCell ref="N51:R51"/>
    <mergeCell ref="U51:V51"/>
    <mergeCell ref="W51:X51"/>
    <mergeCell ref="D49:H49"/>
    <mergeCell ref="I49:M49"/>
    <mergeCell ref="X61:Y62"/>
    <mergeCell ref="D61:E62"/>
    <mergeCell ref="F61:H62"/>
    <mergeCell ref="I61:J62"/>
    <mergeCell ref="K61:L62"/>
    <mergeCell ref="P61:Q62"/>
    <mergeCell ref="R61:U62"/>
    <mergeCell ref="D57:E60"/>
    <mergeCell ref="F57:L60"/>
    <mergeCell ref="P57:Q60"/>
    <mergeCell ref="R57:Y60"/>
    <mergeCell ref="Y54:Z54"/>
    <mergeCell ref="D55:H55"/>
    <mergeCell ref="I55:M55"/>
    <mergeCell ref="N55:R55"/>
    <mergeCell ref="U53:V53"/>
    <mergeCell ref="W53:X53"/>
    <mergeCell ref="Y53:Z53"/>
    <mergeCell ref="U55:V55"/>
    <mergeCell ref="W55:X55"/>
    <mergeCell ref="Y55:Z55"/>
    <mergeCell ref="S53:T53"/>
    <mergeCell ref="S54:T54"/>
    <mergeCell ref="S55:T55"/>
    <mergeCell ref="D54:H54"/>
    <mergeCell ref="I54:M54"/>
    <mergeCell ref="N54:R54"/>
    <mergeCell ref="D53:H53"/>
    <mergeCell ref="I53:M53"/>
    <mergeCell ref="N53:R53"/>
    <mergeCell ref="Y51:Z51"/>
    <mergeCell ref="B51:C51"/>
    <mergeCell ref="B52:C52"/>
    <mergeCell ref="D50:H50"/>
    <mergeCell ref="I50:M50"/>
    <mergeCell ref="N50:R50"/>
    <mergeCell ref="U50:V50"/>
    <mergeCell ref="W50:X50"/>
    <mergeCell ref="Y50:Z50"/>
    <mergeCell ref="B50:C50"/>
    <mergeCell ref="U52:V52"/>
    <mergeCell ref="W52:X52"/>
    <mergeCell ref="Y52:Z52"/>
    <mergeCell ref="S50:T50"/>
    <mergeCell ref="S51:T51"/>
    <mergeCell ref="S52:T52"/>
    <mergeCell ref="N49:R49"/>
    <mergeCell ref="U49:V49"/>
    <mergeCell ref="W49:X49"/>
    <mergeCell ref="Y49:Z49"/>
    <mergeCell ref="B49:C49"/>
    <mergeCell ref="D48:H48"/>
    <mergeCell ref="I48:M48"/>
    <mergeCell ref="N48:R48"/>
    <mergeCell ref="U48:V48"/>
    <mergeCell ref="W48:X48"/>
    <mergeCell ref="Y48:Z48"/>
    <mergeCell ref="B48:C48"/>
    <mergeCell ref="S48:T48"/>
    <mergeCell ref="S49:T49"/>
    <mergeCell ref="D47:H47"/>
    <mergeCell ref="I47:M47"/>
    <mergeCell ref="N47:R47"/>
    <mergeCell ref="U47:V47"/>
    <mergeCell ref="W47:X47"/>
    <mergeCell ref="Y47:Z47"/>
    <mergeCell ref="B47:C47"/>
    <mergeCell ref="D46:H46"/>
    <mergeCell ref="I46:M46"/>
    <mergeCell ref="N46:R46"/>
    <mergeCell ref="U46:V46"/>
    <mergeCell ref="W46:X46"/>
    <mergeCell ref="Y46:Z46"/>
    <mergeCell ref="B46:C46"/>
    <mergeCell ref="S46:T46"/>
    <mergeCell ref="S47:T47"/>
    <mergeCell ref="D45:H45"/>
    <mergeCell ref="I45:M45"/>
    <mergeCell ref="N45:R45"/>
    <mergeCell ref="U45:V45"/>
    <mergeCell ref="W45:X45"/>
    <mergeCell ref="Y45:Z45"/>
    <mergeCell ref="B45:C45"/>
    <mergeCell ref="D44:H44"/>
    <mergeCell ref="I44:M44"/>
    <mergeCell ref="N44:R44"/>
    <mergeCell ref="U44:V44"/>
    <mergeCell ref="W44:X44"/>
    <mergeCell ref="Y44:Z44"/>
    <mergeCell ref="B44:C44"/>
    <mergeCell ref="S44:T44"/>
    <mergeCell ref="S45:T45"/>
    <mergeCell ref="D43:H43"/>
    <mergeCell ref="I43:M43"/>
    <mergeCell ref="N43:R43"/>
    <mergeCell ref="U43:V43"/>
    <mergeCell ref="W43:X43"/>
    <mergeCell ref="Y43:Z43"/>
    <mergeCell ref="B43:C43"/>
    <mergeCell ref="D42:H42"/>
    <mergeCell ref="I42:M42"/>
    <mergeCell ref="N42:R42"/>
    <mergeCell ref="U42:V42"/>
    <mergeCell ref="W42:X42"/>
    <mergeCell ref="Y42:Z42"/>
    <mergeCell ref="B42:C42"/>
    <mergeCell ref="S42:T42"/>
    <mergeCell ref="S43:T43"/>
    <mergeCell ref="D41:H41"/>
    <mergeCell ref="I41:M41"/>
    <mergeCell ref="N41:R41"/>
    <mergeCell ref="U41:V41"/>
    <mergeCell ref="W41:X41"/>
    <mergeCell ref="Y41:Z41"/>
    <mergeCell ref="B41:C41"/>
    <mergeCell ref="D40:H40"/>
    <mergeCell ref="I40:M40"/>
    <mergeCell ref="N40:R40"/>
    <mergeCell ref="U40:V40"/>
    <mergeCell ref="W40:X40"/>
    <mergeCell ref="Y40:Z40"/>
    <mergeCell ref="B40:C40"/>
    <mergeCell ref="S40:T40"/>
    <mergeCell ref="S41:T41"/>
    <mergeCell ref="D39:H39"/>
    <mergeCell ref="I39:M39"/>
    <mergeCell ref="N39:R39"/>
    <mergeCell ref="U39:V39"/>
    <mergeCell ref="W39:X39"/>
    <mergeCell ref="Y39:Z39"/>
    <mergeCell ref="B39:C39"/>
    <mergeCell ref="D38:H38"/>
    <mergeCell ref="I38:M38"/>
    <mergeCell ref="N38:R38"/>
    <mergeCell ref="U38:V38"/>
    <mergeCell ref="W38:X38"/>
    <mergeCell ref="Y38:Z38"/>
    <mergeCell ref="B38:C38"/>
    <mergeCell ref="S38:T38"/>
    <mergeCell ref="S39:T39"/>
    <mergeCell ref="D37:H37"/>
    <mergeCell ref="I37:M37"/>
    <mergeCell ref="N37:R37"/>
    <mergeCell ref="U37:V37"/>
    <mergeCell ref="W37:X37"/>
    <mergeCell ref="Y37:Z37"/>
    <mergeCell ref="B37:C37"/>
    <mergeCell ref="D36:H36"/>
    <mergeCell ref="I36:M36"/>
    <mergeCell ref="N36:R36"/>
    <mergeCell ref="U36:V36"/>
    <mergeCell ref="W36:X36"/>
    <mergeCell ref="Y36:Z36"/>
    <mergeCell ref="B36:C36"/>
    <mergeCell ref="S36:T36"/>
    <mergeCell ref="S37:T37"/>
    <mergeCell ref="D35:H35"/>
    <mergeCell ref="I35:M35"/>
    <mergeCell ref="N35:R35"/>
    <mergeCell ref="U35:V35"/>
    <mergeCell ref="W35:X35"/>
    <mergeCell ref="Y35:Z35"/>
    <mergeCell ref="B35:C35"/>
    <mergeCell ref="D34:H34"/>
    <mergeCell ref="I34:M34"/>
    <mergeCell ref="N34:R34"/>
    <mergeCell ref="U34:V34"/>
    <mergeCell ref="W34:X34"/>
    <mergeCell ref="Y34:Z34"/>
    <mergeCell ref="B34:C34"/>
    <mergeCell ref="S34:T34"/>
    <mergeCell ref="S35:T35"/>
    <mergeCell ref="D33:H33"/>
    <mergeCell ref="I33:M33"/>
    <mergeCell ref="N33:R33"/>
    <mergeCell ref="U33:V33"/>
    <mergeCell ref="W33:X33"/>
    <mergeCell ref="Y33:Z33"/>
    <mergeCell ref="B33:C33"/>
    <mergeCell ref="D32:H32"/>
    <mergeCell ref="I32:M32"/>
    <mergeCell ref="N32:R32"/>
    <mergeCell ref="U32:V32"/>
    <mergeCell ref="W32:X32"/>
    <mergeCell ref="Y32:Z32"/>
    <mergeCell ref="B32:C32"/>
    <mergeCell ref="S32:T32"/>
    <mergeCell ref="S33:T33"/>
    <mergeCell ref="D31:H31"/>
    <mergeCell ref="I31:M31"/>
    <mergeCell ref="N31:R31"/>
    <mergeCell ref="U31:V31"/>
    <mergeCell ref="W31:X31"/>
    <mergeCell ref="Y31:Z31"/>
    <mergeCell ref="B31:C31"/>
    <mergeCell ref="D30:H30"/>
    <mergeCell ref="I30:M30"/>
    <mergeCell ref="N30:R30"/>
    <mergeCell ref="U30:V30"/>
    <mergeCell ref="W30:X30"/>
    <mergeCell ref="Y30:Z30"/>
    <mergeCell ref="B30:C30"/>
    <mergeCell ref="S30:T30"/>
    <mergeCell ref="S31:T31"/>
    <mergeCell ref="D29:H29"/>
    <mergeCell ref="I29:M29"/>
    <mergeCell ref="N29:R29"/>
    <mergeCell ref="U29:V29"/>
    <mergeCell ref="W29:X29"/>
    <mergeCell ref="Y29:Z29"/>
    <mergeCell ref="B29:C29"/>
    <mergeCell ref="D28:H28"/>
    <mergeCell ref="I28:M28"/>
    <mergeCell ref="N28:R28"/>
    <mergeCell ref="U28:V28"/>
    <mergeCell ref="W28:X28"/>
    <mergeCell ref="Y28:Z28"/>
    <mergeCell ref="B28:C28"/>
    <mergeCell ref="S28:T28"/>
    <mergeCell ref="S29:T29"/>
    <mergeCell ref="D27:H27"/>
    <mergeCell ref="I27:M27"/>
    <mergeCell ref="N27:R27"/>
    <mergeCell ref="U27:V27"/>
    <mergeCell ref="W27:X27"/>
    <mergeCell ref="Y27:Z27"/>
    <mergeCell ref="B27:C27"/>
    <mergeCell ref="D26:H26"/>
    <mergeCell ref="I26:M26"/>
    <mergeCell ref="N26:R26"/>
    <mergeCell ref="U26:V26"/>
    <mergeCell ref="W26:X26"/>
    <mergeCell ref="Y26:Z26"/>
    <mergeCell ref="B26:C26"/>
    <mergeCell ref="S26:T26"/>
    <mergeCell ref="S27:T27"/>
    <mergeCell ref="D25:H25"/>
    <mergeCell ref="I25:M25"/>
    <mergeCell ref="N25:R25"/>
    <mergeCell ref="U25:V25"/>
    <mergeCell ref="W25:X25"/>
    <mergeCell ref="Y25:Z25"/>
    <mergeCell ref="B25:C25"/>
    <mergeCell ref="D24:H24"/>
    <mergeCell ref="I24:M24"/>
    <mergeCell ref="N24:R24"/>
    <mergeCell ref="U24:V24"/>
    <mergeCell ref="W24:X24"/>
    <mergeCell ref="Y24:Z24"/>
    <mergeCell ref="B24:C24"/>
    <mergeCell ref="S24:T24"/>
    <mergeCell ref="S25:T25"/>
    <mergeCell ref="U23:V23"/>
    <mergeCell ref="W23:X23"/>
    <mergeCell ref="Y23:Z23"/>
    <mergeCell ref="D22:H22"/>
    <mergeCell ref="I22:M22"/>
    <mergeCell ref="N22:R22"/>
    <mergeCell ref="U22:V22"/>
    <mergeCell ref="W22:X22"/>
    <mergeCell ref="Y22:Z22"/>
    <mergeCell ref="S22:T22"/>
    <mergeCell ref="S23:T23"/>
    <mergeCell ref="I23:M23"/>
    <mergeCell ref="N23:R23"/>
    <mergeCell ref="U21:V21"/>
    <mergeCell ref="W21:X21"/>
    <mergeCell ref="Y21:Z21"/>
    <mergeCell ref="D20:H20"/>
    <mergeCell ref="I20:M20"/>
    <mergeCell ref="N20:R20"/>
    <mergeCell ref="U20:V20"/>
    <mergeCell ref="W20:X20"/>
    <mergeCell ref="Y20:Z20"/>
    <mergeCell ref="S20:T20"/>
    <mergeCell ref="S21:T21"/>
    <mergeCell ref="I21:M21"/>
    <mergeCell ref="N21:R21"/>
    <mergeCell ref="U19:V19"/>
    <mergeCell ref="W19:X19"/>
    <mergeCell ref="Y19:Z19"/>
    <mergeCell ref="U17:V17"/>
    <mergeCell ref="W17:X17"/>
    <mergeCell ref="Y17:Z17"/>
    <mergeCell ref="D18:H18"/>
    <mergeCell ref="I18:M18"/>
    <mergeCell ref="N18:R18"/>
    <mergeCell ref="D17:H17"/>
    <mergeCell ref="I17:M17"/>
    <mergeCell ref="N17:R17"/>
    <mergeCell ref="U18:V18"/>
    <mergeCell ref="W18:X18"/>
    <mergeCell ref="Y18:Z18"/>
    <mergeCell ref="S17:T17"/>
    <mergeCell ref="S18:T18"/>
    <mergeCell ref="S19:T19"/>
    <mergeCell ref="I19:M19"/>
    <mergeCell ref="N19:R19"/>
    <mergeCell ref="U15:V16"/>
    <mergeCell ref="W15:X16"/>
    <mergeCell ref="Y15:Z16"/>
    <mergeCell ref="AA15:AA16"/>
    <mergeCell ref="I12:J12"/>
    <mergeCell ref="A13:B13"/>
    <mergeCell ref="F13:G13"/>
    <mergeCell ref="I13:J13"/>
    <mergeCell ref="A15:A16"/>
    <mergeCell ref="D15:M15"/>
    <mergeCell ref="D16:H16"/>
    <mergeCell ref="I16:M16"/>
    <mergeCell ref="M10:Q13"/>
    <mergeCell ref="Y10:Z13"/>
    <mergeCell ref="AA10:AA13"/>
    <mergeCell ref="A11:B11"/>
    <mergeCell ref="F11:G11"/>
    <mergeCell ref="I11:J11"/>
    <mergeCell ref="A12:B12"/>
    <mergeCell ref="F12:G12"/>
    <mergeCell ref="A10:B10"/>
    <mergeCell ref="C13:D13"/>
    <mergeCell ref="S15:T16"/>
    <mergeCell ref="C11:D11"/>
    <mergeCell ref="A1:AA1"/>
    <mergeCell ref="A8:B8"/>
    <mergeCell ref="F8:G8"/>
    <mergeCell ref="H8:K8"/>
    <mergeCell ref="T8:U8"/>
    <mergeCell ref="C8:D8"/>
    <mergeCell ref="C9:D9"/>
    <mergeCell ref="C10:D10"/>
    <mergeCell ref="A3:B3"/>
    <mergeCell ref="C3:D3"/>
    <mergeCell ref="F3:G3"/>
    <mergeCell ref="H3:K3"/>
    <mergeCell ref="A5:B7"/>
    <mergeCell ref="C5:D7"/>
    <mergeCell ref="F5:G7"/>
    <mergeCell ref="H5:K5"/>
    <mergeCell ref="M5:N7"/>
    <mergeCell ref="O5:Q7"/>
    <mergeCell ref="H6:K6"/>
    <mergeCell ref="H7:K7"/>
    <mergeCell ref="N8:Q8"/>
    <mergeCell ref="M3:N3"/>
    <mergeCell ref="O3:Q3"/>
  </mergeCells>
  <conditionalFormatting sqref="S17:T55">
    <cfRule type="containsText" dxfId="299" priority="5" operator="containsText" text="rot/red">
      <formula>NOT(ISERROR(SEARCH("rot/red",S17)))</formula>
    </cfRule>
    <cfRule type="containsText" dxfId="298" priority="6" operator="containsText" text="gelb/yellow">
      <formula>NOT(ISERROR(SEARCH("gelb/yellow",S17)))</formula>
    </cfRule>
    <cfRule type="containsText" dxfId="297" priority="7" operator="containsText" text="grün/green">
      <formula>NOT(ISERROR(SEARCH("grün/green",S17)))</formula>
    </cfRule>
  </conditionalFormatting>
  <conditionalFormatting sqref="AA10">
    <cfRule type="containsText" dxfId="296" priority="1" operator="containsText" text="erledigt">
      <formula>NOT(ISERROR(SEARCH("erledigt",AA10)))</formula>
    </cfRule>
    <cfRule type="containsText" dxfId="295" priority="2" operator="containsText" text="offen">
      <formula>NOT(ISERROR(SEARCH("offen",AA10)))</formula>
    </cfRule>
  </conditionalFormatting>
  <conditionalFormatting sqref="AA17:AA55">
    <cfRule type="containsText" dxfId="294" priority="3" operator="containsText" text="erledigt">
      <formula>NOT(ISERROR(SEARCH("erledigt",AA17)))</formula>
    </cfRule>
    <cfRule type="containsText" dxfId="293" priority="4" operator="containsText" text="offen">
      <formula>NOT(ISERROR(SEARCH("offen",AA17)))</formula>
    </cfRule>
  </conditionalFormatting>
  <dataValidations disablePrompts="1" count="2">
    <dataValidation type="list" allowBlank="1" showInputMessage="1" showErrorMessage="1" sqref="AA17:AA55 AA10" xr:uid="{00000000-0002-0000-0F00-000000000000}">
      <formula1>"erledigt, offen"</formula1>
    </dataValidation>
    <dataValidation type="list" allowBlank="1" showInputMessage="1" showErrorMessage="1" sqref="S17:T55" xr:uid="{00000000-0002-0000-0F00-000001000000}">
      <formula1>#REF!</formula1>
    </dataValidation>
  </dataValidations>
  <printOptions horizontalCentered="1"/>
  <pageMargins left="0.62992125984251968" right="0.23622047244094491" top="0.98425196850393704" bottom="0.74803149606299213" header="0.31496062992125984" footer="0.31496062992125984"/>
  <pageSetup paperSize="9" scale="37" fitToHeight="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4" manualBreakCount="4">
    <brk id="23" max="27" man="1"/>
    <brk id="31" max="27" man="1"/>
    <brk id="40" max="27" man="1"/>
    <brk id="49" max="27" man="1"/>
  </rowBreaks>
  <customProperties>
    <customPr name="_pios_id" r:id="rId2"/>
  </customProperties>
  <legacyDrawingHF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
    <tabColor theme="3" tint="0.39997558519241921"/>
  </sheetPr>
  <dimension ref="A1:BD207"/>
  <sheetViews>
    <sheetView showGridLines="0" zoomScale="90" zoomScaleNormal="90" zoomScaleSheetLayoutView="55" zoomScalePageLayoutView="55" workbookViewId="0">
      <pane ySplit="2" topLeftCell="A153" activePane="bottomLeft" state="frozen"/>
      <selection activeCell="V44" sqref="V44"/>
      <selection pane="bottomLeft" activeCell="M164" sqref="M164:T166"/>
    </sheetView>
  </sheetViews>
  <sheetFormatPr baseColWidth="10" defaultColWidth="5.3984375" defaultRowHeight="17.7" customHeight="1" outlineLevelRow="1" x14ac:dyDescent="0.25"/>
  <cols>
    <col min="1" max="1" width="5.3984375" style="191"/>
    <col min="2" max="2" width="6.69921875" style="191" customWidth="1"/>
    <col min="3" max="3" width="5.3984375" style="191"/>
    <col min="4" max="4" width="6.3984375" style="191" customWidth="1"/>
    <col min="5" max="24" width="5.3984375" style="191"/>
    <col min="25" max="25" width="22.3984375" style="191" customWidth="1"/>
    <col min="26" max="26" width="5.3984375" style="191"/>
    <col min="27" max="27" width="5.3984375" style="191" customWidth="1"/>
    <col min="28" max="29" width="5.3984375" style="191"/>
    <col min="30" max="30" width="30.3984375" style="191" customWidth="1"/>
    <col min="31" max="32" width="5.3984375" style="191"/>
    <col min="33" max="33" width="5.3984375" style="191" customWidth="1"/>
    <col min="34" max="38" width="5.3984375" style="191"/>
    <col min="39" max="39" width="8.3984375" style="191" bestFit="1" customWidth="1"/>
    <col min="40" max="53" width="5.3984375" style="191" customWidth="1"/>
    <col min="54" max="54" width="8.8984375" style="191" customWidth="1"/>
    <col min="55" max="63" width="5.3984375" style="191" customWidth="1"/>
    <col min="64" max="16384" width="5.3984375" style="191"/>
  </cols>
  <sheetData>
    <row r="1" spans="1:42" s="187" customFormat="1" ht="17.7" customHeight="1" x14ac:dyDescent="0.25">
      <c r="A1" s="264"/>
      <c r="B1" s="1023" t="str">
        <f>HLOOKUP(LANGUAGE!$B$2,LANGUAGE!$C$14:$G$1500,981)</f>
        <v>Process Approval (Full-Run-Test)</v>
      </c>
      <c r="C1" s="1023"/>
      <c r="D1" s="1023"/>
      <c r="E1" s="1023"/>
      <c r="F1" s="1023"/>
      <c r="G1" s="1023"/>
      <c r="H1" s="1023"/>
      <c r="I1" s="1023"/>
      <c r="J1" s="1023"/>
      <c r="K1" s="1023"/>
      <c r="L1" s="1023"/>
      <c r="M1" s="1023"/>
      <c r="N1" s="1023"/>
      <c r="O1" s="1023"/>
      <c r="P1" s="1024" t="s">
        <v>2</v>
      </c>
      <c r="Q1" s="1024"/>
      <c r="R1" s="1024"/>
      <c r="S1" s="263"/>
      <c r="T1" s="263"/>
      <c r="U1" s="263"/>
      <c r="V1" s="263"/>
      <c r="W1" s="263"/>
      <c r="X1" s="263"/>
      <c r="Y1" s="264"/>
      <c r="Z1" s="264"/>
      <c r="AA1" s="264"/>
      <c r="AB1" s="264"/>
      <c r="AC1" s="264"/>
      <c r="AD1" s="186"/>
      <c r="AE1" s="186"/>
      <c r="AF1" s="186"/>
      <c r="AG1" s="186"/>
      <c r="AH1" s="186"/>
      <c r="AI1" s="186"/>
      <c r="AJ1" s="186"/>
      <c r="AK1" s="186"/>
      <c r="AL1" s="264"/>
      <c r="AM1" s="264"/>
      <c r="AN1" s="224"/>
      <c r="AO1" s="224"/>
      <c r="AP1" s="224"/>
    </row>
    <row r="2" spans="1:42" s="187" customFormat="1" ht="17.7" customHeight="1" x14ac:dyDescent="0.25">
      <c r="A2" s="264"/>
      <c r="B2" s="1023"/>
      <c r="C2" s="1023"/>
      <c r="D2" s="1023"/>
      <c r="E2" s="1023"/>
      <c r="F2" s="1023"/>
      <c r="G2" s="1023"/>
      <c r="H2" s="1023"/>
      <c r="I2" s="1023"/>
      <c r="J2" s="1023"/>
      <c r="K2" s="1023"/>
      <c r="L2" s="1023"/>
      <c r="M2" s="1023"/>
      <c r="N2" s="1023"/>
      <c r="O2" s="1023"/>
      <c r="P2" s="1024" t="s">
        <v>1774</v>
      </c>
      <c r="Q2" s="1024"/>
      <c r="R2" s="1024"/>
      <c r="S2" s="263"/>
      <c r="T2" s="263"/>
      <c r="U2" s="263"/>
      <c r="V2" s="263"/>
      <c r="W2" s="263"/>
      <c r="X2" s="263"/>
      <c r="Y2" s="264"/>
      <c r="Z2" s="264"/>
      <c r="AA2" s="264"/>
      <c r="AB2" s="264"/>
      <c r="AC2" s="264"/>
      <c r="AD2" s="186"/>
      <c r="AE2" s="186"/>
      <c r="AF2" s="186"/>
      <c r="AG2" s="186"/>
      <c r="AH2" s="186"/>
      <c r="AI2" s="186"/>
      <c r="AJ2" s="186"/>
      <c r="AK2" s="186"/>
      <c r="AL2" s="264"/>
      <c r="AM2" s="264"/>
      <c r="AN2" s="224"/>
      <c r="AO2" s="224"/>
      <c r="AP2" s="224"/>
    </row>
    <row r="3" spans="1:42" s="187" customFormat="1" ht="17.7" customHeight="1" x14ac:dyDescent="0.25">
      <c r="B3" s="188"/>
      <c r="C3" s="188"/>
      <c r="D3" s="188"/>
      <c r="E3" s="188"/>
      <c r="F3" s="188"/>
      <c r="G3" s="188"/>
      <c r="H3" s="188"/>
      <c r="I3" s="188"/>
      <c r="J3" s="188"/>
      <c r="K3" s="188"/>
      <c r="L3" s="188"/>
      <c r="M3" s="188"/>
      <c r="N3" s="188"/>
      <c r="O3" s="188"/>
      <c r="P3" s="188"/>
      <c r="Q3" s="2115" t="str">
        <f>HLOOKUP(LANGUAGE!$B$2,LANGUAGE!$C$14:$G$1500,2)</f>
        <v>Attention!!!        Only yellow fields has to be filled</v>
      </c>
      <c r="R3" s="2115"/>
      <c r="S3" s="2115"/>
      <c r="T3" s="2115"/>
      <c r="U3" s="2115"/>
      <c r="V3" s="2115"/>
      <c r="W3" s="2115"/>
      <c r="X3" s="2115"/>
      <c r="Y3" s="2115"/>
      <c r="Z3" s="2115"/>
      <c r="AA3" s="2115"/>
      <c r="AB3" s="2115"/>
      <c r="AC3" s="2115"/>
      <c r="AD3" s="2115"/>
      <c r="AE3" s="2115"/>
      <c r="AF3" s="2115"/>
      <c r="AG3" s="188"/>
      <c r="AH3" s="188"/>
      <c r="AI3" s="188"/>
      <c r="AJ3" s="188"/>
      <c r="AK3" s="188"/>
    </row>
    <row r="4" spans="1:42" s="187" customFormat="1" ht="9.1" customHeight="1" thickBot="1" x14ac:dyDescent="0.3">
      <c r="B4" s="2115"/>
      <c r="C4" s="2115"/>
      <c r="D4" s="2115"/>
      <c r="E4" s="2115"/>
      <c r="F4" s="2115"/>
      <c r="G4" s="2115"/>
      <c r="H4" s="2115"/>
      <c r="I4" s="2115"/>
      <c r="J4" s="2115"/>
      <c r="K4" s="2115"/>
      <c r="L4" s="2115"/>
      <c r="M4" s="2115"/>
      <c r="N4" s="2115"/>
      <c r="O4" s="2115"/>
      <c r="P4" s="2115"/>
      <c r="Q4" s="2115"/>
      <c r="R4" s="188"/>
      <c r="S4" s="188"/>
      <c r="T4" s="188"/>
      <c r="U4" s="188"/>
      <c r="V4" s="188"/>
      <c r="W4" s="188"/>
      <c r="X4" s="188"/>
      <c r="Y4" s="188"/>
      <c r="Z4" s="188"/>
      <c r="AA4" s="188"/>
      <c r="AB4" s="188"/>
      <c r="AC4" s="188"/>
      <c r="AD4" s="188"/>
      <c r="AE4" s="188"/>
      <c r="AF4" s="188"/>
      <c r="AG4" s="188"/>
      <c r="AH4" s="188"/>
      <c r="AI4" s="188"/>
      <c r="AJ4" s="188"/>
      <c r="AK4" s="188"/>
    </row>
    <row r="5" spans="1:42" s="187" customFormat="1" ht="17.7" customHeight="1" x14ac:dyDescent="0.25">
      <c r="B5" s="1050" t="str">
        <f>HLOOKUP(LANGUAGE!$B$2,LANGUAGE!$C$14:$G$1500,12)</f>
        <v>Project Data</v>
      </c>
      <c r="C5" s="1051"/>
      <c r="D5" s="1051"/>
      <c r="E5" s="1051"/>
      <c r="F5" s="1051"/>
      <c r="G5" s="1051"/>
      <c r="H5" s="1051"/>
      <c r="I5" s="1051"/>
      <c r="J5" s="1051"/>
      <c r="K5" s="1051"/>
      <c r="L5" s="1051"/>
      <c r="M5" s="1051"/>
      <c r="N5" s="1051"/>
      <c r="O5" s="1052"/>
      <c r="P5" s="252"/>
      <c r="Q5" s="1050" t="str">
        <f>HLOOKUP(LANGUAGE!$B$2,LANGUAGE!$C$14:$G$1500,27)</f>
        <v>Supplier Data</v>
      </c>
      <c r="R5" s="1051"/>
      <c r="S5" s="1051"/>
      <c r="T5" s="1051"/>
      <c r="U5" s="1051"/>
      <c r="V5" s="1051"/>
      <c r="W5" s="1051"/>
      <c r="X5" s="1051"/>
      <c r="Y5" s="1051"/>
      <c r="Z5" s="1051"/>
      <c r="AA5" s="1051"/>
      <c r="AB5" s="1051"/>
      <c r="AC5" s="1051"/>
      <c r="AD5" s="1051"/>
      <c r="AE5" s="1052"/>
      <c r="AF5" s="252"/>
      <c r="AG5" s="2116" t="str">
        <f>HLOOKUP(LANGUAGE!$B$2,LANGUAGE!$C$14:$G$1500,21)</f>
        <v>Date</v>
      </c>
      <c r="AH5" s="2117"/>
      <c r="AI5" s="2117"/>
      <c r="AJ5" s="2117"/>
      <c r="AK5" s="2117"/>
      <c r="AL5" s="2118"/>
    </row>
    <row r="6" spans="1:42" s="187" customFormat="1" ht="17.7" customHeight="1" x14ac:dyDescent="0.25">
      <c r="B6" s="1585" t="str">
        <f>HLOOKUP(LANGUAGE!$B$2,LANGUAGE!$C$14:$G$1500,13)</f>
        <v>Project</v>
      </c>
      <c r="C6" s="1586"/>
      <c r="D6" s="1586"/>
      <c r="E6" s="1586"/>
      <c r="F6" s="1586"/>
      <c r="G6" s="1586" t="str">
        <f>IF(Basic_Data!F6&lt;&gt;"",CONCATENATE(Basic_Data!F6," / ",Basic_Data!F7,""),"")</f>
        <v/>
      </c>
      <c r="H6" s="1586"/>
      <c r="I6" s="1586"/>
      <c r="J6" s="1586"/>
      <c r="K6" s="1586"/>
      <c r="L6" s="1586"/>
      <c r="M6" s="1586"/>
      <c r="N6" s="1586"/>
      <c r="O6" s="2119"/>
      <c r="P6" s="252"/>
      <c r="Q6" s="1585" t="str">
        <f>HLOOKUP(LANGUAGE!$B$2,LANGUAGE!$C$14:$G$1500,28)</f>
        <v>Supplier</v>
      </c>
      <c r="R6" s="1586"/>
      <c r="S6" s="1586"/>
      <c r="T6" s="1586"/>
      <c r="U6" s="1586"/>
      <c r="V6" s="1586" t="str">
        <f>IF(Basic_Data!R6&lt;&gt;"",CONCATENATE(Basic_Data!R6," (",Basic_Data!R7,")"),"")</f>
        <v/>
      </c>
      <c r="W6" s="1586"/>
      <c r="X6" s="1586"/>
      <c r="Y6" s="1586"/>
      <c r="Z6" s="1586"/>
      <c r="AA6" s="1586"/>
      <c r="AB6" s="1586"/>
      <c r="AC6" s="1586"/>
      <c r="AD6" s="1586"/>
      <c r="AE6" s="2119"/>
      <c r="AF6" s="252"/>
      <c r="AG6" s="2120"/>
      <c r="AH6" s="2121"/>
      <c r="AI6" s="2121"/>
      <c r="AJ6" s="2121"/>
      <c r="AK6" s="2121"/>
      <c r="AL6" s="2122"/>
    </row>
    <row r="7" spans="1:42" s="187" customFormat="1" ht="17.7" customHeight="1" thickBot="1" x14ac:dyDescent="0.3">
      <c r="B7" s="1563" t="str">
        <f>HLOOKUP(LANGUAGE!$B$2,LANGUAGE!$C$14:$G$1500,14)</f>
        <v>Part Name(s)</v>
      </c>
      <c r="C7" s="1564"/>
      <c r="D7" s="1564"/>
      <c r="E7" s="1564"/>
      <c r="F7" s="1564"/>
      <c r="G7" s="1564" t="str">
        <f>IF(Basic_Data!F8&lt;&gt;"",Basic_Data!F8,"")</f>
        <v/>
      </c>
      <c r="H7" s="1564"/>
      <c r="I7" s="1564"/>
      <c r="J7" s="1564"/>
      <c r="K7" s="1564"/>
      <c r="L7" s="1564"/>
      <c r="M7" s="1564"/>
      <c r="N7" s="1564"/>
      <c r="O7" s="2126"/>
      <c r="P7" s="252"/>
      <c r="Q7" s="1563" t="str">
        <f>HLOOKUP(LANGUAGE!$B$2,LANGUAGE!$C$14:$G$1500,29)</f>
        <v>Address</v>
      </c>
      <c r="R7" s="1564"/>
      <c r="S7" s="1564"/>
      <c r="T7" s="1564"/>
      <c r="U7" s="1564"/>
      <c r="V7" s="1564" t="str">
        <f>IF(Basic_Data!R8&lt;&gt;"",CONCATENATE(Basic_Data!R8,", ",Basic_Data!R9,", ",Basic_Data!R10,""),"")</f>
        <v/>
      </c>
      <c r="W7" s="1564"/>
      <c r="X7" s="1564"/>
      <c r="Y7" s="1564"/>
      <c r="Z7" s="1564"/>
      <c r="AA7" s="1564"/>
      <c r="AB7" s="1564"/>
      <c r="AC7" s="1564"/>
      <c r="AD7" s="1564"/>
      <c r="AE7" s="2126"/>
      <c r="AF7" s="252"/>
      <c r="AG7" s="2123"/>
      <c r="AH7" s="2124"/>
      <c r="AI7" s="2124"/>
      <c r="AJ7" s="2124"/>
      <c r="AK7" s="2124"/>
      <c r="AL7" s="2125"/>
    </row>
    <row r="8" spans="1:42" s="187" customFormat="1" ht="17.7" customHeight="1" thickBot="1" x14ac:dyDescent="0.3">
      <c r="B8" s="660"/>
      <c r="C8" s="660"/>
      <c r="D8" s="660"/>
      <c r="U8" s="660"/>
      <c r="V8" s="660"/>
      <c r="W8" s="660"/>
      <c r="X8" s="660"/>
      <c r="AH8" s="189"/>
      <c r="AI8" s="189"/>
    </row>
    <row r="9" spans="1:42" s="187" customFormat="1" ht="17.7" customHeight="1" x14ac:dyDescent="0.25">
      <c r="B9" s="1050" t="str">
        <f>HLOOKUP(LANGUAGE!$B$2,LANGUAGE!$C$14:$G$312,40)</f>
        <v>Material Data</v>
      </c>
      <c r="C9" s="1051"/>
      <c r="D9" s="1051"/>
      <c r="E9" s="1051"/>
      <c r="F9" s="1051"/>
      <c r="G9" s="1051"/>
      <c r="H9" s="1051"/>
      <c r="I9" s="1051"/>
      <c r="J9" s="1051"/>
      <c r="K9" s="1051"/>
      <c r="L9" s="1051"/>
      <c r="M9" s="1051"/>
      <c r="N9" s="1051"/>
      <c r="O9" s="1052"/>
      <c r="Q9" s="2127" t="str">
        <f>HLOOKUP(LANGUAGE!$B$2,LANGUAGE!$C$14:$G$1500,996)</f>
        <v>Finalization of open points</v>
      </c>
      <c r="R9" s="2128"/>
      <c r="S9" s="2128"/>
      <c r="T9" s="2128"/>
      <c r="U9" s="2128"/>
      <c r="V9" s="2128"/>
      <c r="W9" s="2128"/>
      <c r="X9" s="2128"/>
      <c r="Y9" s="2128"/>
      <c r="Z9" s="2128"/>
      <c r="AA9" s="2128"/>
      <c r="AB9" s="2128"/>
      <c r="AC9" s="2128"/>
      <c r="AD9" s="2128"/>
      <c r="AE9" s="2129"/>
      <c r="AG9" s="2130" t="str">
        <f>HLOOKUP(LANGUAGE!$B$2,LANGUAGE!$C$14:$G$1500,1040)</f>
        <v>Overall status
Process approval</v>
      </c>
      <c r="AH9" s="2131"/>
      <c r="AI9" s="2131"/>
      <c r="AJ9" s="2131"/>
      <c r="AK9" s="2131"/>
      <c r="AL9" s="2132"/>
    </row>
    <row r="10" spans="1:42" s="187" customFormat="1" ht="17.7" customHeight="1" x14ac:dyDescent="0.25">
      <c r="B10" s="1287" t="str">
        <f>HLOOKUP(LANGUAGE!$B$2,LANGUAGE!$C$14:$G$1500,41)</f>
        <v>Brose Part No.</v>
      </c>
      <c r="C10" s="1288"/>
      <c r="D10" s="1288"/>
      <c r="E10" s="1288"/>
      <c r="F10" s="1288" t="str">
        <f>HLOOKUP(LANGUAGE!$B$2,LANGUAGE!$C$14:$G$1500,42)</f>
        <v>Index</v>
      </c>
      <c r="G10" s="1288"/>
      <c r="H10" s="1288"/>
      <c r="I10" s="1289" t="str">
        <f>HLOOKUP(LANGUAGE!$B$2,LANGUAGE!$C$14:$G$1500,43)</f>
        <v>Brose Drawing No.</v>
      </c>
      <c r="J10" s="1289"/>
      <c r="K10" s="1289"/>
      <c r="L10" s="1289"/>
      <c r="M10" s="1288" t="str">
        <f>HLOOKUP(LANGUAGE!$B$2,LANGUAGE!$C$14:$G$1500,42)</f>
        <v>Index</v>
      </c>
      <c r="N10" s="1288"/>
      <c r="O10" s="1290"/>
      <c r="Q10" s="2134" t="str">
        <f>HLOOKUP(LANGUAGE!$B$2,LANGUAGE!$C$14:$G$1500,999)</f>
        <v>Performed by:
(please select)</v>
      </c>
      <c r="R10" s="2107"/>
      <c r="S10" s="2107"/>
      <c r="T10" s="2107"/>
      <c r="U10" s="2107"/>
      <c r="V10" s="2135"/>
      <c r="W10" s="2135"/>
      <c r="X10" s="2135"/>
      <c r="Y10" s="2135"/>
      <c r="Z10" s="2135"/>
      <c r="AA10" s="2135"/>
      <c r="AB10" s="2135"/>
      <c r="AC10" s="2135"/>
      <c r="AD10" s="2135"/>
      <c r="AE10" s="2136"/>
      <c r="AG10" s="1153"/>
      <c r="AH10" s="1154"/>
      <c r="AI10" s="1154"/>
      <c r="AJ10" s="1154"/>
      <c r="AK10" s="1154"/>
      <c r="AL10" s="2133"/>
    </row>
    <row r="11" spans="1:42" s="187" customFormat="1" ht="17.7" customHeight="1" x14ac:dyDescent="0.25">
      <c r="B11" s="2137"/>
      <c r="C11" s="2138"/>
      <c r="D11" s="2138"/>
      <c r="E11" s="2138"/>
      <c r="F11" s="2138"/>
      <c r="G11" s="2138"/>
      <c r="H11" s="2138"/>
      <c r="I11" s="2138"/>
      <c r="J11" s="2138"/>
      <c r="K11" s="2138"/>
      <c r="L11" s="2138"/>
      <c r="M11" s="2138"/>
      <c r="N11" s="2138"/>
      <c r="O11" s="1728"/>
      <c r="Q11" s="2134"/>
      <c r="R11" s="2107"/>
      <c r="S11" s="2107"/>
      <c r="T11" s="2107"/>
      <c r="U11" s="2107"/>
      <c r="V11" s="2135"/>
      <c r="W11" s="2135"/>
      <c r="X11" s="2135"/>
      <c r="Y11" s="2135"/>
      <c r="Z11" s="2135"/>
      <c r="AA11" s="2135"/>
      <c r="AB11" s="2135"/>
      <c r="AC11" s="2135"/>
      <c r="AD11" s="2135"/>
      <c r="AE11" s="2136"/>
      <c r="AG11" s="2153" t="str">
        <f>IF(AND(BB66&gt;0,BB66&lt;5),LANGUAGE!F4,IF(BB66=5,LANGUAGE!F5,IF(BB66=6,LANGUAGE!F6,IF(BB66=10,HLOOKUP(LANGUAGE!$B$2,LANGUAGE!$C$14:$G$1500,67),""))))</f>
        <v/>
      </c>
      <c r="AH11" s="2154"/>
      <c r="AI11" s="2154"/>
      <c r="AJ11" s="2154"/>
      <c r="AK11" s="2154"/>
      <c r="AL11" s="2155"/>
    </row>
    <row r="12" spans="1:42" s="187" customFormat="1" ht="17.7" customHeight="1" x14ac:dyDescent="0.25">
      <c r="B12" s="1308"/>
      <c r="C12" s="1294"/>
      <c r="D12" s="1294"/>
      <c r="E12" s="1294"/>
      <c r="F12" s="1309"/>
      <c r="G12" s="1294"/>
      <c r="H12" s="1294"/>
      <c r="I12" s="1309"/>
      <c r="J12" s="1294"/>
      <c r="K12" s="1294"/>
      <c r="L12" s="1294"/>
      <c r="M12" s="1309"/>
      <c r="N12" s="1294"/>
      <c r="O12" s="1295"/>
      <c r="Q12" s="2134" t="str">
        <f>HLOOKUP(LANGUAGE!$B$2,LANGUAGE!$C$14:$G$1500,1027)</f>
        <v>Repetition of process approval necessary?</v>
      </c>
      <c r="R12" s="2107"/>
      <c r="S12" s="2107"/>
      <c r="T12" s="2107"/>
      <c r="U12" s="2107"/>
      <c r="V12" s="2159"/>
      <c r="W12" s="2159"/>
      <c r="X12" s="2159"/>
      <c r="Y12" s="2159"/>
      <c r="Z12" s="2159"/>
      <c r="AA12" s="2159"/>
      <c r="AB12" s="2159"/>
      <c r="AC12" s="2159"/>
      <c r="AD12" s="2159"/>
      <c r="AE12" s="2160"/>
      <c r="AG12" s="2153"/>
      <c r="AH12" s="2154"/>
      <c r="AI12" s="2154"/>
      <c r="AJ12" s="2154"/>
      <c r="AK12" s="2154"/>
      <c r="AL12" s="2155"/>
    </row>
    <row r="13" spans="1:42" s="187" customFormat="1" ht="17.7" customHeight="1" x14ac:dyDescent="0.25">
      <c r="B13" s="1308"/>
      <c r="C13" s="1294"/>
      <c r="D13" s="1294"/>
      <c r="E13" s="1294"/>
      <c r="F13" s="1294"/>
      <c r="G13" s="1294"/>
      <c r="H13" s="1294"/>
      <c r="I13" s="1294"/>
      <c r="J13" s="1294"/>
      <c r="K13" s="1294"/>
      <c r="L13" s="1294"/>
      <c r="M13" s="1294"/>
      <c r="N13" s="1294"/>
      <c r="O13" s="1295"/>
      <c r="Q13" s="2134"/>
      <c r="R13" s="2107"/>
      <c r="S13" s="2107"/>
      <c r="T13" s="2107"/>
      <c r="U13" s="2107"/>
      <c r="V13" s="2159"/>
      <c r="W13" s="2159"/>
      <c r="X13" s="2159"/>
      <c r="Y13" s="2159"/>
      <c r="Z13" s="2159"/>
      <c r="AA13" s="2159"/>
      <c r="AB13" s="2159"/>
      <c r="AC13" s="2159"/>
      <c r="AD13" s="2159"/>
      <c r="AE13" s="2160"/>
      <c r="AG13" s="2153"/>
      <c r="AH13" s="2154"/>
      <c r="AI13" s="2154"/>
      <c r="AJ13" s="2154"/>
      <c r="AK13" s="2154"/>
      <c r="AL13" s="2155"/>
    </row>
    <row r="14" spans="1:42" s="187" customFormat="1" ht="17.7" customHeight="1" x14ac:dyDescent="0.25">
      <c r="B14" s="1308"/>
      <c r="C14" s="1294"/>
      <c r="D14" s="1294"/>
      <c r="E14" s="1294"/>
      <c r="F14" s="1294"/>
      <c r="G14" s="1294"/>
      <c r="H14" s="1294"/>
      <c r="I14" s="1294"/>
      <c r="J14" s="1294"/>
      <c r="K14" s="1294"/>
      <c r="L14" s="1294"/>
      <c r="M14" s="1294"/>
      <c r="N14" s="1294"/>
      <c r="O14" s="1295"/>
      <c r="Q14" s="2134" t="str">
        <f>IF(V12=LANGUAGE!I4,HLOOKUP(LANGUAGE!$B$2,LANGUAGE!$C$14:$G$1500,1021),IF(AND(V12=LANGUAGE!I5,AG11&lt;&gt;LANGUAGE!F4),HLOOKUP(LANGUAGE!$B$2,LANGUAGE!$C$14:$G$1500,1022),IF(AND(V12=LANGUAGE!I5,AG11=LANGUAGE!F4),"","")))</f>
        <v/>
      </c>
      <c r="R14" s="2107"/>
      <c r="S14" s="2107"/>
      <c r="T14" s="2107"/>
      <c r="U14" s="2107"/>
      <c r="V14" s="2135"/>
      <c r="W14" s="2135"/>
      <c r="X14" s="2135"/>
      <c r="Y14" s="2135"/>
      <c r="Z14" s="2135"/>
      <c r="AA14" s="2135"/>
      <c r="AB14" s="2135"/>
      <c r="AC14" s="2135"/>
      <c r="AD14" s="2135"/>
      <c r="AE14" s="2136"/>
      <c r="AG14" s="2153"/>
      <c r="AH14" s="2154"/>
      <c r="AI14" s="2154"/>
      <c r="AJ14" s="2154"/>
      <c r="AK14" s="2154"/>
      <c r="AL14" s="2155"/>
    </row>
    <row r="15" spans="1:42" s="187" customFormat="1" ht="17.7" customHeight="1" thickBot="1" x14ac:dyDescent="0.3">
      <c r="B15" s="2150"/>
      <c r="C15" s="2151"/>
      <c r="D15" s="2151"/>
      <c r="E15" s="2151"/>
      <c r="F15" s="2151"/>
      <c r="G15" s="2151"/>
      <c r="H15" s="2151"/>
      <c r="I15" s="2151"/>
      <c r="J15" s="2151"/>
      <c r="K15" s="2151"/>
      <c r="L15" s="2151"/>
      <c r="M15" s="2151"/>
      <c r="N15" s="2151"/>
      <c r="O15" s="2152"/>
      <c r="Q15" s="2147"/>
      <c r="R15" s="2108"/>
      <c r="S15" s="2108"/>
      <c r="T15" s="2108"/>
      <c r="U15" s="2108"/>
      <c r="V15" s="2148"/>
      <c r="W15" s="2148"/>
      <c r="X15" s="2148"/>
      <c r="Y15" s="2148"/>
      <c r="Z15" s="2148"/>
      <c r="AA15" s="2148"/>
      <c r="AB15" s="2148"/>
      <c r="AC15" s="2148"/>
      <c r="AD15" s="2148"/>
      <c r="AE15" s="2149"/>
      <c r="AG15" s="2156"/>
      <c r="AH15" s="2157"/>
      <c r="AI15" s="2157"/>
      <c r="AJ15" s="2157"/>
      <c r="AK15" s="2157"/>
      <c r="AL15" s="2158"/>
    </row>
    <row r="16" spans="1:42" s="190" customFormat="1" ht="17.7" customHeight="1" thickBot="1" x14ac:dyDescent="0.3">
      <c r="M16" s="208"/>
    </row>
    <row r="17" spans="2:38" s="190" customFormat="1" ht="17.7" customHeight="1" x14ac:dyDescent="0.25">
      <c r="B17" s="2116" t="str">
        <f>HLOOKUP(LANGUAGE!$B$2,LANGUAGE!$C$14:$G$1500,114)</f>
        <v>Remarks</v>
      </c>
      <c r="C17" s="2117"/>
      <c r="D17" s="2117"/>
      <c r="E17" s="2117"/>
      <c r="F17" s="2117"/>
      <c r="G17" s="2117"/>
      <c r="H17" s="2117"/>
      <c r="I17" s="2117"/>
      <c r="J17" s="2117"/>
      <c r="K17" s="2117"/>
      <c r="L17" s="2117"/>
      <c r="M17" s="2117"/>
      <c r="N17" s="2117"/>
      <c r="O17" s="2117"/>
      <c r="P17" s="2117"/>
      <c r="Q17" s="2117"/>
      <c r="R17" s="2117"/>
      <c r="S17" s="2117"/>
      <c r="T17" s="2117"/>
      <c r="U17" s="2117"/>
      <c r="V17" s="2117"/>
      <c r="W17" s="2117"/>
      <c r="X17" s="2117"/>
      <c r="Y17" s="2117"/>
      <c r="Z17" s="2117"/>
      <c r="AA17" s="2117"/>
      <c r="AB17" s="2117"/>
      <c r="AC17" s="2117"/>
      <c r="AD17" s="2117"/>
      <c r="AE17" s="2117"/>
      <c r="AF17" s="2117"/>
      <c r="AG17" s="2117"/>
      <c r="AH17" s="2117"/>
      <c r="AI17" s="2117"/>
      <c r="AJ17" s="2117"/>
      <c r="AK17" s="2117"/>
      <c r="AL17" s="2118"/>
    </row>
    <row r="18" spans="2:38" s="190" customFormat="1" ht="17.7" customHeight="1" x14ac:dyDescent="0.25">
      <c r="B18" s="2139"/>
      <c r="C18" s="2140"/>
      <c r="D18" s="2140"/>
      <c r="E18" s="2140"/>
      <c r="F18" s="2140"/>
      <c r="G18" s="2140"/>
      <c r="H18" s="2140"/>
      <c r="I18" s="2140"/>
      <c r="J18" s="2140"/>
      <c r="K18" s="2140"/>
      <c r="L18" s="2140"/>
      <c r="M18" s="2140"/>
      <c r="N18" s="2140"/>
      <c r="O18" s="2140"/>
      <c r="P18" s="2140"/>
      <c r="Q18" s="2140"/>
      <c r="R18" s="2140"/>
      <c r="S18" s="2140"/>
      <c r="T18" s="2140"/>
      <c r="U18" s="2140"/>
      <c r="V18" s="2140"/>
      <c r="W18" s="2140"/>
      <c r="X18" s="2140"/>
      <c r="Y18" s="2140"/>
      <c r="Z18" s="2140"/>
      <c r="AA18" s="2140"/>
      <c r="AB18" s="2140"/>
      <c r="AC18" s="2140"/>
      <c r="AD18" s="2140"/>
      <c r="AE18" s="2140"/>
      <c r="AF18" s="2140"/>
      <c r="AG18" s="2140"/>
      <c r="AH18" s="2140"/>
      <c r="AI18" s="2140"/>
      <c r="AJ18" s="2140"/>
      <c r="AK18" s="2140"/>
      <c r="AL18" s="2141"/>
    </row>
    <row r="19" spans="2:38" s="190" customFormat="1" ht="17.7" customHeight="1" x14ac:dyDescent="0.25">
      <c r="B19" s="2139"/>
      <c r="C19" s="2140"/>
      <c r="D19" s="2140"/>
      <c r="E19" s="2140"/>
      <c r="F19" s="2140"/>
      <c r="G19" s="2140"/>
      <c r="H19" s="2140"/>
      <c r="I19" s="2140"/>
      <c r="J19" s="2140"/>
      <c r="K19" s="2140"/>
      <c r="L19" s="2140"/>
      <c r="M19" s="2140"/>
      <c r="N19" s="2140"/>
      <c r="O19" s="2140"/>
      <c r="P19" s="2140"/>
      <c r="Q19" s="2140"/>
      <c r="R19" s="2140"/>
      <c r="S19" s="2140"/>
      <c r="T19" s="2140"/>
      <c r="U19" s="2140"/>
      <c r="V19" s="2140"/>
      <c r="W19" s="2140"/>
      <c r="X19" s="2140"/>
      <c r="Y19" s="2140"/>
      <c r="Z19" s="2140"/>
      <c r="AA19" s="2140"/>
      <c r="AB19" s="2140"/>
      <c r="AC19" s="2140"/>
      <c r="AD19" s="2140"/>
      <c r="AE19" s="2140"/>
      <c r="AF19" s="2140"/>
      <c r="AG19" s="2140"/>
      <c r="AH19" s="2140"/>
      <c r="AI19" s="2140"/>
      <c r="AJ19" s="2140"/>
      <c r="AK19" s="2140"/>
      <c r="AL19" s="2141"/>
    </row>
    <row r="20" spans="2:38" s="190" customFormat="1" ht="0.8" customHeight="1" thickBot="1" x14ac:dyDescent="0.3">
      <c r="B20" s="2142"/>
      <c r="C20" s="2143"/>
      <c r="D20" s="2143"/>
      <c r="E20" s="2143"/>
      <c r="F20" s="2143"/>
      <c r="G20" s="2143"/>
      <c r="H20" s="2143"/>
      <c r="I20" s="2143"/>
      <c r="J20" s="2143"/>
      <c r="K20" s="2143"/>
      <c r="L20" s="2143"/>
      <c r="M20" s="2143"/>
      <c r="N20" s="2143"/>
      <c r="O20" s="2143"/>
      <c r="P20" s="2143"/>
      <c r="Q20" s="2143"/>
      <c r="R20" s="2143"/>
      <c r="S20" s="2143"/>
      <c r="T20" s="2143"/>
      <c r="U20" s="2143"/>
      <c r="V20" s="2143"/>
      <c r="W20" s="2143"/>
      <c r="X20" s="2143"/>
      <c r="Y20" s="2143"/>
      <c r="Z20" s="2143"/>
      <c r="AA20" s="2143"/>
      <c r="AB20" s="2143"/>
      <c r="AC20" s="2143"/>
      <c r="AD20" s="2143"/>
      <c r="AE20" s="2143"/>
      <c r="AF20" s="2143"/>
      <c r="AG20" s="2143"/>
      <c r="AH20" s="2143"/>
      <c r="AI20" s="2143"/>
      <c r="AJ20" s="2143"/>
      <c r="AK20" s="2143"/>
      <c r="AL20" s="2144"/>
    </row>
    <row r="21" spans="2:38" s="190" customFormat="1" ht="17.7" customHeight="1" thickBot="1" x14ac:dyDescent="0.3">
      <c r="M21" s="208"/>
    </row>
    <row r="22" spans="2:38" s="190" customFormat="1" ht="17.7" customHeight="1" x14ac:dyDescent="0.25">
      <c r="B22" s="2116" t="str">
        <f>CONCATENATE(HLOOKUP(LANGUAGE!$B$2,LANGUAGE!$C$14:$G$1500,113)," ",HLOOKUP(LANGUAGE!$B$2,LANGUAGE!$C$14:$G$1500,28),)</f>
        <v>Dep. / Participants Supplier</v>
      </c>
      <c r="C22" s="2117"/>
      <c r="D22" s="2117"/>
      <c r="E22" s="2117"/>
      <c r="F22" s="2117"/>
      <c r="G22" s="2117"/>
      <c r="H22" s="2145"/>
      <c r="I22" s="2146" t="str">
        <f>HLOOKUP(LANGUAGE!$B$2,LANGUAGE!$C$14:$G$1500,102)</f>
        <v>Signature</v>
      </c>
      <c r="J22" s="2117"/>
      <c r="K22" s="2117"/>
      <c r="L22" s="2117"/>
      <c r="M22" s="2117"/>
      <c r="N22" s="2145"/>
      <c r="O22" s="1267" t="str">
        <f>HLOOKUP(LANGUAGE!$B$2,LANGUAGE!$C$14:$G$1500,21)</f>
        <v>Date</v>
      </c>
      <c r="P22" s="1267"/>
      <c r="Q22" s="1267"/>
      <c r="R22" s="1268"/>
      <c r="U22" s="2116" t="str">
        <f>CONCATENATE(HLOOKUP(LANGUAGE!$B$2,LANGUAGE!$C$14:$G$1500,113)," Brose")</f>
        <v>Dep. / Participants Brose</v>
      </c>
      <c r="V22" s="2117"/>
      <c r="W22" s="2117"/>
      <c r="X22" s="2117"/>
      <c r="Y22" s="2117"/>
      <c r="Z22" s="2117"/>
      <c r="AA22" s="2145"/>
      <c r="AB22" s="2146" t="str">
        <f>HLOOKUP(LANGUAGE!$B$2,LANGUAGE!$C$14:$G$1500,102)</f>
        <v>Signature</v>
      </c>
      <c r="AC22" s="2117"/>
      <c r="AD22" s="2117"/>
      <c r="AE22" s="2117"/>
      <c r="AF22" s="2117"/>
      <c r="AG22" s="2117"/>
      <c r="AH22" s="2116" t="str">
        <f>HLOOKUP(LANGUAGE!$B$2,LANGUAGE!$C$14:$G$1500,21)</f>
        <v>Date</v>
      </c>
      <c r="AI22" s="2117"/>
      <c r="AJ22" s="2117"/>
      <c r="AK22" s="2117"/>
      <c r="AL22" s="2118"/>
    </row>
    <row r="23" spans="2:38" s="190" customFormat="1" ht="13.15" customHeight="1" x14ac:dyDescent="0.25">
      <c r="B23" s="2161"/>
      <c r="C23" s="2162"/>
      <c r="D23" s="2162"/>
      <c r="E23" s="2162"/>
      <c r="F23" s="2162"/>
      <c r="G23" s="2162"/>
      <c r="H23" s="2163"/>
      <c r="I23" s="2170"/>
      <c r="J23" s="2162"/>
      <c r="K23" s="2162"/>
      <c r="L23" s="2162"/>
      <c r="M23" s="2162"/>
      <c r="N23" s="2163"/>
      <c r="O23" s="2173" t="str">
        <f>IF($AG$6="","",$AG$6)</f>
        <v/>
      </c>
      <c r="P23" s="2173"/>
      <c r="Q23" s="2173"/>
      <c r="R23" s="2174"/>
      <c r="U23" s="2161"/>
      <c r="V23" s="2162"/>
      <c r="W23" s="2162"/>
      <c r="X23" s="2162"/>
      <c r="Y23" s="2162"/>
      <c r="Z23" s="2162"/>
      <c r="AA23" s="2163"/>
      <c r="AB23" s="2170"/>
      <c r="AC23" s="2162"/>
      <c r="AD23" s="2162"/>
      <c r="AE23" s="2162"/>
      <c r="AF23" s="2162"/>
      <c r="AG23" s="2162"/>
      <c r="AH23" s="2177" t="str">
        <f>IF($AG$6="","",$AG$6)</f>
        <v/>
      </c>
      <c r="AI23" s="2178"/>
      <c r="AJ23" s="2178"/>
      <c r="AK23" s="2178"/>
      <c r="AL23" s="2179"/>
    </row>
    <row r="24" spans="2:38" s="190" customFormat="1" ht="13.15" customHeight="1" x14ac:dyDescent="0.25">
      <c r="B24" s="2164"/>
      <c r="C24" s="2165"/>
      <c r="D24" s="2165"/>
      <c r="E24" s="2165"/>
      <c r="F24" s="2165"/>
      <c r="G24" s="2165"/>
      <c r="H24" s="2166"/>
      <c r="I24" s="2171"/>
      <c r="J24" s="2165"/>
      <c r="K24" s="2165"/>
      <c r="L24" s="2165"/>
      <c r="M24" s="2165"/>
      <c r="N24" s="2166"/>
      <c r="O24" s="2173"/>
      <c r="P24" s="2173"/>
      <c r="Q24" s="2173"/>
      <c r="R24" s="2174"/>
      <c r="U24" s="2164"/>
      <c r="V24" s="2165"/>
      <c r="W24" s="2165"/>
      <c r="X24" s="2165"/>
      <c r="Y24" s="2165"/>
      <c r="Z24" s="2165"/>
      <c r="AA24" s="2166"/>
      <c r="AB24" s="2171"/>
      <c r="AC24" s="2165"/>
      <c r="AD24" s="2165"/>
      <c r="AE24" s="2165"/>
      <c r="AF24" s="2165"/>
      <c r="AG24" s="2165"/>
      <c r="AH24" s="2177"/>
      <c r="AI24" s="2178"/>
      <c r="AJ24" s="2178"/>
      <c r="AK24" s="2178"/>
      <c r="AL24" s="2179"/>
    </row>
    <row r="25" spans="2:38" s="190" customFormat="1" ht="13.15" customHeight="1" x14ac:dyDescent="0.25">
      <c r="B25" s="2167"/>
      <c r="C25" s="2168"/>
      <c r="D25" s="2168"/>
      <c r="E25" s="2168"/>
      <c r="F25" s="2168"/>
      <c r="G25" s="2168"/>
      <c r="H25" s="2169"/>
      <c r="I25" s="2172"/>
      <c r="J25" s="2168"/>
      <c r="K25" s="2168"/>
      <c r="L25" s="2168"/>
      <c r="M25" s="2168"/>
      <c r="N25" s="2169"/>
      <c r="O25" s="2173"/>
      <c r="P25" s="2173"/>
      <c r="Q25" s="2173"/>
      <c r="R25" s="2174"/>
      <c r="U25" s="2167"/>
      <c r="V25" s="2168"/>
      <c r="W25" s="2168"/>
      <c r="X25" s="2168"/>
      <c r="Y25" s="2168"/>
      <c r="Z25" s="2168"/>
      <c r="AA25" s="2169"/>
      <c r="AB25" s="2172"/>
      <c r="AC25" s="2168"/>
      <c r="AD25" s="2168"/>
      <c r="AE25" s="2168"/>
      <c r="AF25" s="2168"/>
      <c r="AG25" s="2168"/>
      <c r="AH25" s="2177"/>
      <c r="AI25" s="2178"/>
      <c r="AJ25" s="2178"/>
      <c r="AK25" s="2178"/>
      <c r="AL25" s="2179"/>
    </row>
    <row r="26" spans="2:38" s="190" customFormat="1" ht="13.15" customHeight="1" x14ac:dyDescent="0.25">
      <c r="B26" s="2161"/>
      <c r="C26" s="2162"/>
      <c r="D26" s="2162"/>
      <c r="E26" s="2162"/>
      <c r="F26" s="2162"/>
      <c r="G26" s="2162"/>
      <c r="H26" s="2163"/>
      <c r="I26" s="2170"/>
      <c r="J26" s="2162"/>
      <c r="K26" s="2162"/>
      <c r="L26" s="2162"/>
      <c r="M26" s="2162"/>
      <c r="N26" s="2163"/>
      <c r="O26" s="2173"/>
      <c r="P26" s="2173"/>
      <c r="Q26" s="2173"/>
      <c r="R26" s="2174"/>
      <c r="U26" s="2161"/>
      <c r="V26" s="2162"/>
      <c r="W26" s="2162"/>
      <c r="X26" s="2162"/>
      <c r="Y26" s="2162"/>
      <c r="Z26" s="2162"/>
      <c r="AA26" s="2163"/>
      <c r="AB26" s="2170"/>
      <c r="AC26" s="2162"/>
      <c r="AD26" s="2162"/>
      <c r="AE26" s="2162"/>
      <c r="AF26" s="2162"/>
      <c r="AG26" s="2162"/>
      <c r="AH26" s="2177"/>
      <c r="AI26" s="2178"/>
      <c r="AJ26" s="2178"/>
      <c r="AK26" s="2178"/>
      <c r="AL26" s="2179"/>
    </row>
    <row r="27" spans="2:38" s="190" customFormat="1" ht="13.15" customHeight="1" x14ac:dyDescent="0.25">
      <c r="B27" s="2164"/>
      <c r="C27" s="2165"/>
      <c r="D27" s="2165"/>
      <c r="E27" s="2165"/>
      <c r="F27" s="2165"/>
      <c r="G27" s="2165"/>
      <c r="H27" s="2166"/>
      <c r="I27" s="2171"/>
      <c r="J27" s="2165"/>
      <c r="K27" s="2165"/>
      <c r="L27" s="2165"/>
      <c r="M27" s="2165"/>
      <c r="N27" s="2166"/>
      <c r="O27" s="2173"/>
      <c r="P27" s="2173"/>
      <c r="Q27" s="2173"/>
      <c r="R27" s="2174"/>
      <c r="U27" s="2164"/>
      <c r="V27" s="2165"/>
      <c r="W27" s="2165"/>
      <c r="X27" s="2165"/>
      <c r="Y27" s="2165"/>
      <c r="Z27" s="2165"/>
      <c r="AA27" s="2166"/>
      <c r="AB27" s="2171"/>
      <c r="AC27" s="2165"/>
      <c r="AD27" s="2165"/>
      <c r="AE27" s="2165"/>
      <c r="AF27" s="2165"/>
      <c r="AG27" s="2165"/>
      <c r="AH27" s="2177"/>
      <c r="AI27" s="2178"/>
      <c r="AJ27" s="2178"/>
      <c r="AK27" s="2178"/>
      <c r="AL27" s="2179"/>
    </row>
    <row r="28" spans="2:38" s="190" customFormat="1" ht="13.15" customHeight="1" x14ac:dyDescent="0.25">
      <c r="B28" s="2167"/>
      <c r="C28" s="2168"/>
      <c r="D28" s="2168"/>
      <c r="E28" s="2168"/>
      <c r="F28" s="2168"/>
      <c r="G28" s="2168"/>
      <c r="H28" s="2169"/>
      <c r="I28" s="2172"/>
      <c r="J28" s="2168"/>
      <c r="K28" s="2168"/>
      <c r="L28" s="2168"/>
      <c r="M28" s="2168"/>
      <c r="N28" s="2169"/>
      <c r="O28" s="2173"/>
      <c r="P28" s="2173"/>
      <c r="Q28" s="2173"/>
      <c r="R28" s="2174"/>
      <c r="U28" s="2167"/>
      <c r="V28" s="2168"/>
      <c r="W28" s="2168"/>
      <c r="X28" s="2168"/>
      <c r="Y28" s="2168"/>
      <c r="Z28" s="2168"/>
      <c r="AA28" s="2169"/>
      <c r="AB28" s="2172"/>
      <c r="AC28" s="2168"/>
      <c r="AD28" s="2168"/>
      <c r="AE28" s="2168"/>
      <c r="AF28" s="2168"/>
      <c r="AG28" s="2168"/>
      <c r="AH28" s="2177"/>
      <c r="AI28" s="2178"/>
      <c r="AJ28" s="2178"/>
      <c r="AK28" s="2178"/>
      <c r="AL28" s="2179"/>
    </row>
    <row r="29" spans="2:38" s="190" customFormat="1" ht="13.15" customHeight="1" x14ac:dyDescent="0.25">
      <c r="B29" s="2161"/>
      <c r="C29" s="2162"/>
      <c r="D29" s="2162"/>
      <c r="E29" s="2162"/>
      <c r="F29" s="2162"/>
      <c r="G29" s="2162"/>
      <c r="H29" s="2163"/>
      <c r="I29" s="2170"/>
      <c r="J29" s="2162"/>
      <c r="K29" s="2162"/>
      <c r="L29" s="2162"/>
      <c r="M29" s="2162"/>
      <c r="N29" s="2163"/>
      <c r="O29" s="2173"/>
      <c r="P29" s="2173"/>
      <c r="Q29" s="2173"/>
      <c r="R29" s="2174"/>
      <c r="U29" s="2161"/>
      <c r="V29" s="2162"/>
      <c r="W29" s="2162"/>
      <c r="X29" s="2162"/>
      <c r="Y29" s="2162"/>
      <c r="Z29" s="2162"/>
      <c r="AA29" s="2163"/>
      <c r="AB29" s="2170"/>
      <c r="AC29" s="2162"/>
      <c r="AD29" s="2162"/>
      <c r="AE29" s="2162"/>
      <c r="AF29" s="2162"/>
      <c r="AG29" s="2162"/>
      <c r="AH29" s="2177"/>
      <c r="AI29" s="2178"/>
      <c r="AJ29" s="2178"/>
      <c r="AK29" s="2178"/>
      <c r="AL29" s="2179"/>
    </row>
    <row r="30" spans="2:38" s="190" customFormat="1" ht="13.15" customHeight="1" x14ac:dyDescent="0.25">
      <c r="B30" s="2164"/>
      <c r="C30" s="2165"/>
      <c r="D30" s="2165"/>
      <c r="E30" s="2165"/>
      <c r="F30" s="2165"/>
      <c r="G30" s="2165"/>
      <c r="H30" s="2166"/>
      <c r="I30" s="2171"/>
      <c r="J30" s="2165"/>
      <c r="K30" s="2165"/>
      <c r="L30" s="2165"/>
      <c r="M30" s="2165"/>
      <c r="N30" s="2166"/>
      <c r="O30" s="2173"/>
      <c r="P30" s="2173"/>
      <c r="Q30" s="2173"/>
      <c r="R30" s="2174"/>
      <c r="U30" s="2164"/>
      <c r="V30" s="2165"/>
      <c r="W30" s="2165"/>
      <c r="X30" s="2165"/>
      <c r="Y30" s="2165"/>
      <c r="Z30" s="2165"/>
      <c r="AA30" s="2166"/>
      <c r="AB30" s="2171"/>
      <c r="AC30" s="2165"/>
      <c r="AD30" s="2165"/>
      <c r="AE30" s="2165"/>
      <c r="AF30" s="2165"/>
      <c r="AG30" s="2165"/>
      <c r="AH30" s="2177"/>
      <c r="AI30" s="2178"/>
      <c r="AJ30" s="2178"/>
      <c r="AK30" s="2178"/>
      <c r="AL30" s="2179"/>
    </row>
    <row r="31" spans="2:38" s="190" customFormat="1" ht="13.15" customHeight="1" x14ac:dyDescent="0.25">
      <c r="B31" s="2167"/>
      <c r="C31" s="2168"/>
      <c r="D31" s="2168"/>
      <c r="E31" s="2168"/>
      <c r="F31" s="2168"/>
      <c r="G31" s="2168"/>
      <c r="H31" s="2169"/>
      <c r="I31" s="2172"/>
      <c r="J31" s="2168"/>
      <c r="K31" s="2168"/>
      <c r="L31" s="2168"/>
      <c r="M31" s="2168"/>
      <c r="N31" s="2169"/>
      <c r="O31" s="2173"/>
      <c r="P31" s="2173"/>
      <c r="Q31" s="2173"/>
      <c r="R31" s="2174"/>
      <c r="U31" s="2167"/>
      <c r="V31" s="2168"/>
      <c r="W31" s="2168"/>
      <c r="X31" s="2168"/>
      <c r="Y31" s="2168"/>
      <c r="Z31" s="2168"/>
      <c r="AA31" s="2169"/>
      <c r="AB31" s="2172"/>
      <c r="AC31" s="2168"/>
      <c r="AD31" s="2168"/>
      <c r="AE31" s="2168"/>
      <c r="AF31" s="2168"/>
      <c r="AG31" s="2168"/>
      <c r="AH31" s="2177"/>
      <c r="AI31" s="2178"/>
      <c r="AJ31" s="2178"/>
      <c r="AK31" s="2178"/>
      <c r="AL31" s="2179"/>
    </row>
    <row r="32" spans="2:38" s="190" customFormat="1" ht="13.15" customHeight="1" x14ac:dyDescent="0.25">
      <c r="B32" s="2161"/>
      <c r="C32" s="2162"/>
      <c r="D32" s="2162"/>
      <c r="E32" s="2162"/>
      <c r="F32" s="2162"/>
      <c r="G32" s="2162"/>
      <c r="H32" s="2163"/>
      <c r="I32" s="2170"/>
      <c r="J32" s="2162"/>
      <c r="K32" s="2162"/>
      <c r="L32" s="2162"/>
      <c r="M32" s="2162"/>
      <c r="N32" s="2163"/>
      <c r="O32" s="2173"/>
      <c r="P32" s="2173"/>
      <c r="Q32" s="2173"/>
      <c r="R32" s="2174"/>
      <c r="U32" s="2161"/>
      <c r="V32" s="2162"/>
      <c r="W32" s="2162"/>
      <c r="X32" s="2162"/>
      <c r="Y32" s="2162"/>
      <c r="Z32" s="2162"/>
      <c r="AA32" s="2163"/>
      <c r="AB32" s="2170"/>
      <c r="AC32" s="2162"/>
      <c r="AD32" s="2162"/>
      <c r="AE32" s="2162"/>
      <c r="AF32" s="2162"/>
      <c r="AG32" s="2162"/>
      <c r="AH32" s="2177"/>
      <c r="AI32" s="2178"/>
      <c r="AJ32" s="2178"/>
      <c r="AK32" s="2178"/>
      <c r="AL32" s="2179"/>
    </row>
    <row r="33" spans="2:52" s="190" customFormat="1" ht="13.15" customHeight="1" x14ac:dyDescent="0.25">
      <c r="B33" s="2164"/>
      <c r="C33" s="2165"/>
      <c r="D33" s="2165"/>
      <c r="E33" s="2165"/>
      <c r="F33" s="2165"/>
      <c r="G33" s="2165"/>
      <c r="H33" s="2166"/>
      <c r="I33" s="2171"/>
      <c r="J33" s="2165"/>
      <c r="K33" s="2165"/>
      <c r="L33" s="2165"/>
      <c r="M33" s="2165"/>
      <c r="N33" s="2166"/>
      <c r="O33" s="2173"/>
      <c r="P33" s="2173"/>
      <c r="Q33" s="2173"/>
      <c r="R33" s="2174"/>
      <c r="U33" s="2164"/>
      <c r="V33" s="2165"/>
      <c r="W33" s="2165"/>
      <c r="X33" s="2165"/>
      <c r="Y33" s="2165"/>
      <c r="Z33" s="2165"/>
      <c r="AA33" s="2166"/>
      <c r="AB33" s="2171"/>
      <c r="AC33" s="2165"/>
      <c r="AD33" s="2165"/>
      <c r="AE33" s="2165"/>
      <c r="AF33" s="2165"/>
      <c r="AG33" s="2165"/>
      <c r="AH33" s="2177"/>
      <c r="AI33" s="2178"/>
      <c r="AJ33" s="2178"/>
      <c r="AK33" s="2178"/>
      <c r="AL33" s="2179"/>
    </row>
    <row r="34" spans="2:52" s="190" customFormat="1" ht="13.15" customHeight="1" thickBot="1" x14ac:dyDescent="0.3">
      <c r="B34" s="2183"/>
      <c r="C34" s="2184"/>
      <c r="D34" s="2184"/>
      <c r="E34" s="2184"/>
      <c r="F34" s="2184"/>
      <c r="G34" s="2184"/>
      <c r="H34" s="2185"/>
      <c r="I34" s="2186"/>
      <c r="J34" s="2184"/>
      <c r="K34" s="2184"/>
      <c r="L34" s="2184"/>
      <c r="M34" s="2184"/>
      <c r="N34" s="2185"/>
      <c r="O34" s="2175"/>
      <c r="P34" s="2175"/>
      <c r="Q34" s="2175"/>
      <c r="R34" s="2176"/>
      <c r="U34" s="2183"/>
      <c r="V34" s="2184"/>
      <c r="W34" s="2184"/>
      <c r="X34" s="2184"/>
      <c r="Y34" s="2184"/>
      <c r="Z34" s="2184"/>
      <c r="AA34" s="2185"/>
      <c r="AB34" s="2186"/>
      <c r="AC34" s="2184"/>
      <c r="AD34" s="2184"/>
      <c r="AE34" s="2184"/>
      <c r="AF34" s="2184"/>
      <c r="AG34" s="2184"/>
      <c r="AH34" s="2180"/>
      <c r="AI34" s="2181"/>
      <c r="AJ34" s="2181"/>
      <c r="AK34" s="2181"/>
      <c r="AL34" s="2182"/>
    </row>
    <row r="35" spans="2:52" ht="16.149999999999999" customHeight="1" thickBot="1" x14ac:dyDescent="0.3"/>
    <row r="36" spans="2:52" s="190" customFormat="1" ht="17.7" customHeight="1" x14ac:dyDescent="0.25">
      <c r="B36" s="986" t="str">
        <f>HLOOKUP(LANGUAGE!$B$2,LANGUAGE!$C$14:$G$1500,1046)</f>
        <v>Net working hours per shift</v>
      </c>
      <c r="C36" s="987"/>
      <c r="D36" s="987"/>
      <c r="E36" s="987"/>
      <c r="F36" s="987"/>
      <c r="G36" s="994"/>
      <c r="H36" s="994"/>
      <c r="I36" s="994"/>
      <c r="J36" s="995"/>
      <c r="K36" s="192"/>
      <c r="L36" s="192"/>
      <c r="M36" s="986" t="str">
        <f>HLOOKUP(LANGUAGE!$B$2,LANGUAGE!$C$14:$G$1500,1047)</f>
        <v>Working weeks per year</v>
      </c>
      <c r="N36" s="987"/>
      <c r="O36" s="987"/>
      <c r="P36" s="987"/>
      <c r="Q36" s="987"/>
      <c r="R36" s="990"/>
      <c r="S36" s="990"/>
      <c r="T36" s="990"/>
      <c r="U36" s="991"/>
      <c r="V36" s="192"/>
      <c r="W36" s="191"/>
      <c r="X36" s="986" t="str">
        <f>HLOOKUP(LANGUAGE!$B$2,LANGUAGE!$C$14:$G$1500,1048)</f>
        <v>SOP Brose</v>
      </c>
      <c r="Y36" s="987"/>
      <c r="Z36" s="987"/>
      <c r="AA36" s="987"/>
      <c r="AB36" s="987"/>
      <c r="AC36" s="958"/>
      <c r="AD36" s="958"/>
      <c r="AE36" s="958"/>
      <c r="AF36" s="959"/>
    </row>
    <row r="37" spans="2:52" s="190" customFormat="1" ht="17.7" customHeight="1" thickBot="1" x14ac:dyDescent="0.3">
      <c r="B37" s="988"/>
      <c r="C37" s="989"/>
      <c r="D37" s="989"/>
      <c r="E37" s="989"/>
      <c r="F37" s="989"/>
      <c r="G37" s="996"/>
      <c r="H37" s="996"/>
      <c r="I37" s="996"/>
      <c r="J37" s="997"/>
      <c r="K37" s="192"/>
      <c r="L37" s="192"/>
      <c r="M37" s="988"/>
      <c r="N37" s="989"/>
      <c r="O37" s="989"/>
      <c r="P37" s="989"/>
      <c r="Q37" s="989"/>
      <c r="R37" s="992"/>
      <c r="S37" s="992"/>
      <c r="T37" s="992"/>
      <c r="U37" s="993"/>
      <c r="V37" s="192"/>
      <c r="X37" s="988"/>
      <c r="Y37" s="989"/>
      <c r="Z37" s="989"/>
      <c r="AA37" s="989"/>
      <c r="AB37" s="989"/>
      <c r="AC37" s="960"/>
      <c r="AD37" s="960"/>
      <c r="AE37" s="960"/>
      <c r="AF37" s="961"/>
    </row>
    <row r="38" spans="2:52" s="190" customFormat="1" ht="17.25" customHeight="1" thickBot="1" x14ac:dyDescent="0.3">
      <c r="M38" s="208"/>
    </row>
    <row r="39" spans="2:52" s="190" customFormat="1" ht="17.7" customHeight="1" x14ac:dyDescent="0.25">
      <c r="B39" s="962" t="str">
        <f>HLOOKUP(LANGUAGE!$B$2,LANGUAGE!$C$14:$G$1500,1060)</f>
        <v>Process step</v>
      </c>
      <c r="C39" s="963"/>
      <c r="D39" s="963"/>
      <c r="E39" s="963"/>
      <c r="F39" s="964"/>
      <c r="G39" s="968" t="str">
        <f>HLOOKUP(LANGUAGE!$B$2,LANGUAGE!$C$14:$G$1500,1062)</f>
        <v>Planned quantities
for Run &amp; Rate</v>
      </c>
      <c r="H39" s="968"/>
      <c r="I39" s="971" t="str">
        <f>HLOOKUP(LANGUAGE!$B$2,LANGUAGE!$C$14:$G$1500,1064)</f>
        <v>Planned shifts
(per week)</v>
      </c>
      <c r="J39" s="968" t="str">
        <f>HLOOKUP(LANGUAGE!$B$2,LANGUAGE!$C$14:$G$1500,1066)</f>
        <v>Annual demands
(pcs./year)</v>
      </c>
      <c r="K39" s="968"/>
      <c r="L39" s="968" t="str">
        <f>HLOOKUP(LANGUAGE!$B$2,LANGUAGE!$C$14:$G$1500,1068)</f>
        <v>Supplier-assured share of machinery for this product [%]</v>
      </c>
      <c r="M39" s="968"/>
      <c r="N39" s="968" t="str">
        <f>HLOOKUP(LANGUAGE!$B$2,LANGUAGE!$C$14:$G$1500,1070)</f>
        <v>Supplier-planned machine availability [%]</v>
      </c>
      <c r="O39" s="968"/>
      <c r="P39" s="968" t="str">
        <f>HLOOKUP(LANGUAGE!$B$2,LANGUAGE!$C$14:$G$1500,1072)</f>
        <v>OK Parts from the planned process (FTY) [%]</v>
      </c>
      <c r="Q39" s="968"/>
      <c r="R39" s="973" t="str">
        <f>HLOOKUP(LANGUAGE!$B$2,LANGUAGE!$C$14:$G$1500,1074)</f>
        <v>Initial quantity
(e.g. counter)</v>
      </c>
      <c r="S39" s="974"/>
      <c r="T39" s="973" t="str">
        <f>HLOOKUP(LANGUAGE!$B$2,LANGUAGE!$C$14:$G$1500,1076)</f>
        <v>Final quantity</v>
      </c>
      <c r="U39" s="974"/>
      <c r="V39" s="971" t="str">
        <f>HLOOKUP(LANGUAGE!$B$2,LANGUAGE!$C$14:$G$1500,1078)</f>
        <v>Net-Production time [min]</v>
      </c>
      <c r="W39" s="971" t="str">
        <f>HLOOKUP(LANGUAGE!$B$2,LANGUAGE!$C$14:$G$1500,1080)</f>
        <v>Unplanned downtimes (disturbances) [min]</v>
      </c>
      <c r="X39" s="971" t="str">
        <f>HLOOKUP(LANGUAGE!$B$2,LANGUAGE!$C$14:$G$1500,1082)</f>
        <v>Amount OK</v>
      </c>
      <c r="Y39" s="971" t="str">
        <f>HLOOKUP(LANGUAGE!$B$2,LANGUAGE!$C$14:$G$1500,1086)</f>
        <v>Amount NOK</v>
      </c>
      <c r="Z39" s="971" t="str">
        <f>HLOOKUP(LANGUAGE!$B$2,LANGUAGE!$C$14:$G$1500,1406)</f>
        <v>Number of cavities</v>
      </c>
      <c r="AA39" s="980" t="str">
        <f>HLOOKUP(LANGUAGE!$B$2,LANGUAGE!$C$14:$G$1500,1087)</f>
        <v>cycle time [s]</v>
      </c>
      <c r="AB39" s="980"/>
      <c r="AC39" s="982" t="str">
        <f>HLOOKUP(LANGUAGE!$B$2,LANGUAGE!$C$14:$G$1500,114)</f>
        <v>Remarks</v>
      </c>
      <c r="AD39" s="982"/>
      <c r="AE39" s="982"/>
      <c r="AF39" s="982"/>
      <c r="AG39" s="963" t="str">
        <f>HLOOKUP(LANGUAGE!$B$2,LANGUAGE!$C$14:$G$1500,1090)</f>
        <v>Result green: 
annual requirement + 20% 
&amp; unplanned downtimes &lt;20%</v>
      </c>
      <c r="AH39" s="963"/>
      <c r="AI39" s="963"/>
      <c r="AJ39" s="964"/>
      <c r="AK39" s="935" t="str">
        <f>HLOOKUP(LANGUAGE!$B$2,LANGUAGE!$C$14:$G$1500,1095)</f>
        <v>Result annual quantity</v>
      </c>
      <c r="AL39" s="936"/>
    </row>
    <row r="40" spans="2:52" s="190" customFormat="1" ht="17.7" customHeight="1" x14ac:dyDescent="0.25">
      <c r="B40" s="965"/>
      <c r="C40" s="966"/>
      <c r="D40" s="966"/>
      <c r="E40" s="966"/>
      <c r="F40" s="967"/>
      <c r="G40" s="969"/>
      <c r="H40" s="969"/>
      <c r="I40" s="972"/>
      <c r="J40" s="969"/>
      <c r="K40" s="969"/>
      <c r="L40" s="969"/>
      <c r="M40" s="969"/>
      <c r="N40" s="969"/>
      <c r="O40" s="969"/>
      <c r="P40" s="969"/>
      <c r="Q40" s="969"/>
      <c r="R40" s="975"/>
      <c r="S40" s="976"/>
      <c r="T40" s="975"/>
      <c r="U40" s="976"/>
      <c r="V40" s="972"/>
      <c r="W40" s="972"/>
      <c r="X40" s="972"/>
      <c r="Y40" s="972"/>
      <c r="Z40" s="972"/>
      <c r="AA40" s="981"/>
      <c r="AB40" s="981"/>
      <c r="AC40" s="983"/>
      <c r="AD40" s="983"/>
      <c r="AE40" s="983"/>
      <c r="AF40" s="983"/>
      <c r="AG40" s="966"/>
      <c r="AH40" s="966"/>
      <c r="AI40" s="966"/>
      <c r="AJ40" s="967"/>
      <c r="AK40" s="937"/>
      <c r="AL40" s="938"/>
    </row>
    <row r="41" spans="2:52" s="190" customFormat="1" ht="17.7" customHeight="1" x14ac:dyDescent="0.25">
      <c r="B41" s="965"/>
      <c r="C41" s="966"/>
      <c r="D41" s="966"/>
      <c r="E41" s="966"/>
      <c r="F41" s="967"/>
      <c r="G41" s="969"/>
      <c r="H41" s="969"/>
      <c r="I41" s="972"/>
      <c r="J41" s="969"/>
      <c r="K41" s="969"/>
      <c r="L41" s="969"/>
      <c r="M41" s="969"/>
      <c r="N41" s="969"/>
      <c r="O41" s="969"/>
      <c r="P41" s="969"/>
      <c r="Q41" s="969"/>
      <c r="R41" s="975"/>
      <c r="S41" s="976"/>
      <c r="T41" s="975"/>
      <c r="U41" s="976"/>
      <c r="V41" s="972"/>
      <c r="W41" s="972"/>
      <c r="X41" s="972"/>
      <c r="Y41" s="972"/>
      <c r="Z41" s="972"/>
      <c r="AA41" s="981"/>
      <c r="AB41" s="981"/>
      <c r="AC41" s="983"/>
      <c r="AD41" s="983"/>
      <c r="AE41" s="983"/>
      <c r="AF41" s="983"/>
      <c r="AG41" s="966"/>
      <c r="AH41" s="966"/>
      <c r="AI41" s="966"/>
      <c r="AJ41" s="967"/>
      <c r="AK41" s="937"/>
      <c r="AL41" s="938"/>
    </row>
    <row r="42" spans="2:52" s="190" customFormat="1" ht="17.7" customHeight="1" x14ac:dyDescent="0.25">
      <c r="B42" s="965"/>
      <c r="C42" s="966"/>
      <c r="D42" s="966"/>
      <c r="E42" s="966"/>
      <c r="F42" s="967"/>
      <c r="G42" s="969"/>
      <c r="H42" s="969"/>
      <c r="I42" s="972"/>
      <c r="J42" s="969"/>
      <c r="K42" s="969"/>
      <c r="L42" s="969"/>
      <c r="M42" s="969"/>
      <c r="N42" s="969"/>
      <c r="O42" s="969"/>
      <c r="P42" s="969"/>
      <c r="Q42" s="969"/>
      <c r="R42" s="975"/>
      <c r="S42" s="976"/>
      <c r="T42" s="975"/>
      <c r="U42" s="976"/>
      <c r="V42" s="972"/>
      <c r="W42" s="972"/>
      <c r="X42" s="972"/>
      <c r="Y42" s="972"/>
      <c r="Z42" s="972"/>
      <c r="AA42" s="981"/>
      <c r="AB42" s="981"/>
      <c r="AC42" s="983"/>
      <c r="AD42" s="983"/>
      <c r="AE42" s="983"/>
      <c r="AF42" s="983"/>
      <c r="AG42" s="966"/>
      <c r="AH42" s="966"/>
      <c r="AI42" s="966"/>
      <c r="AJ42" s="967"/>
      <c r="AK42" s="937"/>
      <c r="AL42" s="938"/>
    </row>
    <row r="43" spans="2:52" s="190" customFormat="1" ht="17.7" customHeight="1" x14ac:dyDescent="0.25">
      <c r="B43" s="965"/>
      <c r="C43" s="966"/>
      <c r="D43" s="966"/>
      <c r="E43" s="966"/>
      <c r="F43" s="967"/>
      <c r="G43" s="969"/>
      <c r="H43" s="969"/>
      <c r="I43" s="972"/>
      <c r="J43" s="969"/>
      <c r="K43" s="969"/>
      <c r="L43" s="969"/>
      <c r="M43" s="969"/>
      <c r="N43" s="969"/>
      <c r="O43" s="969"/>
      <c r="P43" s="969"/>
      <c r="Q43" s="969"/>
      <c r="R43" s="975"/>
      <c r="S43" s="976"/>
      <c r="T43" s="975"/>
      <c r="U43" s="976"/>
      <c r="V43" s="972"/>
      <c r="W43" s="972"/>
      <c r="X43" s="972"/>
      <c r="Y43" s="972"/>
      <c r="Z43" s="972"/>
      <c r="AA43" s="981"/>
      <c r="AB43" s="981"/>
      <c r="AC43" s="983"/>
      <c r="AD43" s="983"/>
      <c r="AE43" s="983"/>
      <c r="AF43" s="983"/>
      <c r="AG43" s="966"/>
      <c r="AH43" s="966"/>
      <c r="AI43" s="966"/>
      <c r="AJ43" s="967"/>
      <c r="AK43" s="937"/>
      <c r="AL43" s="938"/>
      <c r="AY43" s="190" t="str">
        <f>HLOOKUP(LANGUAGE!$B$2,LANGUAGE!$C$14:$G$1500,1092)</f>
        <v xml:space="preserve">Target amount &lt; 120% </v>
      </c>
    </row>
    <row r="44" spans="2:52" s="190" customFormat="1" ht="17.7" customHeight="1" x14ac:dyDescent="0.25">
      <c r="B44" s="965"/>
      <c r="C44" s="966"/>
      <c r="D44" s="966"/>
      <c r="E44" s="966"/>
      <c r="F44" s="967"/>
      <c r="G44" s="969"/>
      <c r="H44" s="969"/>
      <c r="I44" s="972"/>
      <c r="J44" s="969"/>
      <c r="K44" s="969"/>
      <c r="L44" s="969"/>
      <c r="M44" s="969"/>
      <c r="N44" s="969"/>
      <c r="O44" s="969"/>
      <c r="P44" s="969"/>
      <c r="Q44" s="969"/>
      <c r="R44" s="975"/>
      <c r="S44" s="976"/>
      <c r="T44" s="975"/>
      <c r="U44" s="976"/>
      <c r="V44" s="972"/>
      <c r="W44" s="972"/>
      <c r="X44" s="972"/>
      <c r="Y44" s="972"/>
      <c r="Z44" s="972"/>
      <c r="AA44" s="981"/>
      <c r="AB44" s="981"/>
      <c r="AC44" s="983"/>
      <c r="AD44" s="983"/>
      <c r="AE44" s="983"/>
      <c r="AF44" s="983"/>
      <c r="AG44" s="966"/>
      <c r="AH44" s="966"/>
      <c r="AI44" s="966"/>
      <c r="AJ44" s="967"/>
      <c r="AK44" s="937"/>
      <c r="AL44" s="938"/>
      <c r="AY44" s="190" t="str">
        <f>HLOOKUP(LANGUAGE!$B$2,LANGUAGE!$C$14:$G$1500,1093)</f>
        <v>Unplanned downtimes &gt;20%</v>
      </c>
    </row>
    <row r="45" spans="2:52" s="190" customFormat="1" ht="17.7" customHeight="1" x14ac:dyDescent="0.25">
      <c r="B45" s="965"/>
      <c r="C45" s="966"/>
      <c r="D45" s="966"/>
      <c r="E45" s="966"/>
      <c r="F45" s="967"/>
      <c r="G45" s="969"/>
      <c r="H45" s="969"/>
      <c r="I45" s="972"/>
      <c r="J45" s="969"/>
      <c r="K45" s="969"/>
      <c r="L45" s="969"/>
      <c r="M45" s="969"/>
      <c r="N45" s="969"/>
      <c r="O45" s="969"/>
      <c r="P45" s="969"/>
      <c r="Q45" s="969"/>
      <c r="R45" s="975"/>
      <c r="S45" s="976"/>
      <c r="T45" s="975"/>
      <c r="U45" s="976"/>
      <c r="V45" s="972"/>
      <c r="W45" s="972"/>
      <c r="X45" s="972"/>
      <c r="Y45" s="972"/>
      <c r="Z45" s="972"/>
      <c r="AA45" s="981"/>
      <c r="AB45" s="981"/>
      <c r="AC45" s="983"/>
      <c r="AD45" s="983"/>
      <c r="AE45" s="983"/>
      <c r="AF45" s="983"/>
      <c r="AG45" s="966"/>
      <c r="AH45" s="966"/>
      <c r="AI45" s="966"/>
      <c r="AJ45" s="967"/>
      <c r="AK45" s="937"/>
      <c r="AL45" s="938"/>
      <c r="AY45" s="332">
        <f>MAX(AY47:AZ61)</f>
        <v>0</v>
      </c>
      <c r="AZ45" s="332"/>
    </row>
    <row r="46" spans="2:52" s="190" customFormat="1" ht="17.7" customHeight="1" x14ac:dyDescent="0.25">
      <c r="B46" s="965"/>
      <c r="C46" s="966"/>
      <c r="D46" s="966"/>
      <c r="E46" s="966"/>
      <c r="F46" s="967"/>
      <c r="G46" s="970"/>
      <c r="H46" s="970"/>
      <c r="I46" s="972"/>
      <c r="J46" s="970"/>
      <c r="K46" s="970"/>
      <c r="L46" s="970"/>
      <c r="M46" s="970"/>
      <c r="N46" s="970"/>
      <c r="O46" s="970"/>
      <c r="P46" s="970"/>
      <c r="Q46" s="970"/>
      <c r="R46" s="977"/>
      <c r="S46" s="978"/>
      <c r="T46" s="975"/>
      <c r="U46" s="976"/>
      <c r="V46" s="979"/>
      <c r="W46" s="979"/>
      <c r="X46" s="979"/>
      <c r="Y46" s="979"/>
      <c r="Z46" s="979"/>
      <c r="AA46" s="981"/>
      <c r="AB46" s="981"/>
      <c r="AC46" s="983"/>
      <c r="AD46" s="983"/>
      <c r="AE46" s="983"/>
      <c r="AF46" s="983"/>
      <c r="AG46" s="984"/>
      <c r="AH46" s="984"/>
      <c r="AI46" s="984"/>
      <c r="AJ46" s="985"/>
      <c r="AK46" s="937"/>
      <c r="AL46" s="938"/>
      <c r="AM46" s="204"/>
      <c r="AY46" s="204" t="s">
        <v>1782</v>
      </c>
      <c r="AZ46" s="204" t="s">
        <v>1783</v>
      </c>
    </row>
    <row r="47" spans="2:52" s="193" customFormat="1" ht="24.75" customHeight="1" x14ac:dyDescent="0.25">
      <c r="B47" s="776">
        <v>1</v>
      </c>
      <c r="C47" s="2187"/>
      <c r="D47" s="2187"/>
      <c r="E47" s="2187"/>
      <c r="F47" s="2188"/>
      <c r="G47" s="941"/>
      <c r="H47" s="941"/>
      <c r="I47" s="766"/>
      <c r="J47" s="941"/>
      <c r="K47" s="941"/>
      <c r="L47" s="942"/>
      <c r="M47" s="942"/>
      <c r="N47" s="942"/>
      <c r="O47" s="942"/>
      <c r="P47" s="949" t="str">
        <f>IF(X47="","",X47/(T47-R47))</f>
        <v/>
      </c>
      <c r="Q47" s="949"/>
      <c r="R47" s="941">
        <v>0</v>
      </c>
      <c r="S47" s="941"/>
      <c r="T47" s="950"/>
      <c r="U47" s="951"/>
      <c r="V47" s="767"/>
      <c r="W47" s="767"/>
      <c r="X47" s="777" t="str">
        <f>IF(T47="","",((T47-R47)-Y47))</f>
        <v/>
      </c>
      <c r="Y47" s="765"/>
      <c r="Z47" s="765"/>
      <c r="AA47" s="952" t="str">
        <f>IF(OR(R47="",T47="",V47="",W47="",Y47="",Z47=""),"",60*(V47)*Z47/(T47-R47))</f>
        <v/>
      </c>
      <c r="AB47" s="952"/>
      <c r="AC47" s="953"/>
      <c r="AD47" s="953"/>
      <c r="AE47" s="953"/>
      <c r="AF47" s="953"/>
      <c r="AG47" s="769" t="str">
        <f>IF(AK47="","",(AK47/J47))</f>
        <v/>
      </c>
      <c r="AH47" s="954" t="str">
        <f>IF(J47="","",IF(AY47&gt;1,$AY$43&amp;"  "," ")&amp;IF(AZ47&gt;1,$AY$44," "))</f>
        <v/>
      </c>
      <c r="AI47" s="954"/>
      <c r="AJ47" s="955"/>
      <c r="AK47" s="956" t="str">
        <f>IF(X47="","",((X47/(V47+W47))*60*$G$36*$I47*$R$36*L47*N47))</f>
        <v/>
      </c>
      <c r="AL47" s="957"/>
      <c r="AX47" s="205"/>
      <c r="AY47" s="206" t="str">
        <f>IF(AG47="","",IF(AG47&gt;=1.2,1,IF(AND(AG47&gt;=1,AG47&lt;1.2),2,IF(AG47&lt;1,3,""))))</f>
        <v/>
      </c>
      <c r="AZ47" s="205" t="str">
        <f>IF(AG47="","",IF((W47*100/V47)&gt;20,3,1))</f>
        <v/>
      </c>
    </row>
    <row r="48" spans="2:52" s="193" customFormat="1" ht="25.2" customHeight="1" x14ac:dyDescent="0.25">
      <c r="B48" s="776">
        <v>2</v>
      </c>
      <c r="C48" s="2187"/>
      <c r="D48" s="2187"/>
      <c r="E48" s="2187"/>
      <c r="F48" s="2188"/>
      <c r="G48" s="941"/>
      <c r="H48" s="941"/>
      <c r="I48" s="766"/>
      <c r="J48" s="941"/>
      <c r="K48" s="941"/>
      <c r="L48" s="942"/>
      <c r="M48" s="942"/>
      <c r="N48" s="942"/>
      <c r="O48" s="942"/>
      <c r="P48" s="949" t="str">
        <f>IF(X48="","",X48/(T48-R48))</f>
        <v/>
      </c>
      <c r="Q48" s="949"/>
      <c r="R48" s="941"/>
      <c r="S48" s="941"/>
      <c r="T48" s="950"/>
      <c r="U48" s="951"/>
      <c r="V48" s="767"/>
      <c r="W48" s="767"/>
      <c r="X48" s="777" t="str">
        <f>IF(T48="","",((T48-R48)-Y48))</f>
        <v/>
      </c>
      <c r="Y48" s="765"/>
      <c r="Z48" s="765"/>
      <c r="AA48" s="952" t="str">
        <f t="shared" ref="AA48:AA61" si="0">IF(OR(R48="",T48="",V48="",W48="",Y48="",Z48=""),"",60*(V48)*Z48/(T48-R48))</f>
        <v/>
      </c>
      <c r="AB48" s="952"/>
      <c r="AC48" s="953"/>
      <c r="AD48" s="953"/>
      <c r="AE48" s="953"/>
      <c r="AF48" s="953"/>
      <c r="AG48" s="769" t="str">
        <f>IF(AK48="","",(AK48/J48))</f>
        <v/>
      </c>
      <c r="AH48" s="954" t="str">
        <f t="shared" ref="AH48:AH61" si="1">IF(J48="","",IF(AY48&gt;1,$AY$43&amp;"  "," ")&amp;IF(AZ48&gt;1,$AY$44," "))</f>
        <v/>
      </c>
      <c r="AI48" s="954"/>
      <c r="AJ48" s="955"/>
      <c r="AK48" s="956" t="str">
        <f t="shared" ref="AK48:AK61" si="2">IF(X48="","",((X48/(V48+W48))*60*$G$36*$I48*$R$36*L48*N48))</f>
        <v/>
      </c>
      <c r="AL48" s="957"/>
      <c r="AX48" s="205"/>
      <c r="AY48" s="206" t="str">
        <f>IF(AG48="","",IF(AG48&gt;=1.2,1,IF(AND(AG48&gt;=1,AG48&lt;1.2),2,IF(AG48&lt;1,3,""))))</f>
        <v/>
      </c>
      <c r="AZ48" s="205" t="str">
        <f>IF(AG48="","",IF((W48*100/V48)&gt;20,3,1))</f>
        <v/>
      </c>
    </row>
    <row r="49" spans="2:53" s="193" customFormat="1" ht="25.2" customHeight="1" thickBot="1" x14ac:dyDescent="0.3">
      <c r="B49" s="770">
        <v>3</v>
      </c>
      <c r="C49" s="931"/>
      <c r="D49" s="931"/>
      <c r="E49" s="931"/>
      <c r="F49" s="932"/>
      <c r="G49" s="933"/>
      <c r="H49" s="933"/>
      <c r="I49" s="772"/>
      <c r="J49" s="933"/>
      <c r="K49" s="933"/>
      <c r="L49" s="934"/>
      <c r="M49" s="934"/>
      <c r="N49" s="934"/>
      <c r="O49" s="934"/>
      <c r="P49" s="944" t="str">
        <f>IF(X49="","",X49/(T49-R49))</f>
        <v/>
      </c>
      <c r="Q49" s="944"/>
      <c r="R49" s="933"/>
      <c r="S49" s="933"/>
      <c r="T49" s="945"/>
      <c r="U49" s="946"/>
      <c r="V49" s="773"/>
      <c r="W49" s="773"/>
      <c r="X49" s="778" t="str">
        <f t="shared" ref="X49:X61" si="3">IF(T49="","",((T49-R49)-Y49))</f>
        <v/>
      </c>
      <c r="Y49" s="771"/>
      <c r="Z49" s="771"/>
      <c r="AA49" s="947" t="str">
        <f t="shared" si="0"/>
        <v/>
      </c>
      <c r="AB49" s="947"/>
      <c r="AC49" s="948"/>
      <c r="AD49" s="948"/>
      <c r="AE49" s="948"/>
      <c r="AF49" s="948"/>
      <c r="AG49" s="775" t="str">
        <f>IF(AK49="","",(AK49/J49))</f>
        <v/>
      </c>
      <c r="AH49" s="925" t="str">
        <f t="shared" si="1"/>
        <v/>
      </c>
      <c r="AI49" s="925"/>
      <c r="AJ49" s="926"/>
      <c r="AK49" s="927" t="str">
        <f t="shared" si="2"/>
        <v/>
      </c>
      <c r="AL49" s="928"/>
      <c r="AX49" s="205"/>
      <c r="AY49" s="206" t="str">
        <f>IF(AG49="","",IF(AG49&gt;=1.2,1,IF(AND(AG49&gt;=1,AG49&lt;1.2),2,IF(AG49&lt;1,3,""))))</f>
        <v/>
      </c>
      <c r="AZ49" s="205" t="str">
        <f>IF(AG49="","",IF((W49*100/V49)&gt;20,3,1))</f>
        <v/>
      </c>
    </row>
    <row r="50" spans="2:53" s="193" customFormat="1" ht="25.2" hidden="1" customHeight="1" outlineLevel="1" x14ac:dyDescent="0.25">
      <c r="B50" s="680">
        <v>4</v>
      </c>
      <c r="C50" s="2198"/>
      <c r="D50" s="2198"/>
      <c r="E50" s="2198"/>
      <c r="F50" s="2199"/>
      <c r="G50" s="2189"/>
      <c r="H50" s="2189"/>
      <c r="I50" s="677"/>
      <c r="J50" s="2189"/>
      <c r="K50" s="2189"/>
      <c r="L50" s="2200"/>
      <c r="M50" s="2200"/>
      <c r="N50" s="2200"/>
      <c r="O50" s="2200"/>
      <c r="P50" s="2201" t="str">
        <f t="shared" ref="P50:P53" si="4">IF(X50="","",X50/(T50-R50))</f>
        <v/>
      </c>
      <c r="Q50" s="2202"/>
      <c r="R50" s="2189"/>
      <c r="S50" s="2189"/>
      <c r="T50" s="2190"/>
      <c r="U50" s="2191"/>
      <c r="V50" s="678"/>
      <c r="W50" s="678"/>
      <c r="X50" s="685" t="str">
        <f t="shared" si="3"/>
        <v/>
      </c>
      <c r="Y50" s="676"/>
      <c r="Z50" s="676"/>
      <c r="AA50" s="2192" t="str">
        <f t="shared" si="0"/>
        <v/>
      </c>
      <c r="AB50" s="2192"/>
      <c r="AC50" s="2193"/>
      <c r="AD50" s="2193"/>
      <c r="AE50" s="2193"/>
      <c r="AF50" s="2193"/>
      <c r="AG50" s="679" t="str">
        <f t="shared" ref="AG50:AG61" si="5">IF(AK50="","",(AK50/J50))</f>
        <v/>
      </c>
      <c r="AH50" s="2194" t="str">
        <f t="shared" si="1"/>
        <v/>
      </c>
      <c r="AI50" s="2194"/>
      <c r="AJ50" s="2195"/>
      <c r="AK50" s="2196" t="str">
        <f t="shared" si="2"/>
        <v/>
      </c>
      <c r="AL50" s="2197"/>
      <c r="AX50" s="205"/>
      <c r="AY50" s="206" t="str">
        <f t="shared" ref="AY50:AY61" si="6">IF(AG50="","",IF(AG50&gt;=1.2,1,IF(AND(AG50&gt;=1,AG50&lt;1.2),2,IF(AG50&lt;1,3,""))))</f>
        <v/>
      </c>
      <c r="AZ50" s="205" t="str">
        <f t="shared" ref="AZ50:AZ61" si="7">IF(AG50="","",IF((W50*100/V50)&gt;20,3,1))</f>
        <v/>
      </c>
    </row>
    <row r="51" spans="2:53" s="193" customFormat="1" ht="25.2" hidden="1" customHeight="1" outlineLevel="1" x14ac:dyDescent="0.25">
      <c r="B51" s="776">
        <v>5</v>
      </c>
      <c r="C51" s="2187"/>
      <c r="D51" s="2187"/>
      <c r="E51" s="2187"/>
      <c r="F51" s="2188"/>
      <c r="G51" s="941"/>
      <c r="H51" s="941"/>
      <c r="I51" s="766"/>
      <c r="J51" s="941"/>
      <c r="K51" s="941"/>
      <c r="L51" s="942"/>
      <c r="M51" s="942"/>
      <c r="N51" s="942"/>
      <c r="O51" s="942"/>
      <c r="P51" s="2205" t="str">
        <f t="shared" si="4"/>
        <v/>
      </c>
      <c r="Q51" s="2206"/>
      <c r="R51" s="941"/>
      <c r="S51" s="941"/>
      <c r="T51" s="950"/>
      <c r="U51" s="951"/>
      <c r="V51" s="767"/>
      <c r="W51" s="767"/>
      <c r="X51" s="777" t="str">
        <f t="shared" si="3"/>
        <v/>
      </c>
      <c r="Y51" s="765"/>
      <c r="Z51" s="765"/>
      <c r="AA51" s="952" t="str">
        <f t="shared" si="0"/>
        <v/>
      </c>
      <c r="AB51" s="952"/>
      <c r="AC51" s="953"/>
      <c r="AD51" s="953"/>
      <c r="AE51" s="953"/>
      <c r="AF51" s="953"/>
      <c r="AG51" s="779" t="str">
        <f t="shared" si="5"/>
        <v/>
      </c>
      <c r="AH51" s="954" t="str">
        <f t="shared" si="1"/>
        <v/>
      </c>
      <c r="AI51" s="954"/>
      <c r="AJ51" s="955"/>
      <c r="AK51" s="2203" t="str">
        <f t="shared" si="2"/>
        <v/>
      </c>
      <c r="AL51" s="2204"/>
      <c r="AQ51" s="207"/>
      <c r="AX51" s="205"/>
      <c r="AY51" s="206" t="str">
        <f t="shared" si="6"/>
        <v/>
      </c>
      <c r="AZ51" s="205" t="str">
        <f t="shared" si="7"/>
        <v/>
      </c>
    </row>
    <row r="52" spans="2:53" s="193" customFormat="1" ht="25.2" hidden="1" customHeight="1" outlineLevel="1" x14ac:dyDescent="0.25">
      <c r="B52" s="776">
        <v>6</v>
      </c>
      <c r="C52" s="2187"/>
      <c r="D52" s="2187"/>
      <c r="E52" s="2187"/>
      <c r="F52" s="2188"/>
      <c r="G52" s="941"/>
      <c r="H52" s="941"/>
      <c r="I52" s="766"/>
      <c r="J52" s="941"/>
      <c r="K52" s="941"/>
      <c r="L52" s="942"/>
      <c r="M52" s="942"/>
      <c r="N52" s="942"/>
      <c r="O52" s="942"/>
      <c r="P52" s="2205" t="str">
        <f t="shared" si="4"/>
        <v/>
      </c>
      <c r="Q52" s="2206"/>
      <c r="R52" s="941"/>
      <c r="S52" s="941"/>
      <c r="T52" s="950"/>
      <c r="U52" s="951"/>
      <c r="V52" s="767"/>
      <c r="W52" s="767"/>
      <c r="X52" s="777" t="str">
        <f t="shared" si="3"/>
        <v/>
      </c>
      <c r="Y52" s="765"/>
      <c r="Z52" s="765"/>
      <c r="AA52" s="952" t="str">
        <f t="shared" si="0"/>
        <v/>
      </c>
      <c r="AB52" s="952"/>
      <c r="AC52" s="953"/>
      <c r="AD52" s="953"/>
      <c r="AE52" s="953"/>
      <c r="AF52" s="953"/>
      <c r="AG52" s="779" t="str">
        <f t="shared" si="5"/>
        <v/>
      </c>
      <c r="AH52" s="954" t="str">
        <f t="shared" si="1"/>
        <v/>
      </c>
      <c r="AI52" s="954"/>
      <c r="AJ52" s="955"/>
      <c r="AK52" s="2207" t="str">
        <f t="shared" si="2"/>
        <v/>
      </c>
      <c r="AL52" s="2204"/>
      <c r="AQ52" s="207"/>
      <c r="AX52" s="205"/>
      <c r="AY52" s="206" t="str">
        <f t="shared" si="6"/>
        <v/>
      </c>
      <c r="AZ52" s="205" t="str">
        <f t="shared" si="7"/>
        <v/>
      </c>
    </row>
    <row r="53" spans="2:53" s="193" customFormat="1" ht="25.2" hidden="1" customHeight="1" outlineLevel="1" x14ac:dyDescent="0.25">
      <c r="B53" s="776">
        <v>7</v>
      </c>
      <c r="C53" s="2187"/>
      <c r="D53" s="2187"/>
      <c r="E53" s="2187"/>
      <c r="F53" s="2188"/>
      <c r="G53" s="941"/>
      <c r="H53" s="941"/>
      <c r="I53" s="766"/>
      <c r="J53" s="941"/>
      <c r="K53" s="941"/>
      <c r="L53" s="942"/>
      <c r="M53" s="942"/>
      <c r="N53" s="942"/>
      <c r="O53" s="942"/>
      <c r="P53" s="2205" t="str">
        <f t="shared" si="4"/>
        <v/>
      </c>
      <c r="Q53" s="2206"/>
      <c r="R53" s="941"/>
      <c r="S53" s="941"/>
      <c r="T53" s="950"/>
      <c r="U53" s="951"/>
      <c r="V53" s="767"/>
      <c r="W53" s="767"/>
      <c r="X53" s="777" t="str">
        <f t="shared" si="3"/>
        <v/>
      </c>
      <c r="Y53" s="765"/>
      <c r="Z53" s="765"/>
      <c r="AA53" s="952" t="str">
        <f t="shared" si="0"/>
        <v/>
      </c>
      <c r="AB53" s="952"/>
      <c r="AC53" s="953"/>
      <c r="AD53" s="953"/>
      <c r="AE53" s="953"/>
      <c r="AF53" s="953"/>
      <c r="AG53" s="779" t="str">
        <f t="shared" si="5"/>
        <v/>
      </c>
      <c r="AH53" s="954" t="str">
        <f t="shared" si="1"/>
        <v/>
      </c>
      <c r="AI53" s="954"/>
      <c r="AJ53" s="955"/>
      <c r="AK53" s="2207" t="str">
        <f t="shared" si="2"/>
        <v/>
      </c>
      <c r="AL53" s="2204"/>
      <c r="AQ53" s="207"/>
      <c r="AX53" s="205"/>
      <c r="AY53" s="206" t="str">
        <f t="shared" si="6"/>
        <v/>
      </c>
      <c r="AZ53" s="205" t="str">
        <f t="shared" si="7"/>
        <v/>
      </c>
    </row>
    <row r="54" spans="2:53" s="193" customFormat="1" ht="25.2" hidden="1" customHeight="1" outlineLevel="1" x14ac:dyDescent="0.25">
      <c r="B54" s="776">
        <v>8</v>
      </c>
      <c r="C54" s="2187"/>
      <c r="D54" s="2187"/>
      <c r="E54" s="2187"/>
      <c r="F54" s="2188"/>
      <c r="G54" s="941"/>
      <c r="H54" s="941"/>
      <c r="I54" s="766"/>
      <c r="J54" s="941"/>
      <c r="K54" s="941"/>
      <c r="L54" s="942"/>
      <c r="M54" s="942"/>
      <c r="N54" s="942"/>
      <c r="O54" s="942"/>
      <c r="P54" s="2205" t="str">
        <f>IF(X54="","",X54/(T54-R54))</f>
        <v/>
      </c>
      <c r="Q54" s="2206"/>
      <c r="R54" s="941"/>
      <c r="S54" s="941"/>
      <c r="T54" s="950"/>
      <c r="U54" s="951"/>
      <c r="V54" s="767"/>
      <c r="W54" s="767"/>
      <c r="X54" s="777" t="str">
        <f t="shared" si="3"/>
        <v/>
      </c>
      <c r="Y54" s="765"/>
      <c r="Z54" s="765"/>
      <c r="AA54" s="952" t="str">
        <f t="shared" si="0"/>
        <v/>
      </c>
      <c r="AB54" s="952"/>
      <c r="AC54" s="953"/>
      <c r="AD54" s="953"/>
      <c r="AE54" s="953"/>
      <c r="AF54" s="953"/>
      <c r="AG54" s="779" t="str">
        <f t="shared" si="5"/>
        <v/>
      </c>
      <c r="AH54" s="954" t="str">
        <f t="shared" si="1"/>
        <v/>
      </c>
      <c r="AI54" s="954"/>
      <c r="AJ54" s="955"/>
      <c r="AK54" s="2207" t="str">
        <f t="shared" si="2"/>
        <v/>
      </c>
      <c r="AL54" s="2204"/>
      <c r="AX54" s="205"/>
      <c r="AY54" s="206" t="str">
        <f t="shared" si="6"/>
        <v/>
      </c>
      <c r="AZ54" s="205" t="str">
        <f t="shared" si="7"/>
        <v/>
      </c>
    </row>
    <row r="55" spans="2:53" s="193" customFormat="1" ht="25.2" hidden="1" customHeight="1" outlineLevel="1" x14ac:dyDescent="0.25">
      <c r="B55" s="776">
        <v>9</v>
      </c>
      <c r="C55" s="2187"/>
      <c r="D55" s="2187"/>
      <c r="E55" s="2187"/>
      <c r="F55" s="2188"/>
      <c r="G55" s="941"/>
      <c r="H55" s="941"/>
      <c r="I55" s="766"/>
      <c r="J55" s="941"/>
      <c r="K55" s="941"/>
      <c r="L55" s="942"/>
      <c r="M55" s="942"/>
      <c r="N55" s="942"/>
      <c r="O55" s="942"/>
      <c r="P55" s="2205" t="str">
        <f t="shared" ref="P55" si="8">IF(X55="","",X55/(T55-R55))</f>
        <v/>
      </c>
      <c r="Q55" s="2206"/>
      <c r="R55" s="941"/>
      <c r="S55" s="941"/>
      <c r="T55" s="950"/>
      <c r="U55" s="951"/>
      <c r="V55" s="767"/>
      <c r="W55" s="767"/>
      <c r="X55" s="777" t="str">
        <f t="shared" si="3"/>
        <v/>
      </c>
      <c r="Y55" s="765"/>
      <c r="Z55" s="765"/>
      <c r="AA55" s="952" t="str">
        <f t="shared" si="0"/>
        <v/>
      </c>
      <c r="AB55" s="952"/>
      <c r="AC55" s="953"/>
      <c r="AD55" s="953"/>
      <c r="AE55" s="953"/>
      <c r="AF55" s="953"/>
      <c r="AG55" s="779" t="str">
        <f t="shared" si="5"/>
        <v/>
      </c>
      <c r="AH55" s="954" t="str">
        <f t="shared" si="1"/>
        <v/>
      </c>
      <c r="AI55" s="954"/>
      <c r="AJ55" s="955"/>
      <c r="AK55" s="2207" t="str">
        <f t="shared" si="2"/>
        <v/>
      </c>
      <c r="AL55" s="2204"/>
      <c r="AX55" s="205"/>
      <c r="AY55" s="206" t="str">
        <f t="shared" si="6"/>
        <v/>
      </c>
      <c r="AZ55" s="205" t="str">
        <f t="shared" si="7"/>
        <v/>
      </c>
    </row>
    <row r="56" spans="2:53" s="193" customFormat="1" ht="25.2" hidden="1" customHeight="1" outlineLevel="1" x14ac:dyDescent="0.25">
      <c r="B56" s="776">
        <v>10</v>
      </c>
      <c r="C56" s="2187"/>
      <c r="D56" s="2187"/>
      <c r="E56" s="2187"/>
      <c r="F56" s="2188"/>
      <c r="G56" s="941"/>
      <c r="H56" s="941"/>
      <c r="I56" s="766"/>
      <c r="J56" s="941"/>
      <c r="K56" s="941"/>
      <c r="L56" s="942"/>
      <c r="M56" s="942"/>
      <c r="N56" s="942"/>
      <c r="O56" s="942"/>
      <c r="P56" s="2205" t="str">
        <f>IF(X56="","",X56/(T56-R56))</f>
        <v/>
      </c>
      <c r="Q56" s="2206"/>
      <c r="R56" s="941"/>
      <c r="S56" s="941"/>
      <c r="T56" s="950"/>
      <c r="U56" s="951"/>
      <c r="V56" s="767"/>
      <c r="W56" s="767"/>
      <c r="X56" s="777" t="str">
        <f t="shared" si="3"/>
        <v/>
      </c>
      <c r="Y56" s="765"/>
      <c r="Z56" s="765"/>
      <c r="AA56" s="952" t="str">
        <f t="shared" si="0"/>
        <v/>
      </c>
      <c r="AB56" s="952"/>
      <c r="AC56" s="953"/>
      <c r="AD56" s="953"/>
      <c r="AE56" s="953"/>
      <c r="AF56" s="953"/>
      <c r="AG56" s="779" t="str">
        <f t="shared" si="5"/>
        <v/>
      </c>
      <c r="AH56" s="954" t="str">
        <f t="shared" si="1"/>
        <v/>
      </c>
      <c r="AI56" s="954"/>
      <c r="AJ56" s="955"/>
      <c r="AK56" s="2207" t="str">
        <f t="shared" si="2"/>
        <v/>
      </c>
      <c r="AL56" s="2204"/>
      <c r="AX56" s="205"/>
      <c r="AY56" s="206" t="str">
        <f t="shared" si="6"/>
        <v/>
      </c>
      <c r="AZ56" s="205" t="str">
        <f t="shared" si="7"/>
        <v/>
      </c>
    </row>
    <row r="57" spans="2:53" s="193" customFormat="1" ht="25.2" hidden="1" customHeight="1" outlineLevel="1" x14ac:dyDescent="0.25">
      <c r="B57" s="776">
        <v>11</v>
      </c>
      <c r="C57" s="2187"/>
      <c r="D57" s="2187"/>
      <c r="E57" s="2187"/>
      <c r="F57" s="2188"/>
      <c r="G57" s="941"/>
      <c r="H57" s="941"/>
      <c r="I57" s="766"/>
      <c r="J57" s="941"/>
      <c r="K57" s="941"/>
      <c r="L57" s="942"/>
      <c r="M57" s="942"/>
      <c r="N57" s="942"/>
      <c r="O57" s="942"/>
      <c r="P57" s="2205" t="str">
        <f t="shared" ref="P57:P61" si="9">IF(X57="","",X57/(T57-R57))</f>
        <v/>
      </c>
      <c r="Q57" s="2206"/>
      <c r="R57" s="941"/>
      <c r="S57" s="941"/>
      <c r="T57" s="950"/>
      <c r="U57" s="951"/>
      <c r="V57" s="767"/>
      <c r="W57" s="767"/>
      <c r="X57" s="777" t="str">
        <f t="shared" si="3"/>
        <v/>
      </c>
      <c r="Y57" s="765"/>
      <c r="Z57" s="765"/>
      <c r="AA57" s="952" t="str">
        <f t="shared" si="0"/>
        <v/>
      </c>
      <c r="AB57" s="952"/>
      <c r="AC57" s="953"/>
      <c r="AD57" s="953"/>
      <c r="AE57" s="953"/>
      <c r="AF57" s="953"/>
      <c r="AG57" s="779" t="str">
        <f t="shared" si="5"/>
        <v/>
      </c>
      <c r="AH57" s="954" t="str">
        <f t="shared" si="1"/>
        <v/>
      </c>
      <c r="AI57" s="954"/>
      <c r="AJ57" s="955"/>
      <c r="AK57" s="2207" t="str">
        <f t="shared" si="2"/>
        <v/>
      </c>
      <c r="AL57" s="2204"/>
      <c r="AX57" s="205"/>
      <c r="AY57" s="206" t="str">
        <f t="shared" si="6"/>
        <v/>
      </c>
      <c r="AZ57" s="205" t="str">
        <f t="shared" si="7"/>
        <v/>
      </c>
    </row>
    <row r="58" spans="2:53" s="193" customFormat="1" ht="25.2" hidden="1" customHeight="1" outlineLevel="1" x14ac:dyDescent="0.25">
      <c r="B58" s="776">
        <v>12</v>
      </c>
      <c r="C58" s="2187"/>
      <c r="D58" s="2187"/>
      <c r="E58" s="2187"/>
      <c r="F58" s="2188"/>
      <c r="G58" s="941"/>
      <c r="H58" s="941"/>
      <c r="I58" s="766"/>
      <c r="J58" s="941"/>
      <c r="K58" s="941"/>
      <c r="L58" s="942"/>
      <c r="M58" s="942"/>
      <c r="N58" s="942"/>
      <c r="O58" s="942"/>
      <c r="P58" s="2205" t="str">
        <f t="shared" si="9"/>
        <v/>
      </c>
      <c r="Q58" s="2206"/>
      <c r="R58" s="941"/>
      <c r="S58" s="941"/>
      <c r="T58" s="950"/>
      <c r="U58" s="951"/>
      <c r="V58" s="767"/>
      <c r="W58" s="767"/>
      <c r="X58" s="777" t="str">
        <f t="shared" si="3"/>
        <v/>
      </c>
      <c r="Y58" s="765"/>
      <c r="Z58" s="765"/>
      <c r="AA58" s="952" t="str">
        <f t="shared" si="0"/>
        <v/>
      </c>
      <c r="AB58" s="952"/>
      <c r="AC58" s="953"/>
      <c r="AD58" s="953"/>
      <c r="AE58" s="953"/>
      <c r="AF58" s="953"/>
      <c r="AG58" s="779" t="str">
        <f t="shared" si="5"/>
        <v/>
      </c>
      <c r="AH58" s="954" t="str">
        <f t="shared" si="1"/>
        <v/>
      </c>
      <c r="AI58" s="954"/>
      <c r="AJ58" s="955"/>
      <c r="AK58" s="2207" t="str">
        <f t="shared" si="2"/>
        <v/>
      </c>
      <c r="AL58" s="2204"/>
      <c r="AQ58" s="207"/>
      <c r="AX58" s="205"/>
      <c r="AY58" s="206" t="str">
        <f t="shared" si="6"/>
        <v/>
      </c>
      <c r="AZ58" s="205" t="str">
        <f t="shared" si="7"/>
        <v/>
      </c>
    </row>
    <row r="59" spans="2:53" s="193" customFormat="1" ht="25.2" hidden="1" customHeight="1" outlineLevel="1" x14ac:dyDescent="0.25">
      <c r="B59" s="776">
        <v>13</v>
      </c>
      <c r="C59" s="2187"/>
      <c r="D59" s="2187"/>
      <c r="E59" s="2187"/>
      <c r="F59" s="2188"/>
      <c r="G59" s="941"/>
      <c r="H59" s="941"/>
      <c r="I59" s="766"/>
      <c r="J59" s="941"/>
      <c r="K59" s="941"/>
      <c r="L59" s="942"/>
      <c r="M59" s="942"/>
      <c r="N59" s="942"/>
      <c r="O59" s="942"/>
      <c r="P59" s="2205" t="str">
        <f t="shared" si="9"/>
        <v/>
      </c>
      <c r="Q59" s="2206"/>
      <c r="R59" s="941"/>
      <c r="S59" s="941"/>
      <c r="T59" s="950"/>
      <c r="U59" s="951"/>
      <c r="V59" s="767"/>
      <c r="W59" s="767"/>
      <c r="X59" s="777" t="str">
        <f t="shared" si="3"/>
        <v/>
      </c>
      <c r="Y59" s="765"/>
      <c r="Z59" s="765"/>
      <c r="AA59" s="952" t="str">
        <f t="shared" si="0"/>
        <v/>
      </c>
      <c r="AB59" s="952"/>
      <c r="AC59" s="953"/>
      <c r="AD59" s="953"/>
      <c r="AE59" s="953"/>
      <c r="AF59" s="953"/>
      <c r="AG59" s="779" t="str">
        <f t="shared" si="5"/>
        <v/>
      </c>
      <c r="AH59" s="954" t="str">
        <f t="shared" si="1"/>
        <v/>
      </c>
      <c r="AI59" s="954"/>
      <c r="AJ59" s="955"/>
      <c r="AK59" s="2207" t="str">
        <f t="shared" si="2"/>
        <v/>
      </c>
      <c r="AL59" s="2204"/>
      <c r="AQ59" s="207"/>
      <c r="AX59" s="205"/>
      <c r="AY59" s="206" t="str">
        <f t="shared" si="6"/>
        <v/>
      </c>
      <c r="AZ59" s="205" t="str">
        <f t="shared" si="7"/>
        <v/>
      </c>
    </row>
    <row r="60" spans="2:53" s="193" customFormat="1" ht="25.2" hidden="1" customHeight="1" outlineLevel="1" x14ac:dyDescent="0.25">
      <c r="B60" s="776">
        <v>14</v>
      </c>
      <c r="C60" s="2187"/>
      <c r="D60" s="2187"/>
      <c r="E60" s="2187"/>
      <c r="F60" s="2188"/>
      <c r="G60" s="941"/>
      <c r="H60" s="941"/>
      <c r="I60" s="766"/>
      <c r="J60" s="941"/>
      <c r="K60" s="941"/>
      <c r="L60" s="942"/>
      <c r="M60" s="942"/>
      <c r="N60" s="942"/>
      <c r="O60" s="942"/>
      <c r="P60" s="2205" t="str">
        <f t="shared" si="9"/>
        <v/>
      </c>
      <c r="Q60" s="2206"/>
      <c r="R60" s="941"/>
      <c r="S60" s="941"/>
      <c r="T60" s="950"/>
      <c r="U60" s="951"/>
      <c r="V60" s="767"/>
      <c r="W60" s="767"/>
      <c r="X60" s="777" t="str">
        <f t="shared" si="3"/>
        <v/>
      </c>
      <c r="Y60" s="765"/>
      <c r="Z60" s="765"/>
      <c r="AA60" s="952" t="str">
        <f t="shared" si="0"/>
        <v/>
      </c>
      <c r="AB60" s="952"/>
      <c r="AC60" s="953"/>
      <c r="AD60" s="953"/>
      <c r="AE60" s="953"/>
      <c r="AF60" s="953"/>
      <c r="AG60" s="779" t="str">
        <f t="shared" si="5"/>
        <v/>
      </c>
      <c r="AH60" s="954" t="str">
        <f t="shared" si="1"/>
        <v/>
      </c>
      <c r="AI60" s="954"/>
      <c r="AJ60" s="955"/>
      <c r="AK60" s="2207" t="str">
        <f t="shared" si="2"/>
        <v/>
      </c>
      <c r="AL60" s="2204"/>
      <c r="AQ60" s="207"/>
      <c r="AX60" s="205"/>
      <c r="AY60" s="206" t="str">
        <f t="shared" si="6"/>
        <v/>
      </c>
      <c r="AZ60" s="205" t="str">
        <f t="shared" si="7"/>
        <v/>
      </c>
    </row>
    <row r="61" spans="2:53" s="193" customFormat="1" ht="25.2" hidden="1" customHeight="1" outlineLevel="1" thickBot="1" x14ac:dyDescent="0.3">
      <c r="B61" s="770">
        <v>15</v>
      </c>
      <c r="C61" s="931"/>
      <c r="D61" s="931"/>
      <c r="E61" s="931"/>
      <c r="F61" s="932"/>
      <c r="G61" s="933"/>
      <c r="H61" s="933"/>
      <c r="I61" s="772"/>
      <c r="J61" s="933"/>
      <c r="K61" s="933"/>
      <c r="L61" s="934"/>
      <c r="M61" s="934"/>
      <c r="N61" s="934"/>
      <c r="O61" s="934"/>
      <c r="P61" s="2210" t="str">
        <f t="shared" si="9"/>
        <v/>
      </c>
      <c r="Q61" s="2211"/>
      <c r="R61" s="933"/>
      <c r="S61" s="933"/>
      <c r="T61" s="945"/>
      <c r="U61" s="946"/>
      <c r="V61" s="773"/>
      <c r="W61" s="773"/>
      <c r="X61" s="778" t="str">
        <f t="shared" si="3"/>
        <v/>
      </c>
      <c r="Y61" s="771"/>
      <c r="Z61" s="771"/>
      <c r="AA61" s="947" t="str">
        <f t="shared" si="0"/>
        <v/>
      </c>
      <c r="AB61" s="947"/>
      <c r="AC61" s="948"/>
      <c r="AD61" s="948"/>
      <c r="AE61" s="948"/>
      <c r="AF61" s="948"/>
      <c r="AG61" s="775" t="str">
        <f t="shared" si="5"/>
        <v/>
      </c>
      <c r="AH61" s="925" t="str">
        <f t="shared" si="1"/>
        <v/>
      </c>
      <c r="AI61" s="925"/>
      <c r="AJ61" s="926"/>
      <c r="AK61" s="2208" t="str">
        <f t="shared" si="2"/>
        <v/>
      </c>
      <c r="AL61" s="2209"/>
      <c r="AQ61" s="207"/>
      <c r="AX61" s="205"/>
      <c r="AY61" s="206" t="str">
        <f t="shared" si="6"/>
        <v/>
      </c>
      <c r="AZ61" s="205" t="str">
        <f t="shared" si="7"/>
        <v/>
      </c>
    </row>
    <row r="62" spans="2:53" ht="17.7" customHeight="1" collapsed="1" thickBot="1" x14ac:dyDescent="0.3">
      <c r="B62" s="194"/>
      <c r="C62" s="195"/>
      <c r="D62" s="195"/>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5"/>
      <c r="AY62" s="206" t="str">
        <f t="shared" ref="AY62" si="10">IF(AF62="","",IF(AF62&gt;=1.2,1,IF(AND(AF62&gt;=1,AF62&lt;1.2),2,IF(AF62&lt;1,3,""))))</f>
        <v/>
      </c>
      <c r="AZ62" s="205" t="str">
        <f t="shared" ref="AZ62" si="11">IF(AF62="","",IF((W62*100/V62)&gt;20,3,1))</f>
        <v/>
      </c>
      <c r="BA62" s="193"/>
    </row>
    <row r="63" spans="2:53" ht="17.7" customHeight="1" x14ac:dyDescent="0.25">
      <c r="B63" s="2098" t="str">
        <f>HLOOKUP(LANGUAGE!$B$2,LANGUAGE!$C$14:$G$1500,1109)</f>
        <v>Capacity</v>
      </c>
      <c r="C63" s="2099"/>
      <c r="D63" s="2099"/>
      <c r="E63" s="2099"/>
      <c r="F63" s="2099"/>
      <c r="G63" s="2099"/>
      <c r="H63" s="2099"/>
      <c r="I63" s="2099"/>
      <c r="J63" s="2099"/>
      <c r="K63" s="2099"/>
      <c r="L63" s="2099"/>
      <c r="M63" s="2099"/>
      <c r="N63" s="2099"/>
      <c r="O63" s="2099"/>
      <c r="P63" s="2099"/>
      <c r="Q63" s="2099"/>
      <c r="R63" s="2099"/>
      <c r="S63" s="2099"/>
      <c r="T63" s="2099"/>
      <c r="U63" s="2099"/>
      <c r="V63" s="2099"/>
      <c r="W63" s="2099"/>
      <c r="X63" s="2099"/>
      <c r="Y63" s="2099"/>
      <c r="Z63" s="2099"/>
      <c r="AA63" s="2099"/>
      <c r="AB63" s="2099"/>
      <c r="AC63" s="2099"/>
      <c r="AD63" s="2099"/>
      <c r="AE63" s="2099"/>
      <c r="AF63" s="2099"/>
      <c r="AG63" s="2099"/>
      <c r="AH63" s="2099"/>
      <c r="AI63" s="2099"/>
      <c r="AJ63" s="2099"/>
      <c r="AK63" s="2100"/>
      <c r="AL63" s="196"/>
      <c r="AM63" s="196"/>
      <c r="AN63" s="196"/>
      <c r="AO63" s="229"/>
      <c r="AP63" s="195"/>
    </row>
    <row r="64" spans="2:53" ht="17.7" customHeight="1" x14ac:dyDescent="0.25">
      <c r="B64" s="2101"/>
      <c r="C64" s="2102"/>
      <c r="D64" s="2102"/>
      <c r="E64" s="2102"/>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2"/>
      <c r="AK64" s="2103"/>
      <c r="AL64" s="196"/>
      <c r="AM64" s="196"/>
      <c r="AN64" s="196"/>
      <c r="AO64" s="229"/>
      <c r="AP64" s="195"/>
    </row>
    <row r="65" spans="2:56" ht="17.7" customHeight="1" x14ac:dyDescent="0.25">
      <c r="B65" s="1002" t="str">
        <f>HLOOKUP(LANGUAGE!$B$2,LANGUAGE!$C$14:$G$1500,91)</f>
        <v>No.</v>
      </c>
      <c r="C65" s="1003" t="str">
        <f>HLOOKUP(LANGUAGE!$B$2,LANGUAGE!$C$14:$G$1500,73)</f>
        <v>Topic</v>
      </c>
      <c r="D65" s="1003"/>
      <c r="E65" s="1003" t="str">
        <f>HLOOKUP(LANGUAGE!$B$2,LANGUAGE!$C$14:$G$1500,92)</f>
        <v>Question</v>
      </c>
      <c r="F65" s="1003"/>
      <c r="G65" s="1003"/>
      <c r="H65" s="1003"/>
      <c r="I65" s="1003"/>
      <c r="J65" s="1003"/>
      <c r="K65" s="1003"/>
      <c r="L65" s="1003"/>
      <c r="M65" s="1003" t="str">
        <f>HLOOKUP(LANGUAGE!$B$2,LANGUAGE!$C$14:$G$1500,93)</f>
        <v>Notes</v>
      </c>
      <c r="N65" s="1003"/>
      <c r="O65" s="1003"/>
      <c r="P65" s="1003"/>
      <c r="Q65" s="1003"/>
      <c r="R65" s="1003"/>
      <c r="S65" s="1003"/>
      <c r="T65" s="1003"/>
      <c r="U65" s="1203" t="str">
        <f>HLOOKUP(LANGUAGE!$B$2,LANGUAGE!$C$14:$G$1500,114)</f>
        <v>Remarks</v>
      </c>
      <c r="V65" s="1203"/>
      <c r="W65" s="1203"/>
      <c r="X65" s="1203"/>
      <c r="Y65" s="1203"/>
      <c r="Z65" s="1003" t="str">
        <f>HLOOKUP(LANGUAGE!$B$2,LANGUAGE!$C$14:$G$1500,74)</f>
        <v>Evaluation</v>
      </c>
      <c r="AA65" s="1003"/>
      <c r="AB65" s="1003" t="str">
        <f>HLOOKUP(LANGUAGE!$B$2,LANGUAGE!$C$14:$G$1500,95)</f>
        <v>Action</v>
      </c>
      <c r="AC65" s="1003"/>
      <c r="AD65" s="1003"/>
      <c r="AE65" s="1203" t="str">
        <f>HLOOKUP(LANGUAGE!$B$2,LANGUAGE!$C$14:$G$1500,96)</f>
        <v>Responsible</v>
      </c>
      <c r="AF65" s="1203"/>
      <c r="AG65" s="1203"/>
      <c r="AH65" s="1003" t="str">
        <f>HLOOKUP(LANGUAGE!$B$2,LANGUAGE!$C$14:$G$1500,21)</f>
        <v>Date</v>
      </c>
      <c r="AI65" s="1003"/>
      <c r="AJ65" s="1003" t="str">
        <f>HLOOKUP(LANGUAGE!$B$2,LANGUAGE!$C$14:$G$1500,75)</f>
        <v>Action status</v>
      </c>
      <c r="AK65" s="1413"/>
      <c r="AL65" s="196"/>
      <c r="AM65" s="196"/>
      <c r="AN65" s="196"/>
      <c r="AO65" s="195"/>
    </row>
    <row r="66" spans="2:56" ht="17.7" customHeight="1" x14ac:dyDescent="0.25">
      <c r="B66" s="1002"/>
      <c r="C66" s="1003"/>
      <c r="D66" s="1003"/>
      <c r="E66" s="1003"/>
      <c r="F66" s="1003"/>
      <c r="G66" s="1003"/>
      <c r="H66" s="1003"/>
      <c r="I66" s="1003"/>
      <c r="J66" s="1003"/>
      <c r="K66" s="1003"/>
      <c r="L66" s="1003"/>
      <c r="M66" s="1003"/>
      <c r="N66" s="1003"/>
      <c r="O66" s="1003"/>
      <c r="P66" s="1003"/>
      <c r="Q66" s="1003"/>
      <c r="R66" s="1003"/>
      <c r="S66" s="1003"/>
      <c r="T66" s="1003"/>
      <c r="U66" s="1203"/>
      <c r="V66" s="1203"/>
      <c r="W66" s="1203"/>
      <c r="X66" s="1203"/>
      <c r="Y66" s="1203"/>
      <c r="Z66" s="1003"/>
      <c r="AA66" s="1003"/>
      <c r="AB66" s="1003"/>
      <c r="AC66" s="1003"/>
      <c r="AD66" s="1003"/>
      <c r="AE66" s="1203"/>
      <c r="AF66" s="1203"/>
      <c r="AG66" s="1203"/>
      <c r="AH66" s="1003"/>
      <c r="AI66" s="1003"/>
      <c r="AJ66" s="1003"/>
      <c r="AK66" s="1413"/>
      <c r="AL66" s="189"/>
      <c r="AM66" s="195"/>
      <c r="AN66" s="195"/>
      <c r="AO66" s="195"/>
      <c r="AY66" s="208"/>
      <c r="AZ66" s="208"/>
      <c r="BA66" s="208"/>
      <c r="BB66" s="265">
        <f>MAX(BB67:BB207)</f>
        <v>0</v>
      </c>
    </row>
    <row r="67" spans="2:56" ht="17.7" customHeight="1" x14ac:dyDescent="0.25">
      <c r="B67" s="2105" t="s">
        <v>2178</v>
      </c>
      <c r="C67" s="2107" t="str">
        <f>HLOOKUP(LANGUAGE!$B$2,LANGUAGE!$C$14:$G$1500,1110)</f>
        <v>Capacity</v>
      </c>
      <c r="D67" s="2107"/>
      <c r="E67" s="2109" t="str">
        <f>HLOOKUP(LANGUAGE!$B$2,LANGUAGE!$C$14:$G$1500,1111)</f>
        <v>Are the planned cycle times maintained and are there still sufficient capacity reserves available?</v>
      </c>
      <c r="F67" s="2109"/>
      <c r="G67" s="2109"/>
      <c r="H67" s="2109"/>
      <c r="I67" s="2109"/>
      <c r="J67" s="2109"/>
      <c r="K67" s="2109"/>
      <c r="L67" s="2109"/>
      <c r="M67" s="2109" t="str">
        <f>HLOOKUP(LANGUAGE!$B$2,LANGUAGE!$C$14:$G$1500,1112)</f>
        <v>High attention should be paid to the bottleneck processes. The highest annual quantity to be calculated (peak volume).</v>
      </c>
      <c r="N67" s="2109"/>
      <c r="O67" s="2109"/>
      <c r="P67" s="2109"/>
      <c r="Q67" s="2109"/>
      <c r="R67" s="2109"/>
      <c r="S67" s="2109"/>
      <c r="T67" s="2109"/>
      <c r="U67" s="2212"/>
      <c r="V67" s="2111"/>
      <c r="W67" s="2111"/>
      <c r="X67" s="2111"/>
      <c r="Y67" s="2111"/>
      <c r="Z67" s="2213" t="str">
        <f>IF(AY45=1,LANGUAGE!F4,IF(AY45=2,LANGUAGE!F5,IF(AY45=3,LANGUAGE!F6,"")))</f>
        <v/>
      </c>
      <c r="AA67" s="2214"/>
      <c r="AB67" s="2113"/>
      <c r="AC67" s="2093"/>
      <c r="AD67" s="2093"/>
      <c r="AE67" s="2113"/>
      <c r="AF67" s="2093"/>
      <c r="AG67" s="2093"/>
      <c r="AH67" s="2094"/>
      <c r="AI67" s="2094"/>
      <c r="AJ67" s="2094"/>
      <c r="AK67" s="2095"/>
      <c r="AL67" s="189"/>
      <c r="AM67" s="195"/>
      <c r="AN67" s="195"/>
      <c r="AO67" s="195"/>
      <c r="AY67" s="3">
        <f>IF(ISNUMBER(MATCH(Z67,LANGUAGE!$C$137:$G$137,0)),0,IF(ISNUMBER(MATCH(Z67,LANGUAGE!$C$138:$G$138,0)),1,IF(ISNUMBER(MATCH(Z67,LANGUAGE!$C$139:$G$139,0)),2,IF(ISNUMBER(MATCH(Z67,LANGUAGE!$C$140:$G$140,0)),3,0))))</f>
        <v>0</v>
      </c>
      <c r="BA67" s="333">
        <f>IF(AY67=0,0,3)</f>
        <v>0</v>
      </c>
      <c r="BB67" s="191">
        <f>IF(AND(AY67&gt;1,BA67=0),10,AY67+BA67)</f>
        <v>0</v>
      </c>
      <c r="BD67" s="3">
        <f>IF(ISNUMBER(MATCH(AJ67,LANGUAGE!$C$141:$G$141,0)),3,IF(ISNUMBER(MATCH(AJ67,LANGUAGE!$C$142:$G$142,0)),1,0))</f>
        <v>0</v>
      </c>
    </row>
    <row r="68" spans="2:56" ht="17.7" customHeight="1" x14ac:dyDescent="0.25">
      <c r="B68" s="2105"/>
      <c r="C68" s="2107"/>
      <c r="D68" s="2107"/>
      <c r="E68" s="2109"/>
      <c r="F68" s="2109"/>
      <c r="G68" s="2109"/>
      <c r="H68" s="2109"/>
      <c r="I68" s="2109"/>
      <c r="J68" s="2109"/>
      <c r="K68" s="2109"/>
      <c r="L68" s="2109"/>
      <c r="M68" s="2109"/>
      <c r="N68" s="2109"/>
      <c r="O68" s="2109"/>
      <c r="P68" s="2109"/>
      <c r="Q68" s="2109"/>
      <c r="R68" s="2109"/>
      <c r="S68" s="2109"/>
      <c r="T68" s="2109"/>
      <c r="U68" s="2111"/>
      <c r="V68" s="2111"/>
      <c r="W68" s="2111"/>
      <c r="X68" s="2111"/>
      <c r="Y68" s="2111"/>
      <c r="Z68" s="2214"/>
      <c r="AA68" s="2214"/>
      <c r="AB68" s="2093"/>
      <c r="AC68" s="2093"/>
      <c r="AD68" s="2093"/>
      <c r="AE68" s="2093"/>
      <c r="AF68" s="2093"/>
      <c r="AG68" s="2093"/>
      <c r="AH68" s="2094"/>
      <c r="AI68" s="2094"/>
      <c r="AJ68" s="2094"/>
      <c r="AK68" s="2095"/>
      <c r="AL68" s="189"/>
      <c r="AM68" s="195"/>
      <c r="AN68" s="195"/>
      <c r="AO68" s="195"/>
      <c r="AY68" s="3"/>
      <c r="BA68" s="3"/>
    </row>
    <row r="69" spans="2:56" ht="17.7" customHeight="1" thickBot="1" x14ac:dyDescent="0.3">
      <c r="B69" s="2106"/>
      <c r="C69" s="2108"/>
      <c r="D69" s="2108"/>
      <c r="E69" s="2110"/>
      <c r="F69" s="2110"/>
      <c r="G69" s="2110"/>
      <c r="H69" s="2110"/>
      <c r="I69" s="2110"/>
      <c r="J69" s="2110"/>
      <c r="K69" s="2110"/>
      <c r="L69" s="2110"/>
      <c r="M69" s="2110"/>
      <c r="N69" s="2110"/>
      <c r="O69" s="2110"/>
      <c r="P69" s="2110"/>
      <c r="Q69" s="2110"/>
      <c r="R69" s="2110"/>
      <c r="S69" s="2110"/>
      <c r="T69" s="2110"/>
      <c r="U69" s="2112"/>
      <c r="V69" s="2112"/>
      <c r="W69" s="2112"/>
      <c r="X69" s="2112"/>
      <c r="Y69" s="2112"/>
      <c r="Z69" s="2215"/>
      <c r="AA69" s="2215"/>
      <c r="AB69" s="2114"/>
      <c r="AC69" s="2114"/>
      <c r="AD69" s="2114"/>
      <c r="AE69" s="2114"/>
      <c r="AF69" s="2114"/>
      <c r="AG69" s="2114"/>
      <c r="AH69" s="2096"/>
      <c r="AI69" s="2096"/>
      <c r="AJ69" s="2096"/>
      <c r="AK69" s="2097"/>
      <c r="AL69" s="189"/>
      <c r="AM69" s="195"/>
      <c r="AN69" s="195"/>
      <c r="AO69" s="195"/>
      <c r="AY69" s="3"/>
      <c r="BA69" s="3"/>
    </row>
    <row r="70" spans="2:56" ht="18" customHeight="1" thickBot="1" x14ac:dyDescent="0.3">
      <c r="AY70" s="3"/>
      <c r="BA70" s="3"/>
    </row>
    <row r="71" spans="2:56" ht="17.7" customHeight="1" x14ac:dyDescent="0.25">
      <c r="B71" s="2098" t="str">
        <f>HLOOKUP(LANGUAGE!$B$2,LANGUAGE!$C$14:$G$1500,1119)</f>
        <v>Documents</v>
      </c>
      <c r="C71" s="2099"/>
      <c r="D71" s="2099"/>
      <c r="E71" s="2099"/>
      <c r="F71" s="2099"/>
      <c r="G71" s="2099"/>
      <c r="H71" s="2099"/>
      <c r="I71" s="2099"/>
      <c r="J71" s="2099"/>
      <c r="K71" s="2099"/>
      <c r="L71" s="2099"/>
      <c r="M71" s="2099"/>
      <c r="N71" s="2099"/>
      <c r="O71" s="2099"/>
      <c r="P71" s="2099"/>
      <c r="Q71" s="2099"/>
      <c r="R71" s="2099"/>
      <c r="S71" s="2099"/>
      <c r="T71" s="2099"/>
      <c r="U71" s="2099"/>
      <c r="V71" s="2099"/>
      <c r="W71" s="2099"/>
      <c r="X71" s="2099"/>
      <c r="Y71" s="2099"/>
      <c r="Z71" s="2099"/>
      <c r="AA71" s="2099"/>
      <c r="AB71" s="2099"/>
      <c r="AC71" s="2099"/>
      <c r="AD71" s="2099"/>
      <c r="AE71" s="2099"/>
      <c r="AF71" s="2099"/>
      <c r="AG71" s="2099"/>
      <c r="AH71" s="2099"/>
      <c r="AI71" s="2099"/>
      <c r="AJ71" s="2099"/>
      <c r="AK71" s="2100"/>
      <c r="AL71" s="189"/>
      <c r="AM71" s="195"/>
      <c r="AN71" s="195"/>
      <c r="AO71" s="195"/>
      <c r="AY71" s="3"/>
      <c r="BA71" s="3"/>
    </row>
    <row r="72" spans="2:56" ht="17.7" customHeight="1" x14ac:dyDescent="0.25">
      <c r="B72" s="2101"/>
      <c r="C72" s="2102"/>
      <c r="D72" s="2102"/>
      <c r="E72" s="2102"/>
      <c r="F72" s="2102"/>
      <c r="G72" s="2102"/>
      <c r="H72" s="2102"/>
      <c r="I72" s="2102"/>
      <c r="J72" s="2102"/>
      <c r="K72" s="2102"/>
      <c r="L72" s="2102"/>
      <c r="M72" s="2102"/>
      <c r="N72" s="2102"/>
      <c r="O72" s="2102"/>
      <c r="P72" s="2102"/>
      <c r="Q72" s="2102"/>
      <c r="R72" s="2102"/>
      <c r="S72" s="2102"/>
      <c r="T72" s="2102"/>
      <c r="U72" s="2102"/>
      <c r="V72" s="2102"/>
      <c r="W72" s="2102"/>
      <c r="X72" s="2102"/>
      <c r="Y72" s="2102"/>
      <c r="Z72" s="2102"/>
      <c r="AA72" s="2102"/>
      <c r="AB72" s="2102"/>
      <c r="AC72" s="2102"/>
      <c r="AD72" s="2102"/>
      <c r="AE72" s="2102"/>
      <c r="AF72" s="2102"/>
      <c r="AG72" s="2102"/>
      <c r="AH72" s="2102"/>
      <c r="AI72" s="2102"/>
      <c r="AJ72" s="2102"/>
      <c r="AK72" s="2103"/>
      <c r="AL72" s="189"/>
      <c r="AM72" s="195"/>
      <c r="AN72" s="195"/>
      <c r="AO72" s="195"/>
      <c r="AY72" s="3"/>
      <c r="BA72" s="3"/>
    </row>
    <row r="73" spans="2:56" ht="17.7" customHeight="1" x14ac:dyDescent="0.25">
      <c r="B73" s="1002" t="str">
        <f>HLOOKUP(LANGUAGE!$B$2,LANGUAGE!$C$14:$G$1500,91)</f>
        <v>No.</v>
      </c>
      <c r="C73" s="1003" t="str">
        <f>HLOOKUP(LANGUAGE!$B$2,LANGUAGE!$C$14:$G$1500,73)</f>
        <v>Topic</v>
      </c>
      <c r="D73" s="1003"/>
      <c r="E73" s="1003" t="str">
        <f>HLOOKUP(LANGUAGE!$B$2,LANGUAGE!$C$14:$G$1500,92)</f>
        <v>Question</v>
      </c>
      <c r="F73" s="1003"/>
      <c r="G73" s="1003"/>
      <c r="H73" s="1003"/>
      <c r="I73" s="1003"/>
      <c r="J73" s="1003"/>
      <c r="K73" s="1003"/>
      <c r="L73" s="1003"/>
      <c r="M73" s="1003" t="str">
        <f>HLOOKUP(LANGUAGE!$B$2,LANGUAGE!$C$14:$G$1500,93)</f>
        <v>Notes</v>
      </c>
      <c r="N73" s="1003"/>
      <c r="O73" s="1003"/>
      <c r="P73" s="1003"/>
      <c r="Q73" s="1003"/>
      <c r="R73" s="1003"/>
      <c r="S73" s="1003"/>
      <c r="T73" s="1003"/>
      <c r="U73" s="1203" t="str">
        <f>HLOOKUP(LANGUAGE!$B$2,LANGUAGE!$C$14:$G$1500,114)</f>
        <v>Remarks</v>
      </c>
      <c r="V73" s="1203"/>
      <c r="W73" s="1203"/>
      <c r="X73" s="1203"/>
      <c r="Y73" s="1203"/>
      <c r="Z73" s="1003" t="str">
        <f>HLOOKUP(LANGUAGE!$B$2,LANGUAGE!$C$14:$G$1500,74)</f>
        <v>Evaluation</v>
      </c>
      <c r="AA73" s="1003"/>
      <c r="AB73" s="1003" t="str">
        <f>HLOOKUP(LANGUAGE!$B$2,LANGUAGE!$C$14:$G$1500,95)</f>
        <v>Action</v>
      </c>
      <c r="AC73" s="1003"/>
      <c r="AD73" s="1003"/>
      <c r="AE73" s="1203" t="str">
        <f>HLOOKUP(LANGUAGE!$B$2,LANGUAGE!$C$14:$G$1500,96)</f>
        <v>Responsible</v>
      </c>
      <c r="AF73" s="1203"/>
      <c r="AG73" s="1203"/>
      <c r="AH73" s="1003" t="str">
        <f>HLOOKUP(LANGUAGE!$B$2,LANGUAGE!$C$14:$G$1500,21)</f>
        <v>Date</v>
      </c>
      <c r="AI73" s="1003"/>
      <c r="AJ73" s="1003" t="str">
        <f>HLOOKUP(LANGUAGE!$B$2,LANGUAGE!$C$14:$G$1500,75)</f>
        <v>Action status</v>
      </c>
      <c r="AK73" s="1413"/>
      <c r="AL73" s="189"/>
      <c r="AM73" s="195"/>
      <c r="AN73" s="195"/>
      <c r="AO73" s="195"/>
      <c r="AY73" s="3"/>
      <c r="BA73" s="3"/>
    </row>
    <row r="74" spans="2:56" ht="17.7" customHeight="1" x14ac:dyDescent="0.25">
      <c r="B74" s="1002"/>
      <c r="C74" s="1003"/>
      <c r="D74" s="1003"/>
      <c r="E74" s="1003"/>
      <c r="F74" s="1003"/>
      <c r="G74" s="1003"/>
      <c r="H74" s="1003"/>
      <c r="I74" s="1003"/>
      <c r="J74" s="1003"/>
      <c r="K74" s="1003"/>
      <c r="L74" s="1003"/>
      <c r="M74" s="1003"/>
      <c r="N74" s="1003"/>
      <c r="O74" s="1003"/>
      <c r="P74" s="1003"/>
      <c r="Q74" s="1003"/>
      <c r="R74" s="1003"/>
      <c r="S74" s="1003"/>
      <c r="T74" s="1003"/>
      <c r="U74" s="1203"/>
      <c r="V74" s="1203"/>
      <c r="W74" s="1203"/>
      <c r="X74" s="1203"/>
      <c r="Y74" s="1203"/>
      <c r="Z74" s="1003"/>
      <c r="AA74" s="1003"/>
      <c r="AB74" s="1003"/>
      <c r="AC74" s="1003"/>
      <c r="AD74" s="1003"/>
      <c r="AE74" s="1203"/>
      <c r="AF74" s="1203"/>
      <c r="AG74" s="1203"/>
      <c r="AH74" s="1003"/>
      <c r="AI74" s="1003"/>
      <c r="AJ74" s="1003"/>
      <c r="AK74" s="1413"/>
      <c r="AL74" s="189"/>
      <c r="AM74" s="195"/>
      <c r="AN74" s="195"/>
      <c r="AO74" s="195"/>
      <c r="AY74" s="3"/>
      <c r="BA74" s="3"/>
    </row>
    <row r="75" spans="2:56" ht="17.7" customHeight="1" x14ac:dyDescent="0.25">
      <c r="B75" s="2104" t="s">
        <v>2179</v>
      </c>
      <c r="C75" s="2107" t="str">
        <f>HLOOKUP(LANGUAGE!$B$2,LANGUAGE!$C$14:$G$1500,1120)</f>
        <v>Special characteris-tics</v>
      </c>
      <c r="D75" s="2107"/>
      <c r="E75" s="2109" t="str">
        <f>HLOOKUP(LANGUAGE!$B$2,LANGUAGE!$C$14:$G$1500,1121)</f>
        <v>Is the continuity and identification of the special characteristics  fulfilled?</v>
      </c>
      <c r="F75" s="2109"/>
      <c r="G75" s="2109"/>
      <c r="H75" s="2109"/>
      <c r="I75" s="2109"/>
      <c r="J75" s="2109"/>
      <c r="K75" s="2109"/>
      <c r="L75" s="2109"/>
      <c r="M75" s="2109" t="str">
        <f>HLOOKUP(LANGUAGE!$B$2,LANGUAGE!$C$14:$G$1500,1122)</f>
        <v>(P-FMEA, production control plan, test plan, ...)</v>
      </c>
      <c r="N75" s="2109"/>
      <c r="O75" s="2109"/>
      <c r="P75" s="2109"/>
      <c r="Q75" s="2109"/>
      <c r="R75" s="2109"/>
      <c r="S75" s="2109"/>
      <c r="T75" s="2109"/>
      <c r="U75" s="2111"/>
      <c r="V75" s="2111"/>
      <c r="W75" s="2111"/>
      <c r="X75" s="2111"/>
      <c r="Y75" s="2111"/>
      <c r="Z75" s="1510"/>
      <c r="AA75" s="1510"/>
      <c r="AB75" s="2093"/>
      <c r="AC75" s="2093"/>
      <c r="AD75" s="2093"/>
      <c r="AE75" s="2093"/>
      <c r="AF75" s="2093"/>
      <c r="AG75" s="2093"/>
      <c r="AH75" s="2094"/>
      <c r="AI75" s="2094"/>
      <c r="AJ75" s="2094"/>
      <c r="AK75" s="2095"/>
      <c r="AL75" s="189"/>
      <c r="AM75" s="195"/>
      <c r="AN75" s="195"/>
      <c r="AO75" s="195"/>
      <c r="AY75" s="3">
        <f>IF(ISNUMBER(MATCH(Z75,LANGUAGE!$C$137:$G$137,0)),0,IF(ISNUMBER(MATCH(Z75,LANGUAGE!$C$138:$G$138,0)),1,IF(ISNUMBER(MATCH(Z75,LANGUAGE!$C$139:$G$139,0)),2,IF(ISNUMBER(MATCH(Z75,LANGUAGE!$C$140:$G$140,0)),3,0))))</f>
        <v>0</v>
      </c>
      <c r="BA75" s="3">
        <f>IF(ISNUMBER(MATCH(AJ75,LANGUAGE!$C$141:$G$141,0)),3,IF(ISNUMBER(MATCH(AJ75,LANGUAGE!$C$142:$G$142,0)),1,0))</f>
        <v>0</v>
      </c>
      <c r="BB75" s="191">
        <f t="shared" ref="BB75:BB151" si="12">IF(AND(AY75&gt;1,BA75=0),10,AY75+BA75)</f>
        <v>0</v>
      </c>
    </row>
    <row r="76" spans="2:56" ht="17.7" customHeight="1" x14ac:dyDescent="0.25">
      <c r="B76" s="2105"/>
      <c r="C76" s="2107"/>
      <c r="D76" s="2107"/>
      <c r="E76" s="2109"/>
      <c r="F76" s="2109"/>
      <c r="G76" s="2109"/>
      <c r="H76" s="2109"/>
      <c r="I76" s="2109"/>
      <c r="J76" s="2109"/>
      <c r="K76" s="2109"/>
      <c r="L76" s="2109"/>
      <c r="M76" s="2109"/>
      <c r="N76" s="2109"/>
      <c r="O76" s="2109"/>
      <c r="P76" s="2109"/>
      <c r="Q76" s="2109"/>
      <c r="R76" s="2109"/>
      <c r="S76" s="2109"/>
      <c r="T76" s="2109"/>
      <c r="U76" s="2111"/>
      <c r="V76" s="2111"/>
      <c r="W76" s="2111"/>
      <c r="X76" s="2111"/>
      <c r="Y76" s="2111"/>
      <c r="Z76" s="1510"/>
      <c r="AA76" s="1510"/>
      <c r="AB76" s="2093"/>
      <c r="AC76" s="2093"/>
      <c r="AD76" s="2093"/>
      <c r="AE76" s="2093"/>
      <c r="AF76" s="2093"/>
      <c r="AG76" s="2093"/>
      <c r="AH76" s="2094"/>
      <c r="AI76" s="2094"/>
      <c r="AJ76" s="2094"/>
      <c r="AK76" s="2095"/>
      <c r="AL76" s="189"/>
      <c r="AM76" s="195"/>
      <c r="AN76" s="195"/>
      <c r="AO76" s="195"/>
      <c r="AY76" s="3"/>
      <c r="BA76" s="3"/>
    </row>
    <row r="77" spans="2:56" ht="17.25" customHeight="1" x14ac:dyDescent="0.25">
      <c r="B77" s="2105"/>
      <c r="C77" s="2107"/>
      <c r="D77" s="2107"/>
      <c r="E77" s="2109"/>
      <c r="F77" s="2109"/>
      <c r="G77" s="2109"/>
      <c r="H77" s="2109"/>
      <c r="I77" s="2109"/>
      <c r="J77" s="2109"/>
      <c r="K77" s="2109"/>
      <c r="L77" s="2109"/>
      <c r="M77" s="2109"/>
      <c r="N77" s="2109"/>
      <c r="O77" s="2109"/>
      <c r="P77" s="2109"/>
      <c r="Q77" s="2109"/>
      <c r="R77" s="2109"/>
      <c r="S77" s="2109"/>
      <c r="T77" s="2109"/>
      <c r="U77" s="2111"/>
      <c r="V77" s="2111"/>
      <c r="W77" s="2111"/>
      <c r="X77" s="2111"/>
      <c r="Y77" s="2111"/>
      <c r="Z77" s="1510"/>
      <c r="AA77" s="1510"/>
      <c r="AB77" s="2093"/>
      <c r="AC77" s="2093"/>
      <c r="AD77" s="2093"/>
      <c r="AE77" s="2093"/>
      <c r="AF77" s="2093"/>
      <c r="AG77" s="2093"/>
      <c r="AH77" s="2094"/>
      <c r="AI77" s="2094"/>
      <c r="AJ77" s="2094"/>
      <c r="AK77" s="2095"/>
      <c r="AL77" s="189"/>
      <c r="AM77" s="195"/>
      <c r="AN77" s="195"/>
      <c r="AO77" s="195"/>
      <c r="AY77" s="3"/>
      <c r="BA77" s="3"/>
    </row>
    <row r="78" spans="2:56" ht="17.7" customHeight="1" x14ac:dyDescent="0.25">
      <c r="B78" s="2105" t="s">
        <v>2180</v>
      </c>
      <c r="C78" s="2107" t="str">
        <f>HLOOKUP(LANGUAGE!$B$2,LANGUAGE!$C$14:$G$1500,1124)</f>
        <v>P-FMEA</v>
      </c>
      <c r="D78" s="2107"/>
      <c r="E78" s="2109" t="str">
        <f>HLOOKUP(LANGUAGE!$B$2,LANGUAGE!$C$14:$G$1500,1125)</f>
        <v>Are possible errors with task priority "H" (High Priority) and "M" (Medium Priority) from the P-FMEA considered and are corresponding actions implemented resp. planned and scheduled?</v>
      </c>
      <c r="F78" s="2109"/>
      <c r="G78" s="2109"/>
      <c r="H78" s="2109"/>
      <c r="I78" s="2109"/>
      <c r="J78" s="2109"/>
      <c r="K78" s="2109"/>
      <c r="L78" s="2109"/>
      <c r="M78" s="2109" t="str">
        <f>HLOOKUP(LANGUAGE!$B$2,LANGUAGE!$C$14:$G$1500,1126)</f>
        <v>P-FMEA review, ranking acc. to VDA/AIAG manual.</v>
      </c>
      <c r="N78" s="2109"/>
      <c r="O78" s="2109"/>
      <c r="P78" s="2109"/>
      <c r="Q78" s="2109"/>
      <c r="R78" s="2109"/>
      <c r="S78" s="2109"/>
      <c r="T78" s="2109"/>
      <c r="U78" s="2111"/>
      <c r="V78" s="2111"/>
      <c r="W78" s="2111"/>
      <c r="X78" s="2111"/>
      <c r="Y78" s="2111"/>
      <c r="Z78" s="2093"/>
      <c r="AA78" s="2093"/>
      <c r="AB78" s="2093"/>
      <c r="AC78" s="2093"/>
      <c r="AD78" s="2093"/>
      <c r="AE78" s="2093"/>
      <c r="AF78" s="2093"/>
      <c r="AG78" s="2093"/>
      <c r="AH78" s="2094"/>
      <c r="AI78" s="2094"/>
      <c r="AJ78" s="2094"/>
      <c r="AK78" s="2095"/>
      <c r="AL78" s="189"/>
      <c r="AM78" s="195"/>
      <c r="AN78" s="195"/>
      <c r="AO78" s="195"/>
      <c r="AY78" s="3">
        <f>IF(ISNUMBER(MATCH(Z78,LANGUAGE!$C$137:$G$137,0)),0,IF(ISNUMBER(MATCH(Z78,LANGUAGE!$C$138:$G$138,0)),1,IF(ISNUMBER(MATCH(Z78,LANGUAGE!$C$139:$G$139,0)),2,IF(ISNUMBER(MATCH(Z78,LANGUAGE!$C$140:$G$140,0)),3,0))))</f>
        <v>0</v>
      </c>
      <c r="BA78" s="3">
        <f>IF(ISNUMBER(MATCH(AJ78,LANGUAGE!$C$141:$G$141,0)),3,IF(ISNUMBER(MATCH(AJ78,LANGUAGE!$C$142:$G$142,0)),1,0))</f>
        <v>0</v>
      </c>
      <c r="BB78" s="191">
        <f t="shared" si="12"/>
        <v>0</v>
      </c>
    </row>
    <row r="79" spans="2:56" ht="17.7" customHeight="1" x14ac:dyDescent="0.25">
      <c r="B79" s="2105"/>
      <c r="C79" s="2107"/>
      <c r="D79" s="2107"/>
      <c r="E79" s="2109"/>
      <c r="F79" s="2109"/>
      <c r="G79" s="2109"/>
      <c r="H79" s="2109"/>
      <c r="I79" s="2109"/>
      <c r="J79" s="2109"/>
      <c r="K79" s="2109"/>
      <c r="L79" s="2109"/>
      <c r="M79" s="2109"/>
      <c r="N79" s="2109"/>
      <c r="O79" s="2109"/>
      <c r="P79" s="2109"/>
      <c r="Q79" s="2109"/>
      <c r="R79" s="2109"/>
      <c r="S79" s="2109"/>
      <c r="T79" s="2109"/>
      <c r="U79" s="2111"/>
      <c r="V79" s="2111"/>
      <c r="W79" s="2111"/>
      <c r="X79" s="2111"/>
      <c r="Y79" s="2111"/>
      <c r="Z79" s="2093"/>
      <c r="AA79" s="2093"/>
      <c r="AB79" s="2093"/>
      <c r="AC79" s="2093"/>
      <c r="AD79" s="2093"/>
      <c r="AE79" s="2093"/>
      <c r="AF79" s="2093"/>
      <c r="AG79" s="2093"/>
      <c r="AH79" s="2094"/>
      <c r="AI79" s="2094"/>
      <c r="AJ79" s="2094"/>
      <c r="AK79" s="2095"/>
      <c r="AL79" s="189"/>
      <c r="AM79" s="195"/>
      <c r="AN79" s="195"/>
      <c r="AO79" s="195"/>
      <c r="AY79" s="3"/>
      <c r="BA79" s="3"/>
    </row>
    <row r="80" spans="2:56" ht="17.7" customHeight="1" x14ac:dyDescent="0.25">
      <c r="B80" s="2105"/>
      <c r="C80" s="2107"/>
      <c r="D80" s="2107"/>
      <c r="E80" s="2109"/>
      <c r="F80" s="2109"/>
      <c r="G80" s="2109"/>
      <c r="H80" s="2109"/>
      <c r="I80" s="2109"/>
      <c r="J80" s="2109"/>
      <c r="K80" s="2109"/>
      <c r="L80" s="2109"/>
      <c r="M80" s="2109"/>
      <c r="N80" s="2109"/>
      <c r="O80" s="2109"/>
      <c r="P80" s="2109"/>
      <c r="Q80" s="2109"/>
      <c r="R80" s="2109"/>
      <c r="S80" s="2109"/>
      <c r="T80" s="2109"/>
      <c r="U80" s="2111"/>
      <c r="V80" s="2111"/>
      <c r="W80" s="2111"/>
      <c r="X80" s="2111"/>
      <c r="Y80" s="2111"/>
      <c r="Z80" s="2093"/>
      <c r="AA80" s="2093"/>
      <c r="AB80" s="2093"/>
      <c r="AC80" s="2093"/>
      <c r="AD80" s="2093"/>
      <c r="AE80" s="2093"/>
      <c r="AF80" s="2093"/>
      <c r="AG80" s="2093"/>
      <c r="AH80" s="2094"/>
      <c r="AI80" s="2094"/>
      <c r="AJ80" s="2094"/>
      <c r="AK80" s="2095"/>
      <c r="AL80" s="189"/>
      <c r="AM80" s="195"/>
      <c r="AN80" s="195"/>
      <c r="AO80" s="195"/>
      <c r="AY80" s="3"/>
      <c r="BA80" s="3"/>
    </row>
    <row r="81" spans="2:54" ht="17.7" customHeight="1" x14ac:dyDescent="0.25">
      <c r="B81" s="2105" t="s">
        <v>2181</v>
      </c>
      <c r="C81" s="2107" t="str">
        <f>HLOOKUP(LANGUAGE!$B$2,LANGUAGE!$C$14:$G$1500,1128)</f>
        <v>Tool-/Process checklist</v>
      </c>
      <c r="D81" s="2107"/>
      <c r="E81" s="2109" t="str">
        <f>HLOOKUP(LANGUAGE!$B$2,LANGUAGE!$C$14:$G$1500,1129)</f>
        <v>Is the checklist for the tool or process concept (see FS) completely filled out and released?
For injection molding/ die casting and stamping parts: Is the worksheet "Weights" completed?</v>
      </c>
      <c r="F81" s="2109"/>
      <c r="G81" s="2109"/>
      <c r="H81" s="2109"/>
      <c r="I81" s="2109"/>
      <c r="J81" s="2109"/>
      <c r="K81" s="2109"/>
      <c r="L81" s="2109"/>
      <c r="M81" s="2109" t="str">
        <f>HLOOKUP(LANGUAGE!$B$2,LANGUAGE!$C$14:$G$1500,1130)</f>
        <v>The Process- and Tool-Data-Sheets for the relevant technology are available on the Brose Homepage
(https://www.brose.com/de-en/purchasing/handbooks-templates/)</v>
      </c>
      <c r="N81" s="2109"/>
      <c r="O81" s="2109"/>
      <c r="P81" s="2109"/>
      <c r="Q81" s="2109"/>
      <c r="R81" s="2109"/>
      <c r="S81" s="2109"/>
      <c r="T81" s="2109"/>
      <c r="U81" s="2111"/>
      <c r="V81" s="2111"/>
      <c r="W81" s="2111"/>
      <c r="X81" s="2111"/>
      <c r="Y81" s="2111"/>
      <c r="Z81" s="2113"/>
      <c r="AA81" s="2093"/>
      <c r="AB81" s="2093"/>
      <c r="AC81" s="2093"/>
      <c r="AD81" s="2093"/>
      <c r="AE81" s="2093"/>
      <c r="AF81" s="2093"/>
      <c r="AG81" s="2093"/>
      <c r="AH81" s="2094"/>
      <c r="AI81" s="2094"/>
      <c r="AJ81" s="2094"/>
      <c r="AK81" s="2095"/>
      <c r="AL81" s="189"/>
      <c r="AM81" s="195"/>
      <c r="AN81" s="195"/>
      <c r="AO81" s="195"/>
      <c r="AY81" s="3">
        <f>IF(ISNUMBER(MATCH(Z81,LANGUAGE!$C$137:$G$137,0)),0,IF(ISNUMBER(MATCH(Z81,LANGUAGE!$C$138:$G$138,0)),1,IF(ISNUMBER(MATCH(Z81,LANGUAGE!$C$139:$G$139,0)),2,IF(ISNUMBER(MATCH(Z81,LANGUAGE!$C$140:$G$140,0)),3,0))))</f>
        <v>0</v>
      </c>
      <c r="BA81" s="3">
        <f>IF(ISNUMBER(MATCH(AJ81,LANGUAGE!$C$141:$G$141,0)),3,IF(ISNUMBER(MATCH(AJ81,LANGUAGE!$C$142:$G$142,0)),1,0))</f>
        <v>0</v>
      </c>
      <c r="BB81" s="191">
        <f t="shared" si="12"/>
        <v>0</v>
      </c>
    </row>
    <row r="82" spans="2:54" ht="17.7" customHeight="1" x14ac:dyDescent="0.25">
      <c r="B82" s="2105"/>
      <c r="C82" s="2107"/>
      <c r="D82" s="2107"/>
      <c r="E82" s="2109"/>
      <c r="F82" s="2109"/>
      <c r="G82" s="2109"/>
      <c r="H82" s="2109"/>
      <c r="I82" s="2109"/>
      <c r="J82" s="2109"/>
      <c r="K82" s="2109"/>
      <c r="L82" s="2109"/>
      <c r="M82" s="2109"/>
      <c r="N82" s="2109"/>
      <c r="O82" s="2109"/>
      <c r="P82" s="2109"/>
      <c r="Q82" s="2109"/>
      <c r="R82" s="2109"/>
      <c r="S82" s="2109"/>
      <c r="T82" s="2109"/>
      <c r="U82" s="2111"/>
      <c r="V82" s="2111"/>
      <c r="W82" s="2111"/>
      <c r="X82" s="2111"/>
      <c r="Y82" s="2111"/>
      <c r="Z82" s="2093"/>
      <c r="AA82" s="2093"/>
      <c r="AB82" s="2093"/>
      <c r="AC82" s="2093"/>
      <c r="AD82" s="2093"/>
      <c r="AE82" s="2093"/>
      <c r="AF82" s="2093"/>
      <c r="AG82" s="2093"/>
      <c r="AH82" s="2094"/>
      <c r="AI82" s="2094"/>
      <c r="AJ82" s="2094"/>
      <c r="AK82" s="2095"/>
      <c r="AL82" s="189"/>
      <c r="AM82" s="195"/>
      <c r="AN82" s="195"/>
      <c r="AO82" s="195"/>
      <c r="AY82" s="3"/>
      <c r="BA82" s="3"/>
    </row>
    <row r="83" spans="2:54" ht="25.55" customHeight="1" x14ac:dyDescent="0.25">
      <c r="B83" s="2105"/>
      <c r="C83" s="2107"/>
      <c r="D83" s="2107"/>
      <c r="E83" s="2109"/>
      <c r="F83" s="2109"/>
      <c r="G83" s="2109"/>
      <c r="H83" s="2109"/>
      <c r="I83" s="2109"/>
      <c r="J83" s="2109"/>
      <c r="K83" s="2109"/>
      <c r="L83" s="2109"/>
      <c r="M83" s="2109"/>
      <c r="N83" s="2109"/>
      <c r="O83" s="2109"/>
      <c r="P83" s="2109"/>
      <c r="Q83" s="2109"/>
      <c r="R83" s="2109"/>
      <c r="S83" s="2109"/>
      <c r="T83" s="2109"/>
      <c r="U83" s="2111"/>
      <c r="V83" s="2111"/>
      <c r="W83" s="2111"/>
      <c r="X83" s="2111"/>
      <c r="Y83" s="2111"/>
      <c r="Z83" s="2093"/>
      <c r="AA83" s="2093"/>
      <c r="AB83" s="2093"/>
      <c r="AC83" s="2093"/>
      <c r="AD83" s="2093"/>
      <c r="AE83" s="2093"/>
      <c r="AF83" s="2093"/>
      <c r="AG83" s="2093"/>
      <c r="AH83" s="2094"/>
      <c r="AI83" s="2094"/>
      <c r="AJ83" s="2094"/>
      <c r="AK83" s="2095"/>
      <c r="AL83" s="189"/>
      <c r="AM83" s="195"/>
      <c r="AN83" s="195"/>
      <c r="AO83" s="195"/>
      <c r="AY83" s="3"/>
      <c r="BA83" s="3"/>
    </row>
    <row r="84" spans="2:54" ht="17.7" customHeight="1" x14ac:dyDescent="0.25">
      <c r="B84" s="2105" t="s">
        <v>2182</v>
      </c>
      <c r="C84" s="2216" t="str">
        <f>HLOOKUP(LANGUAGE!$B$2,LANGUAGE!$C$14:$G$1500,1114)</f>
        <v>Weights</v>
      </c>
      <c r="D84" s="2107"/>
      <c r="E84" s="2217" t="str">
        <f>HLOOKUP(LANGUAGE!$B$2,LANGUAGE!$C$14:$G$1500,1115)</f>
        <v>Has the tab "Weights" been filled in for the affected process?</v>
      </c>
      <c r="F84" s="2109"/>
      <c r="G84" s="2109"/>
      <c r="H84" s="2109"/>
      <c r="I84" s="2109"/>
      <c r="J84" s="2109"/>
      <c r="K84" s="2109"/>
      <c r="L84" s="2109"/>
      <c r="M84" s="2217" t="str">
        <f>HLOOKUP(LANGUAGE!$B$2,LANGUAGE!$C$14:$G$1500,1116)</f>
        <v>See tab "Weights"
In case of deviations in weight, please inform Brose purchasing!</v>
      </c>
      <c r="N84" s="2109"/>
      <c r="O84" s="2109"/>
      <c r="P84" s="2109"/>
      <c r="Q84" s="2109"/>
      <c r="R84" s="2109"/>
      <c r="S84" s="2109"/>
      <c r="T84" s="2109"/>
      <c r="U84" s="2212"/>
      <c r="V84" s="2111"/>
      <c r="W84" s="2111"/>
      <c r="X84" s="2111"/>
      <c r="Y84" s="2111"/>
      <c r="Z84" s="2113"/>
      <c r="AA84" s="2093"/>
      <c r="AB84" s="2093"/>
      <c r="AC84" s="2093"/>
      <c r="AD84" s="2093"/>
      <c r="AE84" s="2093"/>
      <c r="AF84" s="2093"/>
      <c r="AG84" s="2093"/>
      <c r="AH84" s="2094"/>
      <c r="AI84" s="2094"/>
      <c r="AJ84" s="2094"/>
      <c r="AK84" s="2095"/>
      <c r="AL84" s="189"/>
      <c r="AM84" s="195"/>
      <c r="AN84" s="195"/>
      <c r="AO84" s="195"/>
      <c r="AY84" s="3">
        <f>IF(ISNUMBER(MATCH(Z84,LANGUAGE!$C$137:$G$137,0)),0,IF(ISNUMBER(MATCH(Z84,LANGUAGE!$C$138:$G$138,0)),1,IF(ISNUMBER(MATCH(Z84,LANGUAGE!$C$139:$G$139,0)),2,IF(ISNUMBER(MATCH(Z84,LANGUAGE!$C$140:$G$140,0)),3,0))))</f>
        <v>0</v>
      </c>
      <c r="BA84" s="3">
        <f>IF(ISNUMBER(MATCH(AJ84,LANGUAGE!$C$141:$G$141,0)),3,IF(ISNUMBER(MATCH(AJ84,LANGUAGE!$C$142:$G$142,0)),1,0))</f>
        <v>0</v>
      </c>
      <c r="BB84" s="191">
        <f t="shared" ref="BB84" si="13">IF(AND(AY84&gt;1,BA84=0),10,AY84+BA84)</f>
        <v>0</v>
      </c>
    </row>
    <row r="85" spans="2:54" ht="17.7" customHeight="1" x14ac:dyDescent="0.25">
      <c r="B85" s="2105"/>
      <c r="C85" s="2107"/>
      <c r="D85" s="2107"/>
      <c r="E85" s="2109"/>
      <c r="F85" s="2109"/>
      <c r="G85" s="2109"/>
      <c r="H85" s="2109"/>
      <c r="I85" s="2109"/>
      <c r="J85" s="2109"/>
      <c r="K85" s="2109"/>
      <c r="L85" s="2109"/>
      <c r="M85" s="2109"/>
      <c r="N85" s="2109"/>
      <c r="O85" s="2109"/>
      <c r="P85" s="2109"/>
      <c r="Q85" s="2109"/>
      <c r="R85" s="2109"/>
      <c r="S85" s="2109"/>
      <c r="T85" s="2109"/>
      <c r="U85" s="2111"/>
      <c r="V85" s="2111"/>
      <c r="W85" s="2111"/>
      <c r="X85" s="2111"/>
      <c r="Y85" s="2111"/>
      <c r="Z85" s="2093"/>
      <c r="AA85" s="2093"/>
      <c r="AB85" s="2093"/>
      <c r="AC85" s="2093"/>
      <c r="AD85" s="2093"/>
      <c r="AE85" s="2093"/>
      <c r="AF85" s="2093"/>
      <c r="AG85" s="2093"/>
      <c r="AH85" s="2094"/>
      <c r="AI85" s="2094"/>
      <c r="AJ85" s="2094"/>
      <c r="AK85" s="2095"/>
      <c r="AL85" s="189"/>
      <c r="AM85" s="195"/>
      <c r="AN85" s="195"/>
      <c r="AO85" s="195"/>
      <c r="AY85" s="3"/>
      <c r="BA85" s="3"/>
    </row>
    <row r="86" spans="2:54" ht="13.15" x14ac:dyDescent="0.25">
      <c r="B86" s="2105"/>
      <c r="C86" s="2107"/>
      <c r="D86" s="2107"/>
      <c r="E86" s="2109"/>
      <c r="F86" s="2109"/>
      <c r="G86" s="2109"/>
      <c r="H86" s="2109"/>
      <c r="I86" s="2109"/>
      <c r="J86" s="2109"/>
      <c r="K86" s="2109"/>
      <c r="L86" s="2109"/>
      <c r="M86" s="2109"/>
      <c r="N86" s="2109"/>
      <c r="O86" s="2109"/>
      <c r="P86" s="2109"/>
      <c r="Q86" s="2109"/>
      <c r="R86" s="2109"/>
      <c r="S86" s="2109"/>
      <c r="T86" s="2109"/>
      <c r="U86" s="2111"/>
      <c r="V86" s="2111"/>
      <c r="W86" s="2111"/>
      <c r="X86" s="2111"/>
      <c r="Y86" s="2111"/>
      <c r="Z86" s="2093"/>
      <c r="AA86" s="2093"/>
      <c r="AB86" s="2093"/>
      <c r="AC86" s="2093"/>
      <c r="AD86" s="2093"/>
      <c r="AE86" s="2093"/>
      <c r="AF86" s="2093"/>
      <c r="AG86" s="2093"/>
      <c r="AH86" s="2094"/>
      <c r="AI86" s="2094"/>
      <c r="AJ86" s="2094"/>
      <c r="AK86" s="2095"/>
      <c r="AL86" s="189"/>
      <c r="AM86" s="195"/>
      <c r="AN86" s="195"/>
      <c r="AO86" s="195"/>
      <c r="AY86" s="3"/>
      <c r="BA86" s="3"/>
    </row>
    <row r="87" spans="2:54" ht="17.7" customHeight="1" x14ac:dyDescent="0.25">
      <c r="B87" s="2105" t="s">
        <v>2183</v>
      </c>
      <c r="C87" s="2107" t="str">
        <f>HLOOKUP(LANGUAGE!$B$2,LANGUAGE!$C$14:$G$1500,1132)</f>
        <v>Emergency Plan</v>
      </c>
      <c r="D87" s="2107"/>
      <c r="E87" s="2109" t="str">
        <f>HLOOKUP(LANGUAGE!$B$2,LANGUAGE!$C$14:$G$1500,1133)</f>
        <v>Parts-releated emergency plan available (see FS)?</v>
      </c>
      <c r="F87" s="2109"/>
      <c r="G87" s="2109"/>
      <c r="H87" s="2109"/>
      <c r="I87" s="2109"/>
      <c r="J87" s="2109"/>
      <c r="K87" s="2109"/>
      <c r="L87" s="2109"/>
      <c r="M87" s="2109" t="str">
        <f>HLOOKUP(LANGUAGE!$B$2,LANGUAGE!$C$14:$G$1500,1134)</f>
        <v>The emergency plan should be available for this specific part and has to be presented. 
Spare parts for key-components available?
Minimum stock?
Equivalent alternative machines?</v>
      </c>
      <c r="N87" s="2109"/>
      <c r="O87" s="2109"/>
      <c r="P87" s="2109"/>
      <c r="Q87" s="2109"/>
      <c r="R87" s="2109"/>
      <c r="S87" s="2109"/>
      <c r="T87" s="2109"/>
      <c r="U87" s="2111"/>
      <c r="V87" s="2111"/>
      <c r="W87" s="2111"/>
      <c r="X87" s="2111"/>
      <c r="Y87" s="2111"/>
      <c r="Z87" s="2113"/>
      <c r="AA87" s="2093"/>
      <c r="AB87" s="2093"/>
      <c r="AC87" s="2093"/>
      <c r="AD87" s="2093"/>
      <c r="AE87" s="2093"/>
      <c r="AF87" s="2093"/>
      <c r="AG87" s="2093"/>
      <c r="AH87" s="2094"/>
      <c r="AI87" s="2094"/>
      <c r="AJ87" s="2094"/>
      <c r="AK87" s="2095"/>
      <c r="AL87" s="189"/>
      <c r="AM87" s="195"/>
      <c r="AN87" s="195"/>
      <c r="AO87" s="195"/>
      <c r="AY87" s="3">
        <f>IF(ISNUMBER(MATCH(Z87,LANGUAGE!$C$137:$G$137,0)),0,IF(ISNUMBER(MATCH(Z87,LANGUAGE!$C$138:$G$138,0)),1,IF(ISNUMBER(MATCH(Z87,LANGUAGE!$C$139:$G$139,0)),2,IF(ISNUMBER(MATCH(Z87,LANGUAGE!$C$140:$G$140,0)),3,0))))</f>
        <v>0</v>
      </c>
      <c r="BA87" s="3">
        <f>IF(ISNUMBER(MATCH(AJ87,LANGUAGE!$C$141:$G$141,0)),3,IF(ISNUMBER(MATCH(AJ87,LANGUAGE!$C$142:$G$142,0)),1,0))</f>
        <v>0</v>
      </c>
      <c r="BB87" s="191">
        <f t="shared" si="12"/>
        <v>0</v>
      </c>
    </row>
    <row r="88" spans="2:54" ht="26.3" customHeight="1" x14ac:dyDescent="0.25">
      <c r="B88" s="2105"/>
      <c r="C88" s="2107"/>
      <c r="D88" s="2107"/>
      <c r="E88" s="2109"/>
      <c r="F88" s="2109"/>
      <c r="G88" s="2109"/>
      <c r="H88" s="2109"/>
      <c r="I88" s="2109"/>
      <c r="J88" s="2109"/>
      <c r="K88" s="2109"/>
      <c r="L88" s="2109"/>
      <c r="M88" s="2109"/>
      <c r="N88" s="2109"/>
      <c r="O88" s="2109"/>
      <c r="P88" s="2109"/>
      <c r="Q88" s="2109"/>
      <c r="R88" s="2109"/>
      <c r="S88" s="2109"/>
      <c r="T88" s="2109"/>
      <c r="U88" s="2111"/>
      <c r="V88" s="2111"/>
      <c r="W88" s="2111"/>
      <c r="X88" s="2111"/>
      <c r="Y88" s="2111"/>
      <c r="Z88" s="2093"/>
      <c r="AA88" s="2093"/>
      <c r="AB88" s="2093"/>
      <c r="AC88" s="2093"/>
      <c r="AD88" s="2093"/>
      <c r="AE88" s="2093"/>
      <c r="AF88" s="2093"/>
      <c r="AG88" s="2093"/>
      <c r="AH88" s="2094"/>
      <c r="AI88" s="2094"/>
      <c r="AJ88" s="2094"/>
      <c r="AK88" s="2095"/>
      <c r="AL88" s="189"/>
      <c r="AM88" s="195"/>
      <c r="AN88" s="195"/>
      <c r="AO88" s="195"/>
      <c r="AY88" s="3"/>
      <c r="BA88" s="3"/>
    </row>
    <row r="89" spans="2:54" ht="21.8" customHeight="1" thickBot="1" x14ac:dyDescent="0.3">
      <c r="B89" s="2106"/>
      <c r="C89" s="2108"/>
      <c r="D89" s="2108"/>
      <c r="E89" s="2110"/>
      <c r="F89" s="2110"/>
      <c r="G89" s="2110"/>
      <c r="H89" s="2110"/>
      <c r="I89" s="2110"/>
      <c r="J89" s="2110"/>
      <c r="K89" s="2110"/>
      <c r="L89" s="2110"/>
      <c r="M89" s="2110"/>
      <c r="N89" s="2110"/>
      <c r="O89" s="2110"/>
      <c r="P89" s="2110"/>
      <c r="Q89" s="2110"/>
      <c r="R89" s="2110"/>
      <c r="S89" s="2110"/>
      <c r="T89" s="2110"/>
      <c r="U89" s="2112"/>
      <c r="V89" s="2112"/>
      <c r="W89" s="2112"/>
      <c r="X89" s="2112"/>
      <c r="Y89" s="2112"/>
      <c r="Z89" s="2114"/>
      <c r="AA89" s="2114"/>
      <c r="AB89" s="2114"/>
      <c r="AC89" s="2114"/>
      <c r="AD89" s="2114"/>
      <c r="AE89" s="2114"/>
      <c r="AF89" s="2114"/>
      <c r="AG89" s="2114"/>
      <c r="AH89" s="2096"/>
      <c r="AI89" s="2096"/>
      <c r="AJ89" s="2096"/>
      <c r="AK89" s="2097"/>
      <c r="AL89" s="189"/>
      <c r="AM89" s="195"/>
      <c r="AN89" s="195"/>
      <c r="AO89" s="195"/>
      <c r="AY89" s="3"/>
      <c r="BA89" s="3"/>
    </row>
    <row r="90" spans="2:54" ht="21.8" customHeight="1" thickBot="1" x14ac:dyDescent="0.3">
      <c r="B90" s="683"/>
      <c r="C90" s="684"/>
      <c r="D90" s="684"/>
      <c r="E90" s="681"/>
      <c r="F90" s="681"/>
      <c r="G90" s="681"/>
      <c r="H90" s="681"/>
      <c r="I90" s="681"/>
      <c r="J90" s="681"/>
      <c r="K90" s="681"/>
      <c r="L90" s="681"/>
      <c r="M90" s="681"/>
      <c r="N90" s="681"/>
      <c r="O90" s="681"/>
      <c r="P90" s="681"/>
      <c r="Q90" s="681"/>
      <c r="R90" s="681"/>
      <c r="S90" s="681"/>
      <c r="T90" s="681"/>
      <c r="U90" s="681"/>
      <c r="V90" s="681"/>
      <c r="W90" s="681"/>
      <c r="X90" s="681"/>
      <c r="Y90" s="681"/>
      <c r="Z90" s="681"/>
      <c r="AA90" s="681"/>
      <c r="AB90" s="681"/>
      <c r="AC90" s="681"/>
      <c r="AD90" s="681"/>
      <c r="AE90" s="681"/>
      <c r="AF90" s="681"/>
      <c r="AG90" s="681"/>
      <c r="AH90" s="681"/>
      <c r="AI90" s="681"/>
      <c r="AJ90" s="681"/>
      <c r="AK90" s="681"/>
      <c r="AL90" s="189"/>
      <c r="AM90" s="195"/>
      <c r="AN90" s="195"/>
      <c r="AO90" s="195"/>
      <c r="AY90" s="3"/>
      <c r="BA90" s="3"/>
    </row>
    <row r="91" spans="2:54" ht="21.8" customHeight="1" x14ac:dyDescent="0.25">
      <c r="B91" s="2098" t="str">
        <f>HLOOKUP(LANGUAGE!$B$2,LANGUAGE!$C$14:$G$1500,1142)</f>
        <v>Safe Launch</v>
      </c>
      <c r="C91" s="2099"/>
      <c r="D91" s="2099"/>
      <c r="E91" s="2099"/>
      <c r="F91" s="2099"/>
      <c r="G91" s="2099"/>
      <c r="H91" s="2099"/>
      <c r="I91" s="2099"/>
      <c r="J91" s="2099"/>
      <c r="K91" s="2099"/>
      <c r="L91" s="2099"/>
      <c r="M91" s="2099"/>
      <c r="N91" s="2099"/>
      <c r="O91" s="2099"/>
      <c r="P91" s="2099"/>
      <c r="Q91" s="2099"/>
      <c r="R91" s="2099"/>
      <c r="S91" s="2099"/>
      <c r="T91" s="2099"/>
      <c r="U91" s="2099"/>
      <c r="V91" s="2099"/>
      <c r="W91" s="2099"/>
      <c r="X91" s="2099"/>
      <c r="Y91" s="2099"/>
      <c r="Z91" s="2099"/>
      <c r="AA91" s="2099"/>
      <c r="AB91" s="2099"/>
      <c r="AC91" s="2099"/>
      <c r="AD91" s="2099"/>
      <c r="AE91" s="2099"/>
      <c r="AF91" s="2099"/>
      <c r="AG91" s="2099"/>
      <c r="AH91" s="2099"/>
      <c r="AI91" s="2099"/>
      <c r="AJ91" s="2099"/>
      <c r="AK91" s="2100"/>
      <c r="AL91" s="189"/>
      <c r="AM91" s="195"/>
      <c r="AN91" s="195"/>
      <c r="AO91" s="195"/>
      <c r="AY91" s="3"/>
      <c r="BA91" s="3"/>
    </row>
    <row r="92" spans="2:54" ht="21.8" customHeight="1" x14ac:dyDescent="0.25">
      <c r="B92" s="2101"/>
      <c r="C92" s="2102"/>
      <c r="D92" s="2102"/>
      <c r="E92" s="2102"/>
      <c r="F92" s="2102"/>
      <c r="G92" s="2102"/>
      <c r="H92" s="2102"/>
      <c r="I92" s="2102"/>
      <c r="J92" s="2102"/>
      <c r="K92" s="2102"/>
      <c r="L92" s="2102"/>
      <c r="M92" s="2102"/>
      <c r="N92" s="2102"/>
      <c r="O92" s="2102"/>
      <c r="P92" s="2102"/>
      <c r="Q92" s="2102"/>
      <c r="R92" s="2102"/>
      <c r="S92" s="2102"/>
      <c r="T92" s="2102"/>
      <c r="U92" s="2102"/>
      <c r="V92" s="2102"/>
      <c r="W92" s="2102"/>
      <c r="X92" s="2102"/>
      <c r="Y92" s="2102"/>
      <c r="Z92" s="2102"/>
      <c r="AA92" s="2102"/>
      <c r="AB92" s="2102"/>
      <c r="AC92" s="2102"/>
      <c r="AD92" s="2102"/>
      <c r="AE92" s="2102"/>
      <c r="AF92" s="2102"/>
      <c r="AG92" s="2102"/>
      <c r="AH92" s="2102"/>
      <c r="AI92" s="2102"/>
      <c r="AJ92" s="2102"/>
      <c r="AK92" s="2103"/>
      <c r="AL92" s="189"/>
      <c r="AM92" s="195"/>
      <c r="AN92" s="195"/>
      <c r="AO92" s="195"/>
      <c r="AY92" s="3"/>
      <c r="BA92" s="3"/>
    </row>
    <row r="93" spans="2:54" ht="21.8" customHeight="1" x14ac:dyDescent="0.25">
      <c r="B93" s="1002" t="str">
        <f>HLOOKUP(LANGUAGE!$B$2,LANGUAGE!$C$14:$G$1500,91)</f>
        <v>No.</v>
      </c>
      <c r="C93" s="1003" t="str">
        <f>HLOOKUP(LANGUAGE!$B$2,LANGUAGE!$C$14:$G$1500,73)</f>
        <v>Topic</v>
      </c>
      <c r="D93" s="1003"/>
      <c r="E93" s="1003" t="str">
        <f>HLOOKUP(LANGUAGE!$B$2,LANGUAGE!$C$14:$G$1500,92)</f>
        <v>Question</v>
      </c>
      <c r="F93" s="1003"/>
      <c r="G93" s="1003"/>
      <c r="H93" s="1003"/>
      <c r="I93" s="1003"/>
      <c r="J93" s="1003"/>
      <c r="K93" s="1003"/>
      <c r="L93" s="1003"/>
      <c r="M93" s="1003" t="str">
        <f>HLOOKUP(LANGUAGE!$B$2,LANGUAGE!$C$14:$G$1500,93)</f>
        <v>Notes</v>
      </c>
      <c r="N93" s="1003"/>
      <c r="O93" s="1003"/>
      <c r="P93" s="1003"/>
      <c r="Q93" s="1003"/>
      <c r="R93" s="1003"/>
      <c r="S93" s="1003"/>
      <c r="T93" s="1003"/>
      <c r="U93" s="1203" t="str">
        <f>HLOOKUP(LANGUAGE!$B$2,LANGUAGE!$C$14:$G$1500,114)</f>
        <v>Remarks</v>
      </c>
      <c r="V93" s="1203"/>
      <c r="W93" s="1203"/>
      <c r="X93" s="1203"/>
      <c r="Y93" s="1203"/>
      <c r="Z93" s="1003" t="str">
        <f>HLOOKUP(LANGUAGE!$B$2,LANGUAGE!$C$14:$G$1500,74)</f>
        <v>Evaluation</v>
      </c>
      <c r="AA93" s="1003"/>
      <c r="AB93" s="1003" t="str">
        <f>HLOOKUP(LANGUAGE!$B$2,LANGUAGE!$C$14:$G$1500,95)</f>
        <v>Action</v>
      </c>
      <c r="AC93" s="1003"/>
      <c r="AD93" s="1003"/>
      <c r="AE93" s="1203" t="str">
        <f>HLOOKUP(LANGUAGE!$B$2,LANGUAGE!$C$14:$G$1500,96)</f>
        <v>Responsible</v>
      </c>
      <c r="AF93" s="1203"/>
      <c r="AG93" s="1203"/>
      <c r="AH93" s="1003" t="str">
        <f>HLOOKUP(LANGUAGE!$B$2,LANGUAGE!$C$14:$G$1500,21)</f>
        <v>Date</v>
      </c>
      <c r="AI93" s="1003"/>
      <c r="AJ93" s="1003" t="str">
        <f>HLOOKUP(LANGUAGE!$B$2,LANGUAGE!$C$14:$G$1500,75)</f>
        <v>Action status</v>
      </c>
      <c r="AK93" s="1413"/>
      <c r="AL93" s="189"/>
      <c r="AM93" s="195"/>
      <c r="AN93" s="195"/>
      <c r="AO93" s="195"/>
      <c r="AY93" s="3"/>
      <c r="BA93" s="3"/>
    </row>
    <row r="94" spans="2:54" ht="21.8" customHeight="1" x14ac:dyDescent="0.25">
      <c r="B94" s="1002"/>
      <c r="C94" s="1003"/>
      <c r="D94" s="1003"/>
      <c r="E94" s="1003"/>
      <c r="F94" s="1003"/>
      <c r="G94" s="1003"/>
      <c r="H94" s="1003"/>
      <c r="I94" s="1003"/>
      <c r="J94" s="1003"/>
      <c r="K94" s="1003"/>
      <c r="L94" s="1003"/>
      <c r="M94" s="1003"/>
      <c r="N94" s="1003"/>
      <c r="O94" s="1003"/>
      <c r="P94" s="1003"/>
      <c r="Q94" s="1003"/>
      <c r="R94" s="1003"/>
      <c r="S94" s="1003"/>
      <c r="T94" s="1003"/>
      <c r="U94" s="1203"/>
      <c r="V94" s="1203"/>
      <c r="W94" s="1203"/>
      <c r="X94" s="1203"/>
      <c r="Y94" s="1203"/>
      <c r="Z94" s="1003"/>
      <c r="AA94" s="1003"/>
      <c r="AB94" s="1003"/>
      <c r="AC94" s="1003"/>
      <c r="AD94" s="1003"/>
      <c r="AE94" s="1203"/>
      <c r="AF94" s="1203"/>
      <c r="AG94" s="1203"/>
      <c r="AH94" s="1003"/>
      <c r="AI94" s="1003"/>
      <c r="AJ94" s="1003"/>
      <c r="AK94" s="1413"/>
      <c r="AL94" s="189"/>
      <c r="AM94" s="195"/>
      <c r="AN94" s="195"/>
      <c r="AO94" s="195"/>
      <c r="AY94" s="3"/>
      <c r="BA94" s="3"/>
    </row>
    <row r="95" spans="2:54" ht="21.8" customHeight="1" x14ac:dyDescent="0.25">
      <c r="B95" s="2104" t="s">
        <v>2184</v>
      </c>
      <c r="C95" s="2107" t="str">
        <f>HLOOKUP(LANGUAGE!$B$2,LANGUAGE!$C$14:$G$1500,1143)</f>
        <v>Safe Launch Area</v>
      </c>
      <c r="D95" s="2107"/>
      <c r="E95" s="2109" t="str">
        <f>HLOOKUP(LANGUAGE!$B$2,LANGUAGE!$C$14:$G$1500,1144)</f>
        <v>Do operators have sufficient time and space to perform Safe Launch inspections under appropriate conditions and in an adequate area?</v>
      </c>
      <c r="F95" s="2109"/>
      <c r="G95" s="2109"/>
      <c r="H95" s="2109"/>
      <c r="I95" s="2109"/>
      <c r="J95" s="2109"/>
      <c r="K95" s="2109"/>
      <c r="L95" s="2109"/>
      <c r="M95" s="2219" t="str">
        <f>HLOOKUP(LANGUAGE!$B$2,LANGUAGE!$C$14:$G$1500,1145)</f>
        <v>Verify in detail the following items in the Safe Launch area
- Process Flow and Layout 
- Adequate lighting/Proper ilumination
- Approved/available WIs, Visual aids, Failure Catalogue
- Tables and 1-piece flow to ensure no mixing
- Adequate Inspection tools
- Check sheets
- Provisions for segregation of NOK and OK material
- Calibration and gauge R&amp;Rs for any Safe Launch specific tools
Verify: 
- Red containers and record sheets available
- Defined area to complete the proper analysis on each rejected part
- Is all data graphed (i-chart) and analyzed in order to generate corrective actions to eliminate root causes?</v>
      </c>
      <c r="N95" s="2220"/>
      <c r="O95" s="2220"/>
      <c r="P95" s="2220"/>
      <c r="Q95" s="2220"/>
      <c r="R95" s="2220"/>
      <c r="S95" s="2220"/>
      <c r="T95" s="2221"/>
      <c r="U95" s="2228"/>
      <c r="V95" s="2111"/>
      <c r="W95" s="2111"/>
      <c r="X95" s="2111"/>
      <c r="Y95" s="2111"/>
      <c r="Z95" s="2229"/>
      <c r="AA95" s="2230"/>
      <c r="AB95" s="2212"/>
      <c r="AC95" s="2111"/>
      <c r="AD95" s="2111"/>
      <c r="AE95" s="2093"/>
      <c r="AF95" s="2093"/>
      <c r="AG95" s="2093"/>
      <c r="AH95" s="2094"/>
      <c r="AI95" s="2094"/>
      <c r="AJ95" s="2094"/>
      <c r="AK95" s="2095"/>
      <c r="AL95" s="189"/>
      <c r="AM95" s="195"/>
      <c r="AN95" s="195"/>
      <c r="AO95" s="195"/>
      <c r="AY95" s="3">
        <f>IF(ISNUMBER(MATCH(Z95,LANGUAGE!$C$137:$G$137,0)),0,IF(ISNUMBER(MATCH(Z95,LANGUAGE!$C$138:$G$138,0)),1,IF(ISNUMBER(MATCH(Z95,LANGUAGE!$C$139:$G$139,0)),2,IF(ISNUMBER(MATCH(Z95,LANGUAGE!$C$140:$G$140,0)),3,0))))</f>
        <v>0</v>
      </c>
      <c r="BA95" s="3">
        <f>IF(ISNUMBER(MATCH(AJ95,LANGUAGE!$C$141:$G$141,0)),3,IF(ISNUMBER(MATCH(AJ95,LANGUAGE!$C$142:$G$142,0)),1,0))</f>
        <v>0</v>
      </c>
      <c r="BB95" s="191">
        <f t="shared" ref="BB95:BB112" si="14">IF(AND(AY95&gt;1,BA95=0),10,AY95+BA95)</f>
        <v>0</v>
      </c>
    </row>
    <row r="96" spans="2:54" ht="21.8" customHeight="1" x14ac:dyDescent="0.25">
      <c r="B96" s="2105"/>
      <c r="C96" s="2107"/>
      <c r="D96" s="2107"/>
      <c r="E96" s="2109"/>
      <c r="F96" s="2109"/>
      <c r="G96" s="2109"/>
      <c r="H96" s="2109"/>
      <c r="I96" s="2109"/>
      <c r="J96" s="2109"/>
      <c r="K96" s="2109"/>
      <c r="L96" s="2109"/>
      <c r="M96" s="2222"/>
      <c r="N96" s="2223"/>
      <c r="O96" s="2223"/>
      <c r="P96" s="2223"/>
      <c r="Q96" s="2223"/>
      <c r="R96" s="2223"/>
      <c r="S96" s="2223"/>
      <c r="T96" s="2224"/>
      <c r="U96" s="2111"/>
      <c r="V96" s="2111"/>
      <c r="W96" s="2111"/>
      <c r="X96" s="2111"/>
      <c r="Y96" s="2111"/>
      <c r="Z96" s="2231"/>
      <c r="AA96" s="2232"/>
      <c r="AB96" s="2111"/>
      <c r="AC96" s="2111"/>
      <c r="AD96" s="2111"/>
      <c r="AE96" s="2093"/>
      <c r="AF96" s="2093"/>
      <c r="AG96" s="2093"/>
      <c r="AH96" s="2094"/>
      <c r="AI96" s="2094"/>
      <c r="AJ96" s="2094"/>
      <c r="AK96" s="2095"/>
      <c r="AL96" s="189"/>
      <c r="AM96" s="195"/>
      <c r="AN96" s="195"/>
      <c r="AO96" s="195"/>
      <c r="AY96" s="3">
        <f>IF(ISNUMBER(MATCH(Z96,LANGUAGE!$C$137:$G$137,0)),0,IF(ISNUMBER(MATCH(Z96,LANGUAGE!$C$138:$G$138,0)),1,IF(ISNUMBER(MATCH(Z96,LANGUAGE!$C$139:$G$139,0)),2,IF(ISNUMBER(MATCH(Z96,LANGUAGE!$C$140:$G$140,0)),3,0))))</f>
        <v>0</v>
      </c>
      <c r="BA96" s="3">
        <f>IF(ISNUMBER(MATCH(AJ96,LANGUAGE!$C$141:$G$141,0)),3,IF(ISNUMBER(MATCH(AJ96,LANGUAGE!$C$142:$G$142,0)),1,0))</f>
        <v>0</v>
      </c>
      <c r="BB96" s="191">
        <f t="shared" si="14"/>
        <v>0</v>
      </c>
    </row>
    <row r="97" spans="2:54" ht="203.95" customHeight="1" x14ac:dyDescent="0.25">
      <c r="B97" s="2105"/>
      <c r="C97" s="2107"/>
      <c r="D97" s="2107"/>
      <c r="E97" s="2109"/>
      <c r="F97" s="2109"/>
      <c r="G97" s="2109"/>
      <c r="H97" s="2109"/>
      <c r="I97" s="2109"/>
      <c r="J97" s="2109"/>
      <c r="K97" s="2109"/>
      <c r="L97" s="2109"/>
      <c r="M97" s="2225"/>
      <c r="N97" s="2226"/>
      <c r="O97" s="2226"/>
      <c r="P97" s="2226"/>
      <c r="Q97" s="2226"/>
      <c r="R97" s="2226"/>
      <c r="S97" s="2226"/>
      <c r="T97" s="2227"/>
      <c r="U97" s="2111"/>
      <c r="V97" s="2111"/>
      <c r="W97" s="2111"/>
      <c r="X97" s="2111"/>
      <c r="Y97" s="2111"/>
      <c r="Z97" s="2233"/>
      <c r="AA97" s="2234"/>
      <c r="AB97" s="2111"/>
      <c r="AC97" s="2111"/>
      <c r="AD97" s="2111"/>
      <c r="AE97" s="2093"/>
      <c r="AF97" s="2093"/>
      <c r="AG97" s="2093"/>
      <c r="AH97" s="2094"/>
      <c r="AI97" s="2094"/>
      <c r="AJ97" s="2094"/>
      <c r="AK97" s="2095"/>
      <c r="AL97" s="189"/>
      <c r="AM97" s="195"/>
      <c r="AN97" s="195"/>
      <c r="AO97" s="195"/>
      <c r="AY97" s="3">
        <f>IF(ISNUMBER(MATCH(Z97,LANGUAGE!$C$137:$G$137,0)),0,IF(ISNUMBER(MATCH(Z97,LANGUAGE!$C$138:$G$138,0)),1,IF(ISNUMBER(MATCH(Z97,LANGUAGE!$C$139:$G$139,0)),2,IF(ISNUMBER(MATCH(Z97,LANGUAGE!$C$140:$G$140,0)),3,0))))</f>
        <v>0</v>
      </c>
      <c r="BA97" s="3">
        <f>IF(ISNUMBER(MATCH(AJ97,LANGUAGE!$C$141:$G$141,0)),3,IF(ISNUMBER(MATCH(AJ97,LANGUAGE!$C$142:$G$142,0)),1,0))</f>
        <v>0</v>
      </c>
      <c r="BB97" s="191">
        <f t="shared" si="14"/>
        <v>0</v>
      </c>
    </row>
    <row r="98" spans="2:54" ht="21.8" customHeight="1" x14ac:dyDescent="0.25">
      <c r="B98" s="2105" t="s">
        <v>2185</v>
      </c>
      <c r="C98" s="2107" t="str">
        <f>HLOOKUP(LANGUAGE!$B$2,LANGUAGE!$C$14:$G$1500,1146)</f>
        <v>Safe Launch Work Instructions</v>
      </c>
      <c r="D98" s="2107"/>
      <c r="E98" s="2109" t="str">
        <f>HLOOKUP(LANGUAGE!$B$2,LANGUAGE!$C$14:$G$1500,1147)</f>
        <v xml:space="preserve">Are the employees complying to Safe Launch work instructions? </v>
      </c>
      <c r="F98" s="2109"/>
      <c r="G98" s="2109"/>
      <c r="H98" s="2109"/>
      <c r="I98" s="2109"/>
      <c r="J98" s="2109"/>
      <c r="K98" s="2109"/>
      <c r="L98" s="2109"/>
      <c r="M98" s="2218" t="str">
        <f>HLOOKUP(LANGUAGE!$B$2,LANGUAGE!$C$14:$G$1500,1148)</f>
        <v>Are they trained based on these Safe Launch WIs and are the trainings documented?</v>
      </c>
      <c r="N98" s="2218"/>
      <c r="O98" s="2218"/>
      <c r="P98" s="2218"/>
      <c r="Q98" s="2218"/>
      <c r="R98" s="2218"/>
      <c r="S98" s="2218"/>
      <c r="T98" s="2218"/>
      <c r="U98" s="2111"/>
      <c r="V98" s="2111"/>
      <c r="W98" s="2111"/>
      <c r="X98" s="2111"/>
      <c r="Y98" s="2111"/>
      <c r="Z98" s="2093"/>
      <c r="AA98" s="2093"/>
      <c r="AB98" s="2111"/>
      <c r="AC98" s="2111"/>
      <c r="AD98" s="2111"/>
      <c r="AE98" s="2093"/>
      <c r="AF98" s="2093"/>
      <c r="AG98" s="2093"/>
      <c r="AH98" s="2094"/>
      <c r="AI98" s="2094"/>
      <c r="AJ98" s="2094"/>
      <c r="AK98" s="2095"/>
      <c r="AL98" s="189"/>
      <c r="AM98" s="195"/>
      <c r="AN98" s="195"/>
      <c r="AO98" s="195"/>
      <c r="AY98" s="3">
        <f>IF(ISNUMBER(MATCH(Z98,LANGUAGE!$C$137:$G$137,0)),0,IF(ISNUMBER(MATCH(Z98,LANGUAGE!$C$138:$G$138,0)),1,IF(ISNUMBER(MATCH(Z98,LANGUAGE!$C$139:$G$139,0)),2,IF(ISNUMBER(MATCH(Z98,LANGUAGE!$C$140:$G$140,0)),3,0))))</f>
        <v>0</v>
      </c>
      <c r="BA98" s="3">
        <f>IF(ISNUMBER(MATCH(AJ98,LANGUAGE!$C$141:$G$141,0)),3,IF(ISNUMBER(MATCH(AJ98,LANGUAGE!$C$142:$G$142,0)),1,0))</f>
        <v>0</v>
      </c>
      <c r="BB98" s="191">
        <f t="shared" si="14"/>
        <v>0</v>
      </c>
    </row>
    <row r="99" spans="2:54" ht="21.8" customHeight="1" x14ac:dyDescent="0.25">
      <c r="B99" s="2105"/>
      <c r="C99" s="2107"/>
      <c r="D99" s="2107"/>
      <c r="E99" s="2109"/>
      <c r="F99" s="2109"/>
      <c r="G99" s="2109"/>
      <c r="H99" s="2109"/>
      <c r="I99" s="2109"/>
      <c r="J99" s="2109"/>
      <c r="K99" s="2109"/>
      <c r="L99" s="2109"/>
      <c r="M99" s="2218"/>
      <c r="N99" s="2218"/>
      <c r="O99" s="2218"/>
      <c r="P99" s="2218"/>
      <c r="Q99" s="2218"/>
      <c r="R99" s="2218"/>
      <c r="S99" s="2218"/>
      <c r="T99" s="2218"/>
      <c r="U99" s="2111"/>
      <c r="V99" s="2111"/>
      <c r="W99" s="2111"/>
      <c r="X99" s="2111"/>
      <c r="Y99" s="2111"/>
      <c r="Z99" s="2093"/>
      <c r="AA99" s="2093"/>
      <c r="AB99" s="2111"/>
      <c r="AC99" s="2111"/>
      <c r="AD99" s="2111"/>
      <c r="AE99" s="2093"/>
      <c r="AF99" s="2093"/>
      <c r="AG99" s="2093"/>
      <c r="AH99" s="2094"/>
      <c r="AI99" s="2094"/>
      <c r="AJ99" s="2094"/>
      <c r="AK99" s="2095"/>
      <c r="AL99" s="189"/>
      <c r="AM99" s="195"/>
      <c r="AN99" s="195"/>
      <c r="AO99" s="195"/>
      <c r="AY99" s="3">
        <f>IF(ISNUMBER(MATCH(Z99,LANGUAGE!$C$137:$G$137,0)),0,IF(ISNUMBER(MATCH(Z99,LANGUAGE!$C$138:$G$138,0)),1,IF(ISNUMBER(MATCH(Z99,LANGUAGE!$C$139:$G$139,0)),2,IF(ISNUMBER(MATCH(Z99,LANGUAGE!$C$140:$G$140,0)),3,0))))</f>
        <v>0</v>
      </c>
      <c r="BA99" s="3">
        <f>IF(ISNUMBER(MATCH(AJ99,LANGUAGE!$C$141:$G$141,0)),3,IF(ISNUMBER(MATCH(AJ99,LANGUAGE!$C$142:$G$142,0)),1,0))</f>
        <v>0</v>
      </c>
      <c r="BB99" s="191">
        <f t="shared" si="14"/>
        <v>0</v>
      </c>
    </row>
    <row r="100" spans="2:54" ht="21.6" customHeight="1" x14ac:dyDescent="0.25">
      <c r="B100" s="2105"/>
      <c r="C100" s="2107"/>
      <c r="D100" s="2107"/>
      <c r="E100" s="2109"/>
      <c r="F100" s="2109"/>
      <c r="G100" s="2109"/>
      <c r="H100" s="2109"/>
      <c r="I100" s="2109"/>
      <c r="J100" s="2109"/>
      <c r="K100" s="2109"/>
      <c r="L100" s="2109"/>
      <c r="M100" s="2218"/>
      <c r="N100" s="2218"/>
      <c r="O100" s="2218"/>
      <c r="P100" s="2218"/>
      <c r="Q100" s="2218"/>
      <c r="R100" s="2218"/>
      <c r="S100" s="2218"/>
      <c r="T100" s="2218"/>
      <c r="U100" s="2111"/>
      <c r="V100" s="2111"/>
      <c r="W100" s="2111"/>
      <c r="X100" s="2111"/>
      <c r="Y100" s="2111"/>
      <c r="Z100" s="2093"/>
      <c r="AA100" s="2093"/>
      <c r="AB100" s="2111"/>
      <c r="AC100" s="2111"/>
      <c r="AD100" s="2111"/>
      <c r="AE100" s="2093"/>
      <c r="AF100" s="2093"/>
      <c r="AG100" s="2093"/>
      <c r="AH100" s="2094"/>
      <c r="AI100" s="2094"/>
      <c r="AJ100" s="2094"/>
      <c r="AK100" s="2095"/>
      <c r="AL100" s="189"/>
      <c r="AM100" s="195"/>
      <c r="AN100" s="195"/>
      <c r="AO100" s="195"/>
      <c r="AY100" s="3">
        <f>IF(ISNUMBER(MATCH(Z100,LANGUAGE!$C$137:$G$137,0)),0,IF(ISNUMBER(MATCH(Z100,LANGUAGE!$C$138:$G$138,0)),1,IF(ISNUMBER(MATCH(Z100,LANGUAGE!$C$139:$G$139,0)),2,IF(ISNUMBER(MATCH(Z100,LANGUAGE!$C$140:$G$140,0)),3,0))))</f>
        <v>0</v>
      </c>
      <c r="BA100" s="3">
        <f>IF(ISNUMBER(MATCH(AJ100,LANGUAGE!$C$141:$G$141,0)),3,IF(ISNUMBER(MATCH(AJ100,LANGUAGE!$C$142:$G$142,0)),1,0))</f>
        <v>0</v>
      </c>
      <c r="BB100" s="191">
        <f t="shared" si="14"/>
        <v>0</v>
      </c>
    </row>
    <row r="101" spans="2:54" ht="21.8" customHeight="1" x14ac:dyDescent="0.25">
      <c r="B101" s="2105" t="s">
        <v>2186</v>
      </c>
      <c r="C101" s="2107" t="str">
        <f>HLOOKUP(LANGUAGE!$B$2,LANGUAGE!$C$14:$G$1500,1149)</f>
        <v>Escalation Procedure</v>
      </c>
      <c r="D101" s="2107"/>
      <c r="E101" s="2109" t="str">
        <f>HLOOKUP(LANGUAGE!$B$2,LANGUAGE!$C$14:$G$1500,1150)</f>
        <v>Do the employees understand and follow their internal escalation procedure?</v>
      </c>
      <c r="F101" s="2109"/>
      <c r="G101" s="2109"/>
      <c r="H101" s="2109"/>
      <c r="I101" s="2109"/>
      <c r="J101" s="2109"/>
      <c r="K101" s="2109"/>
      <c r="L101" s="2109"/>
      <c r="M101" s="2235" t="str">
        <f>HLOOKUP(LANGUAGE!$B$2,LANGUAGE!$C$14:$G$1500,1151)</f>
        <v>Every new single failure mode must be reported to the shift supervisor immediately. The shift supervisor must also be informed if a specified error limit is exceeded.</v>
      </c>
      <c r="N101" s="2218"/>
      <c r="O101" s="2218"/>
      <c r="P101" s="2218"/>
      <c r="Q101" s="2218"/>
      <c r="R101" s="2218"/>
      <c r="S101" s="2218"/>
      <c r="T101" s="2218"/>
      <c r="U101" s="2228"/>
      <c r="V101" s="2111"/>
      <c r="W101" s="2111"/>
      <c r="X101" s="2111"/>
      <c r="Y101" s="2111"/>
      <c r="Z101" s="2113"/>
      <c r="AA101" s="2093"/>
      <c r="AB101" s="2236"/>
      <c r="AC101" s="2237"/>
      <c r="AD101" s="2237"/>
      <c r="AE101" s="2093"/>
      <c r="AF101" s="2093"/>
      <c r="AG101" s="2093"/>
      <c r="AH101" s="2094"/>
      <c r="AI101" s="2094"/>
      <c r="AJ101" s="2094"/>
      <c r="AK101" s="2095"/>
      <c r="AL101" s="189"/>
      <c r="AM101" s="195"/>
      <c r="AN101" s="195"/>
      <c r="AO101" s="195"/>
      <c r="AY101" s="3">
        <f>IF(ISNUMBER(MATCH(Z101,LANGUAGE!$C$137:$G$137,0)),0,IF(ISNUMBER(MATCH(Z101,LANGUAGE!$C$138:$G$138,0)),1,IF(ISNUMBER(MATCH(Z101,LANGUAGE!$C$139:$G$139,0)),2,IF(ISNUMBER(MATCH(Z101,LANGUAGE!$C$140:$G$140,0)),3,0))))</f>
        <v>0</v>
      </c>
      <c r="BA101" s="3">
        <f>IF(ISNUMBER(MATCH(AJ101,LANGUAGE!$C$141:$G$141,0)),3,IF(ISNUMBER(MATCH(AJ101,LANGUAGE!$C$142:$G$142,0)),1,0))</f>
        <v>0</v>
      </c>
      <c r="BB101" s="191">
        <f t="shared" si="14"/>
        <v>0</v>
      </c>
    </row>
    <row r="102" spans="2:54" ht="21.8" customHeight="1" x14ac:dyDescent="0.25">
      <c r="B102" s="2105"/>
      <c r="C102" s="2107"/>
      <c r="D102" s="2107"/>
      <c r="E102" s="2109"/>
      <c r="F102" s="2109"/>
      <c r="G102" s="2109"/>
      <c r="H102" s="2109"/>
      <c r="I102" s="2109"/>
      <c r="J102" s="2109"/>
      <c r="K102" s="2109"/>
      <c r="L102" s="2109"/>
      <c r="M102" s="2218"/>
      <c r="N102" s="2218"/>
      <c r="O102" s="2218"/>
      <c r="P102" s="2218"/>
      <c r="Q102" s="2218"/>
      <c r="R102" s="2218"/>
      <c r="S102" s="2218"/>
      <c r="T102" s="2218"/>
      <c r="U102" s="2111"/>
      <c r="V102" s="2111"/>
      <c r="W102" s="2111"/>
      <c r="X102" s="2111"/>
      <c r="Y102" s="2111"/>
      <c r="Z102" s="2093"/>
      <c r="AA102" s="2093"/>
      <c r="AB102" s="2237"/>
      <c r="AC102" s="2237"/>
      <c r="AD102" s="2237"/>
      <c r="AE102" s="2093"/>
      <c r="AF102" s="2093"/>
      <c r="AG102" s="2093"/>
      <c r="AH102" s="2094"/>
      <c r="AI102" s="2094"/>
      <c r="AJ102" s="2094"/>
      <c r="AK102" s="2095"/>
      <c r="AL102" s="189"/>
      <c r="AM102" s="195"/>
      <c r="AN102" s="195"/>
      <c r="AO102" s="195"/>
      <c r="AY102" s="3">
        <f>IF(ISNUMBER(MATCH(Z102,LANGUAGE!$C$137:$G$137,0)),0,IF(ISNUMBER(MATCH(Z102,LANGUAGE!$C$138:$G$138,0)),1,IF(ISNUMBER(MATCH(Z102,LANGUAGE!$C$139:$G$139,0)),2,IF(ISNUMBER(MATCH(Z102,LANGUAGE!$C$140:$G$140,0)),3,0))))</f>
        <v>0</v>
      </c>
      <c r="BA102" s="3">
        <f>IF(ISNUMBER(MATCH(AJ102,LANGUAGE!$C$141:$G$141,0)),3,IF(ISNUMBER(MATCH(AJ102,LANGUAGE!$C$142:$G$142,0)),1,0))</f>
        <v>0</v>
      </c>
      <c r="BB102" s="191">
        <f t="shared" si="14"/>
        <v>0</v>
      </c>
    </row>
    <row r="103" spans="2:54" ht="26.45" customHeight="1" x14ac:dyDescent="0.25">
      <c r="B103" s="2105"/>
      <c r="C103" s="2107"/>
      <c r="D103" s="2107"/>
      <c r="E103" s="2109"/>
      <c r="F103" s="2109"/>
      <c r="G103" s="2109"/>
      <c r="H103" s="2109"/>
      <c r="I103" s="2109"/>
      <c r="J103" s="2109"/>
      <c r="K103" s="2109"/>
      <c r="L103" s="2109"/>
      <c r="M103" s="2218"/>
      <c r="N103" s="2218"/>
      <c r="O103" s="2218"/>
      <c r="P103" s="2218"/>
      <c r="Q103" s="2218"/>
      <c r="R103" s="2218"/>
      <c r="S103" s="2218"/>
      <c r="T103" s="2218"/>
      <c r="U103" s="2111"/>
      <c r="V103" s="2111"/>
      <c r="W103" s="2111"/>
      <c r="X103" s="2111"/>
      <c r="Y103" s="2111"/>
      <c r="Z103" s="2093"/>
      <c r="AA103" s="2093"/>
      <c r="AB103" s="2237"/>
      <c r="AC103" s="2237"/>
      <c r="AD103" s="2237"/>
      <c r="AE103" s="2093"/>
      <c r="AF103" s="2093"/>
      <c r="AG103" s="2093"/>
      <c r="AH103" s="2094"/>
      <c r="AI103" s="2094"/>
      <c r="AJ103" s="2094"/>
      <c r="AK103" s="2095"/>
      <c r="AL103" s="189"/>
      <c r="AM103" s="195"/>
      <c r="AN103" s="195"/>
      <c r="AO103" s="195"/>
      <c r="AY103" s="3">
        <f>IF(ISNUMBER(MATCH(Z103,LANGUAGE!$C$137:$G$137,0)),0,IF(ISNUMBER(MATCH(Z103,LANGUAGE!$C$138:$G$138,0)),1,IF(ISNUMBER(MATCH(Z103,LANGUAGE!$C$139:$G$139,0)),2,IF(ISNUMBER(MATCH(Z103,LANGUAGE!$C$140:$G$140,0)),3,0))))</f>
        <v>0</v>
      </c>
      <c r="BA103" s="3">
        <f>IF(ISNUMBER(MATCH(AJ103,LANGUAGE!$C$141:$G$141,0)),3,IF(ISNUMBER(MATCH(AJ103,LANGUAGE!$C$142:$G$142,0)),1,0))</f>
        <v>0</v>
      </c>
      <c r="BB103" s="191">
        <f t="shared" si="14"/>
        <v>0</v>
      </c>
    </row>
    <row r="104" spans="2:54" ht="21.8" customHeight="1" x14ac:dyDescent="0.25">
      <c r="B104" s="2105" t="s">
        <v>2187</v>
      </c>
      <c r="C104" s="2107" t="str">
        <f>HLOOKUP(LANGUAGE!$B$2,LANGUAGE!$C$14:$G$1500,1152)</f>
        <v>Firewall Sheet</v>
      </c>
      <c r="D104" s="2107"/>
      <c r="E104" s="2109" t="str">
        <f>HLOOKUP(LANGUAGE!$B$2,LANGUAGE!$C$14:$G$1500,1153)</f>
        <v>Are there firewall-inspection results for all part numbers listed for the safe launch area with inspections requirements according feasibility study?</v>
      </c>
      <c r="F104" s="2109"/>
      <c r="G104" s="2109"/>
      <c r="H104" s="2109"/>
      <c r="I104" s="2109"/>
      <c r="J104" s="2109"/>
      <c r="K104" s="2109"/>
      <c r="L104" s="2109"/>
      <c r="M104" s="2109" t="str">
        <f>HLOOKUP(LANGUAGE!$B$2,LANGUAGE!$C$14:$G$1500,1154)</f>
        <v>Verify:
- All characteristics
- Quantity of parts inspected
- Dates
- NOK findings
- Defined frequency and distribution list for distribution</v>
      </c>
      <c r="N104" s="2109"/>
      <c r="O104" s="2109"/>
      <c r="P104" s="2109"/>
      <c r="Q104" s="2109"/>
      <c r="R104" s="2109"/>
      <c r="S104" s="2109"/>
      <c r="T104" s="2109"/>
      <c r="U104" s="2111"/>
      <c r="V104" s="2111"/>
      <c r="W104" s="2111"/>
      <c r="X104" s="2111"/>
      <c r="Y104" s="2111"/>
      <c r="Z104" s="2113"/>
      <c r="AA104" s="2093"/>
      <c r="AB104" s="2093"/>
      <c r="AC104" s="2093"/>
      <c r="AD104" s="2093"/>
      <c r="AE104" s="2093"/>
      <c r="AF104" s="2093"/>
      <c r="AG104" s="2093"/>
      <c r="AH104" s="2094"/>
      <c r="AI104" s="2094"/>
      <c r="AJ104" s="2094"/>
      <c r="AK104" s="2095"/>
      <c r="AL104" s="189"/>
      <c r="AM104" s="195"/>
      <c r="AN104" s="195"/>
      <c r="AO104" s="195"/>
      <c r="AY104" s="3">
        <f>IF(ISNUMBER(MATCH(Z104,LANGUAGE!$C$137:$G$137,0)),0,IF(ISNUMBER(MATCH(Z104,LANGUAGE!$C$138:$G$138,0)),1,IF(ISNUMBER(MATCH(Z104,LANGUAGE!$C$139:$G$139,0)),2,IF(ISNUMBER(MATCH(Z104,LANGUAGE!$C$140:$G$140,0)),3,0))))</f>
        <v>0</v>
      </c>
      <c r="BA104" s="3">
        <f>IF(ISNUMBER(MATCH(AJ104,LANGUAGE!$C$141:$G$141,0)),3,IF(ISNUMBER(MATCH(AJ104,LANGUAGE!$C$142:$G$142,0)),1,0))</f>
        <v>0</v>
      </c>
      <c r="BB104" s="191">
        <f t="shared" si="14"/>
        <v>0</v>
      </c>
    </row>
    <row r="105" spans="2:54" ht="21.8" customHeight="1" x14ac:dyDescent="0.25">
      <c r="B105" s="2105"/>
      <c r="C105" s="2107"/>
      <c r="D105" s="2107"/>
      <c r="E105" s="2109"/>
      <c r="F105" s="2109"/>
      <c r="G105" s="2109"/>
      <c r="H105" s="2109"/>
      <c r="I105" s="2109"/>
      <c r="J105" s="2109"/>
      <c r="K105" s="2109"/>
      <c r="L105" s="2109"/>
      <c r="M105" s="2109"/>
      <c r="N105" s="2109"/>
      <c r="O105" s="2109"/>
      <c r="P105" s="2109"/>
      <c r="Q105" s="2109"/>
      <c r="R105" s="2109"/>
      <c r="S105" s="2109"/>
      <c r="T105" s="2109"/>
      <c r="U105" s="2111"/>
      <c r="V105" s="2111"/>
      <c r="W105" s="2111"/>
      <c r="X105" s="2111"/>
      <c r="Y105" s="2111"/>
      <c r="Z105" s="2093"/>
      <c r="AA105" s="2093"/>
      <c r="AB105" s="2093"/>
      <c r="AC105" s="2093"/>
      <c r="AD105" s="2093"/>
      <c r="AE105" s="2093"/>
      <c r="AF105" s="2093"/>
      <c r="AG105" s="2093"/>
      <c r="AH105" s="2094"/>
      <c r="AI105" s="2094"/>
      <c r="AJ105" s="2094"/>
      <c r="AK105" s="2095"/>
      <c r="AL105" s="189"/>
      <c r="AM105" s="195"/>
      <c r="AN105" s="195"/>
      <c r="AO105" s="195"/>
      <c r="AY105" s="3">
        <f>IF(ISNUMBER(MATCH(Z105,LANGUAGE!$C$137:$G$137,0)),0,IF(ISNUMBER(MATCH(Z105,LANGUAGE!$C$138:$G$138,0)),1,IF(ISNUMBER(MATCH(Z105,LANGUAGE!$C$139:$G$139,0)),2,IF(ISNUMBER(MATCH(Z105,LANGUAGE!$C$140:$G$140,0)),3,0))))</f>
        <v>0</v>
      </c>
      <c r="BA105" s="3">
        <f>IF(ISNUMBER(MATCH(AJ105,LANGUAGE!$C$141:$G$141,0)),3,IF(ISNUMBER(MATCH(AJ105,LANGUAGE!$C$142:$G$142,0)),1,0))</f>
        <v>0</v>
      </c>
      <c r="BB105" s="191">
        <f t="shared" si="14"/>
        <v>0</v>
      </c>
    </row>
    <row r="106" spans="2:54" ht="52.45" customHeight="1" x14ac:dyDescent="0.25">
      <c r="B106" s="2105"/>
      <c r="C106" s="2107"/>
      <c r="D106" s="2107"/>
      <c r="E106" s="2109"/>
      <c r="F106" s="2109"/>
      <c r="G106" s="2109"/>
      <c r="H106" s="2109"/>
      <c r="I106" s="2109"/>
      <c r="J106" s="2109"/>
      <c r="K106" s="2109"/>
      <c r="L106" s="2109"/>
      <c r="M106" s="2109"/>
      <c r="N106" s="2109"/>
      <c r="O106" s="2109"/>
      <c r="P106" s="2109"/>
      <c r="Q106" s="2109"/>
      <c r="R106" s="2109"/>
      <c r="S106" s="2109"/>
      <c r="T106" s="2109"/>
      <c r="U106" s="2111"/>
      <c r="V106" s="2111"/>
      <c r="W106" s="2111"/>
      <c r="X106" s="2111"/>
      <c r="Y106" s="2111"/>
      <c r="Z106" s="2093"/>
      <c r="AA106" s="2093"/>
      <c r="AB106" s="2093"/>
      <c r="AC106" s="2093"/>
      <c r="AD106" s="2093"/>
      <c r="AE106" s="2093"/>
      <c r="AF106" s="2093"/>
      <c r="AG106" s="2093"/>
      <c r="AH106" s="2094"/>
      <c r="AI106" s="2094"/>
      <c r="AJ106" s="2094"/>
      <c r="AK106" s="2095"/>
      <c r="AL106" s="189"/>
      <c r="AM106" s="195"/>
      <c r="AN106" s="195"/>
      <c r="AO106" s="195"/>
      <c r="AY106" s="3">
        <f>IF(ISNUMBER(MATCH(Z106,LANGUAGE!$C$137:$G$137,0)),0,IF(ISNUMBER(MATCH(Z106,LANGUAGE!$C$138:$G$138,0)),1,IF(ISNUMBER(MATCH(Z106,LANGUAGE!$C$139:$G$139,0)),2,IF(ISNUMBER(MATCH(Z106,LANGUAGE!$C$140:$G$140,0)),3,0))))</f>
        <v>0</v>
      </c>
      <c r="BA106" s="3">
        <f>IF(ISNUMBER(MATCH(AJ106,LANGUAGE!$C$141:$G$141,0)),3,IF(ISNUMBER(MATCH(AJ106,LANGUAGE!$C$142:$G$142,0)),1,0))</f>
        <v>0</v>
      </c>
      <c r="BB106" s="191">
        <f t="shared" si="14"/>
        <v>0</v>
      </c>
    </row>
    <row r="107" spans="2:54" ht="21.8" customHeight="1" x14ac:dyDescent="0.25">
      <c r="B107" s="2105" t="s">
        <v>2188</v>
      </c>
      <c r="C107" s="2107" t="str">
        <f>HLOOKUP(LANGUAGE!$B$2,LANGUAGE!$C$14:$G$1500,1155)</f>
        <v>Firewall Sheet /
Data Analysis</v>
      </c>
      <c r="D107" s="2107"/>
      <c r="E107" s="2109" t="str">
        <f>HLOOKUP(LANGUAGE!$B$2,LANGUAGE!$C$14:$G$1500,1156)</f>
        <v>Has the supplier implemented corrective actions to address any past NOK findings to achieve zero defects?</v>
      </c>
      <c r="F107" s="2109"/>
      <c r="G107" s="2109"/>
      <c r="H107" s="2109"/>
      <c r="I107" s="2109"/>
      <c r="J107" s="2109"/>
      <c r="K107" s="2109"/>
      <c r="L107" s="2109"/>
      <c r="M107" s="2218" t="str">
        <f>HLOOKUP(LANGUAGE!$B$2,LANGUAGE!$C$14:$G$1500,1157)</f>
        <v>Verify:
- Corrective action follow-up for all NOK findings
- Add/Remove failure modes from Safe Launch up to full exit with Brose plant notification (based on FS commitment)</v>
      </c>
      <c r="N107" s="2218"/>
      <c r="O107" s="2218"/>
      <c r="P107" s="2218"/>
      <c r="Q107" s="2218"/>
      <c r="R107" s="2218"/>
      <c r="S107" s="2218"/>
      <c r="T107" s="2218"/>
      <c r="U107" s="2243"/>
      <c r="V107" s="2243"/>
      <c r="W107" s="2243"/>
      <c r="X107" s="2243"/>
      <c r="Y107" s="2243"/>
      <c r="Z107" s="2113"/>
      <c r="AA107" s="2244"/>
      <c r="AB107" s="2111"/>
      <c r="AC107" s="2111"/>
      <c r="AD107" s="2111"/>
      <c r="AE107" s="2093"/>
      <c r="AF107" s="2093"/>
      <c r="AG107" s="2093"/>
      <c r="AH107" s="2094"/>
      <c r="AI107" s="2094"/>
      <c r="AJ107" s="2094"/>
      <c r="AK107" s="2095"/>
      <c r="AL107" s="189"/>
      <c r="AM107" s="195"/>
      <c r="AN107" s="195"/>
      <c r="AO107" s="195"/>
      <c r="AY107" s="3">
        <f>IF(ISNUMBER(MATCH(Z107,LANGUAGE!$C$137:$G$137,0)),0,IF(ISNUMBER(MATCH(Z107,LANGUAGE!$C$138:$G$138,0)),1,IF(ISNUMBER(MATCH(Z107,LANGUAGE!$C$139:$G$139,0)),2,IF(ISNUMBER(MATCH(Z107,LANGUAGE!$C$140:$G$140,0)),3,0))))</f>
        <v>0</v>
      </c>
      <c r="BA107" s="3">
        <f>IF(ISNUMBER(MATCH(AJ107,LANGUAGE!$C$141:$G$141,0)),3,IF(ISNUMBER(MATCH(AJ107,LANGUAGE!$C$142:$G$142,0)),1,0))</f>
        <v>0</v>
      </c>
      <c r="BB107" s="191">
        <f t="shared" si="14"/>
        <v>0</v>
      </c>
    </row>
    <row r="108" spans="2:54" ht="21.8" customHeight="1" x14ac:dyDescent="0.25">
      <c r="B108" s="2105"/>
      <c r="C108" s="2107"/>
      <c r="D108" s="2107"/>
      <c r="E108" s="2109"/>
      <c r="F108" s="2109"/>
      <c r="G108" s="2109"/>
      <c r="H108" s="2109"/>
      <c r="I108" s="2109"/>
      <c r="J108" s="2109"/>
      <c r="K108" s="2109"/>
      <c r="L108" s="2109"/>
      <c r="M108" s="2218"/>
      <c r="N108" s="2218"/>
      <c r="O108" s="2218"/>
      <c r="P108" s="2218"/>
      <c r="Q108" s="2218"/>
      <c r="R108" s="2218"/>
      <c r="S108" s="2218"/>
      <c r="T108" s="2218"/>
      <c r="U108" s="2243"/>
      <c r="V108" s="2243"/>
      <c r="W108" s="2243"/>
      <c r="X108" s="2243"/>
      <c r="Y108" s="2243"/>
      <c r="Z108" s="2245"/>
      <c r="AA108" s="2246"/>
      <c r="AB108" s="2111"/>
      <c r="AC108" s="2111"/>
      <c r="AD108" s="2111"/>
      <c r="AE108" s="2093"/>
      <c r="AF108" s="2093"/>
      <c r="AG108" s="2093"/>
      <c r="AH108" s="2094"/>
      <c r="AI108" s="2094"/>
      <c r="AJ108" s="2094"/>
      <c r="AK108" s="2095"/>
      <c r="AL108" s="189"/>
      <c r="AM108" s="195"/>
      <c r="AN108" s="195"/>
      <c r="AO108" s="195"/>
      <c r="AY108" s="3">
        <f>IF(ISNUMBER(MATCH(Z108,LANGUAGE!$C$137:$G$137,0)),0,IF(ISNUMBER(MATCH(Z108,LANGUAGE!$C$138:$G$138,0)),1,IF(ISNUMBER(MATCH(Z108,LANGUAGE!$C$139:$G$139,0)),2,IF(ISNUMBER(MATCH(Z108,LANGUAGE!$C$140:$G$140,0)),3,0))))</f>
        <v>0</v>
      </c>
      <c r="BA108" s="3">
        <f>IF(ISNUMBER(MATCH(AJ108,LANGUAGE!$C$141:$G$141,0)),3,IF(ISNUMBER(MATCH(AJ108,LANGUAGE!$C$142:$G$142,0)),1,0))</f>
        <v>0</v>
      </c>
      <c r="BB108" s="191">
        <f t="shared" si="14"/>
        <v>0</v>
      </c>
    </row>
    <row r="109" spans="2:54" ht="62.45" customHeight="1" x14ac:dyDescent="0.25">
      <c r="B109" s="2105"/>
      <c r="C109" s="2107"/>
      <c r="D109" s="2107"/>
      <c r="E109" s="2109"/>
      <c r="F109" s="2109"/>
      <c r="G109" s="2109"/>
      <c r="H109" s="2109"/>
      <c r="I109" s="2109"/>
      <c r="J109" s="2109"/>
      <c r="K109" s="2109"/>
      <c r="L109" s="2109"/>
      <c r="M109" s="2218"/>
      <c r="N109" s="2218"/>
      <c r="O109" s="2218"/>
      <c r="P109" s="2218"/>
      <c r="Q109" s="2218"/>
      <c r="R109" s="2218"/>
      <c r="S109" s="2218"/>
      <c r="T109" s="2218"/>
      <c r="U109" s="2243"/>
      <c r="V109" s="2243"/>
      <c r="W109" s="2243"/>
      <c r="X109" s="2243"/>
      <c r="Y109" s="2243"/>
      <c r="Z109" s="2247"/>
      <c r="AA109" s="2248"/>
      <c r="AB109" s="2111"/>
      <c r="AC109" s="2111"/>
      <c r="AD109" s="2111"/>
      <c r="AE109" s="2093"/>
      <c r="AF109" s="2093"/>
      <c r="AG109" s="2093"/>
      <c r="AH109" s="2094"/>
      <c r="AI109" s="2094"/>
      <c r="AJ109" s="2094"/>
      <c r="AK109" s="2095"/>
      <c r="AL109" s="189"/>
      <c r="AM109" s="195"/>
      <c r="AN109" s="195"/>
      <c r="AO109" s="195"/>
      <c r="AY109" s="3">
        <f>IF(ISNUMBER(MATCH(Z109,LANGUAGE!$C$137:$G$137,0)),0,IF(ISNUMBER(MATCH(Z109,LANGUAGE!$C$138:$G$138,0)),1,IF(ISNUMBER(MATCH(Z109,LANGUAGE!$C$139:$G$139,0)),2,IF(ISNUMBER(MATCH(Z109,LANGUAGE!$C$140:$G$140,0)),3,0))))</f>
        <v>0</v>
      </c>
      <c r="BA109" s="3">
        <f>IF(ISNUMBER(MATCH(AJ109,LANGUAGE!$C$141:$G$141,0)),3,IF(ISNUMBER(MATCH(AJ109,LANGUAGE!$C$142:$G$142,0)),1,0))</f>
        <v>0</v>
      </c>
      <c r="BB109" s="191">
        <f t="shared" si="14"/>
        <v>0</v>
      </c>
    </row>
    <row r="110" spans="2:54" ht="21.8" customHeight="1" x14ac:dyDescent="0.25">
      <c r="B110" s="2105" t="s">
        <v>2189</v>
      </c>
      <c r="C110" s="2238" t="str">
        <f>HLOOKUP(LANGUAGE!$B$2,LANGUAGE!$C$14:$G$1500,1158)</f>
        <v>Safe Launch Test Results</v>
      </c>
      <c r="D110" s="2238"/>
      <c r="E110" s="2218" t="str">
        <f>HLOOKUP(LANGUAGE!$B$2,LANGUAGE!$C$14:$G$1500,1159)</f>
        <v>Is all Safe Launch data stored to allow quick access? The Brose Firewall Sheet is submitted to Brose together with the certified delivery.</v>
      </c>
      <c r="F110" s="2218"/>
      <c r="G110" s="2218"/>
      <c r="H110" s="2218"/>
      <c r="I110" s="2218"/>
      <c r="J110" s="2218"/>
      <c r="K110" s="2218"/>
      <c r="L110" s="2218"/>
      <c r="M110" s="2218" t="str">
        <f>HLOOKUP(LANGUAGE!$B$2,LANGUAGE!$C$14:$G$1500,1160)</f>
        <v>Verify:
- Safe Launch process flow chart &amp;/or layout
- Containment work instructions and training records
- Inspections firewall sheet and other non-100% inspection results
- Supplier corrective actions (internal PDCAs)</v>
      </c>
      <c r="N110" s="2218"/>
      <c r="O110" s="2218"/>
      <c r="P110" s="2218"/>
      <c r="Q110" s="2218"/>
      <c r="R110" s="2218"/>
      <c r="S110" s="2218"/>
      <c r="T110" s="2218"/>
      <c r="U110" s="2241"/>
      <c r="V110" s="2241"/>
      <c r="W110" s="2241"/>
      <c r="X110" s="2241"/>
      <c r="Y110" s="2241"/>
      <c r="Z110" s="2113"/>
      <c r="AA110" s="2093"/>
      <c r="AB110" s="2111"/>
      <c r="AC110" s="2111"/>
      <c r="AD110" s="2111"/>
      <c r="AE110" s="2093"/>
      <c r="AF110" s="2093"/>
      <c r="AG110" s="2093"/>
      <c r="AH110" s="2094"/>
      <c r="AI110" s="2094"/>
      <c r="AJ110" s="2094"/>
      <c r="AK110" s="2095"/>
      <c r="AL110" s="189"/>
      <c r="AM110" s="195"/>
      <c r="AN110" s="195"/>
      <c r="AO110" s="195"/>
      <c r="AY110" s="3">
        <f>IF(ISNUMBER(MATCH(Z110,LANGUAGE!$C$137:$G$137,0)),0,IF(ISNUMBER(MATCH(Z110,LANGUAGE!$C$138:$G$138,0)),1,IF(ISNUMBER(MATCH(Z110,LANGUAGE!$C$139:$G$139,0)),2,IF(ISNUMBER(MATCH(Z110,LANGUAGE!$C$140:$G$140,0)),3,0))))</f>
        <v>0</v>
      </c>
      <c r="BA110" s="3">
        <f>IF(ISNUMBER(MATCH(AJ110,LANGUAGE!$C$141:$G$141,0)),3,IF(ISNUMBER(MATCH(AJ110,LANGUAGE!$C$142:$G$142,0)),1,0))</f>
        <v>0</v>
      </c>
      <c r="BB110" s="191">
        <f t="shared" si="14"/>
        <v>0</v>
      </c>
    </row>
    <row r="111" spans="2:54" ht="21.8" customHeight="1" x14ac:dyDescent="0.25">
      <c r="B111" s="2105"/>
      <c r="C111" s="2238"/>
      <c r="D111" s="2238"/>
      <c r="E111" s="2218"/>
      <c r="F111" s="2218"/>
      <c r="G111" s="2218"/>
      <c r="H111" s="2218"/>
      <c r="I111" s="2218"/>
      <c r="J111" s="2218"/>
      <c r="K111" s="2218"/>
      <c r="L111" s="2218"/>
      <c r="M111" s="2218"/>
      <c r="N111" s="2218"/>
      <c r="O111" s="2218"/>
      <c r="P111" s="2218"/>
      <c r="Q111" s="2218"/>
      <c r="R111" s="2218"/>
      <c r="S111" s="2218"/>
      <c r="T111" s="2218"/>
      <c r="U111" s="2241"/>
      <c r="V111" s="2241"/>
      <c r="W111" s="2241"/>
      <c r="X111" s="2241"/>
      <c r="Y111" s="2241"/>
      <c r="Z111" s="2093"/>
      <c r="AA111" s="2093"/>
      <c r="AB111" s="2111"/>
      <c r="AC111" s="2111"/>
      <c r="AD111" s="2111"/>
      <c r="AE111" s="2093"/>
      <c r="AF111" s="2093"/>
      <c r="AG111" s="2093"/>
      <c r="AH111" s="2094"/>
      <c r="AI111" s="2094"/>
      <c r="AJ111" s="2094"/>
      <c r="AK111" s="2095"/>
      <c r="AL111" s="189"/>
      <c r="AM111" s="195"/>
      <c r="AN111" s="195"/>
      <c r="AO111" s="195"/>
      <c r="AY111" s="3">
        <f>IF(ISNUMBER(MATCH(Z111,LANGUAGE!$C$137:$G$137,0)),0,IF(ISNUMBER(MATCH(Z111,LANGUAGE!$C$138:$G$138,0)),1,IF(ISNUMBER(MATCH(Z111,LANGUAGE!$C$139:$G$139,0)),2,IF(ISNUMBER(MATCH(Z111,LANGUAGE!$C$140:$G$140,0)),3,0))))</f>
        <v>0</v>
      </c>
      <c r="BA111" s="3">
        <f>IF(ISNUMBER(MATCH(AJ111,LANGUAGE!$C$141:$G$141,0)),3,IF(ISNUMBER(MATCH(AJ111,LANGUAGE!$C$142:$G$142,0)),1,0))</f>
        <v>0</v>
      </c>
      <c r="BB111" s="191">
        <f t="shared" si="14"/>
        <v>0</v>
      </c>
    </row>
    <row r="112" spans="2:54" ht="79.55" customHeight="1" thickBot="1" x14ac:dyDescent="0.3">
      <c r="B112" s="2106"/>
      <c r="C112" s="2239"/>
      <c r="D112" s="2239"/>
      <c r="E112" s="2240"/>
      <c r="F112" s="2240"/>
      <c r="G112" s="2240"/>
      <c r="H112" s="2240"/>
      <c r="I112" s="2240"/>
      <c r="J112" s="2240"/>
      <c r="K112" s="2240"/>
      <c r="L112" s="2240"/>
      <c r="M112" s="2240"/>
      <c r="N112" s="2240"/>
      <c r="O112" s="2240"/>
      <c r="P112" s="2240"/>
      <c r="Q112" s="2240"/>
      <c r="R112" s="2240"/>
      <c r="S112" s="2240"/>
      <c r="T112" s="2240"/>
      <c r="U112" s="2242"/>
      <c r="V112" s="2242"/>
      <c r="W112" s="2242"/>
      <c r="X112" s="2242"/>
      <c r="Y112" s="2242"/>
      <c r="Z112" s="2114"/>
      <c r="AA112" s="2114"/>
      <c r="AB112" s="2111"/>
      <c r="AC112" s="2111"/>
      <c r="AD112" s="2111"/>
      <c r="AE112" s="2114"/>
      <c r="AF112" s="2114"/>
      <c r="AG112" s="2114"/>
      <c r="AH112" s="2096"/>
      <c r="AI112" s="2096"/>
      <c r="AJ112" s="2096"/>
      <c r="AK112" s="2097"/>
      <c r="AL112" s="189"/>
      <c r="AM112" s="195"/>
      <c r="AN112" s="195"/>
      <c r="AO112" s="195"/>
      <c r="AY112" s="3">
        <f>IF(ISNUMBER(MATCH(Z112,LANGUAGE!$C$137:$G$137,0)),0,IF(ISNUMBER(MATCH(Z112,LANGUAGE!$C$138:$G$138,0)),1,IF(ISNUMBER(MATCH(Z112,LANGUAGE!$C$139:$G$139,0)),2,IF(ISNUMBER(MATCH(Z112,LANGUAGE!$C$140:$G$140,0)),3,0))))</f>
        <v>0</v>
      </c>
      <c r="BA112" s="3">
        <f>IF(ISNUMBER(MATCH(AJ112,LANGUAGE!$C$141:$G$141,0)),3,IF(ISNUMBER(MATCH(AJ112,LANGUAGE!$C$142:$G$142,0)),1,0))</f>
        <v>0</v>
      </c>
      <c r="BB112" s="191">
        <f t="shared" si="14"/>
        <v>0</v>
      </c>
    </row>
    <row r="113" spans="2:54" ht="17.25" customHeight="1" thickBot="1" x14ac:dyDescent="0.3">
      <c r="B113" s="189"/>
      <c r="C113" s="189"/>
      <c r="D113" s="189"/>
      <c r="E113" s="189"/>
      <c r="F113" s="189"/>
      <c r="G113" s="189"/>
      <c r="H113" s="189"/>
      <c r="I113" s="189"/>
      <c r="J113" s="189"/>
      <c r="K113" s="189"/>
      <c r="L113" s="189"/>
      <c r="M113" s="189"/>
      <c r="N113" s="189"/>
      <c r="O113" s="189"/>
      <c r="P113" s="189"/>
      <c r="Q113" s="189"/>
      <c r="R113" s="189"/>
      <c r="S113" s="189"/>
      <c r="T113" s="189"/>
      <c r="U113" s="197"/>
      <c r="V113" s="197"/>
      <c r="W113" s="197"/>
      <c r="X113" s="197"/>
      <c r="Y113" s="197"/>
      <c r="Z113" s="189"/>
      <c r="AA113" s="189"/>
      <c r="AB113" s="189"/>
      <c r="AC113" s="189"/>
      <c r="AD113" s="189"/>
      <c r="AE113" s="197"/>
      <c r="AF113" s="197"/>
      <c r="AG113" s="197"/>
      <c r="AH113" s="189"/>
      <c r="AI113" s="189"/>
      <c r="AJ113" s="189"/>
      <c r="AK113" s="189"/>
      <c r="AL113" s="189"/>
      <c r="AM113" s="195"/>
      <c r="AN113" s="195"/>
      <c r="AO113" s="195"/>
      <c r="AY113" s="3"/>
      <c r="BA113" s="3"/>
    </row>
    <row r="114" spans="2:54" ht="17.7" customHeight="1" x14ac:dyDescent="0.25">
      <c r="B114" s="2098" t="str">
        <f>HLOOKUP(LANGUAGE!$B$2,LANGUAGE!$C$14:$G$1500,1161)</f>
        <v>Serial Process</v>
      </c>
      <c r="C114" s="2099"/>
      <c r="D114" s="2099"/>
      <c r="E114" s="2099"/>
      <c r="F114" s="2099"/>
      <c r="G114" s="2099"/>
      <c r="H114" s="2099"/>
      <c r="I114" s="2099"/>
      <c r="J114" s="2099"/>
      <c r="K114" s="2099"/>
      <c r="L114" s="2099"/>
      <c r="M114" s="2099"/>
      <c r="N114" s="2099"/>
      <c r="O114" s="2099"/>
      <c r="P114" s="2099"/>
      <c r="Q114" s="2099"/>
      <c r="R114" s="2099"/>
      <c r="S114" s="2099"/>
      <c r="T114" s="2099"/>
      <c r="U114" s="2099"/>
      <c r="V114" s="2099"/>
      <c r="W114" s="2099"/>
      <c r="X114" s="2099"/>
      <c r="Y114" s="2099"/>
      <c r="Z114" s="2099"/>
      <c r="AA114" s="2099"/>
      <c r="AB114" s="2099"/>
      <c r="AC114" s="2099"/>
      <c r="AD114" s="2099"/>
      <c r="AE114" s="2099"/>
      <c r="AF114" s="2099"/>
      <c r="AG114" s="2099"/>
      <c r="AH114" s="2099"/>
      <c r="AI114" s="2099"/>
      <c r="AJ114" s="2099"/>
      <c r="AK114" s="2100"/>
      <c r="AL114" s="189"/>
      <c r="AM114" s="195"/>
      <c r="AN114" s="195"/>
      <c r="AO114" s="195"/>
      <c r="AY114" s="3"/>
      <c r="BA114" s="3"/>
    </row>
    <row r="115" spans="2:54" ht="17.7" customHeight="1" x14ac:dyDescent="0.25">
      <c r="B115" s="2101"/>
      <c r="C115" s="2102"/>
      <c r="D115" s="2102"/>
      <c r="E115" s="2102"/>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2"/>
      <c r="AK115" s="2103"/>
      <c r="AL115" s="189"/>
      <c r="AM115" s="195"/>
      <c r="AN115" s="195"/>
      <c r="AO115" s="195"/>
      <c r="AY115" s="3"/>
      <c r="BA115" s="3"/>
    </row>
    <row r="116" spans="2:54" ht="17.7" customHeight="1" x14ac:dyDescent="0.25">
      <c r="B116" s="1002" t="str">
        <f>HLOOKUP(LANGUAGE!$B$2,LANGUAGE!$C$14:$G$1500,91)</f>
        <v>No.</v>
      </c>
      <c r="C116" s="1003" t="str">
        <f>HLOOKUP(LANGUAGE!$B$2,LANGUAGE!$C$14:$G$1500,73)</f>
        <v>Topic</v>
      </c>
      <c r="D116" s="1003"/>
      <c r="E116" s="1003" t="str">
        <f>HLOOKUP(LANGUAGE!$B$2,LANGUAGE!$C$14:$G$1500,92)</f>
        <v>Question</v>
      </c>
      <c r="F116" s="1003"/>
      <c r="G116" s="1003"/>
      <c r="H116" s="1003"/>
      <c r="I116" s="1003"/>
      <c r="J116" s="1003"/>
      <c r="K116" s="1003"/>
      <c r="L116" s="1003"/>
      <c r="M116" s="1003" t="str">
        <f>HLOOKUP(LANGUAGE!$B$2,LANGUAGE!$C$14:$G$1500,93)</f>
        <v>Notes</v>
      </c>
      <c r="N116" s="1003"/>
      <c r="O116" s="1003"/>
      <c r="P116" s="1003"/>
      <c r="Q116" s="1003"/>
      <c r="R116" s="1003"/>
      <c r="S116" s="1003"/>
      <c r="T116" s="1003"/>
      <c r="U116" s="1203" t="str">
        <f>HLOOKUP(LANGUAGE!$B$2,LANGUAGE!$C$14:$G$1500,114)</f>
        <v>Remarks</v>
      </c>
      <c r="V116" s="1203"/>
      <c r="W116" s="1203"/>
      <c r="X116" s="1203"/>
      <c r="Y116" s="1203"/>
      <c r="Z116" s="1003" t="str">
        <f>HLOOKUP(LANGUAGE!$B$2,LANGUAGE!$C$14:$G$1500,74)</f>
        <v>Evaluation</v>
      </c>
      <c r="AA116" s="1003"/>
      <c r="AB116" s="1003" t="str">
        <f>HLOOKUP(LANGUAGE!$B$2,LANGUAGE!$C$14:$G$1500,95)</f>
        <v>Action</v>
      </c>
      <c r="AC116" s="1003"/>
      <c r="AD116" s="1003"/>
      <c r="AE116" s="1203" t="str">
        <f>HLOOKUP(LANGUAGE!$B$2,LANGUAGE!$C$14:$G$1500,96)</f>
        <v>Responsible</v>
      </c>
      <c r="AF116" s="1203"/>
      <c r="AG116" s="1203"/>
      <c r="AH116" s="1003" t="str">
        <f>HLOOKUP(LANGUAGE!$B$2,LANGUAGE!$C$14:$G$1500,21)</f>
        <v>Date</v>
      </c>
      <c r="AI116" s="1003"/>
      <c r="AJ116" s="1003" t="str">
        <f>HLOOKUP(LANGUAGE!$B$2,LANGUAGE!$C$14:$G$1500,75)</f>
        <v>Action status</v>
      </c>
      <c r="AK116" s="1413"/>
      <c r="AL116" s="189"/>
      <c r="AM116" s="195"/>
      <c r="AN116" s="195"/>
      <c r="AO116" s="195"/>
      <c r="AY116" s="3"/>
      <c r="BA116" s="3"/>
    </row>
    <row r="117" spans="2:54" ht="17.7" customHeight="1" x14ac:dyDescent="0.25">
      <c r="B117" s="1002"/>
      <c r="C117" s="1003"/>
      <c r="D117" s="1003"/>
      <c r="E117" s="1003"/>
      <c r="F117" s="1003"/>
      <c r="G117" s="1003"/>
      <c r="H117" s="1003"/>
      <c r="I117" s="1003"/>
      <c r="J117" s="1003"/>
      <c r="K117" s="1003"/>
      <c r="L117" s="1003"/>
      <c r="M117" s="1003"/>
      <c r="N117" s="1003"/>
      <c r="O117" s="1003"/>
      <c r="P117" s="1003"/>
      <c r="Q117" s="1003"/>
      <c r="R117" s="1003"/>
      <c r="S117" s="1003"/>
      <c r="T117" s="1003"/>
      <c r="U117" s="1203"/>
      <c r="V117" s="1203"/>
      <c r="W117" s="1203"/>
      <c r="X117" s="1203"/>
      <c r="Y117" s="1203"/>
      <c r="Z117" s="1003"/>
      <c r="AA117" s="1003"/>
      <c r="AB117" s="1003"/>
      <c r="AC117" s="1003"/>
      <c r="AD117" s="1003"/>
      <c r="AE117" s="1203"/>
      <c r="AF117" s="1203"/>
      <c r="AG117" s="1203"/>
      <c r="AH117" s="1003"/>
      <c r="AI117" s="1003"/>
      <c r="AJ117" s="1003"/>
      <c r="AK117" s="1413"/>
      <c r="AL117" s="189"/>
      <c r="AM117" s="195"/>
      <c r="AN117" s="195"/>
      <c r="AO117" s="195"/>
      <c r="AY117" s="3"/>
      <c r="BA117" s="3"/>
    </row>
    <row r="118" spans="2:54" ht="17.7" customHeight="1" x14ac:dyDescent="0.25">
      <c r="B118" s="2104" t="s">
        <v>2190</v>
      </c>
      <c r="C118" s="2107" t="str">
        <f>HLOOKUP(LANGUAGE!$B$2,LANGUAGE!$C$14:$G$1500,1162)</f>
        <v>Series condition</v>
      </c>
      <c r="D118" s="2107"/>
      <c r="E118" s="2109" t="str">
        <f>HLOOKUP(LANGUAGE!$B$2,LANGUAGE!$C$14:$G$1500,1163)</f>
        <v>Is the product manufactured at the serial production site using the serial tools, machines/ systems, processes, materials and process parameters?</v>
      </c>
      <c r="F118" s="2109"/>
      <c r="G118" s="2109"/>
      <c r="H118" s="2109"/>
      <c r="I118" s="2109"/>
      <c r="J118" s="2109"/>
      <c r="K118" s="2109"/>
      <c r="L118" s="2109"/>
      <c r="M118" s="2109" t="str">
        <f>HLOOKUP(LANGUAGE!$B$2,LANGUAGE!$C$14:$G$1500,1164)</f>
        <v>The R@R (FRT) has to be done under serial conditions. If there is any relocation planned, the R@R has to be repeated.</v>
      </c>
      <c r="N118" s="2109"/>
      <c r="O118" s="2109"/>
      <c r="P118" s="2109"/>
      <c r="Q118" s="2109"/>
      <c r="R118" s="2109"/>
      <c r="S118" s="2109"/>
      <c r="T118" s="2109"/>
      <c r="U118" s="2111"/>
      <c r="V118" s="2111"/>
      <c r="W118" s="2111"/>
      <c r="X118" s="2111"/>
      <c r="Y118" s="2111"/>
      <c r="Z118" s="2093"/>
      <c r="AA118" s="2093"/>
      <c r="AB118" s="2093"/>
      <c r="AC118" s="2093"/>
      <c r="AD118" s="2093"/>
      <c r="AE118" s="2093"/>
      <c r="AF118" s="2093"/>
      <c r="AG118" s="2093"/>
      <c r="AH118" s="2094"/>
      <c r="AI118" s="2094"/>
      <c r="AJ118" s="2094"/>
      <c r="AK118" s="2095"/>
      <c r="AL118" s="189"/>
      <c r="AM118" s="195"/>
      <c r="AN118" s="195"/>
      <c r="AO118" s="195"/>
      <c r="AY118" s="3">
        <f>IF(ISNUMBER(MATCH(Z118,LANGUAGE!$C$137:$G$137,0)),0,IF(ISNUMBER(MATCH(Z118,LANGUAGE!$C$138:$G$138,0)),1,IF(ISNUMBER(MATCH(Z118,LANGUAGE!$C$139:$G$139,0)),2,IF(ISNUMBER(MATCH(Z118,LANGUAGE!$C$140:$G$140,0)),3,0))))</f>
        <v>0</v>
      </c>
      <c r="BA118" s="3">
        <f>IF(ISNUMBER(MATCH(AJ118,LANGUAGE!$C$141:$G$141,0)),3,IF(ISNUMBER(MATCH(AJ118,LANGUAGE!$C$142:$G$142,0)),1,0))</f>
        <v>0</v>
      </c>
      <c r="BB118" s="191">
        <f t="shared" si="12"/>
        <v>0</v>
      </c>
    </row>
    <row r="119" spans="2:54" ht="17.7" customHeight="1" x14ac:dyDescent="0.25">
      <c r="B119" s="2105"/>
      <c r="C119" s="2107"/>
      <c r="D119" s="2107"/>
      <c r="E119" s="2109"/>
      <c r="F119" s="2109"/>
      <c r="G119" s="2109"/>
      <c r="H119" s="2109"/>
      <c r="I119" s="2109"/>
      <c r="J119" s="2109"/>
      <c r="K119" s="2109"/>
      <c r="L119" s="2109"/>
      <c r="M119" s="2109"/>
      <c r="N119" s="2109"/>
      <c r="O119" s="2109"/>
      <c r="P119" s="2109"/>
      <c r="Q119" s="2109"/>
      <c r="R119" s="2109"/>
      <c r="S119" s="2109"/>
      <c r="T119" s="2109"/>
      <c r="U119" s="2111"/>
      <c r="V119" s="2111"/>
      <c r="W119" s="2111"/>
      <c r="X119" s="2111"/>
      <c r="Y119" s="2111"/>
      <c r="Z119" s="2093"/>
      <c r="AA119" s="2093"/>
      <c r="AB119" s="2093"/>
      <c r="AC119" s="2093"/>
      <c r="AD119" s="2093"/>
      <c r="AE119" s="2093"/>
      <c r="AF119" s="2093"/>
      <c r="AG119" s="2093"/>
      <c r="AH119" s="2094"/>
      <c r="AI119" s="2094"/>
      <c r="AJ119" s="2094"/>
      <c r="AK119" s="2095"/>
      <c r="AL119" s="189"/>
      <c r="AM119" s="195"/>
      <c r="AN119" s="195"/>
      <c r="AO119" s="195"/>
      <c r="AY119" s="3"/>
      <c r="BA119" s="3"/>
    </row>
    <row r="120" spans="2:54" ht="17.7" customHeight="1" x14ac:dyDescent="0.25">
      <c r="B120" s="2105"/>
      <c r="C120" s="2107"/>
      <c r="D120" s="2107"/>
      <c r="E120" s="2109"/>
      <c r="F120" s="2109"/>
      <c r="G120" s="2109"/>
      <c r="H120" s="2109"/>
      <c r="I120" s="2109"/>
      <c r="J120" s="2109"/>
      <c r="K120" s="2109"/>
      <c r="L120" s="2109"/>
      <c r="M120" s="2109"/>
      <c r="N120" s="2109"/>
      <c r="O120" s="2109"/>
      <c r="P120" s="2109"/>
      <c r="Q120" s="2109"/>
      <c r="R120" s="2109"/>
      <c r="S120" s="2109"/>
      <c r="T120" s="2109"/>
      <c r="U120" s="2111"/>
      <c r="V120" s="2111"/>
      <c r="W120" s="2111"/>
      <c r="X120" s="2111"/>
      <c r="Y120" s="2111"/>
      <c r="Z120" s="2093"/>
      <c r="AA120" s="2093"/>
      <c r="AB120" s="2093"/>
      <c r="AC120" s="2093"/>
      <c r="AD120" s="2093"/>
      <c r="AE120" s="2093"/>
      <c r="AF120" s="2093"/>
      <c r="AG120" s="2093"/>
      <c r="AH120" s="2094"/>
      <c r="AI120" s="2094"/>
      <c r="AJ120" s="2094"/>
      <c r="AK120" s="2095"/>
      <c r="AL120" s="189"/>
      <c r="AM120" s="195"/>
      <c r="AN120" s="195"/>
      <c r="AO120" s="195"/>
      <c r="AY120" s="3"/>
      <c r="BA120" s="3"/>
    </row>
    <row r="121" spans="2:54" ht="17.7" customHeight="1" x14ac:dyDescent="0.25">
      <c r="B121" s="2104" t="s">
        <v>2191</v>
      </c>
      <c r="C121" s="2107" t="str">
        <f>HLOOKUP(LANGUAGE!$B$2,LANGUAGE!$C$14:$G$1500,1165)</f>
        <v>Control Plan</v>
      </c>
      <c r="D121" s="2107"/>
      <c r="E121" s="2109" t="str">
        <f>HLOOKUP(LANGUAGE!$B$2,LANGUAGE!$C$14:$G$1500,1166)</f>
        <v>Are all process steps/ tests defined and documented as defined in the production control plan?</v>
      </c>
      <c r="F121" s="2109"/>
      <c r="G121" s="2109"/>
      <c r="H121" s="2109"/>
      <c r="I121" s="2109"/>
      <c r="J121" s="2109"/>
      <c r="K121" s="2109"/>
      <c r="L121" s="2109"/>
      <c r="M121" s="2109" t="str">
        <f>HLOOKUP(LANGUAGE!$B$2,LANGUAGE!$C$14:$G$1500,1167)</f>
        <v>- Initial release,SPC,samples,safe launch,FS-agreements, ...
- Inline-Process controls are activated (*) ?
- for deviations: is temporary firewall installed?
- Is the FFA (field failure analyse) process established and tested, also NTF?</v>
      </c>
      <c r="N121" s="2109"/>
      <c r="O121" s="2109"/>
      <c r="P121" s="2109"/>
      <c r="Q121" s="2109"/>
      <c r="R121" s="2109"/>
      <c r="S121" s="2109"/>
      <c r="T121" s="2109"/>
      <c r="U121" s="2111"/>
      <c r="V121" s="2111"/>
      <c r="W121" s="2111"/>
      <c r="X121" s="2111"/>
      <c r="Y121" s="2111"/>
      <c r="Z121" s="2113"/>
      <c r="AA121" s="2093"/>
      <c r="AB121" s="2093"/>
      <c r="AC121" s="2093"/>
      <c r="AD121" s="2093"/>
      <c r="AE121" s="2093"/>
      <c r="AF121" s="2093"/>
      <c r="AG121" s="2093"/>
      <c r="AH121" s="2094"/>
      <c r="AI121" s="2094"/>
      <c r="AJ121" s="2094"/>
      <c r="AK121" s="2095"/>
      <c r="AL121" s="189"/>
      <c r="AM121" s="195"/>
      <c r="AN121" s="195"/>
      <c r="AO121" s="195"/>
      <c r="AY121" s="3">
        <f>IF(ISNUMBER(MATCH(Z121,LANGUAGE!$C$137:$G$137,0)),0,IF(ISNUMBER(MATCH(Z121,LANGUAGE!$C$138:$G$138,0)),1,IF(ISNUMBER(MATCH(Z121,LANGUAGE!$C$139:$G$139,0)),2,IF(ISNUMBER(MATCH(Z121,LANGUAGE!$C$140:$G$140,0)),3,0))))</f>
        <v>0</v>
      </c>
      <c r="BA121" s="3">
        <f>IF(ISNUMBER(MATCH(AJ121,LANGUAGE!$C$141:$G$141,0)),3,IF(ISNUMBER(MATCH(AJ121,LANGUAGE!$C$142:$G$142,0)),1,0))</f>
        <v>0</v>
      </c>
      <c r="BB121" s="191">
        <f t="shared" si="12"/>
        <v>0</v>
      </c>
    </row>
    <row r="122" spans="2:54" ht="17.7" customHeight="1" x14ac:dyDescent="0.25">
      <c r="B122" s="2105"/>
      <c r="C122" s="2107"/>
      <c r="D122" s="2107"/>
      <c r="E122" s="2109"/>
      <c r="F122" s="2109"/>
      <c r="G122" s="2109"/>
      <c r="H122" s="2109"/>
      <c r="I122" s="2109"/>
      <c r="J122" s="2109"/>
      <c r="K122" s="2109"/>
      <c r="L122" s="2109"/>
      <c r="M122" s="2109"/>
      <c r="N122" s="2109"/>
      <c r="O122" s="2109"/>
      <c r="P122" s="2109"/>
      <c r="Q122" s="2109"/>
      <c r="R122" s="2109"/>
      <c r="S122" s="2109"/>
      <c r="T122" s="2109"/>
      <c r="U122" s="2111"/>
      <c r="V122" s="2111"/>
      <c r="W122" s="2111"/>
      <c r="X122" s="2111"/>
      <c r="Y122" s="2111"/>
      <c r="Z122" s="2093"/>
      <c r="AA122" s="2093"/>
      <c r="AB122" s="2093"/>
      <c r="AC122" s="2093"/>
      <c r="AD122" s="2093"/>
      <c r="AE122" s="2093"/>
      <c r="AF122" s="2093"/>
      <c r="AG122" s="2093"/>
      <c r="AH122" s="2094"/>
      <c r="AI122" s="2094"/>
      <c r="AJ122" s="2094"/>
      <c r="AK122" s="2095"/>
      <c r="AL122" s="189"/>
      <c r="AM122" s="195"/>
      <c r="AN122" s="195"/>
      <c r="AO122" s="195"/>
      <c r="AY122" s="3"/>
      <c r="BA122" s="3"/>
    </row>
    <row r="123" spans="2:54" ht="49.5" customHeight="1" x14ac:dyDescent="0.25">
      <c r="B123" s="2105"/>
      <c r="C123" s="2107"/>
      <c r="D123" s="2107"/>
      <c r="E123" s="2109"/>
      <c r="F123" s="2109"/>
      <c r="G123" s="2109"/>
      <c r="H123" s="2109"/>
      <c r="I123" s="2109"/>
      <c r="J123" s="2109"/>
      <c r="K123" s="2109"/>
      <c r="L123" s="2109"/>
      <c r="M123" s="2109"/>
      <c r="N123" s="2109"/>
      <c r="O123" s="2109"/>
      <c r="P123" s="2109"/>
      <c r="Q123" s="2109"/>
      <c r="R123" s="2109"/>
      <c r="S123" s="2109"/>
      <c r="T123" s="2109"/>
      <c r="U123" s="2111"/>
      <c r="V123" s="2111"/>
      <c r="W123" s="2111"/>
      <c r="X123" s="2111"/>
      <c r="Y123" s="2111"/>
      <c r="Z123" s="2093"/>
      <c r="AA123" s="2093"/>
      <c r="AB123" s="2093"/>
      <c r="AC123" s="2093"/>
      <c r="AD123" s="2093"/>
      <c r="AE123" s="2093"/>
      <c r="AF123" s="2093"/>
      <c r="AG123" s="2093"/>
      <c r="AH123" s="2094"/>
      <c r="AI123" s="2094"/>
      <c r="AJ123" s="2094"/>
      <c r="AK123" s="2095"/>
      <c r="AL123" s="189"/>
      <c r="AM123" s="195"/>
      <c r="AN123" s="195"/>
      <c r="AO123" s="195"/>
      <c r="AY123" s="3"/>
      <c r="BA123" s="3"/>
    </row>
    <row r="124" spans="2:54" ht="17.7" customHeight="1" x14ac:dyDescent="0.25">
      <c r="B124" s="2104" t="s">
        <v>2192</v>
      </c>
      <c r="C124" s="2107" t="str">
        <f>HLOOKUP(LANGUAGE!$B$2,LANGUAGE!$C$14:$G$1500,1168)</f>
        <v>Process</v>
      </c>
      <c r="D124" s="2107"/>
      <c r="E124" s="2219" t="str">
        <f>HLOOKUP(LANGUAGE!$B$2,LANGUAGE!$C$14:$G$1500,1169)</f>
        <v>Is the existing process ensuring that only OK parts are delivered?</v>
      </c>
      <c r="F124" s="2220"/>
      <c r="G124" s="2220"/>
      <c r="H124" s="2220"/>
      <c r="I124" s="2220"/>
      <c r="J124" s="2220"/>
      <c r="K124" s="2220"/>
      <c r="L124" s="2221"/>
      <c r="M124" s="2219" t="str">
        <f>HLOOKUP(LANGUAGE!$B$2,LANGUAGE!$C$14:$G$1500,1170)</f>
        <v>All necessary checks are implemented and carried out. NOK Parts are removed and separated.</v>
      </c>
      <c r="N124" s="2220"/>
      <c r="O124" s="2220"/>
      <c r="P124" s="2220"/>
      <c r="Q124" s="2220"/>
      <c r="R124" s="2220"/>
      <c r="S124" s="2220"/>
      <c r="T124" s="2221"/>
      <c r="U124" s="2111"/>
      <c r="V124" s="2111"/>
      <c r="W124" s="2111"/>
      <c r="X124" s="2111"/>
      <c r="Y124" s="2111"/>
      <c r="Z124" s="2113"/>
      <c r="AA124" s="2093"/>
      <c r="AB124" s="2093"/>
      <c r="AC124" s="2093"/>
      <c r="AD124" s="2093"/>
      <c r="AE124" s="2093"/>
      <c r="AF124" s="2093"/>
      <c r="AG124" s="2093"/>
      <c r="AH124" s="2094"/>
      <c r="AI124" s="2094"/>
      <c r="AJ124" s="2094"/>
      <c r="AK124" s="2095"/>
      <c r="AL124" s="189"/>
      <c r="AM124" s="195"/>
      <c r="AN124" s="195"/>
      <c r="AO124" s="195"/>
      <c r="AY124" s="3">
        <f>IF(ISNUMBER(MATCH(Z124,LANGUAGE!$C$137:$G$137,0)),0,IF(ISNUMBER(MATCH(Z124,LANGUAGE!$C$138:$G$138,0)),1,IF(ISNUMBER(MATCH(Z124,LANGUAGE!$C$139:$G$139,0)),2,IF(ISNUMBER(MATCH(Z124,LANGUAGE!$C$140:$G$140,0)),3,0))))</f>
        <v>0</v>
      </c>
      <c r="BA124" s="3">
        <f>IF(ISNUMBER(MATCH(AJ124,LANGUAGE!$C$141:$G$141,0)),3,IF(ISNUMBER(MATCH(AJ124,LANGUAGE!$C$142:$G$142,0)),1,0))</f>
        <v>0</v>
      </c>
      <c r="BB124" s="191">
        <f t="shared" si="12"/>
        <v>0</v>
      </c>
    </row>
    <row r="125" spans="2:54" ht="17.7" customHeight="1" x14ac:dyDescent="0.25">
      <c r="B125" s="2105"/>
      <c r="C125" s="2107"/>
      <c r="D125" s="2107"/>
      <c r="E125" s="2222"/>
      <c r="F125" s="2223"/>
      <c r="G125" s="2223"/>
      <c r="H125" s="2223"/>
      <c r="I125" s="2223"/>
      <c r="J125" s="2223"/>
      <c r="K125" s="2223"/>
      <c r="L125" s="2224"/>
      <c r="M125" s="2222"/>
      <c r="N125" s="2223"/>
      <c r="O125" s="2223"/>
      <c r="P125" s="2223"/>
      <c r="Q125" s="2223"/>
      <c r="R125" s="2223"/>
      <c r="S125" s="2223"/>
      <c r="T125" s="2224"/>
      <c r="U125" s="2111"/>
      <c r="V125" s="2111"/>
      <c r="W125" s="2111"/>
      <c r="X125" s="2111"/>
      <c r="Y125" s="2111"/>
      <c r="Z125" s="2093"/>
      <c r="AA125" s="2093"/>
      <c r="AB125" s="2093"/>
      <c r="AC125" s="2093"/>
      <c r="AD125" s="2093"/>
      <c r="AE125" s="2093"/>
      <c r="AF125" s="2093"/>
      <c r="AG125" s="2093"/>
      <c r="AH125" s="2094"/>
      <c r="AI125" s="2094"/>
      <c r="AJ125" s="2094"/>
      <c r="AK125" s="2095"/>
      <c r="AL125" s="189"/>
      <c r="AM125" s="195"/>
      <c r="AN125" s="195"/>
      <c r="AO125" s="195"/>
      <c r="AY125" s="3"/>
      <c r="BA125" s="3"/>
    </row>
    <row r="126" spans="2:54" ht="17.7" customHeight="1" x14ac:dyDescent="0.25">
      <c r="B126" s="2105"/>
      <c r="C126" s="2107"/>
      <c r="D126" s="2107"/>
      <c r="E126" s="2225"/>
      <c r="F126" s="2226"/>
      <c r="G126" s="2226"/>
      <c r="H126" s="2226"/>
      <c r="I126" s="2226"/>
      <c r="J126" s="2226"/>
      <c r="K126" s="2226"/>
      <c r="L126" s="2227"/>
      <c r="M126" s="2225"/>
      <c r="N126" s="2226"/>
      <c r="O126" s="2226"/>
      <c r="P126" s="2226"/>
      <c r="Q126" s="2226"/>
      <c r="R126" s="2226"/>
      <c r="S126" s="2226"/>
      <c r="T126" s="2227"/>
      <c r="U126" s="2111"/>
      <c r="V126" s="2111"/>
      <c r="W126" s="2111"/>
      <c r="X126" s="2111"/>
      <c r="Y126" s="2111"/>
      <c r="Z126" s="2093"/>
      <c r="AA126" s="2093"/>
      <c r="AB126" s="2093"/>
      <c r="AC126" s="2093"/>
      <c r="AD126" s="2093"/>
      <c r="AE126" s="2093"/>
      <c r="AF126" s="2093"/>
      <c r="AG126" s="2093"/>
      <c r="AH126" s="2094"/>
      <c r="AI126" s="2094"/>
      <c r="AJ126" s="2094"/>
      <c r="AK126" s="2095"/>
      <c r="AL126" s="189"/>
      <c r="AM126" s="195"/>
      <c r="AN126" s="195"/>
      <c r="AO126" s="195"/>
      <c r="AY126" s="3"/>
      <c r="BA126" s="3"/>
    </row>
    <row r="127" spans="2:54" ht="33.049999999999997" customHeight="1" x14ac:dyDescent="0.25">
      <c r="B127" s="2105"/>
      <c r="C127" s="2107"/>
      <c r="D127" s="2107"/>
      <c r="E127" s="2249" t="str">
        <f>HLOOKUP(LANGUAGE!$B$2,LANGUAGE!$C$14:$G$1500,1171)</f>
        <v>Verification Minimum-Process-Requirements (MPR)</v>
      </c>
      <c r="F127" s="2250"/>
      <c r="G127" s="2250"/>
      <c r="H127" s="2250"/>
      <c r="I127" s="2250"/>
      <c r="J127" s="2250"/>
      <c r="K127" s="2250"/>
      <c r="L127" s="2251"/>
      <c r="M127" s="2252"/>
      <c r="N127" s="2253"/>
      <c r="O127" s="2253"/>
      <c r="P127" s="2253"/>
      <c r="Q127" s="2253"/>
      <c r="R127" s="2253"/>
      <c r="S127" s="2253"/>
      <c r="T127" s="2254"/>
      <c r="U127" s="2111"/>
      <c r="V127" s="2111"/>
      <c r="W127" s="2111"/>
      <c r="X127" s="2111"/>
      <c r="Y127" s="2111"/>
      <c r="Z127" s="2093"/>
      <c r="AA127" s="2093"/>
      <c r="AB127" s="2093"/>
      <c r="AC127" s="2093"/>
      <c r="AD127" s="2093"/>
      <c r="AE127" s="2093"/>
      <c r="AF127" s="2093"/>
      <c r="AG127" s="2093"/>
      <c r="AH127" s="2094"/>
      <c r="AI127" s="2094"/>
      <c r="AJ127" s="2094"/>
      <c r="AK127" s="2095"/>
      <c r="AL127" s="189"/>
      <c r="AM127" s="195"/>
      <c r="AN127" s="195"/>
      <c r="AO127" s="195"/>
      <c r="AY127" s="3"/>
      <c r="BA127" s="3"/>
    </row>
    <row r="128" spans="2:54" ht="17.7" customHeight="1" x14ac:dyDescent="0.25">
      <c r="B128" s="2104" t="s">
        <v>2193</v>
      </c>
      <c r="C128" s="2107" t="str">
        <f>HLOOKUP(LANGUAGE!$B$2,LANGUAGE!$C$14:$G$1500,1172)</f>
        <v>Document-ation</v>
      </c>
      <c r="D128" s="2107"/>
      <c r="E128" s="2109" t="str">
        <f>HLOOKUP(LANGUAGE!$B$2,LANGUAGE!$C$14:$G$1500,1173)</f>
        <v>Are there work and inspection instructions available at every workplace?</v>
      </c>
      <c r="F128" s="2109"/>
      <c r="G128" s="2109"/>
      <c r="H128" s="2109"/>
      <c r="I128" s="2109"/>
      <c r="J128" s="2109"/>
      <c r="K128" s="2109"/>
      <c r="L128" s="2109"/>
      <c r="M128" s="2109" t="str">
        <f>HLOOKUP(LANGUAGE!$B$2,LANGUAGE!$C$14:$G$1500,1174)</f>
        <v>The respectiv employee for this work station has to show the relevant documents and should be familar with. Trained staff!</v>
      </c>
      <c r="N128" s="2109"/>
      <c r="O128" s="2109"/>
      <c r="P128" s="2109"/>
      <c r="Q128" s="2109"/>
      <c r="R128" s="2109"/>
      <c r="S128" s="2109"/>
      <c r="T128" s="2109"/>
      <c r="U128" s="2111"/>
      <c r="V128" s="2111"/>
      <c r="W128" s="2111"/>
      <c r="X128" s="2111"/>
      <c r="Y128" s="2111"/>
      <c r="Z128" s="2113"/>
      <c r="AA128" s="2093"/>
      <c r="AB128" s="2093"/>
      <c r="AC128" s="2093"/>
      <c r="AD128" s="2093"/>
      <c r="AE128" s="2093"/>
      <c r="AF128" s="2093"/>
      <c r="AG128" s="2093"/>
      <c r="AH128" s="2094"/>
      <c r="AI128" s="2094"/>
      <c r="AJ128" s="2094"/>
      <c r="AK128" s="2095"/>
      <c r="AL128" s="189"/>
      <c r="AM128" s="195"/>
      <c r="AN128" s="195"/>
      <c r="AO128" s="195"/>
      <c r="AY128" s="3">
        <f>IF(ISNUMBER(MATCH(Z128,LANGUAGE!$C$137:$G$137,0)),0,IF(ISNUMBER(MATCH(Z128,LANGUAGE!$C$138:$G$138,0)),1,IF(ISNUMBER(MATCH(Z128,LANGUAGE!$C$139:$G$139,0)),2,IF(ISNUMBER(MATCH(Z128,LANGUAGE!$C$140:$G$140,0)),3,0))))</f>
        <v>0</v>
      </c>
      <c r="BA128" s="3">
        <f>IF(ISNUMBER(MATCH(AJ128,LANGUAGE!$C$141:$G$141,0)),3,IF(ISNUMBER(MATCH(AJ128,LANGUAGE!$C$142:$G$142,0)),1,0))</f>
        <v>0</v>
      </c>
      <c r="BB128" s="191">
        <f t="shared" si="12"/>
        <v>0</v>
      </c>
    </row>
    <row r="129" spans="2:54" ht="17.25" customHeight="1" x14ac:dyDescent="0.25">
      <c r="B129" s="2105"/>
      <c r="C129" s="2107"/>
      <c r="D129" s="2107"/>
      <c r="E129" s="2109"/>
      <c r="F129" s="2109"/>
      <c r="G129" s="2109"/>
      <c r="H129" s="2109"/>
      <c r="I129" s="2109"/>
      <c r="J129" s="2109"/>
      <c r="K129" s="2109"/>
      <c r="L129" s="2109"/>
      <c r="M129" s="2109"/>
      <c r="N129" s="2109"/>
      <c r="O129" s="2109"/>
      <c r="P129" s="2109"/>
      <c r="Q129" s="2109"/>
      <c r="R129" s="2109"/>
      <c r="S129" s="2109"/>
      <c r="T129" s="2109"/>
      <c r="U129" s="2111"/>
      <c r="V129" s="2111"/>
      <c r="W129" s="2111"/>
      <c r="X129" s="2111"/>
      <c r="Y129" s="2111"/>
      <c r="Z129" s="2093"/>
      <c r="AA129" s="2093"/>
      <c r="AB129" s="2093"/>
      <c r="AC129" s="2093"/>
      <c r="AD129" s="2093"/>
      <c r="AE129" s="2093"/>
      <c r="AF129" s="2093"/>
      <c r="AG129" s="2093"/>
      <c r="AH129" s="2094"/>
      <c r="AI129" s="2094"/>
      <c r="AJ129" s="2094"/>
      <c r="AK129" s="2095"/>
      <c r="AL129" s="189"/>
      <c r="AM129" s="195"/>
      <c r="AN129" s="195"/>
      <c r="AO129" s="195"/>
      <c r="AY129" s="3"/>
      <c r="BA129" s="3"/>
    </row>
    <row r="130" spans="2:54" ht="17.7" customHeight="1" x14ac:dyDescent="0.25">
      <c r="B130" s="2105"/>
      <c r="C130" s="2107"/>
      <c r="D130" s="2107"/>
      <c r="E130" s="2109"/>
      <c r="F130" s="2109"/>
      <c r="G130" s="2109"/>
      <c r="H130" s="2109"/>
      <c r="I130" s="2109"/>
      <c r="J130" s="2109"/>
      <c r="K130" s="2109"/>
      <c r="L130" s="2109"/>
      <c r="M130" s="2109"/>
      <c r="N130" s="2109"/>
      <c r="O130" s="2109"/>
      <c r="P130" s="2109"/>
      <c r="Q130" s="2109"/>
      <c r="R130" s="2109"/>
      <c r="S130" s="2109"/>
      <c r="T130" s="2109"/>
      <c r="U130" s="2111"/>
      <c r="V130" s="2111"/>
      <c r="W130" s="2111"/>
      <c r="X130" s="2111"/>
      <c r="Y130" s="2111"/>
      <c r="Z130" s="2093"/>
      <c r="AA130" s="2093"/>
      <c r="AB130" s="2093"/>
      <c r="AC130" s="2093"/>
      <c r="AD130" s="2093"/>
      <c r="AE130" s="2093"/>
      <c r="AF130" s="2093"/>
      <c r="AG130" s="2093"/>
      <c r="AH130" s="2094"/>
      <c r="AI130" s="2094"/>
      <c r="AJ130" s="2094"/>
      <c r="AK130" s="2095"/>
      <c r="AL130" s="189"/>
      <c r="AM130" s="195"/>
      <c r="AN130" s="195"/>
      <c r="AO130" s="195"/>
      <c r="AY130" s="3"/>
      <c r="BA130" s="3"/>
    </row>
    <row r="131" spans="2:54" ht="17.7" customHeight="1" x14ac:dyDescent="0.25">
      <c r="B131" s="2104" t="s">
        <v>2194</v>
      </c>
      <c r="C131" s="2107" t="str">
        <f>HLOOKUP(LANGUAGE!$B$2,LANGUAGE!$C$14:$G$1500,1175)</f>
        <v>Measurement equipment</v>
      </c>
      <c r="D131" s="2107"/>
      <c r="E131" s="2109" t="str">
        <f>HLOOKUP(LANGUAGE!$B$2,LANGUAGE!$C$14:$G$1500,1176)</f>
        <v>Are all process-accompanying measuring devices/gauges fully labeled, functional, in the right place and do they meet all the requirements according to the production control plan?</v>
      </c>
      <c r="F131" s="2109"/>
      <c r="G131" s="2109"/>
      <c r="H131" s="2109"/>
      <c r="I131" s="2109"/>
      <c r="J131" s="2109"/>
      <c r="K131" s="2109"/>
      <c r="L131" s="2109"/>
      <c r="M131" s="2109" t="str">
        <f>HLOOKUP(LANGUAGE!$B$2,LANGUAGE!$C$14:$G$1500,1177)</f>
        <v>Calibration, capability for measuring equipment, Measurement instructions</v>
      </c>
      <c r="N131" s="2109"/>
      <c r="O131" s="2109"/>
      <c r="P131" s="2109"/>
      <c r="Q131" s="2109"/>
      <c r="R131" s="2109"/>
      <c r="S131" s="2109"/>
      <c r="T131" s="2109"/>
      <c r="U131" s="2111"/>
      <c r="V131" s="2111"/>
      <c r="W131" s="2111"/>
      <c r="X131" s="2111"/>
      <c r="Y131" s="2111"/>
      <c r="Z131" s="2113"/>
      <c r="AA131" s="2093"/>
      <c r="AB131" s="2093"/>
      <c r="AC131" s="2093"/>
      <c r="AD131" s="2093"/>
      <c r="AE131" s="2093"/>
      <c r="AF131" s="2093"/>
      <c r="AG131" s="2093"/>
      <c r="AH131" s="2094"/>
      <c r="AI131" s="2094"/>
      <c r="AJ131" s="2094"/>
      <c r="AK131" s="2095"/>
      <c r="AL131" s="189"/>
      <c r="AM131" s="195"/>
      <c r="AN131" s="195"/>
      <c r="AO131" s="195"/>
      <c r="AY131" s="3">
        <f>IF(ISNUMBER(MATCH(Z131,LANGUAGE!$C$137:$G$137,0)),0,IF(ISNUMBER(MATCH(Z131,LANGUAGE!$C$138:$G$138,0)),1,IF(ISNUMBER(MATCH(Z131,LANGUAGE!$C$139:$G$139,0)),2,IF(ISNUMBER(MATCH(Z131,LANGUAGE!$C$140:$G$140,0)),3,0))))</f>
        <v>0</v>
      </c>
      <c r="BA131" s="3">
        <f>IF(ISNUMBER(MATCH(AJ131,LANGUAGE!$C$141:$G$141,0)),3,IF(ISNUMBER(MATCH(AJ131,LANGUAGE!$C$142:$G$142,0)),1,0))</f>
        <v>0</v>
      </c>
      <c r="BB131" s="191">
        <f t="shared" si="12"/>
        <v>0</v>
      </c>
    </row>
    <row r="132" spans="2:54" ht="17.7" customHeight="1" x14ac:dyDescent="0.25">
      <c r="B132" s="2105"/>
      <c r="C132" s="2107"/>
      <c r="D132" s="2107"/>
      <c r="E132" s="2109"/>
      <c r="F132" s="2109"/>
      <c r="G132" s="2109"/>
      <c r="H132" s="2109"/>
      <c r="I132" s="2109"/>
      <c r="J132" s="2109"/>
      <c r="K132" s="2109"/>
      <c r="L132" s="2109"/>
      <c r="M132" s="2109"/>
      <c r="N132" s="2109"/>
      <c r="O132" s="2109"/>
      <c r="P132" s="2109"/>
      <c r="Q132" s="2109"/>
      <c r="R132" s="2109"/>
      <c r="S132" s="2109"/>
      <c r="T132" s="2109"/>
      <c r="U132" s="2111"/>
      <c r="V132" s="2111"/>
      <c r="W132" s="2111"/>
      <c r="X132" s="2111"/>
      <c r="Y132" s="2111"/>
      <c r="Z132" s="2093"/>
      <c r="AA132" s="2093"/>
      <c r="AB132" s="2093"/>
      <c r="AC132" s="2093"/>
      <c r="AD132" s="2093"/>
      <c r="AE132" s="2093"/>
      <c r="AF132" s="2093"/>
      <c r="AG132" s="2093"/>
      <c r="AH132" s="2094"/>
      <c r="AI132" s="2094"/>
      <c r="AJ132" s="2094"/>
      <c r="AK132" s="2095"/>
      <c r="AL132" s="189"/>
      <c r="AM132" s="195"/>
      <c r="AN132" s="195"/>
      <c r="AO132" s="195"/>
      <c r="AY132" s="3"/>
      <c r="BA132" s="3"/>
    </row>
    <row r="133" spans="2:54" ht="17.7" customHeight="1" x14ac:dyDescent="0.25">
      <c r="B133" s="2105"/>
      <c r="C133" s="2107"/>
      <c r="D133" s="2107"/>
      <c r="E133" s="2109"/>
      <c r="F133" s="2109"/>
      <c r="G133" s="2109"/>
      <c r="H133" s="2109"/>
      <c r="I133" s="2109"/>
      <c r="J133" s="2109"/>
      <c r="K133" s="2109"/>
      <c r="L133" s="2109"/>
      <c r="M133" s="2109"/>
      <c r="N133" s="2109"/>
      <c r="O133" s="2109"/>
      <c r="P133" s="2109"/>
      <c r="Q133" s="2109"/>
      <c r="R133" s="2109"/>
      <c r="S133" s="2109"/>
      <c r="T133" s="2109"/>
      <c r="U133" s="2111"/>
      <c r="V133" s="2111"/>
      <c r="W133" s="2111"/>
      <c r="X133" s="2111"/>
      <c r="Y133" s="2111"/>
      <c r="Z133" s="2093"/>
      <c r="AA133" s="2093"/>
      <c r="AB133" s="2093"/>
      <c r="AC133" s="2093"/>
      <c r="AD133" s="2093"/>
      <c r="AE133" s="2093"/>
      <c r="AF133" s="2093"/>
      <c r="AG133" s="2093"/>
      <c r="AH133" s="2094"/>
      <c r="AI133" s="2094"/>
      <c r="AJ133" s="2094"/>
      <c r="AK133" s="2095"/>
      <c r="AL133" s="189"/>
      <c r="AM133" s="195"/>
      <c r="AN133" s="195"/>
      <c r="AO133" s="195"/>
      <c r="AY133" s="3"/>
      <c r="BA133" s="3"/>
    </row>
    <row r="134" spans="2:54" ht="17.7" customHeight="1" x14ac:dyDescent="0.25">
      <c r="B134" s="2104" t="s">
        <v>2195</v>
      </c>
      <c r="C134" s="2107" t="str">
        <f>HLOOKUP(LANGUAGE!$B$2,LANGUAGE!$C$14:$G$1500,1178)</f>
        <v>Limiting sample parts</v>
      </c>
      <c r="D134" s="2107"/>
      <c r="E134" s="2109" t="str">
        <f>HLOOKUP(LANGUAGE!$B$2,LANGUAGE!$C$14:$G$1500,1179)</f>
        <v>If necessary, are suitable limiting sample parts available and released at the appropriate workplaces?</v>
      </c>
      <c r="F134" s="2109"/>
      <c r="G134" s="2109"/>
      <c r="H134" s="2109"/>
      <c r="I134" s="2109"/>
      <c r="J134" s="2109"/>
      <c r="K134" s="2109"/>
      <c r="L134" s="2109"/>
      <c r="M134" s="2109" t="str">
        <f>HLOOKUP(LANGUAGE!$B$2,LANGUAGE!$C$14:$G$1500,1180)</f>
        <v xml:space="preserve">Limiting sample parts are agreed with Brose and error patterns are clearly classified. Instuction document is available. 
</v>
      </c>
      <c r="N134" s="2109"/>
      <c r="O134" s="2109"/>
      <c r="P134" s="2109"/>
      <c r="Q134" s="2109"/>
      <c r="R134" s="2109"/>
      <c r="S134" s="2109"/>
      <c r="T134" s="2109"/>
      <c r="U134" s="2111"/>
      <c r="V134" s="2111"/>
      <c r="W134" s="2111"/>
      <c r="X134" s="2111"/>
      <c r="Y134" s="2111"/>
      <c r="Z134" s="2113"/>
      <c r="AA134" s="2093"/>
      <c r="AB134" s="2093"/>
      <c r="AC134" s="2093"/>
      <c r="AD134" s="2093"/>
      <c r="AE134" s="2093"/>
      <c r="AF134" s="2093"/>
      <c r="AG134" s="2093"/>
      <c r="AH134" s="2094"/>
      <c r="AI134" s="2094"/>
      <c r="AJ134" s="2094"/>
      <c r="AK134" s="2095"/>
      <c r="AL134" s="189"/>
      <c r="AM134" s="195"/>
      <c r="AN134" s="195"/>
      <c r="AO134" s="195"/>
      <c r="AY134" s="3">
        <f>IF(ISNUMBER(MATCH(Z134,LANGUAGE!$C$137:$G$137,0)),0,IF(ISNUMBER(MATCH(Z134,LANGUAGE!$C$138:$G$138,0)),1,IF(ISNUMBER(MATCH(Z134,LANGUAGE!$C$139:$G$139,0)),2,IF(ISNUMBER(MATCH(Z134,LANGUAGE!$C$140:$G$140,0)),3,0))))</f>
        <v>0</v>
      </c>
      <c r="BA134" s="3">
        <f>IF(ISNUMBER(MATCH(AJ134,LANGUAGE!$C$141:$G$141,0)),3,IF(ISNUMBER(MATCH(AJ134,LANGUAGE!$C$142:$G$142,0)),1,0))</f>
        <v>0</v>
      </c>
      <c r="BB134" s="191">
        <f t="shared" si="12"/>
        <v>0</v>
      </c>
    </row>
    <row r="135" spans="2:54" ht="17.7" customHeight="1" x14ac:dyDescent="0.25">
      <c r="B135" s="2105"/>
      <c r="C135" s="2107"/>
      <c r="D135" s="2107"/>
      <c r="E135" s="2109"/>
      <c r="F135" s="2109"/>
      <c r="G135" s="2109"/>
      <c r="H135" s="2109"/>
      <c r="I135" s="2109"/>
      <c r="J135" s="2109"/>
      <c r="K135" s="2109"/>
      <c r="L135" s="2109"/>
      <c r="M135" s="2109"/>
      <c r="N135" s="2109"/>
      <c r="O135" s="2109"/>
      <c r="P135" s="2109"/>
      <c r="Q135" s="2109"/>
      <c r="R135" s="2109"/>
      <c r="S135" s="2109"/>
      <c r="T135" s="2109"/>
      <c r="U135" s="2111"/>
      <c r="V135" s="2111"/>
      <c r="W135" s="2111"/>
      <c r="X135" s="2111"/>
      <c r="Y135" s="2111"/>
      <c r="Z135" s="2093"/>
      <c r="AA135" s="2093"/>
      <c r="AB135" s="2093"/>
      <c r="AC135" s="2093"/>
      <c r="AD135" s="2093"/>
      <c r="AE135" s="2093"/>
      <c r="AF135" s="2093"/>
      <c r="AG135" s="2093"/>
      <c r="AH135" s="2094"/>
      <c r="AI135" s="2094"/>
      <c r="AJ135" s="2094"/>
      <c r="AK135" s="2095"/>
      <c r="AL135" s="189"/>
      <c r="AM135" s="195"/>
      <c r="AN135" s="195"/>
      <c r="AO135" s="195"/>
      <c r="AY135" s="3"/>
      <c r="BA135" s="3"/>
    </row>
    <row r="136" spans="2:54" ht="33.85" customHeight="1" x14ac:dyDescent="0.25">
      <c r="B136" s="2105"/>
      <c r="C136" s="2107"/>
      <c r="D136" s="2107"/>
      <c r="E136" s="2109"/>
      <c r="F136" s="2109"/>
      <c r="G136" s="2109"/>
      <c r="H136" s="2109"/>
      <c r="I136" s="2109"/>
      <c r="J136" s="2109"/>
      <c r="K136" s="2109"/>
      <c r="L136" s="2109"/>
      <c r="M136" s="2109"/>
      <c r="N136" s="2109"/>
      <c r="O136" s="2109"/>
      <c r="P136" s="2109"/>
      <c r="Q136" s="2109"/>
      <c r="R136" s="2109"/>
      <c r="S136" s="2109"/>
      <c r="T136" s="2109"/>
      <c r="U136" s="2111"/>
      <c r="V136" s="2111"/>
      <c r="W136" s="2111"/>
      <c r="X136" s="2111"/>
      <c r="Y136" s="2111"/>
      <c r="Z136" s="2093"/>
      <c r="AA136" s="2093"/>
      <c r="AB136" s="2093"/>
      <c r="AC136" s="2093"/>
      <c r="AD136" s="2093"/>
      <c r="AE136" s="2093"/>
      <c r="AF136" s="2093"/>
      <c r="AG136" s="2093"/>
      <c r="AH136" s="2094"/>
      <c r="AI136" s="2094"/>
      <c r="AJ136" s="2094"/>
      <c r="AK136" s="2095"/>
      <c r="AL136" s="189"/>
      <c r="AM136" s="195"/>
      <c r="AN136" s="195"/>
      <c r="AO136" s="195"/>
      <c r="AY136" s="3"/>
      <c r="BA136" s="3"/>
    </row>
    <row r="137" spans="2:54" ht="17.7" customHeight="1" x14ac:dyDescent="0.25">
      <c r="B137" s="2104" t="s">
        <v>2196</v>
      </c>
      <c r="C137" s="2107" t="str">
        <f>HLOOKUP(LANGUAGE!$B$2,LANGUAGE!$C$14:$G$1500,1181)</f>
        <v>NOK parts</v>
      </c>
      <c r="D137" s="2107"/>
      <c r="E137" s="2109" t="str">
        <f>HLOOKUP(LANGUAGE!$B$2,LANGUAGE!$C$14:$G$1500,1182)</f>
        <v>Are start-up parts/ nok-parts removed from the production process and is ensured that they are not delivered?</v>
      </c>
      <c r="F137" s="2109"/>
      <c r="G137" s="2109"/>
      <c r="H137" s="2109"/>
      <c r="I137" s="2109"/>
      <c r="J137" s="2109"/>
      <c r="K137" s="2109"/>
      <c r="L137" s="2109"/>
      <c r="M137" s="2109" t="str">
        <f>HLOOKUP(LANGUAGE!$B$2,LANGUAGE!$C$14:$G$1500,1183)</f>
        <v>- Red boxes available, NOK parts separated and under quarantine
- Facilities are tested regularly with n.o.k. samples according to a defined frequency on a regular basis and results are documented</v>
      </c>
      <c r="N137" s="2109"/>
      <c r="O137" s="2109"/>
      <c r="P137" s="2109"/>
      <c r="Q137" s="2109"/>
      <c r="R137" s="2109"/>
      <c r="S137" s="2109"/>
      <c r="T137" s="2109"/>
      <c r="U137" s="2111"/>
      <c r="V137" s="2111"/>
      <c r="W137" s="2111"/>
      <c r="X137" s="2111"/>
      <c r="Y137" s="2111"/>
      <c r="Z137" s="2113"/>
      <c r="AA137" s="2093"/>
      <c r="AB137" s="2093"/>
      <c r="AC137" s="2093"/>
      <c r="AD137" s="2093"/>
      <c r="AE137" s="2093"/>
      <c r="AF137" s="2093"/>
      <c r="AG137" s="2093"/>
      <c r="AH137" s="2094"/>
      <c r="AI137" s="2094"/>
      <c r="AJ137" s="2094"/>
      <c r="AK137" s="2095"/>
      <c r="AL137" s="189"/>
      <c r="AM137" s="195"/>
      <c r="AN137" s="195"/>
      <c r="AO137" s="195"/>
      <c r="AY137" s="3">
        <f>IF(ISNUMBER(MATCH(Z137,LANGUAGE!$C$137:$G$137,0)),0,IF(ISNUMBER(MATCH(Z137,LANGUAGE!$C$138:$G$138,0)),1,IF(ISNUMBER(MATCH(Z137,LANGUAGE!$C$139:$G$139,0)),2,IF(ISNUMBER(MATCH(Z137,LANGUAGE!$C$140:$G$140,0)),3,0))))</f>
        <v>0</v>
      </c>
      <c r="BA137" s="3">
        <f>IF(ISNUMBER(MATCH(AJ137,LANGUAGE!$C$141:$G$141,0)),3,IF(ISNUMBER(MATCH(AJ137,LANGUAGE!$C$142:$G$142,0)),1,0))</f>
        <v>0</v>
      </c>
      <c r="BB137" s="191">
        <f t="shared" si="12"/>
        <v>0</v>
      </c>
    </row>
    <row r="138" spans="2:54" ht="17.7" customHeight="1" x14ac:dyDescent="0.25">
      <c r="B138" s="2105"/>
      <c r="C138" s="2107"/>
      <c r="D138" s="2107"/>
      <c r="E138" s="2109"/>
      <c r="F138" s="2109"/>
      <c r="G138" s="2109"/>
      <c r="H138" s="2109"/>
      <c r="I138" s="2109"/>
      <c r="J138" s="2109"/>
      <c r="K138" s="2109"/>
      <c r="L138" s="2109"/>
      <c r="M138" s="2109"/>
      <c r="N138" s="2109"/>
      <c r="O138" s="2109"/>
      <c r="P138" s="2109"/>
      <c r="Q138" s="2109"/>
      <c r="R138" s="2109"/>
      <c r="S138" s="2109"/>
      <c r="T138" s="2109"/>
      <c r="U138" s="2111"/>
      <c r="V138" s="2111"/>
      <c r="W138" s="2111"/>
      <c r="X138" s="2111"/>
      <c r="Y138" s="2111"/>
      <c r="Z138" s="2093"/>
      <c r="AA138" s="2093"/>
      <c r="AB138" s="2093"/>
      <c r="AC138" s="2093"/>
      <c r="AD138" s="2093"/>
      <c r="AE138" s="2093"/>
      <c r="AF138" s="2093"/>
      <c r="AG138" s="2093"/>
      <c r="AH138" s="2094"/>
      <c r="AI138" s="2094"/>
      <c r="AJ138" s="2094"/>
      <c r="AK138" s="2095"/>
      <c r="AL138" s="189"/>
      <c r="AM138" s="195"/>
      <c r="AN138" s="195"/>
      <c r="AO138" s="195"/>
      <c r="AY138" s="3"/>
      <c r="BA138" s="3"/>
    </row>
    <row r="139" spans="2:54" ht="27.7" customHeight="1" x14ac:dyDescent="0.25">
      <c r="B139" s="2105"/>
      <c r="C139" s="2107"/>
      <c r="D139" s="2107"/>
      <c r="E139" s="2109"/>
      <c r="F139" s="2109"/>
      <c r="G139" s="2109"/>
      <c r="H139" s="2109"/>
      <c r="I139" s="2109"/>
      <c r="J139" s="2109"/>
      <c r="K139" s="2109"/>
      <c r="L139" s="2109"/>
      <c r="M139" s="2109"/>
      <c r="N139" s="2109"/>
      <c r="O139" s="2109"/>
      <c r="P139" s="2109"/>
      <c r="Q139" s="2109"/>
      <c r="R139" s="2109"/>
      <c r="S139" s="2109"/>
      <c r="T139" s="2109"/>
      <c r="U139" s="2111"/>
      <c r="V139" s="2111"/>
      <c r="W139" s="2111"/>
      <c r="X139" s="2111"/>
      <c r="Y139" s="2111"/>
      <c r="Z139" s="2093"/>
      <c r="AA139" s="2093"/>
      <c r="AB139" s="2093"/>
      <c r="AC139" s="2093"/>
      <c r="AD139" s="2093"/>
      <c r="AE139" s="2093"/>
      <c r="AF139" s="2093"/>
      <c r="AG139" s="2093"/>
      <c r="AH139" s="2094"/>
      <c r="AI139" s="2094"/>
      <c r="AJ139" s="2094"/>
      <c r="AK139" s="2095"/>
      <c r="AL139" s="189"/>
      <c r="AM139" s="195"/>
      <c r="AN139" s="195"/>
      <c r="AO139" s="195"/>
      <c r="AY139" s="3"/>
      <c r="BA139" s="3"/>
    </row>
    <row r="140" spans="2:54" ht="17.7" customHeight="1" x14ac:dyDescent="0.25">
      <c r="B140" s="2105" t="s">
        <v>1805</v>
      </c>
      <c r="C140" s="2107" t="str">
        <f>HLOOKUP(LANGUAGE!$B$2,LANGUAGE!$C$14:$G$1500,1184)</f>
        <v>SQG</v>
      </c>
      <c r="D140" s="2107"/>
      <c r="E140" s="2109" t="str">
        <f>HLOOKUP(LANGUAGE!$B$2,LANGUAGE!$C$14:$G$1500,1185)</f>
        <v>Are there still open points/actions from the Supplier Quality Gates (SQGs) which influence the process release?</v>
      </c>
      <c r="F140" s="2109"/>
      <c r="G140" s="2109"/>
      <c r="H140" s="2109"/>
      <c r="I140" s="2109"/>
      <c r="J140" s="2109"/>
      <c r="K140" s="2109"/>
      <c r="L140" s="2109"/>
      <c r="M140" s="2109" t="str">
        <f>HLOOKUP(LANGUAGE!$B$2,LANGUAGE!$C$14:$G$1500,1186)</f>
        <v>All action has to be closed in time!</v>
      </c>
      <c r="N140" s="2109"/>
      <c r="O140" s="2109"/>
      <c r="P140" s="2109"/>
      <c r="Q140" s="2109"/>
      <c r="R140" s="2109"/>
      <c r="S140" s="2109"/>
      <c r="T140" s="2109"/>
      <c r="U140" s="2111"/>
      <c r="V140" s="2111"/>
      <c r="W140" s="2111"/>
      <c r="X140" s="2111"/>
      <c r="Y140" s="2111"/>
      <c r="Z140" s="2113"/>
      <c r="AA140" s="2093"/>
      <c r="AB140" s="2093"/>
      <c r="AC140" s="2093"/>
      <c r="AD140" s="2093"/>
      <c r="AE140" s="2093"/>
      <c r="AF140" s="2093"/>
      <c r="AG140" s="2093"/>
      <c r="AH140" s="2094"/>
      <c r="AI140" s="2094"/>
      <c r="AJ140" s="2094"/>
      <c r="AK140" s="2095"/>
      <c r="AL140" s="189"/>
      <c r="AM140" s="195"/>
      <c r="AN140" s="195"/>
      <c r="AO140" s="195"/>
      <c r="AY140" s="3">
        <f>IF(ISNUMBER(MATCH(Z140,LANGUAGE!$C$137:$G$137,0)),0,IF(ISNUMBER(MATCH(Z140,LANGUAGE!$C$138:$G$138,0)),1,IF(ISNUMBER(MATCH(Z140,LANGUAGE!$C$139:$G$139,0)),2,IF(ISNUMBER(MATCH(Z140,LANGUAGE!$C$140:$G$140,0)),3,0))))</f>
        <v>0</v>
      </c>
      <c r="BA140" s="3">
        <f>IF(ISNUMBER(MATCH(AJ140,LANGUAGE!$C$141:$G$141,0)),3,IF(ISNUMBER(MATCH(AJ140,LANGUAGE!$C$142:$G$142,0)),1,0))</f>
        <v>0</v>
      </c>
      <c r="BB140" s="191">
        <f t="shared" si="12"/>
        <v>0</v>
      </c>
    </row>
    <row r="141" spans="2:54" ht="17.7" customHeight="1" x14ac:dyDescent="0.25">
      <c r="B141" s="2105"/>
      <c r="C141" s="2107"/>
      <c r="D141" s="2107"/>
      <c r="E141" s="2109"/>
      <c r="F141" s="2109"/>
      <c r="G141" s="2109"/>
      <c r="H141" s="2109"/>
      <c r="I141" s="2109"/>
      <c r="J141" s="2109"/>
      <c r="K141" s="2109"/>
      <c r="L141" s="2109"/>
      <c r="M141" s="2109"/>
      <c r="N141" s="2109"/>
      <c r="O141" s="2109"/>
      <c r="P141" s="2109"/>
      <c r="Q141" s="2109"/>
      <c r="R141" s="2109"/>
      <c r="S141" s="2109"/>
      <c r="T141" s="2109"/>
      <c r="U141" s="2111"/>
      <c r="V141" s="2111"/>
      <c r="W141" s="2111"/>
      <c r="X141" s="2111"/>
      <c r="Y141" s="2111"/>
      <c r="Z141" s="2093"/>
      <c r="AA141" s="2093"/>
      <c r="AB141" s="2093"/>
      <c r="AC141" s="2093"/>
      <c r="AD141" s="2093"/>
      <c r="AE141" s="2093"/>
      <c r="AF141" s="2093"/>
      <c r="AG141" s="2093"/>
      <c r="AH141" s="2094"/>
      <c r="AI141" s="2094"/>
      <c r="AJ141" s="2094"/>
      <c r="AK141" s="2095"/>
      <c r="AL141" s="189"/>
      <c r="AM141" s="195"/>
      <c r="AN141" s="195"/>
      <c r="AO141" s="195"/>
      <c r="AY141" s="3"/>
      <c r="BA141" s="3"/>
    </row>
    <row r="142" spans="2:54" ht="17.7" customHeight="1" x14ac:dyDescent="0.25">
      <c r="B142" s="2105"/>
      <c r="C142" s="2107"/>
      <c r="D142" s="2107"/>
      <c r="E142" s="2109"/>
      <c r="F142" s="2109"/>
      <c r="G142" s="2109"/>
      <c r="H142" s="2109"/>
      <c r="I142" s="2109"/>
      <c r="J142" s="2109"/>
      <c r="K142" s="2109"/>
      <c r="L142" s="2109"/>
      <c r="M142" s="2109"/>
      <c r="N142" s="2109"/>
      <c r="O142" s="2109"/>
      <c r="P142" s="2109"/>
      <c r="Q142" s="2109"/>
      <c r="R142" s="2109"/>
      <c r="S142" s="2109"/>
      <c r="T142" s="2109"/>
      <c r="U142" s="2111"/>
      <c r="V142" s="2111"/>
      <c r="W142" s="2111"/>
      <c r="X142" s="2111"/>
      <c r="Y142" s="2111"/>
      <c r="Z142" s="2093"/>
      <c r="AA142" s="2093"/>
      <c r="AB142" s="2093"/>
      <c r="AC142" s="2093"/>
      <c r="AD142" s="2093"/>
      <c r="AE142" s="2093"/>
      <c r="AF142" s="2093"/>
      <c r="AG142" s="2093"/>
      <c r="AH142" s="2094"/>
      <c r="AI142" s="2094"/>
      <c r="AJ142" s="2094"/>
      <c r="AK142" s="2095"/>
      <c r="AL142" s="189"/>
      <c r="AM142" s="195"/>
      <c r="AN142" s="195"/>
      <c r="AO142" s="195"/>
      <c r="AY142" s="3"/>
      <c r="BA142" s="3"/>
    </row>
    <row r="143" spans="2:54" ht="17.7" customHeight="1" x14ac:dyDescent="0.25">
      <c r="B143" s="2104" t="s">
        <v>2197</v>
      </c>
      <c r="C143" s="2107" t="str">
        <f>HLOOKUP(LANGUAGE!$B$2,LANGUAGE!$C$14:$G$1500,1187)</f>
        <v>Property</v>
      </c>
      <c r="D143" s="2107"/>
      <c r="E143" s="2109" t="str">
        <f>HLOOKUP(LANGUAGE!$B$2,LANGUAGE!$C$14:$G$1500,1188)</f>
        <v>Are the tools/gauges marked and the status clearly identifiable?
Is Brose/ customer property clearly identified?</v>
      </c>
      <c r="F143" s="2109"/>
      <c r="G143" s="2109"/>
      <c r="H143" s="2109"/>
      <c r="I143" s="2109"/>
      <c r="J143" s="2109"/>
      <c r="K143" s="2109"/>
      <c r="L143" s="2109"/>
      <c r="M143" s="2109" t="str">
        <f>HLOOKUP(LANGUAGE!$B$2,LANGUAGE!$C$14:$G$1500,1189)</f>
        <v>Check if all Brose tools and gauges are permanent marked (Brose tool labels).</v>
      </c>
      <c r="N143" s="2109"/>
      <c r="O143" s="2109"/>
      <c r="P143" s="2109"/>
      <c r="Q143" s="2109"/>
      <c r="R143" s="2109"/>
      <c r="S143" s="2109"/>
      <c r="T143" s="2109"/>
      <c r="U143" s="2111"/>
      <c r="V143" s="2111"/>
      <c r="W143" s="2111"/>
      <c r="X143" s="2111"/>
      <c r="Y143" s="2111"/>
      <c r="Z143" s="2113"/>
      <c r="AA143" s="2093"/>
      <c r="AB143" s="2093"/>
      <c r="AC143" s="2093"/>
      <c r="AD143" s="2093"/>
      <c r="AE143" s="2093"/>
      <c r="AF143" s="2093"/>
      <c r="AG143" s="2093"/>
      <c r="AH143" s="2094"/>
      <c r="AI143" s="2094"/>
      <c r="AJ143" s="2094"/>
      <c r="AK143" s="2095"/>
      <c r="AL143" s="189"/>
      <c r="AM143" s="195"/>
      <c r="AN143" s="195"/>
      <c r="AO143" s="195"/>
      <c r="AY143" s="3">
        <f>IF(ISNUMBER(MATCH(Z143,LANGUAGE!$C$137:$G$137,0)),0,IF(ISNUMBER(MATCH(Z143,LANGUAGE!$C$138:$G$138,0)),1,IF(ISNUMBER(MATCH(Z143,LANGUAGE!$C$139:$G$139,0)),2,IF(ISNUMBER(MATCH(Z143,LANGUAGE!$C$140:$G$140,0)),3,0))))</f>
        <v>0</v>
      </c>
      <c r="BA143" s="3">
        <f>IF(ISNUMBER(MATCH(AJ143,LANGUAGE!$C$141:$G$141,0)),3,IF(ISNUMBER(MATCH(AJ143,LANGUAGE!$C$142:$G$142,0)),1,0))</f>
        <v>0</v>
      </c>
      <c r="BB143" s="191">
        <f t="shared" si="12"/>
        <v>0</v>
      </c>
    </row>
    <row r="144" spans="2:54" ht="17.7" customHeight="1" x14ac:dyDescent="0.25">
      <c r="B144" s="2105"/>
      <c r="C144" s="2107"/>
      <c r="D144" s="2107"/>
      <c r="E144" s="2109"/>
      <c r="F144" s="2109"/>
      <c r="G144" s="2109"/>
      <c r="H144" s="2109"/>
      <c r="I144" s="2109"/>
      <c r="J144" s="2109"/>
      <c r="K144" s="2109"/>
      <c r="L144" s="2109"/>
      <c r="M144" s="2109"/>
      <c r="N144" s="2109"/>
      <c r="O144" s="2109"/>
      <c r="P144" s="2109"/>
      <c r="Q144" s="2109"/>
      <c r="R144" s="2109"/>
      <c r="S144" s="2109"/>
      <c r="T144" s="2109"/>
      <c r="U144" s="2111"/>
      <c r="V144" s="2111"/>
      <c r="W144" s="2111"/>
      <c r="X144" s="2111"/>
      <c r="Y144" s="2111"/>
      <c r="Z144" s="2093"/>
      <c r="AA144" s="2093"/>
      <c r="AB144" s="2093"/>
      <c r="AC144" s="2093"/>
      <c r="AD144" s="2093"/>
      <c r="AE144" s="2093"/>
      <c r="AF144" s="2093"/>
      <c r="AG144" s="2093"/>
      <c r="AH144" s="2094"/>
      <c r="AI144" s="2094"/>
      <c r="AJ144" s="2094"/>
      <c r="AK144" s="2095"/>
      <c r="AL144" s="189"/>
      <c r="AM144" s="195"/>
      <c r="AN144" s="195"/>
      <c r="AO144" s="195"/>
      <c r="AY144" s="3"/>
      <c r="BA144" s="3"/>
    </row>
    <row r="145" spans="2:54" ht="17.7" customHeight="1" thickBot="1" x14ac:dyDescent="0.3">
      <c r="B145" s="2106"/>
      <c r="C145" s="2108"/>
      <c r="D145" s="2108"/>
      <c r="E145" s="2110"/>
      <c r="F145" s="2110"/>
      <c r="G145" s="2110"/>
      <c r="H145" s="2110"/>
      <c r="I145" s="2110"/>
      <c r="J145" s="2110"/>
      <c r="K145" s="2110"/>
      <c r="L145" s="2110"/>
      <c r="M145" s="2110"/>
      <c r="N145" s="2110"/>
      <c r="O145" s="2110"/>
      <c r="P145" s="2110"/>
      <c r="Q145" s="2110"/>
      <c r="R145" s="2110"/>
      <c r="S145" s="2110"/>
      <c r="T145" s="2110"/>
      <c r="U145" s="2112"/>
      <c r="V145" s="2112"/>
      <c r="W145" s="2112"/>
      <c r="X145" s="2112"/>
      <c r="Y145" s="2112"/>
      <c r="Z145" s="2114"/>
      <c r="AA145" s="2114"/>
      <c r="AB145" s="2114"/>
      <c r="AC145" s="2114"/>
      <c r="AD145" s="2114"/>
      <c r="AE145" s="2114"/>
      <c r="AF145" s="2114"/>
      <c r="AG145" s="2114"/>
      <c r="AH145" s="2096"/>
      <c r="AI145" s="2096"/>
      <c r="AJ145" s="2096"/>
      <c r="AK145" s="2097"/>
      <c r="AL145" s="189"/>
      <c r="AM145" s="195"/>
      <c r="AN145" s="195"/>
      <c r="AO145" s="195"/>
      <c r="AY145" s="3"/>
      <c r="BA145" s="3"/>
    </row>
    <row r="146" spans="2:54" ht="17.25" customHeight="1" thickBot="1" x14ac:dyDescent="0.3">
      <c r="B146" s="189"/>
      <c r="C146" s="189"/>
      <c r="D146" s="189"/>
      <c r="E146" s="189"/>
      <c r="F146" s="189"/>
      <c r="G146" s="189"/>
      <c r="H146" s="189"/>
      <c r="I146" s="189"/>
      <c r="J146" s="189"/>
      <c r="K146" s="189"/>
      <c r="L146" s="189"/>
      <c r="M146" s="189"/>
      <c r="N146" s="189"/>
      <c r="O146" s="189"/>
      <c r="P146" s="189"/>
      <c r="Q146" s="189"/>
      <c r="R146" s="189"/>
      <c r="S146" s="189"/>
      <c r="T146" s="189"/>
      <c r="U146" s="197"/>
      <c r="V146" s="197"/>
      <c r="W146" s="197"/>
      <c r="X146" s="197"/>
      <c r="Y146" s="197"/>
      <c r="Z146" s="189"/>
      <c r="AA146" s="189"/>
      <c r="AB146" s="189"/>
      <c r="AC146" s="189"/>
      <c r="AD146" s="189"/>
      <c r="AE146" s="197"/>
      <c r="AF146" s="197"/>
      <c r="AG146" s="197"/>
      <c r="AH146" s="189"/>
      <c r="AI146" s="189"/>
      <c r="AJ146" s="189"/>
      <c r="AK146" s="189"/>
      <c r="AL146" s="189"/>
      <c r="AM146" s="195"/>
      <c r="AN146" s="195"/>
      <c r="AO146" s="195"/>
      <c r="AY146" s="3"/>
      <c r="BA146" s="3"/>
    </row>
    <row r="147" spans="2:54" ht="17.7" customHeight="1" x14ac:dyDescent="0.25">
      <c r="B147" s="2098" t="str">
        <f>HLOOKUP(LANGUAGE!$B$2,LANGUAGE!$C$14:$G$1500,1190)</f>
        <v>Quality</v>
      </c>
      <c r="C147" s="2099"/>
      <c r="D147" s="2099"/>
      <c r="E147" s="2099"/>
      <c r="F147" s="2099"/>
      <c r="G147" s="2099"/>
      <c r="H147" s="2099"/>
      <c r="I147" s="2099"/>
      <c r="J147" s="2099"/>
      <c r="K147" s="2099"/>
      <c r="L147" s="2099"/>
      <c r="M147" s="2099"/>
      <c r="N147" s="2099"/>
      <c r="O147" s="2099"/>
      <c r="P147" s="2099"/>
      <c r="Q147" s="2099"/>
      <c r="R147" s="2099"/>
      <c r="S147" s="2099"/>
      <c r="T147" s="2099"/>
      <c r="U147" s="2099"/>
      <c r="V147" s="2099"/>
      <c r="W147" s="2099"/>
      <c r="X147" s="2099"/>
      <c r="Y147" s="2099"/>
      <c r="Z147" s="2099"/>
      <c r="AA147" s="2099"/>
      <c r="AB147" s="2099"/>
      <c r="AC147" s="2099"/>
      <c r="AD147" s="2099"/>
      <c r="AE147" s="2099"/>
      <c r="AF147" s="2099"/>
      <c r="AG147" s="2099"/>
      <c r="AH147" s="2099"/>
      <c r="AI147" s="2099"/>
      <c r="AJ147" s="2099"/>
      <c r="AK147" s="2100"/>
      <c r="AL147" s="189"/>
      <c r="AM147" s="195"/>
      <c r="AN147" s="195"/>
      <c r="AO147" s="195"/>
      <c r="AY147" s="3"/>
      <c r="BA147" s="3"/>
    </row>
    <row r="148" spans="2:54" ht="17.7" customHeight="1" x14ac:dyDescent="0.25">
      <c r="B148" s="2101"/>
      <c r="C148" s="2102"/>
      <c r="D148" s="2102"/>
      <c r="E148" s="2102"/>
      <c r="F148" s="2102"/>
      <c r="G148" s="2102"/>
      <c r="H148" s="2102"/>
      <c r="I148" s="2102"/>
      <c r="J148" s="2102"/>
      <c r="K148" s="2102"/>
      <c r="L148" s="2102"/>
      <c r="M148" s="2102"/>
      <c r="N148" s="2102"/>
      <c r="O148" s="2102"/>
      <c r="P148" s="2102"/>
      <c r="Q148" s="2102"/>
      <c r="R148" s="2102"/>
      <c r="S148" s="2102"/>
      <c r="T148" s="2102"/>
      <c r="U148" s="2102"/>
      <c r="V148" s="2102"/>
      <c r="W148" s="2102"/>
      <c r="X148" s="2102"/>
      <c r="Y148" s="2102"/>
      <c r="Z148" s="2102"/>
      <c r="AA148" s="2102"/>
      <c r="AB148" s="2102"/>
      <c r="AC148" s="2102"/>
      <c r="AD148" s="2102"/>
      <c r="AE148" s="2102"/>
      <c r="AF148" s="2102"/>
      <c r="AG148" s="2102"/>
      <c r="AH148" s="2102"/>
      <c r="AI148" s="2102"/>
      <c r="AJ148" s="2102"/>
      <c r="AK148" s="2103"/>
      <c r="AL148" s="189"/>
      <c r="AM148" s="195"/>
      <c r="AN148" s="195"/>
      <c r="AO148" s="195"/>
      <c r="AY148" s="3"/>
      <c r="BA148" s="3"/>
    </row>
    <row r="149" spans="2:54" ht="17.7" customHeight="1" x14ac:dyDescent="0.25">
      <c r="B149" s="1002" t="str">
        <f>HLOOKUP(LANGUAGE!$B$2,LANGUAGE!$C$14:$G$1500,91)</f>
        <v>No.</v>
      </c>
      <c r="C149" s="1003" t="str">
        <f>HLOOKUP(LANGUAGE!$B$2,LANGUAGE!$C$14:$G$1500,73)</f>
        <v>Topic</v>
      </c>
      <c r="D149" s="1003"/>
      <c r="E149" s="1003" t="str">
        <f>HLOOKUP(LANGUAGE!$B$2,LANGUAGE!$C$14:$G$1500,92)</f>
        <v>Question</v>
      </c>
      <c r="F149" s="1003"/>
      <c r="G149" s="1003"/>
      <c r="H149" s="1003"/>
      <c r="I149" s="1003"/>
      <c r="J149" s="1003"/>
      <c r="K149" s="1003"/>
      <c r="L149" s="1003"/>
      <c r="M149" s="1003" t="str">
        <f>HLOOKUP(LANGUAGE!$B$2,LANGUAGE!$C$14:$G$1500,93)</f>
        <v>Notes</v>
      </c>
      <c r="N149" s="1003"/>
      <c r="O149" s="1003"/>
      <c r="P149" s="1003"/>
      <c r="Q149" s="1003"/>
      <c r="R149" s="1003"/>
      <c r="S149" s="1003"/>
      <c r="T149" s="1003"/>
      <c r="U149" s="1203" t="str">
        <f>HLOOKUP(LANGUAGE!$B$2,LANGUAGE!$C$14:$G$1500,114)</f>
        <v>Remarks</v>
      </c>
      <c r="V149" s="1203"/>
      <c r="W149" s="1203"/>
      <c r="X149" s="1203"/>
      <c r="Y149" s="1203"/>
      <c r="Z149" s="1003" t="str">
        <f>HLOOKUP(LANGUAGE!$B$2,LANGUAGE!$C$14:$G$1500,74)</f>
        <v>Evaluation</v>
      </c>
      <c r="AA149" s="1003"/>
      <c r="AB149" s="1003" t="str">
        <f>HLOOKUP(LANGUAGE!$B$2,LANGUAGE!$C$14:$G$1500,95)</f>
        <v>Action</v>
      </c>
      <c r="AC149" s="1003"/>
      <c r="AD149" s="1003"/>
      <c r="AE149" s="1203" t="str">
        <f>HLOOKUP(LANGUAGE!$B$2,LANGUAGE!$C$14:$G$1500,96)</f>
        <v>Responsible</v>
      </c>
      <c r="AF149" s="1203"/>
      <c r="AG149" s="1203"/>
      <c r="AH149" s="1003" t="str">
        <f>HLOOKUP(LANGUAGE!$B$2,LANGUAGE!$C$14:$G$1500,21)</f>
        <v>Date</v>
      </c>
      <c r="AI149" s="1003"/>
      <c r="AJ149" s="1003" t="str">
        <f>HLOOKUP(LANGUAGE!$B$2,LANGUAGE!$C$14:$G$1500,75)</f>
        <v>Action status</v>
      </c>
      <c r="AK149" s="1413"/>
      <c r="AL149" s="189"/>
      <c r="AM149" s="195"/>
      <c r="AN149" s="195"/>
      <c r="AO149" s="195"/>
      <c r="AY149" s="3"/>
      <c r="BA149" s="3"/>
    </row>
    <row r="150" spans="2:54" ht="17.7" customHeight="1" x14ac:dyDescent="0.25">
      <c r="B150" s="1002"/>
      <c r="C150" s="1003"/>
      <c r="D150" s="1003"/>
      <c r="E150" s="1003"/>
      <c r="F150" s="1003"/>
      <c r="G150" s="1003"/>
      <c r="H150" s="1003"/>
      <c r="I150" s="1003"/>
      <c r="J150" s="1003"/>
      <c r="K150" s="1003"/>
      <c r="L150" s="1003"/>
      <c r="M150" s="1003"/>
      <c r="N150" s="1003"/>
      <c r="O150" s="1003"/>
      <c r="P150" s="1003"/>
      <c r="Q150" s="1003"/>
      <c r="R150" s="1003"/>
      <c r="S150" s="1003"/>
      <c r="T150" s="1003"/>
      <c r="U150" s="1203"/>
      <c r="V150" s="1203"/>
      <c r="W150" s="1203"/>
      <c r="X150" s="1203"/>
      <c r="Y150" s="1203"/>
      <c r="Z150" s="1003"/>
      <c r="AA150" s="1003"/>
      <c r="AB150" s="1003"/>
      <c r="AC150" s="1003"/>
      <c r="AD150" s="1003"/>
      <c r="AE150" s="1203"/>
      <c r="AF150" s="1203"/>
      <c r="AG150" s="1203"/>
      <c r="AH150" s="1003"/>
      <c r="AI150" s="1003"/>
      <c r="AJ150" s="1003"/>
      <c r="AK150" s="1413"/>
      <c r="AL150" s="189"/>
      <c r="AM150" s="195"/>
      <c r="AN150" s="195"/>
      <c r="AO150" s="195"/>
      <c r="AY150" s="3"/>
      <c r="BA150" s="3"/>
    </row>
    <row r="151" spans="2:54" ht="31.5" customHeight="1" x14ac:dyDescent="0.25">
      <c r="B151" s="2104" t="s">
        <v>2198</v>
      </c>
      <c r="C151" s="2107" t="str">
        <f>HLOOKUP(LANGUAGE!$B$2,LANGUAGE!$C$14:$G$1500,1191)</f>
        <v>Quality</v>
      </c>
      <c r="D151" s="2107"/>
      <c r="E151" s="2256" t="str">
        <f>HLOOKUP(LANGUAGE!$B$2,LANGUAGE!$C$14:$G$1500,1192)</f>
        <v>Do the parts and the labeling of the parts meet the required quality?</v>
      </c>
      <c r="F151" s="2257"/>
      <c r="G151" s="2257"/>
      <c r="H151" s="2257"/>
      <c r="I151" s="2257"/>
      <c r="J151" s="2257"/>
      <c r="K151" s="2257"/>
      <c r="L151" s="2258"/>
      <c r="M151" s="2262" t="str">
        <f>HLOOKUP(LANGUAGE!$B$2,LANGUAGE!$C$14:$G$1500,1193)</f>
        <v>Is there any quality documentation for the last production batch available?</v>
      </c>
      <c r="N151" s="2263"/>
      <c r="O151" s="2263"/>
      <c r="P151" s="2263"/>
      <c r="Q151" s="2263"/>
      <c r="R151" s="2263"/>
      <c r="S151" s="2263"/>
      <c r="T151" s="2264"/>
      <c r="U151" s="2111"/>
      <c r="V151" s="2111"/>
      <c r="W151" s="2111"/>
      <c r="X151" s="2111"/>
      <c r="Y151" s="2111"/>
      <c r="Z151" s="2113"/>
      <c r="AA151" s="2093"/>
      <c r="AB151" s="2093"/>
      <c r="AC151" s="2093"/>
      <c r="AD151" s="2093"/>
      <c r="AE151" s="2093"/>
      <c r="AF151" s="2093"/>
      <c r="AG151" s="2093"/>
      <c r="AH151" s="2094"/>
      <c r="AI151" s="2094"/>
      <c r="AJ151" s="2094"/>
      <c r="AK151" s="2095"/>
      <c r="AL151" s="189"/>
      <c r="AM151" s="195"/>
      <c r="AN151" s="195"/>
      <c r="AO151" s="195"/>
      <c r="AY151" s="3">
        <f>IF(ISNUMBER(MATCH(Z151,LANGUAGE!$C$137:$G$137,0)),0,IF(ISNUMBER(MATCH(Z151,LANGUAGE!$C$138:$G$138,0)),1,IF(ISNUMBER(MATCH(Z151,LANGUAGE!$C$139:$G$139,0)),2,IF(ISNUMBER(MATCH(Z151,LANGUAGE!$C$140:$G$140,0)),3,0))))</f>
        <v>0</v>
      </c>
      <c r="BA151" s="3">
        <f>IF(ISNUMBER(MATCH(AJ151,LANGUAGE!$C$141:$G$141,0)),3,IF(ISNUMBER(MATCH(AJ151,LANGUAGE!$C$142:$G$142,0)),1,0))</f>
        <v>0</v>
      </c>
      <c r="BB151" s="191">
        <f t="shared" si="12"/>
        <v>0</v>
      </c>
    </row>
    <row r="152" spans="2:54" ht="17.7" customHeight="1" thickBot="1" x14ac:dyDescent="0.3">
      <c r="B152" s="2255"/>
      <c r="C152" s="2108"/>
      <c r="D152" s="2108"/>
      <c r="E152" s="2259"/>
      <c r="F152" s="2260"/>
      <c r="G152" s="2260"/>
      <c r="H152" s="2260"/>
      <c r="I152" s="2260"/>
      <c r="J152" s="2260"/>
      <c r="K152" s="2260"/>
      <c r="L152" s="2261"/>
      <c r="M152" s="2265" t="str">
        <f>HLOOKUP(LANGUAGE!$B$2,LANGUAGE!$C$14:$G$1500,1194)</f>
        <v>Last part inspection</v>
      </c>
      <c r="N152" s="2266"/>
      <c r="O152" s="2266"/>
      <c r="P152" s="2266"/>
      <c r="Q152" s="2266"/>
      <c r="R152" s="2266"/>
      <c r="S152" s="2266"/>
      <c r="T152" s="2267"/>
      <c r="U152" s="2112"/>
      <c r="V152" s="2112"/>
      <c r="W152" s="2112"/>
      <c r="X152" s="2112"/>
      <c r="Y152" s="2112"/>
      <c r="Z152" s="2114"/>
      <c r="AA152" s="2114"/>
      <c r="AB152" s="2114"/>
      <c r="AC152" s="2114"/>
      <c r="AD152" s="2114"/>
      <c r="AE152" s="2114"/>
      <c r="AF152" s="2114"/>
      <c r="AG152" s="2114"/>
      <c r="AH152" s="2096"/>
      <c r="AI152" s="2096"/>
      <c r="AJ152" s="2096"/>
      <c r="AK152" s="2097"/>
      <c r="AL152" s="189"/>
      <c r="AM152" s="195"/>
      <c r="AN152" s="195"/>
      <c r="AO152" s="195"/>
      <c r="AY152" s="3"/>
      <c r="BA152" s="3"/>
    </row>
    <row r="153" spans="2:54" ht="17.25" customHeight="1" thickBot="1" x14ac:dyDescent="0.3">
      <c r="B153" s="198"/>
      <c r="C153" s="199"/>
      <c r="D153" s="199"/>
      <c r="E153" s="200"/>
      <c r="F153" s="200"/>
      <c r="G153" s="200"/>
      <c r="H153" s="200"/>
      <c r="I153" s="200"/>
      <c r="J153" s="200"/>
      <c r="K153" s="200"/>
      <c r="L153" s="200"/>
      <c r="M153" s="200"/>
      <c r="N153" s="200"/>
      <c r="O153" s="200"/>
      <c r="P153" s="200"/>
      <c r="Q153" s="200"/>
      <c r="R153" s="200"/>
      <c r="S153" s="200"/>
      <c r="T153" s="200"/>
      <c r="U153" s="200"/>
      <c r="V153" s="200"/>
      <c r="W153" s="200"/>
      <c r="X153" s="200"/>
      <c r="Y153" s="200"/>
      <c r="Z153" s="200"/>
      <c r="AA153" s="200"/>
      <c r="AB153" s="200"/>
      <c r="AC153" s="200"/>
      <c r="AD153" s="200"/>
      <c r="AE153" s="200"/>
      <c r="AF153" s="200"/>
      <c r="AG153" s="200"/>
      <c r="AH153" s="200"/>
      <c r="AI153" s="200"/>
      <c r="AJ153" s="200"/>
      <c r="AK153" s="200"/>
      <c r="AL153" s="189"/>
      <c r="AM153" s="195"/>
      <c r="AN153" s="195"/>
      <c r="AO153" s="195"/>
      <c r="AY153" s="3"/>
      <c r="BA153" s="3"/>
    </row>
    <row r="154" spans="2:54" ht="17.7" customHeight="1" x14ac:dyDescent="0.25">
      <c r="B154" s="2098" t="str">
        <f>HLOOKUP(LANGUAGE!$B$2,LANGUAGE!$C$14:$G$1500,1195)</f>
        <v>Sub-supplier</v>
      </c>
      <c r="C154" s="2099"/>
      <c r="D154" s="2099"/>
      <c r="E154" s="2099"/>
      <c r="F154" s="2099"/>
      <c r="G154" s="2099"/>
      <c r="H154" s="2099"/>
      <c r="I154" s="2099"/>
      <c r="J154" s="2099"/>
      <c r="K154" s="2099"/>
      <c r="L154" s="2099"/>
      <c r="M154" s="2099"/>
      <c r="N154" s="2099"/>
      <c r="O154" s="2099"/>
      <c r="P154" s="2099"/>
      <c r="Q154" s="2099"/>
      <c r="R154" s="2099"/>
      <c r="S154" s="2099"/>
      <c r="T154" s="2099"/>
      <c r="U154" s="2099"/>
      <c r="V154" s="2099"/>
      <c r="W154" s="2099"/>
      <c r="X154" s="2099"/>
      <c r="Y154" s="2099"/>
      <c r="Z154" s="2099"/>
      <c r="AA154" s="2099"/>
      <c r="AB154" s="2099"/>
      <c r="AC154" s="2099"/>
      <c r="AD154" s="2099"/>
      <c r="AE154" s="2099"/>
      <c r="AF154" s="2099"/>
      <c r="AG154" s="2099"/>
      <c r="AH154" s="2099"/>
      <c r="AI154" s="2099"/>
      <c r="AJ154" s="2099"/>
      <c r="AK154" s="2100"/>
      <c r="AL154" s="189"/>
      <c r="AM154" s="195"/>
      <c r="AN154" s="195"/>
      <c r="AO154" s="195"/>
      <c r="AY154" s="3"/>
      <c r="BA154" s="3"/>
    </row>
    <row r="155" spans="2:54" ht="17.7" customHeight="1" x14ac:dyDescent="0.25">
      <c r="B155" s="2101"/>
      <c r="C155" s="2102"/>
      <c r="D155" s="2102"/>
      <c r="E155" s="2102"/>
      <c r="F155" s="2102"/>
      <c r="G155" s="2102"/>
      <c r="H155" s="2102"/>
      <c r="I155" s="2102"/>
      <c r="J155" s="2102"/>
      <c r="K155" s="2102"/>
      <c r="L155" s="2102"/>
      <c r="M155" s="2102"/>
      <c r="N155" s="2102"/>
      <c r="O155" s="2102"/>
      <c r="P155" s="2102"/>
      <c r="Q155" s="2102"/>
      <c r="R155" s="2102"/>
      <c r="S155" s="2102"/>
      <c r="T155" s="2102"/>
      <c r="U155" s="2102"/>
      <c r="V155" s="2102"/>
      <c r="W155" s="2102"/>
      <c r="X155" s="2102"/>
      <c r="Y155" s="2102"/>
      <c r="Z155" s="2102"/>
      <c r="AA155" s="2102"/>
      <c r="AB155" s="2102"/>
      <c r="AC155" s="2102"/>
      <c r="AD155" s="2102"/>
      <c r="AE155" s="2102"/>
      <c r="AF155" s="2102"/>
      <c r="AG155" s="2102"/>
      <c r="AH155" s="2102"/>
      <c r="AI155" s="2102"/>
      <c r="AJ155" s="2102"/>
      <c r="AK155" s="2103"/>
      <c r="AL155" s="189"/>
      <c r="AM155" s="195"/>
      <c r="AN155" s="195"/>
      <c r="AO155" s="195"/>
      <c r="AY155" s="3"/>
      <c r="BA155" s="3"/>
    </row>
    <row r="156" spans="2:54" ht="17.7" customHeight="1" x14ac:dyDescent="0.25">
      <c r="B156" s="1002" t="str">
        <f>HLOOKUP(LANGUAGE!$B$2,LANGUAGE!$C$14:$G$1500,91)</f>
        <v>No.</v>
      </c>
      <c r="C156" s="1003" t="str">
        <f>HLOOKUP(LANGUAGE!$B$2,LANGUAGE!$C$14:$G$1500,73)</f>
        <v>Topic</v>
      </c>
      <c r="D156" s="1003"/>
      <c r="E156" s="1003" t="str">
        <f>HLOOKUP(LANGUAGE!$B$2,LANGUAGE!$C$14:$G$1500,92)</f>
        <v>Question</v>
      </c>
      <c r="F156" s="1003"/>
      <c r="G156" s="1003"/>
      <c r="H156" s="1003"/>
      <c r="I156" s="1003"/>
      <c r="J156" s="1003"/>
      <c r="K156" s="1003"/>
      <c r="L156" s="1003"/>
      <c r="M156" s="1003" t="str">
        <f>HLOOKUP(LANGUAGE!$B$2,LANGUAGE!$C$14:$G$1500,93)</f>
        <v>Notes</v>
      </c>
      <c r="N156" s="1003"/>
      <c r="O156" s="1003"/>
      <c r="P156" s="1003"/>
      <c r="Q156" s="1003"/>
      <c r="R156" s="1003"/>
      <c r="S156" s="1003"/>
      <c r="T156" s="1003"/>
      <c r="U156" s="1203" t="str">
        <f>HLOOKUP(LANGUAGE!$B$2,LANGUAGE!$C$14:$G$1500,114)</f>
        <v>Remarks</v>
      </c>
      <c r="V156" s="1203"/>
      <c r="W156" s="1203"/>
      <c r="X156" s="1203"/>
      <c r="Y156" s="1203"/>
      <c r="Z156" s="1003" t="str">
        <f>HLOOKUP(LANGUAGE!$B$2,LANGUAGE!$C$14:$G$1500,74)</f>
        <v>Evaluation</v>
      </c>
      <c r="AA156" s="1003"/>
      <c r="AB156" s="1003" t="str">
        <f>HLOOKUP(LANGUAGE!$B$2,LANGUAGE!$C$14:$G$1500,95)</f>
        <v>Action</v>
      </c>
      <c r="AC156" s="1003"/>
      <c r="AD156" s="1003"/>
      <c r="AE156" s="1203" t="str">
        <f>HLOOKUP(LANGUAGE!$B$2,LANGUAGE!$C$14:$G$1500,96)</f>
        <v>Responsible</v>
      </c>
      <c r="AF156" s="1203"/>
      <c r="AG156" s="1203"/>
      <c r="AH156" s="1003" t="str">
        <f>HLOOKUP(LANGUAGE!$B$2,LANGUAGE!$C$14:$G$1500,21)</f>
        <v>Date</v>
      </c>
      <c r="AI156" s="1003"/>
      <c r="AJ156" s="1003" t="str">
        <f>HLOOKUP(LANGUAGE!$B$2,LANGUAGE!$C$14:$G$1500,75)</f>
        <v>Action status</v>
      </c>
      <c r="AK156" s="1413"/>
      <c r="AL156" s="189"/>
      <c r="AM156" s="195"/>
      <c r="AN156" s="195"/>
      <c r="AO156" s="195"/>
      <c r="AY156" s="3"/>
      <c r="BA156" s="3"/>
    </row>
    <row r="157" spans="2:54" ht="17.7" customHeight="1" x14ac:dyDescent="0.25">
      <c r="B157" s="1002"/>
      <c r="C157" s="1003"/>
      <c r="D157" s="1003"/>
      <c r="E157" s="1003"/>
      <c r="F157" s="1003"/>
      <c r="G157" s="1003"/>
      <c r="H157" s="1003"/>
      <c r="I157" s="1003"/>
      <c r="J157" s="1003"/>
      <c r="K157" s="1003"/>
      <c r="L157" s="1003"/>
      <c r="M157" s="1003"/>
      <c r="N157" s="1003"/>
      <c r="O157" s="1003"/>
      <c r="P157" s="1003"/>
      <c r="Q157" s="1003"/>
      <c r="R157" s="1003"/>
      <c r="S157" s="1003"/>
      <c r="T157" s="1003"/>
      <c r="U157" s="1203"/>
      <c r="V157" s="1203"/>
      <c r="W157" s="1203"/>
      <c r="X157" s="1203"/>
      <c r="Y157" s="1203"/>
      <c r="Z157" s="1003"/>
      <c r="AA157" s="1003"/>
      <c r="AB157" s="1003"/>
      <c r="AC157" s="1003"/>
      <c r="AD157" s="1003"/>
      <c r="AE157" s="1203"/>
      <c r="AF157" s="1203"/>
      <c r="AG157" s="1203"/>
      <c r="AH157" s="1003"/>
      <c r="AI157" s="1003"/>
      <c r="AJ157" s="1003"/>
      <c r="AK157" s="1413"/>
      <c r="AL157" s="189"/>
      <c r="AM157" s="195"/>
      <c r="AN157" s="195"/>
      <c r="AO157" s="195"/>
      <c r="AY157" s="3"/>
      <c r="BA157" s="3"/>
    </row>
    <row r="158" spans="2:54" ht="17.7" customHeight="1" x14ac:dyDescent="0.25">
      <c r="B158" s="2105" t="s">
        <v>1827</v>
      </c>
      <c r="C158" s="2107" t="str">
        <f>HLOOKUP(LANGUAGE!$B$2,LANGUAGE!$C$14:$G$1500,1196)</f>
        <v>Sub-supplier management</v>
      </c>
      <c r="D158" s="2107"/>
      <c r="E158" s="2109" t="str">
        <f>HLOOKUP(LANGUAGE!$B$2,LANGUAGE!$C$14:$G$1500,1197)</f>
        <v>Is the delivery quality of sub-suppliers ensured?</v>
      </c>
      <c r="F158" s="2109"/>
      <c r="G158" s="2109"/>
      <c r="H158" s="2109"/>
      <c r="I158" s="2109"/>
      <c r="J158" s="2109"/>
      <c r="K158" s="2109"/>
      <c r="L158" s="2109"/>
      <c r="M158" s="2109" t="str">
        <f>HLOOKUP(LANGUAGE!$B$2,LANGUAGE!$C$14:$G$1500,1198)</f>
        <v>(Incoming goods inspection, PPAP / PPF, delivered 
quality, ...)</v>
      </c>
      <c r="N158" s="2109"/>
      <c r="O158" s="2109"/>
      <c r="P158" s="2109"/>
      <c r="Q158" s="2109"/>
      <c r="R158" s="2109"/>
      <c r="S158" s="2109"/>
      <c r="T158" s="2109"/>
      <c r="U158" s="2111"/>
      <c r="V158" s="2111"/>
      <c r="W158" s="2111"/>
      <c r="X158" s="2111"/>
      <c r="Y158" s="2111"/>
      <c r="Z158" s="2093"/>
      <c r="AA158" s="2093"/>
      <c r="AB158" s="2093"/>
      <c r="AC158" s="2093"/>
      <c r="AD158" s="2093"/>
      <c r="AE158" s="2093"/>
      <c r="AF158" s="2093"/>
      <c r="AG158" s="2093"/>
      <c r="AH158" s="2094"/>
      <c r="AI158" s="2094"/>
      <c r="AJ158" s="2094"/>
      <c r="AK158" s="2095"/>
      <c r="AL158" s="189"/>
      <c r="AM158" s="195"/>
      <c r="AN158" s="195"/>
      <c r="AO158" s="195"/>
      <c r="AY158" s="3">
        <f>IF(ISNUMBER(MATCH(Z158,LANGUAGE!$C$137:$G$137,0)),0,IF(ISNUMBER(MATCH(Z158,LANGUAGE!$C$138:$G$138,0)),1,IF(ISNUMBER(MATCH(Z158,LANGUAGE!$C$139:$G$139,0)),2,IF(ISNUMBER(MATCH(Z158,LANGUAGE!$C$140:$G$140,0)),3,0))))</f>
        <v>0</v>
      </c>
      <c r="BA158" s="3">
        <f>IF(ISNUMBER(MATCH(AJ158,LANGUAGE!$C$141:$G$141,0)),3,IF(ISNUMBER(MATCH(AJ158,LANGUAGE!$C$142:$G$142,0)),1,0))</f>
        <v>0</v>
      </c>
      <c r="BB158" s="191">
        <f t="shared" ref="BB158:BB172" si="15">IF(AND(AY158&gt;1,BA158=0),10,AY158+BA158)</f>
        <v>0</v>
      </c>
    </row>
    <row r="159" spans="2:54" ht="17.7" customHeight="1" x14ac:dyDescent="0.25">
      <c r="B159" s="2105"/>
      <c r="C159" s="2107"/>
      <c r="D159" s="2107"/>
      <c r="E159" s="2109"/>
      <c r="F159" s="2109"/>
      <c r="G159" s="2109"/>
      <c r="H159" s="2109"/>
      <c r="I159" s="2109"/>
      <c r="J159" s="2109"/>
      <c r="K159" s="2109"/>
      <c r="L159" s="2109"/>
      <c r="M159" s="2109"/>
      <c r="N159" s="2109"/>
      <c r="O159" s="2109"/>
      <c r="P159" s="2109"/>
      <c r="Q159" s="2109"/>
      <c r="R159" s="2109"/>
      <c r="S159" s="2109"/>
      <c r="T159" s="2109"/>
      <c r="U159" s="2111"/>
      <c r="V159" s="2111"/>
      <c r="W159" s="2111"/>
      <c r="X159" s="2111"/>
      <c r="Y159" s="2111"/>
      <c r="Z159" s="2093"/>
      <c r="AA159" s="2093"/>
      <c r="AB159" s="2093"/>
      <c r="AC159" s="2093"/>
      <c r="AD159" s="2093"/>
      <c r="AE159" s="2093"/>
      <c r="AF159" s="2093"/>
      <c r="AG159" s="2093"/>
      <c r="AH159" s="2094"/>
      <c r="AI159" s="2094"/>
      <c r="AJ159" s="2094"/>
      <c r="AK159" s="2095"/>
      <c r="AL159" s="189"/>
      <c r="AM159" s="195"/>
      <c r="AN159" s="195"/>
      <c r="AO159" s="195"/>
      <c r="AY159" s="3"/>
      <c r="BA159" s="3"/>
    </row>
    <row r="160" spans="2:54" ht="17.7" customHeight="1" x14ac:dyDescent="0.25">
      <c r="B160" s="2105"/>
      <c r="C160" s="2107"/>
      <c r="D160" s="2107"/>
      <c r="E160" s="2109"/>
      <c r="F160" s="2109"/>
      <c r="G160" s="2109"/>
      <c r="H160" s="2109"/>
      <c r="I160" s="2109"/>
      <c r="J160" s="2109"/>
      <c r="K160" s="2109"/>
      <c r="L160" s="2109"/>
      <c r="M160" s="2109"/>
      <c r="N160" s="2109"/>
      <c r="O160" s="2109"/>
      <c r="P160" s="2109"/>
      <c r="Q160" s="2109"/>
      <c r="R160" s="2109"/>
      <c r="S160" s="2109"/>
      <c r="T160" s="2109"/>
      <c r="U160" s="2111"/>
      <c r="V160" s="2111"/>
      <c r="W160" s="2111"/>
      <c r="X160" s="2111"/>
      <c r="Y160" s="2111"/>
      <c r="Z160" s="2093"/>
      <c r="AA160" s="2093"/>
      <c r="AB160" s="2093"/>
      <c r="AC160" s="2093"/>
      <c r="AD160" s="2093"/>
      <c r="AE160" s="2093"/>
      <c r="AF160" s="2093"/>
      <c r="AG160" s="2093"/>
      <c r="AH160" s="2094"/>
      <c r="AI160" s="2094"/>
      <c r="AJ160" s="2094"/>
      <c r="AK160" s="2095"/>
      <c r="AL160" s="189"/>
      <c r="AM160" s="195"/>
      <c r="AN160" s="195"/>
      <c r="AO160" s="195"/>
      <c r="AY160" s="3"/>
      <c r="BA160" s="3"/>
    </row>
    <row r="161" spans="2:54" ht="17.7" customHeight="1" x14ac:dyDescent="0.25">
      <c r="B161" s="2105" t="s">
        <v>2199</v>
      </c>
      <c r="C161" s="2107" t="str">
        <f>HLOOKUP(LANGUAGE!$B$2,LANGUAGE!$C$14:$G$1500,1199)</f>
        <v>Capacity</v>
      </c>
      <c r="D161" s="2107"/>
      <c r="E161" s="2109" t="str">
        <f>HLOOKUP(LANGUAGE!$B$2,LANGUAGE!$C$14:$G$1500,1200)</f>
        <v>Are sub-suppliers for raw materials and/ or purchased parts available and is the supply within the scope of the plan quantity + 20% ensured?</v>
      </c>
      <c r="F161" s="2109"/>
      <c r="G161" s="2109"/>
      <c r="H161" s="2109"/>
      <c r="I161" s="2109"/>
      <c r="J161" s="2109"/>
      <c r="K161" s="2109"/>
      <c r="L161" s="2109"/>
      <c r="M161" s="2109" t="str">
        <f>HLOOKUP(LANGUAGE!$B$2,LANGUAGE!$C$14:$G$1500,1201)</f>
        <v>Confirmation to be shown. Review R@R from sub- suppliers.</v>
      </c>
      <c r="N161" s="2109"/>
      <c r="O161" s="2109"/>
      <c r="P161" s="2109"/>
      <c r="Q161" s="2109"/>
      <c r="R161" s="2109"/>
      <c r="S161" s="2109"/>
      <c r="T161" s="2109"/>
      <c r="U161" s="2111"/>
      <c r="V161" s="2111"/>
      <c r="W161" s="2111"/>
      <c r="X161" s="2111"/>
      <c r="Y161" s="2111"/>
      <c r="Z161" s="2113"/>
      <c r="AA161" s="2093"/>
      <c r="AB161" s="2093"/>
      <c r="AC161" s="2093"/>
      <c r="AD161" s="2093"/>
      <c r="AE161" s="2093"/>
      <c r="AF161" s="2093"/>
      <c r="AG161" s="2093"/>
      <c r="AH161" s="2094"/>
      <c r="AI161" s="2094"/>
      <c r="AJ161" s="2094"/>
      <c r="AK161" s="2095"/>
      <c r="AL161" s="189"/>
      <c r="AM161" s="195"/>
      <c r="AN161" s="195"/>
      <c r="AO161" s="195"/>
      <c r="AY161" s="3">
        <f>IF(ISNUMBER(MATCH(Z161,LANGUAGE!$C$137:$G$137,0)),0,IF(ISNUMBER(MATCH(Z161,LANGUAGE!$C$138:$G$138,0)),1,IF(ISNUMBER(MATCH(Z161,LANGUAGE!$C$139:$G$139,0)),2,IF(ISNUMBER(MATCH(Z161,LANGUAGE!$C$140:$G$140,0)),3,0))))</f>
        <v>0</v>
      </c>
      <c r="BA161" s="3">
        <f>IF(ISNUMBER(MATCH(AJ161,LANGUAGE!$C$141:$G$141,0)),3,IF(ISNUMBER(MATCH(AJ161,LANGUAGE!$C$142:$G$142,0)),1,0))</f>
        <v>0</v>
      </c>
      <c r="BB161" s="191">
        <f t="shared" si="15"/>
        <v>0</v>
      </c>
    </row>
    <row r="162" spans="2:54" ht="17.7" customHeight="1" x14ac:dyDescent="0.25">
      <c r="B162" s="2105"/>
      <c r="C162" s="2107"/>
      <c r="D162" s="2107"/>
      <c r="E162" s="2109"/>
      <c r="F162" s="2109"/>
      <c r="G162" s="2109"/>
      <c r="H162" s="2109"/>
      <c r="I162" s="2109"/>
      <c r="J162" s="2109"/>
      <c r="K162" s="2109"/>
      <c r="L162" s="2109"/>
      <c r="M162" s="2109"/>
      <c r="N162" s="2109"/>
      <c r="O162" s="2109"/>
      <c r="P162" s="2109"/>
      <c r="Q162" s="2109"/>
      <c r="R162" s="2109"/>
      <c r="S162" s="2109"/>
      <c r="T162" s="2109"/>
      <c r="U162" s="2111"/>
      <c r="V162" s="2111"/>
      <c r="W162" s="2111"/>
      <c r="X162" s="2111"/>
      <c r="Y162" s="2111"/>
      <c r="Z162" s="2093"/>
      <c r="AA162" s="2093"/>
      <c r="AB162" s="2093"/>
      <c r="AC162" s="2093"/>
      <c r="AD162" s="2093"/>
      <c r="AE162" s="2093"/>
      <c r="AF162" s="2093"/>
      <c r="AG162" s="2093"/>
      <c r="AH162" s="2094"/>
      <c r="AI162" s="2094"/>
      <c r="AJ162" s="2094"/>
      <c r="AK162" s="2095"/>
      <c r="AL162" s="189"/>
      <c r="AM162" s="195"/>
      <c r="AN162" s="195"/>
      <c r="AO162" s="195"/>
      <c r="AY162" s="3"/>
      <c r="BA162" s="3"/>
    </row>
    <row r="163" spans="2:54" ht="17.7" customHeight="1" x14ac:dyDescent="0.25">
      <c r="B163" s="2105"/>
      <c r="C163" s="2107"/>
      <c r="D163" s="2107"/>
      <c r="E163" s="2109"/>
      <c r="F163" s="2109"/>
      <c r="G163" s="2109"/>
      <c r="H163" s="2109"/>
      <c r="I163" s="2109"/>
      <c r="J163" s="2109"/>
      <c r="K163" s="2109"/>
      <c r="L163" s="2109"/>
      <c r="M163" s="2109"/>
      <c r="N163" s="2109"/>
      <c r="O163" s="2109"/>
      <c r="P163" s="2109"/>
      <c r="Q163" s="2109"/>
      <c r="R163" s="2109"/>
      <c r="S163" s="2109"/>
      <c r="T163" s="2109"/>
      <c r="U163" s="2111"/>
      <c r="V163" s="2111"/>
      <c r="W163" s="2111"/>
      <c r="X163" s="2111"/>
      <c r="Y163" s="2111"/>
      <c r="Z163" s="2093"/>
      <c r="AA163" s="2093"/>
      <c r="AB163" s="2093"/>
      <c r="AC163" s="2093"/>
      <c r="AD163" s="2093"/>
      <c r="AE163" s="2093"/>
      <c r="AF163" s="2093"/>
      <c r="AG163" s="2093"/>
      <c r="AH163" s="2094"/>
      <c r="AI163" s="2094"/>
      <c r="AJ163" s="2094"/>
      <c r="AK163" s="2095"/>
      <c r="AL163" s="189"/>
      <c r="AM163" s="195"/>
      <c r="AN163" s="195"/>
      <c r="AO163" s="195"/>
      <c r="AY163" s="3"/>
      <c r="BA163" s="3"/>
    </row>
    <row r="164" spans="2:54" ht="17.7" customHeight="1" x14ac:dyDescent="0.25">
      <c r="B164" s="2268" t="s">
        <v>2204</v>
      </c>
      <c r="C164" s="2271" t="str">
        <f>HLOOKUP(LANGUAGE!$B$2,LANGUAGE!$C$14:$G$1500,1196)</f>
        <v>Sub-supplier management</v>
      </c>
      <c r="D164" s="2271"/>
      <c r="E164" s="2274" t="str">
        <f>HLOOKUP(LANGUAGE!$B$2,LANGUAGE!$C$14:$G$1500,1272)</f>
        <v>Are customer specific requirements (CSR) and special characteristics submitted to the sub-suppliers?</v>
      </c>
      <c r="F164" s="2274"/>
      <c r="G164" s="2274"/>
      <c r="H164" s="2274"/>
      <c r="I164" s="2274"/>
      <c r="J164" s="2274"/>
      <c r="K164" s="2274"/>
      <c r="L164" s="2274"/>
      <c r="M164" s="2274" t="str">
        <f>HLOOKUP(LANGUAGE!$B$2,LANGUAGE!$C$14:$G$1500,1273)</f>
        <v>- PPA/PPAP documentation shown by the supplier
- additional drawings were needed for the sub-supplier</v>
      </c>
      <c r="N164" s="2274"/>
      <c r="O164" s="2274"/>
      <c r="P164" s="2274"/>
      <c r="Q164" s="2274"/>
      <c r="R164" s="2274"/>
      <c r="S164" s="2274"/>
      <c r="T164" s="2274"/>
      <c r="U164" s="2277"/>
      <c r="V164" s="2277"/>
      <c r="W164" s="2277"/>
      <c r="X164" s="2277"/>
      <c r="Y164" s="2277"/>
      <c r="Z164" s="2278"/>
      <c r="AA164" s="2278"/>
      <c r="AB164" s="2278"/>
      <c r="AC164" s="2278"/>
      <c r="AD164" s="2278"/>
      <c r="AE164" s="2278"/>
      <c r="AF164" s="2278"/>
      <c r="AG164" s="2278"/>
      <c r="AH164" s="2279"/>
      <c r="AI164" s="2279"/>
      <c r="AJ164" s="2279"/>
      <c r="AK164" s="2280"/>
      <c r="AL164" s="189"/>
      <c r="AM164" s="195"/>
      <c r="AN164" s="195"/>
      <c r="AO164" s="195"/>
      <c r="AY164" s="3">
        <f>IF(ISNUMBER(MATCH(Z164,LANGUAGE!$C$137:$G$137,0)),0,IF(ISNUMBER(MATCH(Z164,LANGUAGE!$C$138:$G$138,0)),1,IF(ISNUMBER(MATCH(Z164,LANGUAGE!$C$139:$G$139,0)),2,IF(ISNUMBER(MATCH(Z164,LANGUAGE!$C$140:$G$140,0)),3,0))))</f>
        <v>0</v>
      </c>
      <c r="BA164" s="3">
        <f>IF(ISNUMBER(MATCH(AJ164,LANGUAGE!$C$141:$G$141,0)),3,IF(ISNUMBER(MATCH(AJ164,LANGUAGE!$C$142:$G$142,0)),1,0))</f>
        <v>0</v>
      </c>
      <c r="BB164" s="191">
        <f t="shared" ref="BB164" si="16">IF(AND(AY164&gt;1,BA164=0),10,AY164+BA164)</f>
        <v>0</v>
      </c>
    </row>
    <row r="165" spans="2:54" ht="17.7" customHeight="1" x14ac:dyDescent="0.25">
      <c r="B165" s="2269"/>
      <c r="C165" s="2272"/>
      <c r="D165" s="2272"/>
      <c r="E165" s="2275"/>
      <c r="F165" s="2275"/>
      <c r="G165" s="2275"/>
      <c r="H165" s="2275"/>
      <c r="I165" s="2275"/>
      <c r="J165" s="2275"/>
      <c r="K165" s="2275"/>
      <c r="L165" s="2275"/>
      <c r="M165" s="2275"/>
      <c r="N165" s="2275"/>
      <c r="O165" s="2275"/>
      <c r="P165" s="2275"/>
      <c r="Q165" s="2275"/>
      <c r="R165" s="2275"/>
      <c r="S165" s="2275"/>
      <c r="T165" s="2275"/>
      <c r="U165" s="2111"/>
      <c r="V165" s="2111"/>
      <c r="W165" s="2111"/>
      <c r="X165" s="2111"/>
      <c r="Y165" s="2111"/>
      <c r="Z165" s="2093"/>
      <c r="AA165" s="2093"/>
      <c r="AB165" s="2093"/>
      <c r="AC165" s="2093"/>
      <c r="AD165" s="2093"/>
      <c r="AE165" s="2093"/>
      <c r="AF165" s="2093"/>
      <c r="AG165" s="2093"/>
      <c r="AH165" s="2094"/>
      <c r="AI165" s="2094"/>
      <c r="AJ165" s="2094"/>
      <c r="AK165" s="2095"/>
      <c r="AL165" s="189"/>
      <c r="AM165" s="195"/>
      <c r="AN165" s="195"/>
      <c r="AO165" s="195"/>
      <c r="AY165" s="3"/>
      <c r="BA165" s="3"/>
    </row>
    <row r="166" spans="2:54" ht="17.7" customHeight="1" thickBot="1" x14ac:dyDescent="0.3">
      <c r="B166" s="2270"/>
      <c r="C166" s="2273"/>
      <c r="D166" s="2273"/>
      <c r="E166" s="2276"/>
      <c r="F166" s="2276"/>
      <c r="G166" s="2276"/>
      <c r="H166" s="2276"/>
      <c r="I166" s="2276"/>
      <c r="J166" s="2276"/>
      <c r="K166" s="2276"/>
      <c r="L166" s="2276"/>
      <c r="M166" s="2276"/>
      <c r="N166" s="2276"/>
      <c r="O166" s="2276"/>
      <c r="P166" s="2276"/>
      <c r="Q166" s="2276"/>
      <c r="R166" s="2276"/>
      <c r="S166" s="2276"/>
      <c r="T166" s="2276"/>
      <c r="U166" s="2112"/>
      <c r="V166" s="2112"/>
      <c r="W166" s="2112"/>
      <c r="X166" s="2112"/>
      <c r="Y166" s="2112"/>
      <c r="Z166" s="2114"/>
      <c r="AA166" s="2114"/>
      <c r="AB166" s="2114"/>
      <c r="AC166" s="2114"/>
      <c r="AD166" s="2114"/>
      <c r="AE166" s="2114"/>
      <c r="AF166" s="2114"/>
      <c r="AG166" s="2114"/>
      <c r="AH166" s="2096"/>
      <c r="AI166" s="2096"/>
      <c r="AJ166" s="2096"/>
      <c r="AK166" s="2097"/>
      <c r="AL166" s="189"/>
      <c r="AM166" s="195"/>
      <c r="AN166" s="195"/>
      <c r="AO166" s="195"/>
      <c r="AY166" s="3"/>
      <c r="BA166" s="3"/>
    </row>
    <row r="167" spans="2:54" ht="17.25" customHeight="1" thickBot="1" x14ac:dyDescent="0.3">
      <c r="B167" s="189"/>
      <c r="C167" s="189"/>
      <c r="D167" s="189"/>
      <c r="E167" s="189"/>
      <c r="F167" s="189"/>
      <c r="G167" s="189"/>
      <c r="H167" s="189"/>
      <c r="I167" s="189"/>
      <c r="J167" s="189"/>
      <c r="K167" s="189"/>
      <c r="L167" s="189"/>
      <c r="M167" s="189"/>
      <c r="N167" s="189"/>
      <c r="O167" s="189"/>
      <c r="P167" s="189"/>
      <c r="Q167" s="189"/>
      <c r="R167" s="189"/>
      <c r="S167" s="189"/>
      <c r="T167" s="189"/>
      <c r="U167" s="197"/>
      <c r="V167" s="197"/>
      <c r="W167" s="197"/>
      <c r="X167" s="197"/>
      <c r="Y167" s="197"/>
      <c r="Z167" s="189"/>
      <c r="AA167" s="189"/>
      <c r="AB167" s="189"/>
      <c r="AC167" s="189"/>
      <c r="AD167" s="189"/>
      <c r="AE167" s="197"/>
      <c r="AF167" s="197"/>
      <c r="AG167" s="197"/>
      <c r="AH167" s="189"/>
      <c r="AI167" s="189"/>
      <c r="AJ167" s="189"/>
      <c r="AK167" s="189"/>
      <c r="AL167" s="189"/>
      <c r="AM167" s="195"/>
      <c r="AN167" s="195"/>
      <c r="AO167" s="195"/>
      <c r="AY167" s="3"/>
      <c r="BA167" s="3"/>
    </row>
    <row r="168" spans="2:54" ht="17.7" customHeight="1" x14ac:dyDescent="0.25">
      <c r="B168" s="2098" t="str">
        <f>HLOOKUP(LANGUAGE!$B$2,LANGUAGE!$C$14:$G$1500,1202)</f>
        <v>Packaging</v>
      </c>
      <c r="C168" s="2099"/>
      <c r="D168" s="2099"/>
      <c r="E168" s="2099"/>
      <c r="F168" s="2099"/>
      <c r="G168" s="2099"/>
      <c r="H168" s="2099"/>
      <c r="I168" s="2099"/>
      <c r="J168" s="2099"/>
      <c r="K168" s="2099"/>
      <c r="L168" s="2099"/>
      <c r="M168" s="2099"/>
      <c r="N168" s="2099"/>
      <c r="O168" s="2099"/>
      <c r="P168" s="2099"/>
      <c r="Q168" s="2099"/>
      <c r="R168" s="2099"/>
      <c r="S168" s="2099"/>
      <c r="T168" s="2099"/>
      <c r="U168" s="2099"/>
      <c r="V168" s="2099"/>
      <c r="W168" s="2099"/>
      <c r="X168" s="2099"/>
      <c r="Y168" s="2099"/>
      <c r="Z168" s="2099"/>
      <c r="AA168" s="2099"/>
      <c r="AB168" s="2099"/>
      <c r="AC168" s="2099"/>
      <c r="AD168" s="2099"/>
      <c r="AE168" s="2099"/>
      <c r="AF168" s="2099"/>
      <c r="AG168" s="2099"/>
      <c r="AH168" s="2099"/>
      <c r="AI168" s="2099"/>
      <c r="AJ168" s="2099"/>
      <c r="AK168" s="2100"/>
      <c r="AL168" s="189"/>
      <c r="AM168" s="195"/>
      <c r="AN168" s="195"/>
      <c r="AO168" s="195"/>
      <c r="AY168" s="3"/>
      <c r="BA168" s="3"/>
    </row>
    <row r="169" spans="2:54" ht="17.7" customHeight="1" x14ac:dyDescent="0.25">
      <c r="B169" s="2101"/>
      <c r="C169" s="2102"/>
      <c r="D169" s="2102"/>
      <c r="E169" s="2102"/>
      <c r="F169" s="2102"/>
      <c r="G169" s="2102"/>
      <c r="H169" s="2102"/>
      <c r="I169" s="2102"/>
      <c r="J169" s="2102"/>
      <c r="K169" s="2102"/>
      <c r="L169" s="2102"/>
      <c r="M169" s="2102"/>
      <c r="N169" s="2102"/>
      <c r="O169" s="2102"/>
      <c r="P169" s="2102"/>
      <c r="Q169" s="2102"/>
      <c r="R169" s="2102"/>
      <c r="S169" s="2102"/>
      <c r="T169" s="2102"/>
      <c r="U169" s="2102"/>
      <c r="V169" s="2102"/>
      <c r="W169" s="2102"/>
      <c r="X169" s="2102"/>
      <c r="Y169" s="2102"/>
      <c r="Z169" s="2102"/>
      <c r="AA169" s="2102"/>
      <c r="AB169" s="2102"/>
      <c r="AC169" s="2102"/>
      <c r="AD169" s="2102"/>
      <c r="AE169" s="2102"/>
      <c r="AF169" s="2102"/>
      <c r="AG169" s="2102"/>
      <c r="AH169" s="2102"/>
      <c r="AI169" s="2102"/>
      <c r="AJ169" s="2102"/>
      <c r="AK169" s="2103"/>
      <c r="AL169" s="189"/>
      <c r="AM169" s="195"/>
      <c r="AN169" s="195"/>
      <c r="AO169" s="195"/>
      <c r="AY169" s="3"/>
      <c r="BA169" s="3"/>
    </row>
    <row r="170" spans="2:54" ht="17.7" customHeight="1" x14ac:dyDescent="0.25">
      <c r="B170" s="1002" t="str">
        <f>HLOOKUP(LANGUAGE!$B$2,LANGUAGE!$C$14:$G$1500,91)</f>
        <v>No.</v>
      </c>
      <c r="C170" s="1003" t="str">
        <f>HLOOKUP(LANGUAGE!$B$2,LANGUAGE!$C$14:$G$1500,73)</f>
        <v>Topic</v>
      </c>
      <c r="D170" s="1003"/>
      <c r="E170" s="1003" t="str">
        <f>HLOOKUP(LANGUAGE!$B$2,LANGUAGE!$C$14:$G$1500,92)</f>
        <v>Question</v>
      </c>
      <c r="F170" s="1003"/>
      <c r="G170" s="1003"/>
      <c r="H170" s="1003"/>
      <c r="I170" s="1003"/>
      <c r="J170" s="1003"/>
      <c r="K170" s="1003"/>
      <c r="L170" s="1003"/>
      <c r="M170" s="1003" t="str">
        <f>HLOOKUP(LANGUAGE!$B$2,LANGUAGE!$C$14:$G$1500,93)</f>
        <v>Notes</v>
      </c>
      <c r="N170" s="1003"/>
      <c r="O170" s="1003"/>
      <c r="P170" s="1003"/>
      <c r="Q170" s="1003"/>
      <c r="R170" s="1003"/>
      <c r="S170" s="1003"/>
      <c r="T170" s="1003"/>
      <c r="U170" s="1203" t="str">
        <f>HLOOKUP(LANGUAGE!$B$2,LANGUAGE!$C$14:$G$1500,114)</f>
        <v>Remarks</v>
      </c>
      <c r="V170" s="1203"/>
      <c r="W170" s="1203"/>
      <c r="X170" s="1203"/>
      <c r="Y170" s="1203"/>
      <c r="Z170" s="1003" t="str">
        <f>HLOOKUP(LANGUAGE!$B$2,LANGUAGE!$C$14:$G$1500,74)</f>
        <v>Evaluation</v>
      </c>
      <c r="AA170" s="1003"/>
      <c r="AB170" s="1003" t="str">
        <f>HLOOKUP(LANGUAGE!$B$2,LANGUAGE!$C$14:$G$1500,95)</f>
        <v>Action</v>
      </c>
      <c r="AC170" s="1003"/>
      <c r="AD170" s="1003"/>
      <c r="AE170" s="1203" t="str">
        <f>HLOOKUP(LANGUAGE!$B$2,LANGUAGE!$C$14:$G$1500,96)</f>
        <v>Responsible</v>
      </c>
      <c r="AF170" s="1203"/>
      <c r="AG170" s="1203"/>
      <c r="AH170" s="1003" t="str">
        <f>HLOOKUP(LANGUAGE!$B$2,LANGUAGE!$C$14:$G$1500,21)</f>
        <v>Date</v>
      </c>
      <c r="AI170" s="1003"/>
      <c r="AJ170" s="1003" t="str">
        <f>HLOOKUP(LANGUAGE!$B$2,LANGUAGE!$C$14:$G$1500,75)</f>
        <v>Action status</v>
      </c>
      <c r="AK170" s="1413"/>
      <c r="AL170" s="189"/>
      <c r="AM170" s="195"/>
      <c r="AN170" s="195"/>
      <c r="AO170" s="195"/>
      <c r="AY170" s="3"/>
      <c r="BA170" s="3"/>
    </row>
    <row r="171" spans="2:54" ht="17.7" customHeight="1" x14ac:dyDescent="0.25">
      <c r="B171" s="1002"/>
      <c r="C171" s="1003"/>
      <c r="D171" s="1003"/>
      <c r="E171" s="1003"/>
      <c r="F171" s="1003"/>
      <c r="G171" s="1003"/>
      <c r="H171" s="1003"/>
      <c r="I171" s="1003"/>
      <c r="J171" s="1003"/>
      <c r="K171" s="1003"/>
      <c r="L171" s="1003"/>
      <c r="M171" s="1003"/>
      <c r="N171" s="1003"/>
      <c r="O171" s="1003"/>
      <c r="P171" s="1003"/>
      <c r="Q171" s="1003"/>
      <c r="R171" s="1003"/>
      <c r="S171" s="1003"/>
      <c r="T171" s="1003"/>
      <c r="U171" s="1203"/>
      <c r="V171" s="1203"/>
      <c r="W171" s="1203"/>
      <c r="X171" s="1203"/>
      <c r="Y171" s="1203"/>
      <c r="Z171" s="1003"/>
      <c r="AA171" s="1003"/>
      <c r="AB171" s="1003"/>
      <c r="AC171" s="1003"/>
      <c r="AD171" s="1003"/>
      <c r="AE171" s="1203"/>
      <c r="AF171" s="1203"/>
      <c r="AG171" s="1203"/>
      <c r="AH171" s="1003"/>
      <c r="AI171" s="1003"/>
      <c r="AJ171" s="1003"/>
      <c r="AK171" s="1413"/>
      <c r="AL171" s="189"/>
      <c r="AM171" s="195"/>
      <c r="AN171" s="195"/>
      <c r="AO171" s="195"/>
      <c r="AY171" s="3"/>
      <c r="BA171" s="3"/>
    </row>
    <row r="172" spans="2:54" ht="17.7" customHeight="1" x14ac:dyDescent="0.25">
      <c r="B172" s="2104" t="s">
        <v>2200</v>
      </c>
      <c r="C172" s="2107" t="str">
        <f>HLOOKUP(LANGUAGE!$B$2,LANGUAGE!$C$14:$G$1500,1203)</f>
        <v>Packaging Instruction</v>
      </c>
      <c r="D172" s="2107"/>
      <c r="E172" s="2109" t="str">
        <f>HLOOKUP(LANGUAGE!$B$2,LANGUAGE!$C$14:$G$1500,1204)</f>
        <v>Is there a packaging instruction agreed with Brose and is this adhered to?</v>
      </c>
      <c r="F172" s="2109"/>
      <c r="G172" s="2109"/>
      <c r="H172" s="2109"/>
      <c r="I172" s="2109"/>
      <c r="J172" s="2109"/>
      <c r="K172" s="2109"/>
      <c r="L172" s="2109"/>
      <c r="M172" s="2109" t="str">
        <f>HLOOKUP(LANGUAGE!$B$2,LANGUAGE!$C$14:$G$1500,1205)</f>
        <v>Signed packaging data sheet by supplier to be shown and checked in the shipping area (incl. if appl. D-marking at label).</v>
      </c>
      <c r="N172" s="2109"/>
      <c r="O172" s="2109"/>
      <c r="P172" s="2109"/>
      <c r="Q172" s="2109"/>
      <c r="R172" s="2109"/>
      <c r="S172" s="2109"/>
      <c r="T172" s="2109"/>
      <c r="U172" s="2111"/>
      <c r="V172" s="2111"/>
      <c r="W172" s="2111"/>
      <c r="X172" s="2111"/>
      <c r="Y172" s="2111"/>
      <c r="Z172" s="2093"/>
      <c r="AA172" s="2093"/>
      <c r="AB172" s="2093"/>
      <c r="AC172" s="2093"/>
      <c r="AD172" s="2093"/>
      <c r="AE172" s="2093"/>
      <c r="AF172" s="2093"/>
      <c r="AG172" s="2093"/>
      <c r="AH172" s="2094"/>
      <c r="AI172" s="2094"/>
      <c r="AJ172" s="2094"/>
      <c r="AK172" s="2095"/>
      <c r="AL172" s="189"/>
      <c r="AM172" s="195"/>
      <c r="AN172" s="195"/>
      <c r="AO172" s="195"/>
      <c r="AY172" s="3">
        <f>IF(ISNUMBER(MATCH(Z172,LANGUAGE!$C$137:$G$137,0)),0,IF(ISNUMBER(MATCH(Z172,LANGUAGE!$C$138:$G$138,0)),1,IF(ISNUMBER(MATCH(Z172,LANGUAGE!$C$139:$G$139,0)),2,IF(ISNUMBER(MATCH(Z172,LANGUAGE!$C$140:$G$140,0)),3,0))))</f>
        <v>0</v>
      </c>
      <c r="BA172" s="3">
        <f>IF(ISNUMBER(MATCH(AJ172,LANGUAGE!$C$141:$G$141,0)),3,IF(ISNUMBER(MATCH(AJ172,LANGUAGE!$C$142:$G$142,0)),1,0))</f>
        <v>0</v>
      </c>
      <c r="BB172" s="191">
        <f t="shared" si="15"/>
        <v>0</v>
      </c>
    </row>
    <row r="173" spans="2:54" ht="17.7" customHeight="1" x14ac:dyDescent="0.25">
      <c r="B173" s="2105"/>
      <c r="C173" s="2107"/>
      <c r="D173" s="2107"/>
      <c r="E173" s="2109"/>
      <c r="F173" s="2109"/>
      <c r="G173" s="2109"/>
      <c r="H173" s="2109"/>
      <c r="I173" s="2109"/>
      <c r="J173" s="2109"/>
      <c r="K173" s="2109"/>
      <c r="L173" s="2109"/>
      <c r="M173" s="2109"/>
      <c r="N173" s="2109"/>
      <c r="O173" s="2109"/>
      <c r="P173" s="2109"/>
      <c r="Q173" s="2109"/>
      <c r="R173" s="2109"/>
      <c r="S173" s="2109"/>
      <c r="T173" s="2109"/>
      <c r="U173" s="2111"/>
      <c r="V173" s="2111"/>
      <c r="W173" s="2111"/>
      <c r="X173" s="2111"/>
      <c r="Y173" s="2111"/>
      <c r="Z173" s="2093"/>
      <c r="AA173" s="2093"/>
      <c r="AB173" s="2093"/>
      <c r="AC173" s="2093"/>
      <c r="AD173" s="2093"/>
      <c r="AE173" s="2093"/>
      <c r="AF173" s="2093"/>
      <c r="AG173" s="2093"/>
      <c r="AH173" s="2094"/>
      <c r="AI173" s="2094"/>
      <c r="AJ173" s="2094"/>
      <c r="AK173" s="2095"/>
      <c r="AL173" s="189"/>
      <c r="AM173" s="195"/>
      <c r="AN173" s="195"/>
      <c r="AO173" s="195"/>
      <c r="AY173" s="3"/>
      <c r="BA173" s="3"/>
    </row>
    <row r="174" spans="2:54" ht="17.7" customHeight="1" x14ac:dyDescent="0.25">
      <c r="B174" s="2105"/>
      <c r="C174" s="2107"/>
      <c r="D174" s="2107"/>
      <c r="E174" s="2109"/>
      <c r="F174" s="2109"/>
      <c r="G174" s="2109"/>
      <c r="H174" s="2109"/>
      <c r="I174" s="2109"/>
      <c r="J174" s="2109"/>
      <c r="K174" s="2109"/>
      <c r="L174" s="2109"/>
      <c r="M174" s="2109"/>
      <c r="N174" s="2109"/>
      <c r="O174" s="2109"/>
      <c r="P174" s="2109"/>
      <c r="Q174" s="2109"/>
      <c r="R174" s="2109"/>
      <c r="S174" s="2109"/>
      <c r="T174" s="2109"/>
      <c r="U174" s="2111"/>
      <c r="V174" s="2111"/>
      <c r="W174" s="2111"/>
      <c r="X174" s="2111"/>
      <c r="Y174" s="2111"/>
      <c r="Z174" s="2093"/>
      <c r="AA174" s="2093"/>
      <c r="AB174" s="2093"/>
      <c r="AC174" s="2093"/>
      <c r="AD174" s="2093"/>
      <c r="AE174" s="2093"/>
      <c r="AF174" s="2093"/>
      <c r="AG174" s="2093"/>
      <c r="AH174" s="2094"/>
      <c r="AI174" s="2094"/>
      <c r="AJ174" s="2094"/>
      <c r="AK174" s="2095"/>
      <c r="AL174" s="189"/>
      <c r="AM174" s="195"/>
      <c r="AN174" s="195"/>
      <c r="AO174" s="195"/>
      <c r="AY174" s="3"/>
      <c r="BA174" s="3"/>
    </row>
    <row r="175" spans="2:54" ht="17.7" customHeight="1" x14ac:dyDescent="0.25">
      <c r="B175" s="2104" t="s">
        <v>2201</v>
      </c>
      <c r="C175" s="2107" t="str">
        <f>HLOOKUP(LANGUAGE!$B$2,LANGUAGE!$C$14:$G$1500,1206)</f>
        <v>Mixed parts</v>
      </c>
      <c r="D175" s="2107"/>
      <c r="E175" s="2109" t="str">
        <f>HLOOKUP(LANGUAGE!$B$2,LANGUAGE!$C$14:$G$1500,1207)</f>
        <v>Is it ensured that the entire process chain, confusion and damage to parts are excluded?</v>
      </c>
      <c r="F175" s="2109"/>
      <c r="G175" s="2109"/>
      <c r="H175" s="2109"/>
      <c r="I175" s="2109"/>
      <c r="J175" s="2109"/>
      <c r="K175" s="2109"/>
      <c r="L175" s="2109"/>
      <c r="M175" s="2109" t="str">
        <f>HLOOKUP(LANGUAGE!$B$2,LANGUAGE!$C$14:$G$1500,1208)</f>
        <v>Along the process chain suitable handling, drop height, transport, storage, packaging, sorting etc.
Process ensures not mixing variants or similar parts</v>
      </c>
      <c r="N175" s="2109"/>
      <c r="O175" s="2109"/>
      <c r="P175" s="2109"/>
      <c r="Q175" s="2109"/>
      <c r="R175" s="2109"/>
      <c r="S175" s="2109"/>
      <c r="T175" s="2109"/>
      <c r="U175" s="2111"/>
      <c r="V175" s="2111"/>
      <c r="W175" s="2111"/>
      <c r="X175" s="2111"/>
      <c r="Y175" s="2111"/>
      <c r="Z175" s="2113"/>
      <c r="AA175" s="2093"/>
      <c r="AB175" s="2093"/>
      <c r="AC175" s="2093"/>
      <c r="AD175" s="2093"/>
      <c r="AE175" s="2093"/>
      <c r="AF175" s="2093"/>
      <c r="AG175" s="2093"/>
      <c r="AH175" s="2094"/>
      <c r="AI175" s="2094"/>
      <c r="AJ175" s="2094"/>
      <c r="AK175" s="2095"/>
      <c r="AL175" s="189"/>
      <c r="AM175" s="195"/>
      <c r="AN175" s="195"/>
      <c r="AO175" s="195"/>
      <c r="AY175" s="3">
        <f>IF(ISNUMBER(MATCH(Z175,LANGUAGE!$C$137:$G$137,0)),0,IF(ISNUMBER(MATCH(Z175,LANGUAGE!$C$138:$G$138,0)),1,IF(ISNUMBER(MATCH(Z175,LANGUAGE!$C$139:$G$139,0)),2,IF(ISNUMBER(MATCH(Z175,LANGUAGE!$C$140:$G$140,0)),3,0))))</f>
        <v>0</v>
      </c>
      <c r="BA175" s="3">
        <f>IF(ISNUMBER(MATCH(AJ175,LANGUAGE!$C$141:$G$141,0)),3,IF(ISNUMBER(MATCH(AJ175,LANGUAGE!$C$142:$G$142,0)),1,0))</f>
        <v>0</v>
      </c>
      <c r="BB175" s="191">
        <f t="shared" ref="BB175:BB184" si="17">IF(AND(AY175&gt;1,BA175=0),10,AY175+BA175)</f>
        <v>0</v>
      </c>
    </row>
    <row r="176" spans="2:54" ht="17.7" customHeight="1" x14ac:dyDescent="0.25">
      <c r="B176" s="2105"/>
      <c r="C176" s="2107"/>
      <c r="D176" s="2107"/>
      <c r="E176" s="2109"/>
      <c r="F176" s="2109"/>
      <c r="G176" s="2109"/>
      <c r="H176" s="2109"/>
      <c r="I176" s="2109"/>
      <c r="J176" s="2109"/>
      <c r="K176" s="2109"/>
      <c r="L176" s="2109"/>
      <c r="M176" s="2109"/>
      <c r="N176" s="2109"/>
      <c r="O176" s="2109"/>
      <c r="P176" s="2109"/>
      <c r="Q176" s="2109"/>
      <c r="R176" s="2109"/>
      <c r="S176" s="2109"/>
      <c r="T176" s="2109"/>
      <c r="U176" s="2111"/>
      <c r="V176" s="2111"/>
      <c r="W176" s="2111"/>
      <c r="X176" s="2111"/>
      <c r="Y176" s="2111"/>
      <c r="Z176" s="2093"/>
      <c r="AA176" s="2093"/>
      <c r="AB176" s="2093"/>
      <c r="AC176" s="2093"/>
      <c r="AD176" s="2093"/>
      <c r="AE176" s="2093"/>
      <c r="AF176" s="2093"/>
      <c r="AG176" s="2093"/>
      <c r="AH176" s="2094"/>
      <c r="AI176" s="2094"/>
      <c r="AJ176" s="2094"/>
      <c r="AK176" s="2095"/>
      <c r="AL176" s="189"/>
      <c r="AM176" s="195"/>
      <c r="AN176" s="195"/>
      <c r="AO176" s="195"/>
      <c r="AY176" s="3"/>
      <c r="BA176" s="3"/>
    </row>
    <row r="177" spans="2:54" ht="17.7" customHeight="1" thickBot="1" x14ac:dyDescent="0.3">
      <c r="B177" s="2106"/>
      <c r="C177" s="2108"/>
      <c r="D177" s="2108"/>
      <c r="E177" s="2110"/>
      <c r="F177" s="2110"/>
      <c r="G177" s="2110"/>
      <c r="H177" s="2110"/>
      <c r="I177" s="2110"/>
      <c r="J177" s="2110"/>
      <c r="K177" s="2110"/>
      <c r="L177" s="2110"/>
      <c r="M177" s="2110"/>
      <c r="N177" s="2110"/>
      <c r="O177" s="2110"/>
      <c r="P177" s="2110"/>
      <c r="Q177" s="2110"/>
      <c r="R177" s="2110"/>
      <c r="S177" s="2110"/>
      <c r="T177" s="2110"/>
      <c r="U177" s="2112"/>
      <c r="V177" s="2112"/>
      <c r="W177" s="2112"/>
      <c r="X177" s="2112"/>
      <c r="Y177" s="2112"/>
      <c r="Z177" s="2114"/>
      <c r="AA177" s="2114"/>
      <c r="AB177" s="2114"/>
      <c r="AC177" s="2114"/>
      <c r="AD177" s="2114"/>
      <c r="AE177" s="2114"/>
      <c r="AF177" s="2114"/>
      <c r="AG177" s="2114"/>
      <c r="AH177" s="2096"/>
      <c r="AI177" s="2096"/>
      <c r="AJ177" s="2096"/>
      <c r="AK177" s="2097"/>
      <c r="AL177" s="189"/>
      <c r="AM177" s="195"/>
      <c r="AN177" s="195"/>
      <c r="AO177" s="195"/>
      <c r="AY177" s="3"/>
      <c r="BA177" s="3"/>
    </row>
    <row r="178" spans="2:54" ht="25.2" customHeight="1" thickBot="1" x14ac:dyDescent="0.3">
      <c r="B178" s="537" t="s">
        <v>2202</v>
      </c>
      <c r="C178" s="2281" t="str">
        <f>HLOOKUP(LANGUAGE!$B$2,LANGUAGE!$C$14:$G$1500,1209)</f>
        <v>is SLW reference</v>
      </c>
      <c r="D178" s="2282"/>
      <c r="E178" s="2223"/>
      <c r="F178" s="2223"/>
      <c r="G178" s="2223"/>
      <c r="H178" s="2223"/>
      <c r="I178" s="2223"/>
      <c r="J178" s="2223"/>
      <c r="K178" s="2223"/>
      <c r="L178" s="2223"/>
      <c r="M178" s="2223"/>
      <c r="N178" s="2223"/>
      <c r="O178" s="2223"/>
      <c r="P178" s="2223"/>
      <c r="Q178" s="2223"/>
      <c r="R178" s="2223"/>
      <c r="S178" s="2223"/>
      <c r="T178" s="2223"/>
      <c r="U178" s="2283"/>
      <c r="V178" s="2283"/>
      <c r="W178" s="2283"/>
      <c r="X178" s="2283"/>
      <c r="Y178" s="2283"/>
      <c r="Z178" s="2284"/>
      <c r="AA178" s="2284"/>
      <c r="AB178" s="2284"/>
      <c r="AC178" s="2284"/>
      <c r="AD178" s="2284"/>
      <c r="AE178" s="2284"/>
      <c r="AF178" s="2284"/>
      <c r="AG178" s="2284"/>
      <c r="AH178" s="2285"/>
      <c r="AI178" s="2285"/>
      <c r="AJ178" s="2285"/>
      <c r="AK178" s="2285"/>
      <c r="AL178" s="189"/>
      <c r="AM178" s="195"/>
      <c r="AN178" s="195"/>
      <c r="AO178" s="195"/>
      <c r="AY178" s="3"/>
      <c r="BA178" s="3"/>
    </row>
    <row r="179" spans="2:54" ht="17.7" customHeight="1" thickBot="1" x14ac:dyDescent="0.3">
      <c r="AY179" s="3"/>
      <c r="BA179" s="3"/>
    </row>
    <row r="180" spans="2:54" ht="17.7" customHeight="1" x14ac:dyDescent="0.25">
      <c r="B180" s="2098" t="str">
        <f>HLOOKUP(LANGUAGE!$B$2,LANGUAGE!$C$14:$G$2993,2322)</f>
        <v>Supplier Line Walk</v>
      </c>
      <c r="C180" s="2099"/>
      <c r="D180" s="2099"/>
      <c r="E180" s="2099"/>
      <c r="F180" s="2099"/>
      <c r="G180" s="2099"/>
      <c r="H180" s="2099"/>
      <c r="I180" s="2099"/>
      <c r="J180" s="2099"/>
      <c r="K180" s="2099"/>
      <c r="L180" s="2099"/>
      <c r="M180" s="2099"/>
      <c r="N180" s="2099"/>
      <c r="O180" s="2099"/>
      <c r="P180" s="2099"/>
      <c r="Q180" s="2099"/>
      <c r="R180" s="2099"/>
      <c r="S180" s="2099"/>
      <c r="T180" s="2099"/>
      <c r="U180" s="2099"/>
      <c r="V180" s="2099"/>
      <c r="W180" s="2099"/>
      <c r="X180" s="2099"/>
      <c r="Y180" s="2099"/>
      <c r="Z180" s="2099"/>
      <c r="AA180" s="2099"/>
      <c r="AB180" s="2099"/>
      <c r="AC180" s="2099"/>
      <c r="AD180" s="2099"/>
      <c r="AE180" s="2099"/>
      <c r="AF180" s="2099"/>
      <c r="AG180" s="2099"/>
      <c r="AH180" s="2099"/>
      <c r="AI180" s="2099"/>
      <c r="AJ180" s="2099"/>
      <c r="AK180" s="2100"/>
      <c r="AL180" s="189"/>
      <c r="AM180" s="195"/>
      <c r="AN180" s="195"/>
      <c r="AO180" s="195"/>
      <c r="AY180" s="3"/>
      <c r="BA180" s="3"/>
    </row>
    <row r="181" spans="2:54" ht="17.7" customHeight="1" x14ac:dyDescent="0.25">
      <c r="B181" s="2101"/>
      <c r="C181" s="2102"/>
      <c r="D181" s="2102"/>
      <c r="E181" s="2102"/>
      <c r="F181" s="2102"/>
      <c r="G181" s="2102"/>
      <c r="H181" s="2102"/>
      <c r="I181" s="2102"/>
      <c r="J181" s="2102"/>
      <c r="K181" s="2102"/>
      <c r="L181" s="2102"/>
      <c r="M181" s="2102"/>
      <c r="N181" s="2102"/>
      <c r="O181" s="2102"/>
      <c r="P181" s="2102"/>
      <c r="Q181" s="2102"/>
      <c r="R181" s="2102"/>
      <c r="S181" s="2102"/>
      <c r="T181" s="2102"/>
      <c r="U181" s="2102"/>
      <c r="V181" s="2102"/>
      <c r="W181" s="2102"/>
      <c r="X181" s="2102"/>
      <c r="Y181" s="2102"/>
      <c r="Z181" s="2102"/>
      <c r="AA181" s="2102"/>
      <c r="AB181" s="2102"/>
      <c r="AC181" s="2102"/>
      <c r="AD181" s="2102"/>
      <c r="AE181" s="2102"/>
      <c r="AF181" s="2102"/>
      <c r="AG181" s="2102"/>
      <c r="AH181" s="2102"/>
      <c r="AI181" s="2102"/>
      <c r="AJ181" s="2102"/>
      <c r="AK181" s="2103"/>
      <c r="AL181" s="189"/>
      <c r="AM181" s="195"/>
      <c r="AN181" s="195"/>
      <c r="AO181" s="195"/>
      <c r="AY181" s="3"/>
      <c r="BA181" s="3"/>
    </row>
    <row r="182" spans="2:54" ht="17.7" customHeight="1" x14ac:dyDescent="0.25">
      <c r="B182" s="1002" t="str">
        <f>HLOOKUP(LANGUAGE!$B$2,LANGUAGE!$C$14:$G$1500,91)</f>
        <v>No.</v>
      </c>
      <c r="C182" s="1003" t="str">
        <f>HLOOKUP(LANGUAGE!$B$2,LANGUAGE!$C$14:$G$1500,73)</f>
        <v>Topic</v>
      </c>
      <c r="D182" s="1003"/>
      <c r="E182" s="1003" t="str">
        <f>HLOOKUP(LANGUAGE!$B$2,LANGUAGE!$C$14:$G$1500,92)</f>
        <v>Question</v>
      </c>
      <c r="F182" s="1003"/>
      <c r="G182" s="1003"/>
      <c r="H182" s="1003"/>
      <c r="I182" s="1003"/>
      <c r="J182" s="1003"/>
      <c r="K182" s="1003"/>
      <c r="L182" s="1003"/>
      <c r="M182" s="1003" t="str">
        <f>HLOOKUP(LANGUAGE!$B$2,LANGUAGE!$C$14:$G$1500,93)</f>
        <v>Notes</v>
      </c>
      <c r="N182" s="1003"/>
      <c r="O182" s="1003"/>
      <c r="P182" s="1003"/>
      <c r="Q182" s="1003"/>
      <c r="R182" s="1003"/>
      <c r="S182" s="1003"/>
      <c r="T182" s="1003"/>
      <c r="U182" s="1203" t="str">
        <f>HLOOKUP(LANGUAGE!$B$2,LANGUAGE!$C$14:$G$1500,114)</f>
        <v>Remarks</v>
      </c>
      <c r="V182" s="1203"/>
      <c r="W182" s="1203"/>
      <c r="X182" s="1203"/>
      <c r="Y182" s="1203"/>
      <c r="Z182" s="1003" t="str">
        <f>HLOOKUP(LANGUAGE!$B$2,LANGUAGE!$C$14:$G$1500,74)</f>
        <v>Evaluation</v>
      </c>
      <c r="AA182" s="1003"/>
      <c r="AB182" s="1003" t="str">
        <f>HLOOKUP(LANGUAGE!$B$2,LANGUAGE!$C$14:$G$1500,95)</f>
        <v>Action</v>
      </c>
      <c r="AC182" s="1003"/>
      <c r="AD182" s="1003"/>
      <c r="AE182" s="1203" t="str">
        <f>HLOOKUP(LANGUAGE!$B$2,LANGUAGE!$C$14:$G$1500,96)</f>
        <v>Responsible</v>
      </c>
      <c r="AF182" s="1203"/>
      <c r="AG182" s="1203"/>
      <c r="AH182" s="1003" t="str">
        <f>HLOOKUP(LANGUAGE!$B$2,LANGUAGE!$C$14:$G$1500,21)</f>
        <v>Date</v>
      </c>
      <c r="AI182" s="1003"/>
      <c r="AJ182" s="1003" t="str">
        <f>HLOOKUP(LANGUAGE!$B$2,LANGUAGE!$C$14:$G$1500,75)</f>
        <v>Action status</v>
      </c>
      <c r="AK182" s="1413"/>
      <c r="AL182" s="189"/>
      <c r="AM182" s="195"/>
      <c r="AN182" s="195"/>
      <c r="AO182" s="195"/>
      <c r="AY182" s="3">
        <f>IF(ISNUMBER(MATCH(Z182,LANGUAGE!$C$137:$G$137,0)),0,IF(ISNUMBER(MATCH(Z182,LANGUAGE!$C$138:$G$138,0)),1,IF(ISNUMBER(MATCH(Z182,LANGUAGE!$C$139:$G$139,0)),2,IF(ISNUMBER(MATCH(Z182,LANGUAGE!$C$140:$G$140,0)),3,0))))</f>
        <v>0</v>
      </c>
      <c r="BA182" s="3">
        <f>IF(ISNUMBER(MATCH(AJ182,LANGUAGE!$C$141:$G$141,0)),3,IF(ISNUMBER(MATCH(AJ182,LANGUAGE!$C$142:$G$142,0)),1,0))</f>
        <v>0</v>
      </c>
      <c r="BB182" s="191">
        <f t="shared" ref="BB182" si="18">IF(AND(AY182&gt;1,BA182=0),10,AY182+BA182)</f>
        <v>0</v>
      </c>
    </row>
    <row r="183" spans="2:54" ht="17.7" customHeight="1" x14ac:dyDescent="0.25">
      <c r="B183" s="1002"/>
      <c r="C183" s="1003"/>
      <c r="D183" s="1003"/>
      <c r="E183" s="1003"/>
      <c r="F183" s="1003"/>
      <c r="G183" s="1003"/>
      <c r="H183" s="1003"/>
      <c r="I183" s="1003"/>
      <c r="J183" s="1003"/>
      <c r="K183" s="1003"/>
      <c r="L183" s="1003"/>
      <c r="M183" s="1003"/>
      <c r="N183" s="1003"/>
      <c r="O183" s="1003"/>
      <c r="P183" s="1003"/>
      <c r="Q183" s="1003"/>
      <c r="R183" s="1003"/>
      <c r="S183" s="1003"/>
      <c r="T183" s="1003"/>
      <c r="U183" s="1203"/>
      <c r="V183" s="1203"/>
      <c r="W183" s="1203"/>
      <c r="X183" s="1203"/>
      <c r="Y183" s="1203"/>
      <c r="Z183" s="1003"/>
      <c r="AA183" s="1003"/>
      <c r="AB183" s="1003"/>
      <c r="AC183" s="1003"/>
      <c r="AD183" s="1003"/>
      <c r="AE183" s="1203"/>
      <c r="AF183" s="1203"/>
      <c r="AG183" s="1203"/>
      <c r="AH183" s="1003"/>
      <c r="AI183" s="1003"/>
      <c r="AJ183" s="1003"/>
      <c r="AK183" s="1413"/>
      <c r="AL183" s="189"/>
      <c r="AM183" s="195"/>
      <c r="AN183" s="195"/>
      <c r="AO183" s="195"/>
      <c r="AY183" s="3"/>
      <c r="BA183" s="3"/>
    </row>
    <row r="184" spans="2:54" ht="17.7" customHeight="1" x14ac:dyDescent="0.25">
      <c r="B184" s="2104" t="s">
        <v>2203</v>
      </c>
      <c r="C184" s="2286" t="str">
        <f>HLOOKUP(LANGUAGE!$B$2,LANGUAGE!$C$14:$G$2993,2327)</f>
        <v>Part handling</v>
      </c>
      <c r="D184" s="2286"/>
      <c r="E184" s="2109" t="str">
        <f>HLOOKUP(LANGUAGE!$B$2,LANGUAGE!$C$14:$G$2993,2328)</f>
        <v>Are suspicious &amp; not ok parts separated from ok parts?</v>
      </c>
      <c r="F184" s="2109"/>
      <c r="G184" s="2109"/>
      <c r="H184" s="2109"/>
      <c r="I184" s="2109"/>
      <c r="J184" s="2109"/>
      <c r="K184" s="2109"/>
      <c r="L184" s="2109"/>
      <c r="M184" s="2109" t="str">
        <f>HLOOKUP(LANGUAGE!$B$2,LANGUAGE!$C$14:$G$2993,2329)</f>
        <v>- Are suspicious and not OK Parts blocked by the system?
- Suspicious parts on the line are separated in red not ok boxes
- suspicious and not ok parts in the quarantine warehouse, inventory log for hold cage exist
- Parts are marked as not OK on the container</v>
      </c>
      <c r="N184" s="2109"/>
      <c r="O184" s="2109"/>
      <c r="P184" s="2109"/>
      <c r="Q184" s="2109"/>
      <c r="R184" s="2109"/>
      <c r="S184" s="2109"/>
      <c r="T184" s="2109"/>
      <c r="U184" s="2111"/>
      <c r="V184" s="2111"/>
      <c r="W184" s="2111"/>
      <c r="X184" s="2111"/>
      <c r="Y184" s="2111"/>
      <c r="Z184" s="2093"/>
      <c r="AA184" s="2093"/>
      <c r="AB184" s="2093"/>
      <c r="AC184" s="2093"/>
      <c r="AD184" s="2093"/>
      <c r="AE184" s="2093"/>
      <c r="AF184" s="2093"/>
      <c r="AG184" s="2093"/>
      <c r="AH184" s="2094"/>
      <c r="AI184" s="2094"/>
      <c r="AJ184" s="2094"/>
      <c r="AK184" s="2095"/>
      <c r="AL184" s="189"/>
      <c r="AM184" s="195"/>
      <c r="AN184" s="195"/>
      <c r="AO184" s="195"/>
      <c r="AY184" s="3">
        <f>IF(ISNUMBER(MATCH(Z184,LANGUAGE!$C$137:$G$137,0)),0,IF(ISNUMBER(MATCH(Z184,LANGUAGE!$C$138:$G$138,0)),1,IF(ISNUMBER(MATCH(Z184,LANGUAGE!$C$139:$G$139,0)),2,IF(ISNUMBER(MATCH(Z184,LANGUAGE!$C$140:$G$140,0)),3,0))))</f>
        <v>0</v>
      </c>
      <c r="BA184" s="3">
        <f>IF(ISNUMBER(MATCH(AJ184,LANGUAGE!$C$141:$G$141,0)),3,IF(ISNUMBER(MATCH(AJ184,LANGUAGE!$C$142:$G$142,0)),1,0))</f>
        <v>0</v>
      </c>
      <c r="BB184" s="191">
        <f t="shared" si="17"/>
        <v>0</v>
      </c>
    </row>
    <row r="185" spans="2:54" ht="17.7" customHeight="1" x14ac:dyDescent="0.25">
      <c r="B185" s="2105"/>
      <c r="C185" s="2286"/>
      <c r="D185" s="2286"/>
      <c r="E185" s="2109"/>
      <c r="F185" s="2109"/>
      <c r="G185" s="2109"/>
      <c r="H185" s="2109"/>
      <c r="I185" s="2109"/>
      <c r="J185" s="2109"/>
      <c r="K185" s="2109"/>
      <c r="L185" s="2109"/>
      <c r="M185" s="2109"/>
      <c r="N185" s="2109"/>
      <c r="O185" s="2109"/>
      <c r="P185" s="2109"/>
      <c r="Q185" s="2109"/>
      <c r="R185" s="2109"/>
      <c r="S185" s="2109"/>
      <c r="T185" s="2109"/>
      <c r="U185" s="2111"/>
      <c r="V185" s="2111"/>
      <c r="W185" s="2111"/>
      <c r="X185" s="2111"/>
      <c r="Y185" s="2111"/>
      <c r="Z185" s="2093"/>
      <c r="AA185" s="2093"/>
      <c r="AB185" s="2093"/>
      <c r="AC185" s="2093"/>
      <c r="AD185" s="2093"/>
      <c r="AE185" s="2093"/>
      <c r="AF185" s="2093"/>
      <c r="AG185" s="2093"/>
      <c r="AH185" s="2094"/>
      <c r="AI185" s="2094"/>
      <c r="AJ185" s="2094"/>
      <c r="AK185" s="2095"/>
      <c r="AL185" s="189"/>
      <c r="AM185" s="195"/>
      <c r="AN185" s="195"/>
      <c r="AO185" s="195"/>
      <c r="AY185" s="3"/>
      <c r="BA185" s="3"/>
    </row>
    <row r="186" spans="2:54" ht="59.35" customHeight="1" x14ac:dyDescent="0.25">
      <c r="B186" s="2105"/>
      <c r="C186" s="2286"/>
      <c r="D186" s="2286"/>
      <c r="E186" s="2109"/>
      <c r="F186" s="2109"/>
      <c r="G186" s="2109"/>
      <c r="H186" s="2109"/>
      <c r="I186" s="2109"/>
      <c r="J186" s="2109"/>
      <c r="K186" s="2109"/>
      <c r="L186" s="2109"/>
      <c r="M186" s="2109"/>
      <c r="N186" s="2109"/>
      <c r="O186" s="2109"/>
      <c r="P186" s="2109"/>
      <c r="Q186" s="2109"/>
      <c r="R186" s="2109"/>
      <c r="S186" s="2109"/>
      <c r="T186" s="2109"/>
      <c r="U186" s="2111"/>
      <c r="V186" s="2111"/>
      <c r="W186" s="2111"/>
      <c r="X186" s="2111"/>
      <c r="Y186" s="2111"/>
      <c r="Z186" s="2093"/>
      <c r="AA186" s="2093"/>
      <c r="AB186" s="2093"/>
      <c r="AC186" s="2093"/>
      <c r="AD186" s="2093"/>
      <c r="AE186" s="2093"/>
      <c r="AF186" s="2093"/>
      <c r="AG186" s="2093"/>
      <c r="AH186" s="2094"/>
      <c r="AI186" s="2094"/>
      <c r="AJ186" s="2094"/>
      <c r="AK186" s="2095"/>
      <c r="AL186" s="189"/>
      <c r="AM186" s="195"/>
      <c r="AN186" s="195"/>
      <c r="AO186" s="195"/>
      <c r="AY186" s="208"/>
      <c r="AZ186" s="208"/>
      <c r="BA186" s="208"/>
    </row>
    <row r="187" spans="2:54" ht="17.7" customHeight="1" x14ac:dyDescent="0.25">
      <c r="B187" s="2287" t="s">
        <v>2296</v>
      </c>
      <c r="C187" s="2289" t="str">
        <f>HLOOKUP(LANGUAGE!$B$2,LANGUAGE!$C$14:$G$2993,2327)</f>
        <v>Part handling</v>
      </c>
      <c r="D187" s="2289"/>
      <c r="E187" s="2290" t="str">
        <f>HLOOKUP(LANGUAGE!$B$2,LANGUAGE!$C$14:$G$2993,2345)</f>
        <v>Mandatory requirement for stamping suppliers with D-required material according to BN590614, BN569142, BN590595</v>
      </c>
      <c r="F187" s="2291"/>
      <c r="G187" s="2291"/>
      <c r="H187" s="2291"/>
      <c r="I187" s="2291"/>
      <c r="J187" s="2291"/>
      <c r="K187" s="2291"/>
      <c r="L187" s="2292"/>
      <c r="M187" s="2290" t="str">
        <f>HLOOKUP(LANGUAGE!$B$2,LANGUAGE!$C$14:$G$2993,2346)</f>
        <v>- Each coil is tested for Brinell hardness or tensile strength by the stamped part manufacturer before processing in accordance with BN590603-xxx.
- A sample is carried out per coil and the average value is calculated from three measurements according to the standard.</v>
      </c>
      <c r="N187" s="2291"/>
      <c r="O187" s="2291"/>
      <c r="P187" s="2291"/>
      <c r="Q187" s="2291"/>
      <c r="R187" s="2291"/>
      <c r="S187" s="2291"/>
      <c r="T187" s="2292"/>
      <c r="U187" s="2111"/>
      <c r="V187" s="2111"/>
      <c r="W187" s="2111"/>
      <c r="X187" s="2111"/>
      <c r="Y187" s="2111"/>
      <c r="Z187" s="2093"/>
      <c r="AA187" s="2093"/>
      <c r="AB187" s="2093"/>
      <c r="AC187" s="2093"/>
      <c r="AD187" s="2093"/>
      <c r="AE187" s="2093"/>
      <c r="AF187" s="2093"/>
      <c r="AG187" s="2093"/>
      <c r="AH187" s="2094"/>
      <c r="AI187" s="2094"/>
      <c r="AJ187" s="2094"/>
      <c r="AK187" s="2095"/>
      <c r="AL187" s="189"/>
      <c r="AM187" s="195"/>
      <c r="AN187" s="195"/>
      <c r="AO187" s="195"/>
      <c r="AY187" s="3">
        <f>IF(ISNUMBER(MATCH(Z187,LANGUAGE!$C$137:$G$137,0)),0,IF(ISNUMBER(MATCH(Z187,LANGUAGE!$C$138:$G$138,0)),1,IF(ISNUMBER(MATCH(Z187,LANGUAGE!$C$139:$G$139,0)),2,IF(ISNUMBER(MATCH(Z187,LANGUAGE!$C$140:$G$140,0)),3,0))))</f>
        <v>0</v>
      </c>
      <c r="BA187" s="3">
        <f>IF(ISNUMBER(MATCH(AJ187,LANGUAGE!$C$141:$G$141,0)),3,IF(ISNUMBER(MATCH(AJ187,LANGUAGE!$C$142:$G$142,0)),1,0))</f>
        <v>0</v>
      </c>
      <c r="BB187" s="191">
        <f t="shared" ref="BB187" si="19">IF(AND(AY187&gt;1,BA187=0),10,AY187+BA187)</f>
        <v>0</v>
      </c>
    </row>
    <row r="188" spans="2:54" ht="17.7" customHeight="1" x14ac:dyDescent="0.25">
      <c r="B188" s="2288"/>
      <c r="C188" s="2289"/>
      <c r="D188" s="2289"/>
      <c r="E188" s="2293"/>
      <c r="F188" s="2294"/>
      <c r="G188" s="2294"/>
      <c r="H188" s="2294"/>
      <c r="I188" s="2294"/>
      <c r="J188" s="2294"/>
      <c r="K188" s="2294"/>
      <c r="L188" s="2295"/>
      <c r="M188" s="2293"/>
      <c r="N188" s="2294"/>
      <c r="O188" s="2294"/>
      <c r="P188" s="2294"/>
      <c r="Q188" s="2294"/>
      <c r="R188" s="2294"/>
      <c r="S188" s="2294"/>
      <c r="T188" s="2295"/>
      <c r="U188" s="2111"/>
      <c r="V188" s="2111"/>
      <c r="W188" s="2111"/>
      <c r="X188" s="2111"/>
      <c r="Y188" s="2111"/>
      <c r="Z188" s="2093"/>
      <c r="AA188" s="2093"/>
      <c r="AB188" s="2093"/>
      <c r="AC188" s="2093"/>
      <c r="AD188" s="2093"/>
      <c r="AE188" s="2093"/>
      <c r="AF188" s="2093"/>
      <c r="AG188" s="2093"/>
      <c r="AH188" s="2094"/>
      <c r="AI188" s="2094"/>
      <c r="AJ188" s="2094"/>
      <c r="AK188" s="2095"/>
      <c r="AL188" s="189"/>
      <c r="AM188" s="195"/>
      <c r="AN188" s="195"/>
      <c r="AO188" s="195"/>
      <c r="AY188" s="3"/>
      <c r="BA188" s="3"/>
    </row>
    <row r="189" spans="2:54" ht="89.25" customHeight="1" x14ac:dyDescent="0.25">
      <c r="B189" s="2288"/>
      <c r="C189" s="2289"/>
      <c r="D189" s="2289"/>
      <c r="E189" s="2296"/>
      <c r="F189" s="2297"/>
      <c r="G189" s="2297"/>
      <c r="H189" s="2297"/>
      <c r="I189" s="2297"/>
      <c r="J189" s="2297"/>
      <c r="K189" s="2297"/>
      <c r="L189" s="2298"/>
      <c r="M189" s="2296"/>
      <c r="N189" s="2297"/>
      <c r="O189" s="2297"/>
      <c r="P189" s="2297"/>
      <c r="Q189" s="2297"/>
      <c r="R189" s="2297"/>
      <c r="S189" s="2297"/>
      <c r="T189" s="2298"/>
      <c r="U189" s="2111"/>
      <c r="V189" s="2111"/>
      <c r="W189" s="2111"/>
      <c r="X189" s="2111"/>
      <c r="Y189" s="2111"/>
      <c r="Z189" s="2093"/>
      <c r="AA189" s="2093"/>
      <c r="AB189" s="2093"/>
      <c r="AC189" s="2093"/>
      <c r="AD189" s="2093"/>
      <c r="AE189" s="2093"/>
      <c r="AF189" s="2093"/>
      <c r="AG189" s="2093"/>
      <c r="AH189" s="2094"/>
      <c r="AI189" s="2094"/>
      <c r="AJ189" s="2094"/>
      <c r="AK189" s="2095"/>
      <c r="AL189" s="189"/>
      <c r="AM189" s="195"/>
      <c r="AN189" s="195"/>
      <c r="AO189" s="195"/>
      <c r="AY189" s="208"/>
      <c r="AZ189" s="208"/>
      <c r="BA189" s="208"/>
    </row>
    <row r="190" spans="2:54" ht="17.7" customHeight="1" x14ac:dyDescent="0.25">
      <c r="B190" s="2105" t="s">
        <v>2204</v>
      </c>
      <c r="C190" s="2286" t="str">
        <f>HLOOKUP(LANGUAGE!$B$2,LANGUAGE!$C$14:$G$2993,2330)</f>
        <v>Qualification</v>
      </c>
      <c r="D190" s="2286"/>
      <c r="E190" s="2109" t="str">
        <f>HLOOKUP(LANGUAGE!$B$2,LANGUAGE!$C$14:$G$2993,2331)</f>
        <v>Are the employees qualified?</v>
      </c>
      <c r="F190" s="2109"/>
      <c r="G190" s="2109"/>
      <c r="H190" s="2109"/>
      <c r="I190" s="2109"/>
      <c r="J190" s="2109"/>
      <c r="K190" s="2109"/>
      <c r="L190" s="2109"/>
      <c r="M190" s="2109" t="str">
        <f>HLOOKUP(LANGUAGE!$B$2,LANGUAGE!$C$14:$G$2993,2332)</f>
        <v>- Skill matrix available and up-to-date.
- Employees only work on processes for which they are qualified
- Employees can explain their work content
- Training courses are repeated regularly (e.g. every year)</v>
      </c>
      <c r="N190" s="2109"/>
      <c r="O190" s="2109"/>
      <c r="P190" s="2109"/>
      <c r="Q190" s="2109"/>
      <c r="R190" s="2109"/>
      <c r="S190" s="2109"/>
      <c r="T190" s="2109"/>
      <c r="U190" s="2111"/>
      <c r="V190" s="2111"/>
      <c r="W190" s="2111"/>
      <c r="X190" s="2111"/>
      <c r="Y190" s="2111"/>
      <c r="Z190" s="2093"/>
      <c r="AA190" s="2093"/>
      <c r="AB190" s="2093"/>
      <c r="AC190" s="2093"/>
      <c r="AD190" s="2093"/>
      <c r="AE190" s="2093"/>
      <c r="AF190" s="2093"/>
      <c r="AG190" s="2093"/>
      <c r="AH190" s="2094"/>
      <c r="AI190" s="2094"/>
      <c r="AJ190" s="2094"/>
      <c r="AK190" s="2095"/>
      <c r="AL190" s="189"/>
      <c r="AM190" s="195"/>
      <c r="AN190" s="195"/>
      <c r="AO190" s="195"/>
      <c r="AY190" s="3">
        <f>IF(ISNUMBER(MATCH(Z190,LANGUAGE!$C$137:$G$137,0)),0,IF(ISNUMBER(MATCH(Z190,LANGUAGE!$C$138:$G$138,0)),1,IF(ISNUMBER(MATCH(Z190,LANGUAGE!$C$139:$G$139,0)),2,IF(ISNUMBER(MATCH(Z190,LANGUAGE!$C$140:$G$140,0)),3,0))))</f>
        <v>0</v>
      </c>
      <c r="BA190" s="3">
        <f>IF(ISNUMBER(MATCH(AJ190,LANGUAGE!$C$141:$G$141,0)),3,IF(ISNUMBER(MATCH(AJ190,LANGUAGE!$C$142:$G$142,0)),1,0))</f>
        <v>0</v>
      </c>
      <c r="BB190" s="191">
        <f t="shared" ref="BB190" si="20">IF(AND(AY190&gt;1,BA190=0),10,AY190+BA190)</f>
        <v>0</v>
      </c>
    </row>
    <row r="191" spans="2:54" ht="17.7" customHeight="1" x14ac:dyDescent="0.25">
      <c r="B191" s="2105"/>
      <c r="C191" s="2286"/>
      <c r="D191" s="2286"/>
      <c r="E191" s="2109"/>
      <c r="F191" s="2109"/>
      <c r="G191" s="2109"/>
      <c r="H191" s="2109"/>
      <c r="I191" s="2109"/>
      <c r="J191" s="2109"/>
      <c r="K191" s="2109"/>
      <c r="L191" s="2109"/>
      <c r="M191" s="2109"/>
      <c r="N191" s="2109"/>
      <c r="O191" s="2109"/>
      <c r="P191" s="2109"/>
      <c r="Q191" s="2109"/>
      <c r="R191" s="2109"/>
      <c r="S191" s="2109"/>
      <c r="T191" s="2109"/>
      <c r="U191" s="2111"/>
      <c r="V191" s="2111"/>
      <c r="W191" s="2111"/>
      <c r="X191" s="2111"/>
      <c r="Y191" s="2111"/>
      <c r="Z191" s="2093"/>
      <c r="AA191" s="2093"/>
      <c r="AB191" s="2093"/>
      <c r="AC191" s="2093"/>
      <c r="AD191" s="2093"/>
      <c r="AE191" s="2093"/>
      <c r="AF191" s="2093"/>
      <c r="AG191" s="2093"/>
      <c r="AH191" s="2094"/>
      <c r="AI191" s="2094"/>
      <c r="AJ191" s="2094"/>
      <c r="AK191" s="2095"/>
      <c r="AL191" s="189"/>
      <c r="AM191" s="195"/>
      <c r="AN191" s="195"/>
      <c r="AO191" s="195"/>
      <c r="AY191" s="208"/>
      <c r="AZ191" s="208"/>
      <c r="BA191" s="208"/>
    </row>
    <row r="192" spans="2:54" ht="45.7" customHeight="1" x14ac:dyDescent="0.25">
      <c r="B192" s="2105"/>
      <c r="C192" s="2286"/>
      <c r="D192" s="2286"/>
      <c r="E192" s="2109"/>
      <c r="F192" s="2109"/>
      <c r="G192" s="2109"/>
      <c r="H192" s="2109"/>
      <c r="I192" s="2109"/>
      <c r="J192" s="2109"/>
      <c r="K192" s="2109"/>
      <c r="L192" s="2109"/>
      <c r="M192" s="2109"/>
      <c r="N192" s="2109"/>
      <c r="O192" s="2109"/>
      <c r="P192" s="2109"/>
      <c r="Q192" s="2109"/>
      <c r="R192" s="2109"/>
      <c r="S192" s="2109"/>
      <c r="T192" s="2109"/>
      <c r="U192" s="2111"/>
      <c r="V192" s="2111"/>
      <c r="W192" s="2111"/>
      <c r="X192" s="2111"/>
      <c r="Y192" s="2111"/>
      <c r="Z192" s="2093"/>
      <c r="AA192" s="2093"/>
      <c r="AB192" s="2093"/>
      <c r="AC192" s="2093"/>
      <c r="AD192" s="2093"/>
      <c r="AE192" s="2093"/>
      <c r="AF192" s="2093"/>
      <c r="AG192" s="2093"/>
      <c r="AH192" s="2094"/>
      <c r="AI192" s="2094"/>
      <c r="AJ192" s="2094"/>
      <c r="AK192" s="2095"/>
      <c r="AL192" s="189"/>
      <c r="AM192" s="195"/>
      <c r="AN192" s="195"/>
      <c r="AO192" s="195"/>
      <c r="AY192" s="208"/>
      <c r="AZ192" s="208"/>
      <c r="BA192" s="208"/>
    </row>
    <row r="193" spans="2:54" ht="17.7" customHeight="1" x14ac:dyDescent="0.25">
      <c r="B193" s="2105" t="s">
        <v>2205</v>
      </c>
      <c r="C193" s="2286" t="str">
        <f>HLOOKUP(LANGUAGE!$B$2,LANGUAGE!$C$14:$G$2993,2333)</f>
        <v>Work stations</v>
      </c>
      <c r="D193" s="2286"/>
      <c r="E193" s="2109" t="str">
        <f>HLOOKUP(LANGUAGE!$B$2,LANGUAGE!$C$14:$G$2993,2334)</f>
        <v>Do the workplaces and test stations meet the requirements?</v>
      </c>
      <c r="F193" s="2109"/>
      <c r="G193" s="2109"/>
      <c r="H193" s="2109"/>
      <c r="I193" s="2109"/>
      <c r="J193" s="2109"/>
      <c r="K193" s="2109"/>
      <c r="L193" s="2109"/>
      <c r="M193" s="2109" t="str">
        <f>HLOOKUP(LANGUAGE!$B$2,LANGUAGE!$C$14:$G$2993,2335)</f>
        <v>- Tidiness &amp; cleanliness, ergonomic conditions &amp; occupational safety guidelines enable safe working and production of OK parts and avoid mix-up of parts</v>
      </c>
      <c r="N193" s="2109"/>
      <c r="O193" s="2109"/>
      <c r="P193" s="2109"/>
      <c r="Q193" s="2109"/>
      <c r="R193" s="2109"/>
      <c r="S193" s="2109"/>
      <c r="T193" s="2109"/>
      <c r="U193" s="2111"/>
      <c r="V193" s="2111"/>
      <c r="W193" s="2111"/>
      <c r="X193" s="2111"/>
      <c r="Y193" s="2111"/>
      <c r="Z193" s="2093"/>
      <c r="AA193" s="2093"/>
      <c r="AB193" s="2093"/>
      <c r="AC193" s="2093"/>
      <c r="AD193" s="2093"/>
      <c r="AE193" s="2093"/>
      <c r="AF193" s="2093"/>
      <c r="AG193" s="2093"/>
      <c r="AH193" s="2094"/>
      <c r="AI193" s="2094"/>
      <c r="AJ193" s="2094"/>
      <c r="AK193" s="2095"/>
      <c r="AL193" s="189"/>
      <c r="AM193" s="195"/>
      <c r="AN193" s="195"/>
      <c r="AO193" s="195"/>
      <c r="AY193" s="3">
        <f>IF(ISNUMBER(MATCH(Z193,LANGUAGE!$C$137:$G$137,0)),0,IF(ISNUMBER(MATCH(Z193,LANGUAGE!$C$138:$G$138,0)),1,IF(ISNUMBER(MATCH(Z193,LANGUAGE!$C$139:$G$139,0)),2,IF(ISNUMBER(MATCH(Z193,LANGUAGE!$C$140:$G$140,0)),3,0))))</f>
        <v>0</v>
      </c>
      <c r="BA193" s="3">
        <f>IF(ISNUMBER(MATCH(AJ193,LANGUAGE!$C$141:$G$141,0)),3,IF(ISNUMBER(MATCH(AJ193,LANGUAGE!$C$142:$G$142,0)),1,0))</f>
        <v>0</v>
      </c>
      <c r="BB193" s="191">
        <f t="shared" ref="BB193" si="21">IF(AND(AY193&gt;1,BA193=0),10,AY193+BA193)</f>
        <v>0</v>
      </c>
    </row>
    <row r="194" spans="2:54" ht="17.7" customHeight="1" x14ac:dyDescent="0.25">
      <c r="B194" s="2105"/>
      <c r="C194" s="2286"/>
      <c r="D194" s="2286"/>
      <c r="E194" s="2109"/>
      <c r="F194" s="2109"/>
      <c r="G194" s="2109"/>
      <c r="H194" s="2109"/>
      <c r="I194" s="2109"/>
      <c r="J194" s="2109"/>
      <c r="K194" s="2109"/>
      <c r="L194" s="2109"/>
      <c r="M194" s="2109"/>
      <c r="N194" s="2109"/>
      <c r="O194" s="2109"/>
      <c r="P194" s="2109"/>
      <c r="Q194" s="2109"/>
      <c r="R194" s="2109"/>
      <c r="S194" s="2109"/>
      <c r="T194" s="2109"/>
      <c r="U194" s="2111"/>
      <c r="V194" s="2111"/>
      <c r="W194" s="2111"/>
      <c r="X194" s="2111"/>
      <c r="Y194" s="2111"/>
      <c r="Z194" s="2093"/>
      <c r="AA194" s="2093"/>
      <c r="AB194" s="2093"/>
      <c r="AC194" s="2093"/>
      <c r="AD194" s="2093"/>
      <c r="AE194" s="2093"/>
      <c r="AF194" s="2093"/>
      <c r="AG194" s="2093"/>
      <c r="AH194" s="2094"/>
      <c r="AI194" s="2094"/>
      <c r="AJ194" s="2094"/>
      <c r="AK194" s="2095"/>
      <c r="AL194" s="189"/>
      <c r="AM194" s="195"/>
      <c r="AN194" s="195"/>
      <c r="AO194" s="195"/>
      <c r="AY194" s="208"/>
      <c r="AZ194" s="208"/>
      <c r="BA194" s="208"/>
    </row>
    <row r="195" spans="2:54" ht="17.7" customHeight="1" x14ac:dyDescent="0.25">
      <c r="B195" s="2105"/>
      <c r="C195" s="2286"/>
      <c r="D195" s="2286"/>
      <c r="E195" s="2109"/>
      <c r="F195" s="2109"/>
      <c r="G195" s="2109"/>
      <c r="H195" s="2109"/>
      <c r="I195" s="2109"/>
      <c r="J195" s="2109"/>
      <c r="K195" s="2109"/>
      <c r="L195" s="2109"/>
      <c r="M195" s="2109"/>
      <c r="N195" s="2109"/>
      <c r="O195" s="2109"/>
      <c r="P195" s="2109"/>
      <c r="Q195" s="2109"/>
      <c r="R195" s="2109"/>
      <c r="S195" s="2109"/>
      <c r="T195" s="2109"/>
      <c r="U195" s="2111"/>
      <c r="V195" s="2111"/>
      <c r="W195" s="2111"/>
      <c r="X195" s="2111"/>
      <c r="Y195" s="2111"/>
      <c r="Z195" s="2093"/>
      <c r="AA195" s="2093"/>
      <c r="AB195" s="2093"/>
      <c r="AC195" s="2093"/>
      <c r="AD195" s="2093"/>
      <c r="AE195" s="2093"/>
      <c r="AF195" s="2093"/>
      <c r="AG195" s="2093"/>
      <c r="AH195" s="2094"/>
      <c r="AI195" s="2094"/>
      <c r="AJ195" s="2094"/>
      <c r="AK195" s="2095"/>
      <c r="AL195" s="189"/>
      <c r="AM195" s="195"/>
      <c r="AN195" s="195"/>
      <c r="AO195" s="195"/>
      <c r="AY195" s="208"/>
      <c r="AZ195" s="208"/>
      <c r="BA195" s="208"/>
    </row>
    <row r="196" spans="2:54" ht="17.7" customHeight="1" x14ac:dyDescent="0.25">
      <c r="B196" s="2105" t="s">
        <v>2206</v>
      </c>
      <c r="C196" s="2286" t="str">
        <f>HLOOKUP(LANGUAGE!$B$2,LANGUAGE!$C$14:$G$2993,2336)</f>
        <v>Equipment</v>
      </c>
      <c r="D196" s="2286"/>
      <c r="E196" s="2109" t="str">
        <f>HLOOKUP(LANGUAGE!$B$2,LANGUAGE!$C$14:$G$2993,2337)</f>
        <v>Are tools and equipment properly stored?</v>
      </c>
      <c r="F196" s="2109"/>
      <c r="G196" s="2109"/>
      <c r="H196" s="2109"/>
      <c r="I196" s="2109"/>
      <c r="J196" s="2109"/>
      <c r="K196" s="2109"/>
      <c r="L196" s="2109"/>
      <c r="M196" s="2109" t="str">
        <f>HLOOKUP(LANGUAGE!$B$2,LANGUAGE!$C$14:$G$2993,2338)</f>
        <v>- Defined storage location and stored free of damage
- Status identification - Approval status, change status, ownership identification (customer, supplier, Brose)
- Tidiness &amp; cleanliness</v>
      </c>
      <c r="N196" s="2109"/>
      <c r="O196" s="2109"/>
      <c r="P196" s="2109"/>
      <c r="Q196" s="2109"/>
      <c r="R196" s="2109"/>
      <c r="S196" s="2109"/>
      <c r="T196" s="2109"/>
      <c r="U196" s="2111"/>
      <c r="V196" s="2111"/>
      <c r="W196" s="2111"/>
      <c r="X196" s="2111"/>
      <c r="Y196" s="2111"/>
      <c r="Z196" s="2093"/>
      <c r="AA196" s="2093"/>
      <c r="AB196" s="2093"/>
      <c r="AC196" s="2093"/>
      <c r="AD196" s="2093"/>
      <c r="AE196" s="2093"/>
      <c r="AF196" s="2093"/>
      <c r="AG196" s="2093"/>
      <c r="AH196" s="2094"/>
      <c r="AI196" s="2094"/>
      <c r="AJ196" s="2094"/>
      <c r="AK196" s="2095"/>
      <c r="AL196" s="189"/>
      <c r="AM196" s="195"/>
      <c r="AN196" s="195"/>
      <c r="AO196" s="195"/>
      <c r="AY196" s="3">
        <f>IF(ISNUMBER(MATCH(Z196,LANGUAGE!$C$137:$G$137,0)),0,IF(ISNUMBER(MATCH(Z196,LANGUAGE!$C$138:$G$138,0)),1,IF(ISNUMBER(MATCH(Z196,LANGUAGE!$C$139:$G$139,0)),2,IF(ISNUMBER(MATCH(Z196,LANGUAGE!$C$140:$G$140,0)),3,0))))</f>
        <v>0</v>
      </c>
      <c r="BA196" s="3">
        <f>IF(ISNUMBER(MATCH(AJ196,LANGUAGE!$C$141:$G$141,0)),3,IF(ISNUMBER(MATCH(AJ196,LANGUAGE!$C$142:$G$142,0)),1,0))</f>
        <v>0</v>
      </c>
      <c r="BB196" s="191">
        <f t="shared" ref="BB196" si="22">IF(AND(AY196&gt;1,BA196=0),10,AY196+BA196)</f>
        <v>0</v>
      </c>
    </row>
    <row r="197" spans="2:54" ht="17.7" customHeight="1" x14ac:dyDescent="0.25">
      <c r="B197" s="2105"/>
      <c r="C197" s="2286"/>
      <c r="D197" s="2286"/>
      <c r="E197" s="2109"/>
      <c r="F197" s="2109"/>
      <c r="G197" s="2109"/>
      <c r="H197" s="2109"/>
      <c r="I197" s="2109"/>
      <c r="J197" s="2109"/>
      <c r="K197" s="2109"/>
      <c r="L197" s="2109"/>
      <c r="M197" s="2109"/>
      <c r="N197" s="2109"/>
      <c r="O197" s="2109"/>
      <c r="P197" s="2109"/>
      <c r="Q197" s="2109"/>
      <c r="R197" s="2109"/>
      <c r="S197" s="2109"/>
      <c r="T197" s="2109"/>
      <c r="U197" s="2111"/>
      <c r="V197" s="2111"/>
      <c r="W197" s="2111"/>
      <c r="X197" s="2111"/>
      <c r="Y197" s="2111"/>
      <c r="Z197" s="2093"/>
      <c r="AA197" s="2093"/>
      <c r="AB197" s="2093"/>
      <c r="AC197" s="2093"/>
      <c r="AD197" s="2093"/>
      <c r="AE197" s="2093"/>
      <c r="AF197" s="2093"/>
      <c r="AG197" s="2093"/>
      <c r="AH197" s="2094"/>
      <c r="AI197" s="2094"/>
      <c r="AJ197" s="2094"/>
      <c r="AK197" s="2095"/>
      <c r="AL197" s="189"/>
      <c r="AM197" s="195"/>
      <c r="AN197" s="195"/>
      <c r="AO197" s="195"/>
      <c r="AY197" s="208"/>
      <c r="AZ197" s="208"/>
      <c r="BA197" s="208"/>
    </row>
    <row r="198" spans="2:54" ht="40.549999999999997" customHeight="1" x14ac:dyDescent="0.25">
      <c r="B198" s="2105"/>
      <c r="C198" s="2286"/>
      <c r="D198" s="2286"/>
      <c r="E198" s="2109"/>
      <c r="F198" s="2109"/>
      <c r="G198" s="2109"/>
      <c r="H198" s="2109"/>
      <c r="I198" s="2109"/>
      <c r="J198" s="2109"/>
      <c r="K198" s="2109"/>
      <c r="L198" s="2109"/>
      <c r="M198" s="2109"/>
      <c r="N198" s="2109"/>
      <c r="O198" s="2109"/>
      <c r="P198" s="2109"/>
      <c r="Q198" s="2109"/>
      <c r="R198" s="2109"/>
      <c r="S198" s="2109"/>
      <c r="T198" s="2109"/>
      <c r="U198" s="2111"/>
      <c r="V198" s="2111"/>
      <c r="W198" s="2111"/>
      <c r="X198" s="2111"/>
      <c r="Y198" s="2111"/>
      <c r="Z198" s="2093"/>
      <c r="AA198" s="2093"/>
      <c r="AB198" s="2093"/>
      <c r="AC198" s="2093"/>
      <c r="AD198" s="2093"/>
      <c r="AE198" s="2093"/>
      <c r="AF198" s="2093"/>
      <c r="AG198" s="2093"/>
      <c r="AH198" s="2094"/>
      <c r="AI198" s="2094"/>
      <c r="AJ198" s="2094"/>
      <c r="AK198" s="2095"/>
      <c r="AL198" s="189"/>
      <c r="AM198" s="195"/>
      <c r="AN198" s="195"/>
      <c r="AO198" s="195"/>
      <c r="AY198" s="208"/>
      <c r="AZ198" s="208"/>
      <c r="BA198" s="208"/>
    </row>
    <row r="199" spans="2:54" ht="17.7" customHeight="1" x14ac:dyDescent="0.25">
      <c r="B199" s="2105" t="s">
        <v>2207</v>
      </c>
      <c r="C199" s="2286" t="str">
        <f>HLOOKUP(LANGUAGE!$B$2,LANGUAGE!$C$14:$G$2993,2339)</f>
        <v>Maintenance</v>
      </c>
      <c r="D199" s="2286"/>
      <c r="E199" s="2109" t="str">
        <f>HLOOKUP(LANGUAGE!$B$2,LANGUAGE!$C$14:$G$2993,2340)</f>
        <v>Is preventive maintenance carried out for tools and machines?</v>
      </c>
      <c r="F199" s="2109"/>
      <c r="G199" s="2109"/>
      <c r="H199" s="2109"/>
      <c r="I199" s="2109"/>
      <c r="J199" s="2109"/>
      <c r="K199" s="2109"/>
      <c r="L199" s="2109"/>
      <c r="M199" s="2109" t="str">
        <f>HLOOKUP(LANGUAGE!$B$2,LANGUAGE!$C$14:$G$2993,2341)</f>
        <v>- Preventive maintenance records are available 
- Maintenance intervals are observed</v>
      </c>
      <c r="N199" s="2109"/>
      <c r="O199" s="2109"/>
      <c r="P199" s="2109"/>
      <c r="Q199" s="2109"/>
      <c r="R199" s="2109"/>
      <c r="S199" s="2109"/>
      <c r="T199" s="2109"/>
      <c r="U199" s="2111"/>
      <c r="V199" s="2111"/>
      <c r="W199" s="2111"/>
      <c r="X199" s="2111"/>
      <c r="Y199" s="2111"/>
      <c r="Z199" s="2093"/>
      <c r="AA199" s="2093"/>
      <c r="AB199" s="2093"/>
      <c r="AC199" s="2093"/>
      <c r="AD199" s="2093"/>
      <c r="AE199" s="2093"/>
      <c r="AF199" s="2093"/>
      <c r="AG199" s="2093"/>
      <c r="AH199" s="2094"/>
      <c r="AI199" s="2094"/>
      <c r="AJ199" s="2094"/>
      <c r="AK199" s="2095"/>
      <c r="AL199" s="189"/>
      <c r="AM199" s="195"/>
      <c r="AN199" s="195"/>
      <c r="AO199" s="195"/>
      <c r="AY199" s="3">
        <f>IF(ISNUMBER(MATCH(Z199,LANGUAGE!$C$137:$G$137,0)),0,IF(ISNUMBER(MATCH(Z199,LANGUAGE!$C$138:$G$138,0)),1,IF(ISNUMBER(MATCH(Z199,LANGUAGE!$C$139:$G$139,0)),2,IF(ISNUMBER(MATCH(Z199,LANGUAGE!$C$140:$G$140,0)),3,0))))</f>
        <v>0</v>
      </c>
      <c r="BA199" s="3">
        <f>IF(ISNUMBER(MATCH(AJ199,LANGUAGE!$C$141:$G$141,0)),3,IF(ISNUMBER(MATCH(AJ199,LANGUAGE!$C$142:$G$142,0)),1,0))</f>
        <v>0</v>
      </c>
      <c r="BB199" s="191">
        <f t="shared" ref="BB199" si="23">IF(AND(AY199&gt;1,BA199=0),10,AY199+BA199)</f>
        <v>0</v>
      </c>
    </row>
    <row r="200" spans="2:54" ht="17.7" customHeight="1" x14ac:dyDescent="0.25">
      <c r="B200" s="2105"/>
      <c r="C200" s="2286"/>
      <c r="D200" s="2286"/>
      <c r="E200" s="2109"/>
      <c r="F200" s="2109"/>
      <c r="G200" s="2109"/>
      <c r="H200" s="2109"/>
      <c r="I200" s="2109"/>
      <c r="J200" s="2109"/>
      <c r="K200" s="2109"/>
      <c r="L200" s="2109"/>
      <c r="M200" s="2109"/>
      <c r="N200" s="2109"/>
      <c r="O200" s="2109"/>
      <c r="P200" s="2109"/>
      <c r="Q200" s="2109"/>
      <c r="R200" s="2109"/>
      <c r="S200" s="2109"/>
      <c r="T200" s="2109"/>
      <c r="U200" s="2111"/>
      <c r="V200" s="2111"/>
      <c r="W200" s="2111"/>
      <c r="X200" s="2111"/>
      <c r="Y200" s="2111"/>
      <c r="Z200" s="2093"/>
      <c r="AA200" s="2093"/>
      <c r="AB200" s="2093"/>
      <c r="AC200" s="2093"/>
      <c r="AD200" s="2093"/>
      <c r="AE200" s="2093"/>
      <c r="AF200" s="2093"/>
      <c r="AG200" s="2093"/>
      <c r="AH200" s="2094"/>
      <c r="AI200" s="2094"/>
      <c r="AJ200" s="2094"/>
      <c r="AK200" s="2095"/>
      <c r="AL200" s="189"/>
      <c r="AM200" s="195"/>
      <c r="AN200" s="195"/>
      <c r="AO200" s="195"/>
      <c r="AY200" s="208"/>
      <c r="AZ200" s="208"/>
      <c r="BA200" s="208"/>
    </row>
    <row r="201" spans="2:54" ht="17.7" customHeight="1" x14ac:dyDescent="0.25">
      <c r="B201" s="2105"/>
      <c r="C201" s="2286"/>
      <c r="D201" s="2286"/>
      <c r="E201" s="2109"/>
      <c r="F201" s="2109"/>
      <c r="G201" s="2109"/>
      <c r="H201" s="2109"/>
      <c r="I201" s="2109"/>
      <c r="J201" s="2109"/>
      <c r="K201" s="2109"/>
      <c r="L201" s="2109"/>
      <c r="M201" s="2109"/>
      <c r="N201" s="2109"/>
      <c r="O201" s="2109"/>
      <c r="P201" s="2109"/>
      <c r="Q201" s="2109"/>
      <c r="R201" s="2109"/>
      <c r="S201" s="2109"/>
      <c r="T201" s="2109"/>
      <c r="U201" s="2111"/>
      <c r="V201" s="2111"/>
      <c r="W201" s="2111"/>
      <c r="X201" s="2111"/>
      <c r="Y201" s="2111"/>
      <c r="Z201" s="2093"/>
      <c r="AA201" s="2093"/>
      <c r="AB201" s="2093"/>
      <c r="AC201" s="2093"/>
      <c r="AD201" s="2093"/>
      <c r="AE201" s="2093"/>
      <c r="AF201" s="2093"/>
      <c r="AG201" s="2093"/>
      <c r="AH201" s="2094"/>
      <c r="AI201" s="2094"/>
      <c r="AJ201" s="2094"/>
      <c r="AK201" s="2095"/>
      <c r="AL201" s="189"/>
      <c r="AM201" s="195"/>
      <c r="AN201" s="195"/>
      <c r="AO201" s="195"/>
      <c r="AY201" s="208"/>
      <c r="AZ201" s="208"/>
      <c r="BA201" s="208"/>
    </row>
    <row r="202" spans="2:54" ht="17.7" customHeight="1" x14ac:dyDescent="0.25">
      <c r="B202" s="2105" t="s">
        <v>2208</v>
      </c>
      <c r="C202" s="2286" t="str">
        <f>HLOOKUP(LANGUAGE!$B$2,LANGUAGE!$C$14:$G$2993,2342)</f>
        <v>Process control</v>
      </c>
      <c r="D202" s="2286"/>
      <c r="E202" s="2109" t="str">
        <f>HLOOKUP(LANGUAGE!$B$2,LANGUAGE!$C$14:$G$2993,2343)</f>
        <v>Are production parameters protected against unauthorized access and is there documentation for changes within the defined tolerances?</v>
      </c>
      <c r="F202" s="2109"/>
      <c r="G202" s="2109"/>
      <c r="H202" s="2109"/>
      <c r="I202" s="2109"/>
      <c r="J202" s="2109"/>
      <c r="K202" s="2109"/>
      <c r="L202" s="2109"/>
      <c r="M202" s="2109" t="str">
        <f>HLOOKUP(LANGUAGE!$B$2,LANGUAGE!$C$14:$G$2993,2344)</f>
        <v>- Is the group of persons who can change parameters defined/restricted?
- If automatic machine monitoring is available, is it activated?</v>
      </c>
      <c r="N202" s="2109"/>
      <c r="O202" s="2109"/>
      <c r="P202" s="2109"/>
      <c r="Q202" s="2109"/>
      <c r="R202" s="2109"/>
      <c r="S202" s="2109"/>
      <c r="T202" s="2109"/>
      <c r="U202" s="2111"/>
      <c r="V202" s="2111"/>
      <c r="W202" s="2111"/>
      <c r="X202" s="2111"/>
      <c r="Y202" s="2111"/>
      <c r="Z202" s="2093"/>
      <c r="AA202" s="2093"/>
      <c r="AB202" s="2093"/>
      <c r="AC202" s="2093"/>
      <c r="AD202" s="2093"/>
      <c r="AE202" s="2093"/>
      <c r="AF202" s="2093"/>
      <c r="AG202" s="2093"/>
      <c r="AH202" s="2094"/>
      <c r="AI202" s="2094"/>
      <c r="AJ202" s="2094"/>
      <c r="AK202" s="2095"/>
      <c r="AL202" s="189"/>
      <c r="AM202" s="195"/>
      <c r="AN202" s="195"/>
      <c r="AO202" s="195"/>
      <c r="AY202" s="3">
        <f>IF(ISNUMBER(MATCH(Z202,LANGUAGE!$C$137:$G$137,0)),0,IF(ISNUMBER(MATCH(Z202,LANGUAGE!$C$138:$G$138,0)),1,IF(ISNUMBER(MATCH(Z202,LANGUAGE!$C$139:$G$139,0)),2,IF(ISNUMBER(MATCH(Z202,LANGUAGE!$C$140:$G$140,0)),3,0))))</f>
        <v>0</v>
      </c>
      <c r="BA202" s="3">
        <f>IF(ISNUMBER(MATCH(AJ202,LANGUAGE!$C$141:$G$141,0)),3,IF(ISNUMBER(MATCH(AJ202,LANGUAGE!$C$142:$G$142,0)),1,0))</f>
        <v>0</v>
      </c>
      <c r="BB202" s="191">
        <f t="shared" ref="BB202" si="24">IF(AND(AY202&gt;1,BA202=0),10,AY202+BA202)</f>
        <v>0</v>
      </c>
    </row>
    <row r="203" spans="2:54" ht="17.7" customHeight="1" x14ac:dyDescent="0.25">
      <c r="B203" s="2105"/>
      <c r="C203" s="2286"/>
      <c r="D203" s="2286"/>
      <c r="E203" s="2109"/>
      <c r="F203" s="2109"/>
      <c r="G203" s="2109"/>
      <c r="H203" s="2109"/>
      <c r="I203" s="2109"/>
      <c r="J203" s="2109"/>
      <c r="K203" s="2109"/>
      <c r="L203" s="2109"/>
      <c r="M203" s="2109"/>
      <c r="N203" s="2109"/>
      <c r="O203" s="2109"/>
      <c r="P203" s="2109"/>
      <c r="Q203" s="2109"/>
      <c r="R203" s="2109"/>
      <c r="S203" s="2109"/>
      <c r="T203" s="2109"/>
      <c r="U203" s="2111"/>
      <c r="V203" s="2111"/>
      <c r="W203" s="2111"/>
      <c r="X203" s="2111"/>
      <c r="Y203" s="2111"/>
      <c r="Z203" s="2093"/>
      <c r="AA203" s="2093"/>
      <c r="AB203" s="2093"/>
      <c r="AC203" s="2093"/>
      <c r="AD203" s="2093"/>
      <c r="AE203" s="2093"/>
      <c r="AF203" s="2093"/>
      <c r="AG203" s="2093"/>
      <c r="AH203" s="2094"/>
      <c r="AI203" s="2094"/>
      <c r="AJ203" s="2094"/>
      <c r="AK203" s="2095"/>
      <c r="AL203" s="189"/>
      <c r="AM203" s="195"/>
      <c r="AN203" s="195"/>
      <c r="AO203" s="195"/>
      <c r="AY203" s="208"/>
      <c r="AZ203" s="208"/>
      <c r="BA203" s="208"/>
    </row>
    <row r="204" spans="2:54" ht="17.7" customHeight="1" x14ac:dyDescent="0.25">
      <c r="B204" s="2105"/>
      <c r="C204" s="2286"/>
      <c r="D204" s="2286"/>
      <c r="E204" s="2109"/>
      <c r="F204" s="2109"/>
      <c r="G204" s="2109"/>
      <c r="H204" s="2109"/>
      <c r="I204" s="2109"/>
      <c r="J204" s="2109"/>
      <c r="K204" s="2109"/>
      <c r="L204" s="2109"/>
      <c r="M204" s="2109"/>
      <c r="N204" s="2109"/>
      <c r="O204" s="2109"/>
      <c r="P204" s="2109"/>
      <c r="Q204" s="2109"/>
      <c r="R204" s="2109"/>
      <c r="S204" s="2109"/>
      <c r="T204" s="2109"/>
      <c r="U204" s="2111"/>
      <c r="V204" s="2111"/>
      <c r="W204" s="2111"/>
      <c r="X204" s="2111"/>
      <c r="Y204" s="2111"/>
      <c r="Z204" s="2093"/>
      <c r="AA204" s="2093"/>
      <c r="AB204" s="2093"/>
      <c r="AC204" s="2093"/>
      <c r="AD204" s="2093"/>
      <c r="AE204" s="2093"/>
      <c r="AF204" s="2093"/>
      <c r="AG204" s="2093"/>
      <c r="AH204" s="2094"/>
      <c r="AI204" s="2094"/>
      <c r="AJ204" s="2094"/>
      <c r="AK204" s="2095"/>
      <c r="AL204" s="189"/>
      <c r="AM204" s="195"/>
      <c r="AN204" s="195"/>
      <c r="AO204" s="195"/>
      <c r="AY204" s="208"/>
      <c r="AZ204" s="208"/>
      <c r="BA204" s="208"/>
    </row>
    <row r="205" spans="2:54" ht="17.7" customHeight="1" x14ac:dyDescent="0.25">
      <c r="B205" s="2104" t="s">
        <v>2209</v>
      </c>
      <c r="C205" s="2286" t="str">
        <f>HLOOKUP(LANGUAGE!$B$2,LANGUAGE!$C$14:$G$2993,2324)</f>
        <v>Requalification</v>
      </c>
      <c r="D205" s="2286"/>
      <c r="E205" s="2109" t="str">
        <f>HLOOKUP(LANGUAGE!$B$2,LANGUAGE!$C$14:$G$2993,2325)</f>
        <v>Is the requalification performed annually and is the result of the requalification test OK?
(this question has no influence on the FRT result, as this can only be evaluated for parts in the series phase)</v>
      </c>
      <c r="F205" s="2109"/>
      <c r="G205" s="2109"/>
      <c r="H205" s="2109"/>
      <c r="I205" s="2109"/>
      <c r="J205" s="2109"/>
      <c r="K205" s="2109"/>
      <c r="L205" s="2109"/>
      <c r="M205" s="2109" t="str">
        <f>HLOOKUP(LANGUAGE!$B$2,LANGUAGE!$C$14:$G$2993,2326)</f>
        <v>- Please point this out in the introductory meeting so that documents are available.
- To be carried out on the basis of an alternative product.
- All dimensions must be checked 1x per year for each cavity, for SPC characteristics the measured values of the last 12 months can be taken as a basis.</v>
      </c>
      <c r="N205" s="2109"/>
      <c r="O205" s="2109"/>
      <c r="P205" s="2109"/>
      <c r="Q205" s="2109"/>
      <c r="R205" s="2109"/>
      <c r="S205" s="2109"/>
      <c r="T205" s="2109"/>
      <c r="U205" s="2111"/>
      <c r="V205" s="2111"/>
      <c r="W205" s="2111"/>
      <c r="X205" s="2111"/>
      <c r="Y205" s="2111"/>
      <c r="Z205" s="2093"/>
      <c r="AA205" s="2093"/>
      <c r="AB205" s="2093"/>
      <c r="AC205" s="2093"/>
      <c r="AD205" s="2093"/>
      <c r="AE205" s="2093"/>
      <c r="AF205" s="2093"/>
      <c r="AG205" s="2093"/>
      <c r="AH205" s="2094"/>
      <c r="AI205" s="2094"/>
      <c r="AJ205" s="2094"/>
      <c r="AK205" s="2095"/>
      <c r="AL205" s="189"/>
      <c r="AM205" s="195"/>
      <c r="AN205" s="195"/>
      <c r="AO205" s="195"/>
      <c r="AY205" s="3"/>
      <c r="BA205" s="3"/>
    </row>
    <row r="206" spans="2:54" ht="17.7" customHeight="1" x14ac:dyDescent="0.25">
      <c r="B206" s="2105"/>
      <c r="C206" s="2286"/>
      <c r="D206" s="2286"/>
      <c r="E206" s="2109"/>
      <c r="F206" s="2109"/>
      <c r="G206" s="2109"/>
      <c r="H206" s="2109"/>
      <c r="I206" s="2109"/>
      <c r="J206" s="2109"/>
      <c r="K206" s="2109"/>
      <c r="L206" s="2109"/>
      <c r="M206" s="2109"/>
      <c r="N206" s="2109"/>
      <c r="O206" s="2109"/>
      <c r="P206" s="2109"/>
      <c r="Q206" s="2109"/>
      <c r="R206" s="2109"/>
      <c r="S206" s="2109"/>
      <c r="T206" s="2109"/>
      <c r="U206" s="2111"/>
      <c r="V206" s="2111"/>
      <c r="W206" s="2111"/>
      <c r="X206" s="2111"/>
      <c r="Y206" s="2111"/>
      <c r="Z206" s="2093"/>
      <c r="AA206" s="2093"/>
      <c r="AB206" s="2093"/>
      <c r="AC206" s="2093"/>
      <c r="AD206" s="2093"/>
      <c r="AE206" s="2093"/>
      <c r="AF206" s="2093"/>
      <c r="AG206" s="2093"/>
      <c r="AH206" s="2094"/>
      <c r="AI206" s="2094"/>
      <c r="AJ206" s="2094"/>
      <c r="AK206" s="2095"/>
      <c r="AL206" s="189"/>
      <c r="AM206" s="195"/>
      <c r="AN206" s="195"/>
      <c r="AO206" s="195"/>
      <c r="AY206" s="3"/>
      <c r="BA206" s="3"/>
    </row>
    <row r="207" spans="2:54" ht="47" customHeight="1" thickBot="1" x14ac:dyDescent="0.3">
      <c r="B207" s="2106"/>
      <c r="C207" s="2299"/>
      <c r="D207" s="2299"/>
      <c r="E207" s="2110"/>
      <c r="F207" s="2110"/>
      <c r="G207" s="2110"/>
      <c r="H207" s="2110"/>
      <c r="I207" s="2110"/>
      <c r="J207" s="2110"/>
      <c r="K207" s="2110"/>
      <c r="L207" s="2110"/>
      <c r="M207" s="2110"/>
      <c r="N207" s="2110"/>
      <c r="O207" s="2110"/>
      <c r="P207" s="2110"/>
      <c r="Q207" s="2110"/>
      <c r="R207" s="2110"/>
      <c r="S207" s="2110"/>
      <c r="T207" s="2110"/>
      <c r="U207" s="2112"/>
      <c r="V207" s="2112"/>
      <c r="W207" s="2112"/>
      <c r="X207" s="2112"/>
      <c r="Y207" s="2112"/>
      <c r="Z207" s="2114"/>
      <c r="AA207" s="2114"/>
      <c r="AB207" s="2114"/>
      <c r="AC207" s="2114"/>
      <c r="AD207" s="2114"/>
      <c r="AE207" s="2114"/>
      <c r="AF207" s="2114"/>
      <c r="AG207" s="2114"/>
      <c r="AH207" s="2096"/>
      <c r="AI207" s="2096"/>
      <c r="AJ207" s="2096"/>
      <c r="AK207" s="2097"/>
      <c r="AL207" s="189"/>
      <c r="AM207" s="195"/>
      <c r="AN207" s="195"/>
      <c r="AO207" s="195"/>
      <c r="AY207" s="3"/>
      <c r="BA207" s="3"/>
    </row>
  </sheetData>
  <sheetProtection algorithmName="SHA-512" hashValue="XwUX97stLIqS3DQIWhAheXWtRaKk5ikhe3bzRBvBz3zl6G6UGksppIUKbyCbtpP9u2TEujB0nPIptbPmDuy8hQ==" saltValue="ON+BiFBU91Z3zklrbYT+/A==" spinCount="100000" sheet="1" formatCells="0" formatRows="0"/>
  <mergeCells count="731">
    <mergeCell ref="AH205:AI207"/>
    <mergeCell ref="AJ205:AK207"/>
    <mergeCell ref="AH202:AI204"/>
    <mergeCell ref="AJ202:AK204"/>
    <mergeCell ref="B205:B207"/>
    <mergeCell ref="C205:D207"/>
    <mergeCell ref="E205:L207"/>
    <mergeCell ref="M205:T207"/>
    <mergeCell ref="U205:Y207"/>
    <mergeCell ref="Z205:AA207"/>
    <mergeCell ref="AB205:AD207"/>
    <mergeCell ref="AE205:AG207"/>
    <mergeCell ref="AJ199:AK201"/>
    <mergeCell ref="B202:B204"/>
    <mergeCell ref="C202:D204"/>
    <mergeCell ref="E202:L204"/>
    <mergeCell ref="M202:T204"/>
    <mergeCell ref="U202:Y204"/>
    <mergeCell ref="Z202:AA204"/>
    <mergeCell ref="AB202:AD204"/>
    <mergeCell ref="AE202:AG204"/>
    <mergeCell ref="B199:B201"/>
    <mergeCell ref="C199:D201"/>
    <mergeCell ref="E199:L201"/>
    <mergeCell ref="M199:T201"/>
    <mergeCell ref="U199:Y201"/>
    <mergeCell ref="Z199:AA201"/>
    <mergeCell ref="AB199:AD201"/>
    <mergeCell ref="AE199:AG201"/>
    <mergeCell ref="AH199:AI201"/>
    <mergeCell ref="M187:T189"/>
    <mergeCell ref="AJ193:AK195"/>
    <mergeCell ref="B196:B198"/>
    <mergeCell ref="C196:D198"/>
    <mergeCell ref="E196:L198"/>
    <mergeCell ref="M196:T198"/>
    <mergeCell ref="U196:Y198"/>
    <mergeCell ref="Z196:AA198"/>
    <mergeCell ref="AB196:AD198"/>
    <mergeCell ref="AE196:AG198"/>
    <mergeCell ref="AH196:AI198"/>
    <mergeCell ref="AJ196:AK198"/>
    <mergeCell ref="B193:B195"/>
    <mergeCell ref="C193:D195"/>
    <mergeCell ref="E193:L195"/>
    <mergeCell ref="M193:T195"/>
    <mergeCell ref="U193:Y195"/>
    <mergeCell ref="Z193:AA195"/>
    <mergeCell ref="AB193:AD195"/>
    <mergeCell ref="AE193:AG195"/>
    <mergeCell ref="AH193:AI195"/>
    <mergeCell ref="U187:Y189"/>
    <mergeCell ref="Z187:AA189"/>
    <mergeCell ref="AB187:AD189"/>
    <mergeCell ref="AJ182:AK183"/>
    <mergeCell ref="AJ184:AK186"/>
    <mergeCell ref="B190:B192"/>
    <mergeCell ref="C190:D192"/>
    <mergeCell ref="E190:L192"/>
    <mergeCell ref="M190:T192"/>
    <mergeCell ref="U190:Y192"/>
    <mergeCell ref="Z190:AA192"/>
    <mergeCell ref="AB190:AD192"/>
    <mergeCell ref="AE190:AG192"/>
    <mergeCell ref="AH190:AI192"/>
    <mergeCell ref="AJ190:AK192"/>
    <mergeCell ref="B184:B186"/>
    <mergeCell ref="C184:D186"/>
    <mergeCell ref="E184:L186"/>
    <mergeCell ref="M184:T186"/>
    <mergeCell ref="U184:Y186"/>
    <mergeCell ref="Z184:AA186"/>
    <mergeCell ref="AB184:AD186"/>
    <mergeCell ref="AE184:AG186"/>
    <mergeCell ref="AH184:AI186"/>
    <mergeCell ref="B187:B189"/>
    <mergeCell ref="C187:D189"/>
    <mergeCell ref="E187:L189"/>
    <mergeCell ref="C178:D178"/>
    <mergeCell ref="E178:L178"/>
    <mergeCell ref="M178:T178"/>
    <mergeCell ref="U178:Y178"/>
    <mergeCell ref="Z178:AA178"/>
    <mergeCell ref="AB178:AD178"/>
    <mergeCell ref="AE178:AG178"/>
    <mergeCell ref="AH178:AI178"/>
    <mergeCell ref="AJ178:AK178"/>
    <mergeCell ref="B172:B174"/>
    <mergeCell ref="C172:D174"/>
    <mergeCell ref="E172:L174"/>
    <mergeCell ref="M172:T174"/>
    <mergeCell ref="U172:Y174"/>
    <mergeCell ref="Z172:AA174"/>
    <mergeCell ref="AB172:AD174"/>
    <mergeCell ref="AE172:AG174"/>
    <mergeCell ref="AH172:AI174"/>
    <mergeCell ref="B164:B166"/>
    <mergeCell ref="C164:D166"/>
    <mergeCell ref="E164:L166"/>
    <mergeCell ref="M164:T166"/>
    <mergeCell ref="B168:AK169"/>
    <mergeCell ref="B170:B171"/>
    <mergeCell ref="C170:D171"/>
    <mergeCell ref="E170:L171"/>
    <mergeCell ref="M170:T171"/>
    <mergeCell ref="U170:Y171"/>
    <mergeCell ref="Z170:AA171"/>
    <mergeCell ref="AB170:AD171"/>
    <mergeCell ref="AE170:AG171"/>
    <mergeCell ref="AH170:AI171"/>
    <mergeCell ref="AJ170:AK171"/>
    <mergeCell ref="U164:Y166"/>
    <mergeCell ref="Z164:AA166"/>
    <mergeCell ref="AB164:AD166"/>
    <mergeCell ref="AE164:AG166"/>
    <mergeCell ref="AH164:AI166"/>
    <mergeCell ref="AJ164:AK166"/>
    <mergeCell ref="AJ158:AK160"/>
    <mergeCell ref="B161:B163"/>
    <mergeCell ref="C161:D163"/>
    <mergeCell ref="E161:L163"/>
    <mergeCell ref="M161:T163"/>
    <mergeCell ref="U161:Y163"/>
    <mergeCell ref="Z161:AA163"/>
    <mergeCell ref="AB161:AD163"/>
    <mergeCell ref="AE161:AG163"/>
    <mergeCell ref="AH161:AI163"/>
    <mergeCell ref="AJ161:AK163"/>
    <mergeCell ref="B158:B160"/>
    <mergeCell ref="C158:D160"/>
    <mergeCell ref="E158:L160"/>
    <mergeCell ref="M158:T160"/>
    <mergeCell ref="U158:Y160"/>
    <mergeCell ref="Z158:AA160"/>
    <mergeCell ref="AB158:AD160"/>
    <mergeCell ref="AE158:AG160"/>
    <mergeCell ref="AH158:AI160"/>
    <mergeCell ref="B154:AK155"/>
    <mergeCell ref="B156:B157"/>
    <mergeCell ref="C156:D157"/>
    <mergeCell ref="E156:L157"/>
    <mergeCell ref="M156:T157"/>
    <mergeCell ref="U156:Y157"/>
    <mergeCell ref="Z156:AA157"/>
    <mergeCell ref="AB156:AD157"/>
    <mergeCell ref="AE156:AG157"/>
    <mergeCell ref="AH156:AI157"/>
    <mergeCell ref="AJ156:AK157"/>
    <mergeCell ref="AB151:AD152"/>
    <mergeCell ref="AE151:AG152"/>
    <mergeCell ref="AH151:AI152"/>
    <mergeCell ref="AJ151:AK152"/>
    <mergeCell ref="M152:T152"/>
    <mergeCell ref="Z149:AA150"/>
    <mergeCell ref="AB149:AD150"/>
    <mergeCell ref="AE149:AG150"/>
    <mergeCell ref="AH149:AI150"/>
    <mergeCell ref="AJ149:AK150"/>
    <mergeCell ref="AB143:AD145"/>
    <mergeCell ref="AE143:AG145"/>
    <mergeCell ref="AH143:AI145"/>
    <mergeCell ref="AJ143:AK145"/>
    <mergeCell ref="B147:AK148"/>
    <mergeCell ref="B149:B150"/>
    <mergeCell ref="C149:D150"/>
    <mergeCell ref="E149:L150"/>
    <mergeCell ref="M149:T150"/>
    <mergeCell ref="U149:Y150"/>
    <mergeCell ref="B143:B145"/>
    <mergeCell ref="C143:D145"/>
    <mergeCell ref="E143:L145"/>
    <mergeCell ref="M143:T145"/>
    <mergeCell ref="U143:Y145"/>
    <mergeCell ref="Z143:AA145"/>
    <mergeCell ref="B151:B152"/>
    <mergeCell ref="C151:D152"/>
    <mergeCell ref="E151:L152"/>
    <mergeCell ref="M151:T151"/>
    <mergeCell ref="U151:Y152"/>
    <mergeCell ref="Z151:AA152"/>
    <mergeCell ref="AJ137:AK139"/>
    <mergeCell ref="B140:B142"/>
    <mergeCell ref="C140:D142"/>
    <mergeCell ref="E140:L142"/>
    <mergeCell ref="M140:T142"/>
    <mergeCell ref="U140:Y142"/>
    <mergeCell ref="Z140:AA142"/>
    <mergeCell ref="AB140:AD142"/>
    <mergeCell ref="AE140:AG142"/>
    <mergeCell ref="AH140:AI142"/>
    <mergeCell ref="AJ140:AK142"/>
    <mergeCell ref="B137:B139"/>
    <mergeCell ref="C137:D139"/>
    <mergeCell ref="E137:L139"/>
    <mergeCell ref="M137:T139"/>
    <mergeCell ref="U137:Y139"/>
    <mergeCell ref="Z137:AA139"/>
    <mergeCell ref="AB137:AD139"/>
    <mergeCell ref="AE137:AG139"/>
    <mergeCell ref="AH137:AI139"/>
    <mergeCell ref="AB131:AD133"/>
    <mergeCell ref="AE131:AG133"/>
    <mergeCell ref="AH131:AI133"/>
    <mergeCell ref="AJ131:AK133"/>
    <mergeCell ref="B134:B136"/>
    <mergeCell ref="C134:D136"/>
    <mergeCell ref="E134:L136"/>
    <mergeCell ref="M134:T136"/>
    <mergeCell ref="U134:Y136"/>
    <mergeCell ref="Z134:AA136"/>
    <mergeCell ref="AB134:AD136"/>
    <mergeCell ref="AE134:AG136"/>
    <mergeCell ref="AH134:AI136"/>
    <mergeCell ref="AJ134:AK136"/>
    <mergeCell ref="B131:B133"/>
    <mergeCell ref="C131:D133"/>
    <mergeCell ref="E131:L133"/>
    <mergeCell ref="M131:T133"/>
    <mergeCell ref="U131:Y133"/>
    <mergeCell ref="Z131:AA133"/>
    <mergeCell ref="AB121:AD123"/>
    <mergeCell ref="AE121:AG123"/>
    <mergeCell ref="AH121:AI123"/>
    <mergeCell ref="AJ121:AK123"/>
    <mergeCell ref="AB128:AD130"/>
    <mergeCell ref="AE128:AG130"/>
    <mergeCell ref="AH128:AI130"/>
    <mergeCell ref="AJ128:AK130"/>
    <mergeCell ref="B124:B127"/>
    <mergeCell ref="C124:D127"/>
    <mergeCell ref="E124:L126"/>
    <mergeCell ref="M124:T126"/>
    <mergeCell ref="U124:Y127"/>
    <mergeCell ref="Z124:AA127"/>
    <mergeCell ref="B128:B130"/>
    <mergeCell ref="C128:D130"/>
    <mergeCell ref="E128:L130"/>
    <mergeCell ref="M128:T130"/>
    <mergeCell ref="U128:Y130"/>
    <mergeCell ref="Z128:AA130"/>
    <mergeCell ref="AJ124:AK127"/>
    <mergeCell ref="E127:L127"/>
    <mergeCell ref="M127:T127"/>
    <mergeCell ref="AB118:AD120"/>
    <mergeCell ref="AE118:AG120"/>
    <mergeCell ref="AH118:AI120"/>
    <mergeCell ref="AB124:AD127"/>
    <mergeCell ref="AE124:AG127"/>
    <mergeCell ref="AH124:AI127"/>
    <mergeCell ref="B114:AK115"/>
    <mergeCell ref="B116:B117"/>
    <mergeCell ref="C116:D117"/>
    <mergeCell ref="E116:L117"/>
    <mergeCell ref="M116:T117"/>
    <mergeCell ref="U116:Y117"/>
    <mergeCell ref="Z116:AA117"/>
    <mergeCell ref="AJ118:AK120"/>
    <mergeCell ref="B121:B123"/>
    <mergeCell ref="C121:D123"/>
    <mergeCell ref="E121:L123"/>
    <mergeCell ref="M121:T123"/>
    <mergeCell ref="U121:Y123"/>
    <mergeCell ref="Z121:AA123"/>
    <mergeCell ref="AB116:AD117"/>
    <mergeCell ref="AE116:AG117"/>
    <mergeCell ref="AH116:AI117"/>
    <mergeCell ref="AJ116:AK117"/>
    <mergeCell ref="B118:B120"/>
    <mergeCell ref="C118:D120"/>
    <mergeCell ref="E118:L120"/>
    <mergeCell ref="M118:T120"/>
    <mergeCell ref="U118:Y120"/>
    <mergeCell ref="Z118:AA120"/>
    <mergeCell ref="AJ107:AK109"/>
    <mergeCell ref="B110:B112"/>
    <mergeCell ref="C110:D112"/>
    <mergeCell ref="E110:L112"/>
    <mergeCell ref="M110:T112"/>
    <mergeCell ref="U110:Y112"/>
    <mergeCell ref="Z110:AA112"/>
    <mergeCell ref="AB110:AD112"/>
    <mergeCell ref="AE110:AG112"/>
    <mergeCell ref="AH110:AI112"/>
    <mergeCell ref="AJ110:AK112"/>
    <mergeCell ref="B107:B109"/>
    <mergeCell ref="C107:D109"/>
    <mergeCell ref="E107:L109"/>
    <mergeCell ref="M107:T109"/>
    <mergeCell ref="U107:Y109"/>
    <mergeCell ref="Z107:AA109"/>
    <mergeCell ref="AB107:AD109"/>
    <mergeCell ref="AE107:AG109"/>
    <mergeCell ref="AH107:AI109"/>
    <mergeCell ref="AJ101:AK103"/>
    <mergeCell ref="B104:B106"/>
    <mergeCell ref="C104:D106"/>
    <mergeCell ref="E104:L106"/>
    <mergeCell ref="M104:T106"/>
    <mergeCell ref="U104:Y106"/>
    <mergeCell ref="Z104:AA106"/>
    <mergeCell ref="AB104:AD106"/>
    <mergeCell ref="AE104:AG106"/>
    <mergeCell ref="AH104:AI106"/>
    <mergeCell ref="AJ104:AK106"/>
    <mergeCell ref="B101:B103"/>
    <mergeCell ref="C101:D103"/>
    <mergeCell ref="E101:L103"/>
    <mergeCell ref="M101:T103"/>
    <mergeCell ref="U101:Y103"/>
    <mergeCell ref="Z101:AA103"/>
    <mergeCell ref="AB101:AD103"/>
    <mergeCell ref="AE101:AG103"/>
    <mergeCell ref="AH101:AI103"/>
    <mergeCell ref="AJ95:AK97"/>
    <mergeCell ref="B98:B100"/>
    <mergeCell ref="C98:D100"/>
    <mergeCell ref="E98:L100"/>
    <mergeCell ref="M98:T100"/>
    <mergeCell ref="U98:Y100"/>
    <mergeCell ref="Z98:AA100"/>
    <mergeCell ref="AB98:AD100"/>
    <mergeCell ref="AE98:AG100"/>
    <mergeCell ref="AH98:AI100"/>
    <mergeCell ref="AJ98:AK100"/>
    <mergeCell ref="B95:B97"/>
    <mergeCell ref="C95:D97"/>
    <mergeCell ref="E95:L97"/>
    <mergeCell ref="M95:T97"/>
    <mergeCell ref="U95:Y97"/>
    <mergeCell ref="Z95:AA97"/>
    <mergeCell ref="AB95:AD97"/>
    <mergeCell ref="AE95:AG97"/>
    <mergeCell ref="AH95:AI97"/>
    <mergeCell ref="AJ87:AK89"/>
    <mergeCell ref="B91:AK92"/>
    <mergeCell ref="B93:B94"/>
    <mergeCell ref="C93:D94"/>
    <mergeCell ref="E93:L94"/>
    <mergeCell ref="M93:T94"/>
    <mergeCell ref="U93:Y94"/>
    <mergeCell ref="Z93:AA94"/>
    <mergeCell ref="AB93:AD94"/>
    <mergeCell ref="AE93:AG94"/>
    <mergeCell ref="AH93:AI94"/>
    <mergeCell ref="AJ93:AK94"/>
    <mergeCell ref="B87:B89"/>
    <mergeCell ref="C87:D89"/>
    <mergeCell ref="E87:L89"/>
    <mergeCell ref="M87:T89"/>
    <mergeCell ref="U87:Y89"/>
    <mergeCell ref="Z87:AA89"/>
    <mergeCell ref="AB87:AD89"/>
    <mergeCell ref="AE87:AG89"/>
    <mergeCell ref="AH87:AI89"/>
    <mergeCell ref="AJ81:AK83"/>
    <mergeCell ref="B84:B86"/>
    <mergeCell ref="C84:D86"/>
    <mergeCell ref="E84:L86"/>
    <mergeCell ref="M84:T86"/>
    <mergeCell ref="U84:Y86"/>
    <mergeCell ref="Z84:AA86"/>
    <mergeCell ref="AB84:AD86"/>
    <mergeCell ref="AE84:AG86"/>
    <mergeCell ref="AH84:AI86"/>
    <mergeCell ref="AJ84:AK86"/>
    <mergeCell ref="B81:B83"/>
    <mergeCell ref="C81:D83"/>
    <mergeCell ref="E81:L83"/>
    <mergeCell ref="M81:T83"/>
    <mergeCell ref="U81:Y83"/>
    <mergeCell ref="Z81:AA83"/>
    <mergeCell ref="AB81:AD83"/>
    <mergeCell ref="AE81:AG83"/>
    <mergeCell ref="AH81:AI83"/>
    <mergeCell ref="AJ75:AK77"/>
    <mergeCell ref="B78:B80"/>
    <mergeCell ref="C78:D80"/>
    <mergeCell ref="E78:L80"/>
    <mergeCell ref="M78:T80"/>
    <mergeCell ref="U78:Y80"/>
    <mergeCell ref="Z78:AA80"/>
    <mergeCell ref="AB78:AD80"/>
    <mergeCell ref="AE78:AG80"/>
    <mergeCell ref="AH78:AI80"/>
    <mergeCell ref="AJ78:AK80"/>
    <mergeCell ref="B75:B77"/>
    <mergeCell ref="C75:D77"/>
    <mergeCell ref="E75:L77"/>
    <mergeCell ref="M75:T77"/>
    <mergeCell ref="U75:Y77"/>
    <mergeCell ref="Z75:AA77"/>
    <mergeCell ref="AB75:AD77"/>
    <mergeCell ref="AE75:AG77"/>
    <mergeCell ref="AH75:AI77"/>
    <mergeCell ref="AJ67:AK69"/>
    <mergeCell ref="B71:AK72"/>
    <mergeCell ref="B73:B74"/>
    <mergeCell ref="C73:D74"/>
    <mergeCell ref="E73:L74"/>
    <mergeCell ref="M73:T74"/>
    <mergeCell ref="U73:Y74"/>
    <mergeCell ref="Z73:AA74"/>
    <mergeCell ref="AB73:AD74"/>
    <mergeCell ref="AE73:AG74"/>
    <mergeCell ref="AH73:AI74"/>
    <mergeCell ref="AJ73:AK74"/>
    <mergeCell ref="B67:B69"/>
    <mergeCell ref="C67:D69"/>
    <mergeCell ref="E67:L69"/>
    <mergeCell ref="M67:T69"/>
    <mergeCell ref="U67:Y69"/>
    <mergeCell ref="Z67:AA69"/>
    <mergeCell ref="AB67:AD69"/>
    <mergeCell ref="AE67:AG69"/>
    <mergeCell ref="AH67:AI69"/>
    <mergeCell ref="B63:AK64"/>
    <mergeCell ref="B65:B66"/>
    <mergeCell ref="C65:D66"/>
    <mergeCell ref="E65:L66"/>
    <mergeCell ref="M65:T66"/>
    <mergeCell ref="U65:Y66"/>
    <mergeCell ref="Z65:AA66"/>
    <mergeCell ref="AB65:AD66"/>
    <mergeCell ref="AE65:AG66"/>
    <mergeCell ref="AH65:AI66"/>
    <mergeCell ref="AJ65:AK66"/>
    <mergeCell ref="R61:S61"/>
    <mergeCell ref="T61:U61"/>
    <mergeCell ref="AA61:AB61"/>
    <mergeCell ref="AC61:AF61"/>
    <mergeCell ref="AH61:AJ61"/>
    <mergeCell ref="AK61:AL61"/>
    <mergeCell ref="C61:F61"/>
    <mergeCell ref="G61:H61"/>
    <mergeCell ref="J61:K61"/>
    <mergeCell ref="L61:M61"/>
    <mergeCell ref="N61:O61"/>
    <mergeCell ref="P61:Q61"/>
    <mergeCell ref="R60:S60"/>
    <mergeCell ref="T60:U60"/>
    <mergeCell ref="AA60:AB60"/>
    <mergeCell ref="AC60:AF60"/>
    <mergeCell ref="AH60:AJ60"/>
    <mergeCell ref="AK60:AL60"/>
    <mergeCell ref="C60:F60"/>
    <mergeCell ref="G60:H60"/>
    <mergeCell ref="J60:K60"/>
    <mergeCell ref="L60:M60"/>
    <mergeCell ref="N60:O60"/>
    <mergeCell ref="P60:Q60"/>
    <mergeCell ref="R59:S59"/>
    <mergeCell ref="T59:U59"/>
    <mergeCell ref="AA59:AB59"/>
    <mergeCell ref="AC59:AF59"/>
    <mergeCell ref="AH59:AJ59"/>
    <mergeCell ref="AK59:AL59"/>
    <mergeCell ref="C59:F59"/>
    <mergeCell ref="G59:H59"/>
    <mergeCell ref="J59:K59"/>
    <mergeCell ref="L59:M59"/>
    <mergeCell ref="N59:O59"/>
    <mergeCell ref="P59:Q59"/>
    <mergeCell ref="R58:S58"/>
    <mergeCell ref="T58:U58"/>
    <mergeCell ref="AA58:AB58"/>
    <mergeCell ref="AC58:AF58"/>
    <mergeCell ref="AH58:AJ58"/>
    <mergeCell ref="AK58:AL58"/>
    <mergeCell ref="C58:F58"/>
    <mergeCell ref="G58:H58"/>
    <mergeCell ref="J58:K58"/>
    <mergeCell ref="L58:M58"/>
    <mergeCell ref="N58:O58"/>
    <mergeCell ref="P58:Q58"/>
    <mergeCell ref="R57:S57"/>
    <mergeCell ref="T57:U57"/>
    <mergeCell ref="AA57:AB57"/>
    <mergeCell ref="AC57:AF57"/>
    <mergeCell ref="AH57:AJ57"/>
    <mergeCell ref="AK57:AL57"/>
    <mergeCell ref="C57:F57"/>
    <mergeCell ref="G57:H57"/>
    <mergeCell ref="J57:K57"/>
    <mergeCell ref="L57:M57"/>
    <mergeCell ref="N57:O57"/>
    <mergeCell ref="P57:Q57"/>
    <mergeCell ref="R56:S56"/>
    <mergeCell ref="T56:U56"/>
    <mergeCell ref="AA56:AB56"/>
    <mergeCell ref="AC56:AF56"/>
    <mergeCell ref="AH56:AJ56"/>
    <mergeCell ref="AK56:AL56"/>
    <mergeCell ref="C56:F56"/>
    <mergeCell ref="G56:H56"/>
    <mergeCell ref="J56:K56"/>
    <mergeCell ref="L56:M56"/>
    <mergeCell ref="N56:O56"/>
    <mergeCell ref="P56:Q56"/>
    <mergeCell ref="R55:S55"/>
    <mergeCell ref="T55:U55"/>
    <mergeCell ref="AA55:AB55"/>
    <mergeCell ref="AC55:AF55"/>
    <mergeCell ref="AH55:AJ55"/>
    <mergeCell ref="AK55:AL55"/>
    <mergeCell ref="C55:F55"/>
    <mergeCell ref="G55:H55"/>
    <mergeCell ref="J55:K55"/>
    <mergeCell ref="L55:M55"/>
    <mergeCell ref="N55:O55"/>
    <mergeCell ref="P55:Q55"/>
    <mergeCell ref="R54:S54"/>
    <mergeCell ref="T54:U54"/>
    <mergeCell ref="AA54:AB54"/>
    <mergeCell ref="AC54:AF54"/>
    <mergeCell ref="AH54:AJ54"/>
    <mergeCell ref="AK54:AL54"/>
    <mergeCell ref="C54:F54"/>
    <mergeCell ref="G54:H54"/>
    <mergeCell ref="J54:K54"/>
    <mergeCell ref="L54:M54"/>
    <mergeCell ref="N54:O54"/>
    <mergeCell ref="P54:Q54"/>
    <mergeCell ref="R53:S53"/>
    <mergeCell ref="T53:U53"/>
    <mergeCell ref="AA53:AB53"/>
    <mergeCell ref="AC53:AF53"/>
    <mergeCell ref="AH53:AJ53"/>
    <mergeCell ref="AK53:AL53"/>
    <mergeCell ref="C53:F53"/>
    <mergeCell ref="G53:H53"/>
    <mergeCell ref="J53:K53"/>
    <mergeCell ref="L53:M53"/>
    <mergeCell ref="N53:O53"/>
    <mergeCell ref="P53:Q53"/>
    <mergeCell ref="R52:S52"/>
    <mergeCell ref="T52:U52"/>
    <mergeCell ref="AA52:AB52"/>
    <mergeCell ref="AC52:AF52"/>
    <mergeCell ref="AH52:AJ52"/>
    <mergeCell ref="AK52:AL52"/>
    <mergeCell ref="C52:F52"/>
    <mergeCell ref="G52:H52"/>
    <mergeCell ref="J52:K52"/>
    <mergeCell ref="L52:M52"/>
    <mergeCell ref="N52:O52"/>
    <mergeCell ref="P52:Q52"/>
    <mergeCell ref="R51:S51"/>
    <mergeCell ref="T51:U51"/>
    <mergeCell ref="AA51:AB51"/>
    <mergeCell ref="AC51:AF51"/>
    <mergeCell ref="AH51:AJ51"/>
    <mergeCell ref="AK51:AL51"/>
    <mergeCell ref="C51:F51"/>
    <mergeCell ref="G51:H51"/>
    <mergeCell ref="J51:K51"/>
    <mergeCell ref="L51:M51"/>
    <mergeCell ref="N51:O51"/>
    <mergeCell ref="P51:Q51"/>
    <mergeCell ref="R50:S50"/>
    <mergeCell ref="T50:U50"/>
    <mergeCell ref="AA50:AB50"/>
    <mergeCell ref="AC50:AF50"/>
    <mergeCell ref="AH50:AJ50"/>
    <mergeCell ref="AK50:AL50"/>
    <mergeCell ref="C50:F50"/>
    <mergeCell ref="G50:H50"/>
    <mergeCell ref="J50:K50"/>
    <mergeCell ref="L50:M50"/>
    <mergeCell ref="N50:O50"/>
    <mergeCell ref="P50:Q50"/>
    <mergeCell ref="R49:S49"/>
    <mergeCell ref="T49:U49"/>
    <mergeCell ref="AA49:AB49"/>
    <mergeCell ref="AC49:AF49"/>
    <mergeCell ref="AH49:AJ49"/>
    <mergeCell ref="AK49:AL49"/>
    <mergeCell ref="C49:F49"/>
    <mergeCell ref="G49:H49"/>
    <mergeCell ref="J49:K49"/>
    <mergeCell ref="L49:M49"/>
    <mergeCell ref="N49:O49"/>
    <mergeCell ref="P49:Q49"/>
    <mergeCell ref="R48:S48"/>
    <mergeCell ref="T48:U48"/>
    <mergeCell ref="AA48:AB48"/>
    <mergeCell ref="AC48:AF48"/>
    <mergeCell ref="AH48:AJ48"/>
    <mergeCell ref="AK48:AL48"/>
    <mergeCell ref="C48:F48"/>
    <mergeCell ref="G48:H48"/>
    <mergeCell ref="J48:K48"/>
    <mergeCell ref="L48:M48"/>
    <mergeCell ref="N48:O48"/>
    <mergeCell ref="P48:Q48"/>
    <mergeCell ref="R47:S47"/>
    <mergeCell ref="T47:U47"/>
    <mergeCell ref="AA47:AB47"/>
    <mergeCell ref="AC47:AF47"/>
    <mergeCell ref="AH47:AJ47"/>
    <mergeCell ref="AK47:AL47"/>
    <mergeCell ref="C47:F47"/>
    <mergeCell ref="G47:H47"/>
    <mergeCell ref="J47:K47"/>
    <mergeCell ref="L47:M47"/>
    <mergeCell ref="N47:O47"/>
    <mergeCell ref="P47:Q47"/>
    <mergeCell ref="Y39:Y46"/>
    <mergeCell ref="Z39:Z46"/>
    <mergeCell ref="AA39:AB46"/>
    <mergeCell ref="AC39:AF46"/>
    <mergeCell ref="AG39:AJ46"/>
    <mergeCell ref="AK39:AL46"/>
    <mergeCell ref="P39:Q46"/>
    <mergeCell ref="R39:S46"/>
    <mergeCell ref="T39:U46"/>
    <mergeCell ref="V39:V46"/>
    <mergeCell ref="W39:W46"/>
    <mergeCell ref="X39:X46"/>
    <mergeCell ref="B39:F46"/>
    <mergeCell ref="G39:H46"/>
    <mergeCell ref="I39:I46"/>
    <mergeCell ref="J39:K46"/>
    <mergeCell ref="L39:M46"/>
    <mergeCell ref="N39:O46"/>
    <mergeCell ref="B36:F37"/>
    <mergeCell ref="G36:J37"/>
    <mergeCell ref="M36:Q37"/>
    <mergeCell ref="R36:U37"/>
    <mergeCell ref="X36:AB37"/>
    <mergeCell ref="AC36:AF37"/>
    <mergeCell ref="B29:H31"/>
    <mergeCell ref="I29:N31"/>
    <mergeCell ref="U29:AA31"/>
    <mergeCell ref="AB29:AG31"/>
    <mergeCell ref="B32:H34"/>
    <mergeCell ref="I32:N34"/>
    <mergeCell ref="U32:AA34"/>
    <mergeCell ref="AB32:AG34"/>
    <mergeCell ref="B23:H25"/>
    <mergeCell ref="I23:N25"/>
    <mergeCell ref="O23:R34"/>
    <mergeCell ref="U23:AA25"/>
    <mergeCell ref="AB23:AG25"/>
    <mergeCell ref="AH23:AL34"/>
    <mergeCell ref="B26:H28"/>
    <mergeCell ref="I26:N28"/>
    <mergeCell ref="U26:AA28"/>
    <mergeCell ref="AB26:AG28"/>
    <mergeCell ref="B17:AL17"/>
    <mergeCell ref="B18:AL20"/>
    <mergeCell ref="B22:H22"/>
    <mergeCell ref="I22:N22"/>
    <mergeCell ref="O22:R22"/>
    <mergeCell ref="U22:AA22"/>
    <mergeCell ref="AB22:AG22"/>
    <mergeCell ref="AH22:AL22"/>
    <mergeCell ref="Q14:U15"/>
    <mergeCell ref="V14:AE15"/>
    <mergeCell ref="B15:E15"/>
    <mergeCell ref="F15:H15"/>
    <mergeCell ref="I15:L15"/>
    <mergeCell ref="M15:O15"/>
    <mergeCell ref="AG11:AL15"/>
    <mergeCell ref="Q12:U13"/>
    <mergeCell ref="V12:AE13"/>
    <mergeCell ref="B13:E13"/>
    <mergeCell ref="F13:H13"/>
    <mergeCell ref="I13:L13"/>
    <mergeCell ref="M13:O13"/>
    <mergeCell ref="B14:E14"/>
    <mergeCell ref="F14:H14"/>
    <mergeCell ref="I14:L14"/>
    <mergeCell ref="M14:O14"/>
    <mergeCell ref="F11:H11"/>
    <mergeCell ref="I11:L11"/>
    <mergeCell ref="M11:O11"/>
    <mergeCell ref="B12:E12"/>
    <mergeCell ref="F12:H12"/>
    <mergeCell ref="I12:L12"/>
    <mergeCell ref="M12:O12"/>
    <mergeCell ref="B9:O9"/>
    <mergeCell ref="Q9:AE9"/>
    <mergeCell ref="AG9:AL10"/>
    <mergeCell ref="B10:E10"/>
    <mergeCell ref="F10:H10"/>
    <mergeCell ref="I10:L10"/>
    <mergeCell ref="M10:O10"/>
    <mergeCell ref="Q10:U11"/>
    <mergeCell ref="V10:AE11"/>
    <mergeCell ref="B11:E11"/>
    <mergeCell ref="B1:O2"/>
    <mergeCell ref="P1:R1"/>
    <mergeCell ref="P2:R2"/>
    <mergeCell ref="Q3:AF3"/>
    <mergeCell ref="B4:Q4"/>
    <mergeCell ref="B5:O5"/>
    <mergeCell ref="Q5:AE5"/>
    <mergeCell ref="AG5:AL5"/>
    <mergeCell ref="B6:F6"/>
    <mergeCell ref="G6:O6"/>
    <mergeCell ref="Q6:U6"/>
    <mergeCell ref="V6:AE6"/>
    <mergeCell ref="AG6:AL7"/>
    <mergeCell ref="B7:F7"/>
    <mergeCell ref="G7:O7"/>
    <mergeCell ref="Q7:U7"/>
    <mergeCell ref="V7:AE7"/>
    <mergeCell ref="AE187:AG189"/>
    <mergeCell ref="AH187:AI189"/>
    <mergeCell ref="AJ187:AK189"/>
    <mergeCell ref="AJ172:AK174"/>
    <mergeCell ref="AJ175:AK177"/>
    <mergeCell ref="B180:AK181"/>
    <mergeCell ref="B182:B183"/>
    <mergeCell ref="C182:D183"/>
    <mergeCell ref="E182:L183"/>
    <mergeCell ref="M182:T183"/>
    <mergeCell ref="U182:Y183"/>
    <mergeCell ref="Z182:AA183"/>
    <mergeCell ref="AB182:AD183"/>
    <mergeCell ref="AE182:AG183"/>
    <mergeCell ref="AH182:AI183"/>
    <mergeCell ref="B175:B177"/>
    <mergeCell ref="C175:D177"/>
    <mergeCell ref="E175:L177"/>
    <mergeCell ref="M175:T177"/>
    <mergeCell ref="U175:Y177"/>
    <mergeCell ref="Z175:AA177"/>
    <mergeCell ref="AB175:AD177"/>
    <mergeCell ref="AE175:AG177"/>
    <mergeCell ref="AH175:AI177"/>
  </mergeCells>
  <phoneticPr fontId="21" type="noConversion"/>
  <conditionalFormatting sqref="B63">
    <cfRule type="expression" dxfId="292" priority="108">
      <formula>MAX($AY$67)=2</formula>
    </cfRule>
    <cfRule type="expression" dxfId="291" priority="109">
      <formula>MAX($AY$67)=3</formula>
    </cfRule>
    <cfRule type="expression" dxfId="290" priority="107">
      <formula>MAX($AY$67)=1</formula>
    </cfRule>
    <cfRule type="expression" dxfId="289" priority="106">
      <formula>MAX($AY$67)=0</formula>
    </cfRule>
  </conditionalFormatting>
  <conditionalFormatting sqref="B71">
    <cfRule type="expression" dxfId="288" priority="103">
      <formula>MAX($AY$75:$AY$87)=1</formula>
    </cfRule>
    <cfRule type="expression" dxfId="287" priority="104">
      <formula>MAX($AY$75:$AY$87)=2</formula>
    </cfRule>
    <cfRule type="expression" dxfId="286" priority="102">
      <formula>MAX($AY$75:$AY$87)=0</formula>
    </cfRule>
    <cfRule type="expression" dxfId="285" priority="105">
      <formula>MAX($AY$75:$AY$87)=3</formula>
    </cfRule>
  </conditionalFormatting>
  <conditionalFormatting sqref="B91">
    <cfRule type="expression" dxfId="284" priority="27">
      <formula>MAX($AY$95:$AY$110)=1</formula>
    </cfRule>
    <cfRule type="expression" dxfId="283" priority="26">
      <formula>MAX($AY$95:$AY$110)=0</formula>
    </cfRule>
    <cfRule type="expression" dxfId="282" priority="29">
      <formula>MAX($AY$95:$AY$110)=3</formula>
    </cfRule>
    <cfRule type="expression" dxfId="281" priority="28">
      <formula>MAX($AY$95:$AY$110)=2</formula>
    </cfRule>
  </conditionalFormatting>
  <conditionalFormatting sqref="B114">
    <cfRule type="expression" dxfId="280" priority="140">
      <formula>MAX($AY$118:$AY$143)=3</formula>
    </cfRule>
    <cfRule type="expression" dxfId="279" priority="139">
      <formula>MAX($AY$118:$AY$143)=2</formula>
    </cfRule>
    <cfRule type="expression" dxfId="278" priority="138">
      <formula>MAX($AY$118:$AY$143)=1</formula>
    </cfRule>
    <cfRule type="expression" dxfId="277" priority="137">
      <formula>MAX($AY$118:$AY$143)=0</formula>
    </cfRule>
  </conditionalFormatting>
  <conditionalFormatting sqref="B147">
    <cfRule type="expression" dxfId="276" priority="101">
      <formula>MAX($AY$151)=3</formula>
    </cfRule>
    <cfRule type="expression" dxfId="275" priority="98">
      <formula>MAX($AY$151)=0</formula>
    </cfRule>
    <cfRule type="expression" dxfId="274" priority="100">
      <formula>MAX($AY$151)=2</formula>
    </cfRule>
    <cfRule type="expression" dxfId="273" priority="99">
      <formula>MAX($AY$151)=1</formula>
    </cfRule>
  </conditionalFormatting>
  <conditionalFormatting sqref="B154">
    <cfRule type="expression" dxfId="272" priority="1011">
      <formula>MAX($AY$158:$AY$161)=2</formula>
    </cfRule>
    <cfRule type="expression" dxfId="271" priority="1010">
      <formula>MAX($AY$158:$AY$161)=1</formula>
    </cfRule>
    <cfRule type="expression" dxfId="270" priority="1009">
      <formula>MAX($AY$158:$AY$161)=0</formula>
    </cfRule>
    <cfRule type="expression" dxfId="269" priority="1012">
      <formula>MAX($AY$158:$AY$161)=3</formula>
    </cfRule>
  </conditionalFormatting>
  <conditionalFormatting sqref="B168">
    <cfRule type="expression" dxfId="268" priority="91">
      <formula>MAX($AY$172:$AY$175)=1</formula>
    </cfRule>
    <cfRule type="expression" dxfId="267" priority="90">
      <formula>MAX($AY$172:$AY$175)=0</formula>
    </cfRule>
    <cfRule type="expression" dxfId="266" priority="93">
      <formula>MAX($AY$172:$AY$175)=3</formula>
    </cfRule>
    <cfRule type="expression" dxfId="265" priority="92">
      <formula>MAX($AY$172:$AY$175)=2</formula>
    </cfRule>
  </conditionalFormatting>
  <conditionalFormatting sqref="B180">
    <cfRule type="expression" dxfId="264" priority="65">
      <formula>MAX($AY$184:$AY$205)=0</formula>
    </cfRule>
    <cfRule type="expression" dxfId="263" priority="67">
      <formula>MAX($AY$184:$AY$205)=2</formula>
    </cfRule>
    <cfRule type="expression" dxfId="262" priority="66">
      <formula>MAX($AY$184:$AY$205)=1</formula>
    </cfRule>
    <cfRule type="expression" dxfId="261" priority="68">
      <formula>MAX($AY$184:$AY$205)=3</formula>
    </cfRule>
  </conditionalFormatting>
  <conditionalFormatting sqref="Z67 Z95:AA112 Z158:AA166">
    <cfRule type="expression" dxfId="260" priority="38">
      <formula>$AY67=2</formula>
    </cfRule>
    <cfRule type="expression" dxfId="259" priority="39">
      <formula>$AY67=1</formula>
    </cfRule>
  </conditionalFormatting>
  <conditionalFormatting sqref="Z75:AA89">
    <cfRule type="expression" dxfId="216" priority="76">
      <formula>$AY75=3</formula>
    </cfRule>
    <cfRule type="expression" dxfId="215" priority="77">
      <formula>$AY75=2</formula>
    </cfRule>
    <cfRule type="expression" dxfId="214" priority="78">
      <formula>$AY75=1</formula>
    </cfRule>
  </conditionalFormatting>
  <conditionalFormatting sqref="Z95:AA112 Z158:AA166 Z67">
    <cfRule type="expression" dxfId="213" priority="37">
      <formula>$AY67=3</formula>
    </cfRule>
  </conditionalFormatting>
  <conditionalFormatting sqref="Z118:AA145 Z151:AA152 Z172:AA177 Z184:AA204">
    <cfRule type="expression" dxfId="212" priority="113">
      <formula>$AY118=2</formula>
    </cfRule>
    <cfRule type="expression" dxfId="211" priority="114">
      <formula>$AY118=1</formula>
    </cfRule>
  </conditionalFormatting>
  <conditionalFormatting sqref="Z184:AA204 Z151:AA152 Z118:AA145 Z172:AA177">
    <cfRule type="expression" dxfId="210" priority="112">
      <formula>$AY118=3</formula>
    </cfRule>
  </conditionalFormatting>
  <conditionalFormatting sqref="Z205:AA207">
    <cfRule type="cellIs" dxfId="209" priority="46" operator="equal">
      <formula>"yellow"</formula>
    </cfRule>
    <cfRule type="cellIs" dxfId="208" priority="47" operator="equal">
      <formula>"green"</formula>
    </cfRule>
    <cfRule type="cellIs" dxfId="207" priority="48" operator="equal">
      <formula>"NREL"</formula>
    </cfRule>
    <cfRule type="cellIs" dxfId="206" priority="49" operator="equal">
      <formula>"Rot"</formula>
    </cfRule>
    <cfRule type="cellIs" dxfId="205" priority="50" operator="equal">
      <formula>"Gelb"</formula>
    </cfRule>
    <cfRule type="cellIs" dxfId="204" priority="51" operator="equal">
      <formula>"Grün"</formula>
    </cfRule>
    <cfRule type="expression" dxfId="203" priority="54">
      <formula>$AY205=3</formula>
    </cfRule>
    <cfRule type="expression" dxfId="202" priority="56">
      <formula>$AY205=1</formula>
    </cfRule>
    <cfRule type="expression" dxfId="201" priority="55">
      <formula>$AY205=2</formula>
    </cfRule>
    <cfRule type="cellIs" dxfId="200" priority="45" operator="equal">
      <formula>"red"</formula>
    </cfRule>
  </conditionalFormatting>
  <conditionalFormatting sqref="AG11">
    <cfRule type="expression" dxfId="199" priority="89">
      <formula>AND($BB$66&gt;0,$BB$66&lt;5)</formula>
    </cfRule>
    <cfRule type="expression" dxfId="198" priority="87">
      <formula>$BB$66=6</formula>
    </cfRule>
    <cfRule type="expression" dxfId="197" priority="86">
      <formula>$BB$66=10</formula>
    </cfRule>
    <cfRule type="expression" dxfId="196" priority="88">
      <formula>$BB$66=5</formula>
    </cfRule>
  </conditionalFormatting>
  <conditionalFormatting sqref="AG47:AH61">
    <cfRule type="expression" dxfId="195" priority="63">
      <formula>MAX($AY47:$AZ47)=2</formula>
    </cfRule>
    <cfRule type="expression" dxfId="194" priority="64">
      <formula>MAX($AY47:$AZ47)=3</formula>
    </cfRule>
    <cfRule type="expression" dxfId="193" priority="62">
      <formula>MAX($AY47:$AZ47)=1</formula>
    </cfRule>
  </conditionalFormatting>
  <conditionalFormatting sqref="AJ67">
    <cfRule type="expression" dxfId="192" priority="85">
      <formula>BD67=1</formula>
    </cfRule>
    <cfRule type="expression" dxfId="191" priority="84">
      <formula>BD67=3</formula>
    </cfRule>
  </conditionalFormatting>
  <conditionalFormatting sqref="AJ75:AK89 AJ95:AK112 AJ158:AK166">
    <cfRule type="expression" dxfId="158" priority="75">
      <formula>$BA75=1</formula>
    </cfRule>
  </conditionalFormatting>
  <conditionalFormatting sqref="AJ95:AK112 AJ158:AK166 AJ75:AK89">
    <cfRule type="expression" dxfId="157" priority="74">
      <formula>$BA75=3</formula>
    </cfRule>
  </conditionalFormatting>
  <conditionalFormatting sqref="AJ118:AK145 AJ151:AK152 AJ172:AK177 AJ184:AK204">
    <cfRule type="expression" dxfId="156" priority="111">
      <formula>$BA118=1</formula>
    </cfRule>
  </conditionalFormatting>
  <conditionalFormatting sqref="AJ184:AK204 AJ151:AK152 AJ118:AK145 AJ172:AK177">
    <cfRule type="expression" dxfId="155" priority="110">
      <formula>$BA118=3</formula>
    </cfRule>
  </conditionalFormatting>
  <conditionalFormatting sqref="AJ205:AK207">
    <cfRule type="cellIs" dxfId="154" priority="53" operator="equal">
      <formula>"in progress"</formula>
    </cfRule>
    <cfRule type="cellIs" dxfId="153" priority="52" operator="equal">
      <formula>"completed"</formula>
    </cfRule>
    <cfRule type="cellIs" dxfId="152" priority="44" operator="equal">
      <formula>"erledigt"</formula>
    </cfRule>
    <cfRule type="cellIs" dxfId="151" priority="43" operator="equal">
      <formula>"in Arbeit"</formula>
    </cfRule>
  </conditionalFormatting>
  <dataValidations count="5">
    <dataValidation type="list" allowBlank="1" showInputMessage="1" sqref="M127:T127" xr:uid="{00000000-0002-0000-1000-000000000000}">
      <formula1>MPR</formula1>
    </dataValidation>
    <dataValidation type="list" allowBlank="1" showInputMessage="1" showErrorMessage="1" sqref="AJ67:AK69 AJ118:AK145 AJ151:AK152 AJ75:AK89 AJ95:AK112 AJ172:AK178 AJ184:AK207 AJ158:AK160 AJ161:AK166" xr:uid="{00000000-0002-0000-1000-000001000000}">
      <formula1>Status_Maßnahme</formula1>
    </dataValidation>
    <dataValidation type="list" allowBlank="1" showInputMessage="1" showErrorMessage="1" sqref="V12:AE13" xr:uid="{00000000-0002-0000-1000-000002000000}">
      <formula1>Auswahlfeld_FRT_Wiederholung</formula1>
    </dataValidation>
    <dataValidation type="list" allowBlank="1" showInputMessage="1" showErrorMessage="1" sqref="V10:AE11" xr:uid="{00000000-0002-0000-1000-000003000000}">
      <formula1>Auswahlfeld_FRT_Durchführung</formula1>
    </dataValidation>
    <dataValidation type="list" allowBlank="1" showInputMessage="1" showErrorMessage="1" sqref="Z95:AA112 Z75:AA89 Z118:AA145 Z151:AA152 Z172:AA178 Z184:AA207 Z158:AA160 Z161:AA166" xr:uid="{00000000-0002-0000-1000-000004000000}">
      <formula1>Status_Bewertung</formula1>
    </dataValidation>
  </dataValidations>
  <printOptions horizontalCentered="1"/>
  <pageMargins left="0.59055118110236227" right="0.23622047244094491" top="0.98425196850393704" bottom="0.78740157480314965" header="0.31496062992125984" footer="0.31496062992125984"/>
  <pageSetup paperSize="8" scale="85" fitToHeight="4"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3" manualBreakCount="3">
    <brk id="61" min="1" max="37" man="1"/>
    <brk id="127" min="1" max="37" man="1"/>
    <brk id="167" min="1" max="37" man="1"/>
  </rowBreaks>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23905" r:id="rId6" name="Drop Down 1">
              <controlPr defaultSize="0" autoLine="0" autoPict="0">
                <anchor moveWithCells="1">
                  <from>
                    <xdr:col>20</xdr:col>
                    <xdr:colOff>79513</xdr:colOff>
                    <xdr:row>0</xdr:row>
                    <xdr:rowOff>103367</xdr:rowOff>
                  </from>
                  <to>
                    <xdr:col>23</xdr:col>
                    <xdr:colOff>254442</xdr:colOff>
                    <xdr:row>1</xdr:row>
                    <xdr:rowOff>151075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ellIs" priority="133" operator="equal" id="{B2742481-34B2-4139-977D-76CEE45E630D}">
            <xm:f>'https://brosecloud.sharepoint.com/Users/qmsmuel/AppData/Roaming/brose.net/users/WUP/homer/reinhol/Documents/SQR-Template/alt/[SQR_Template_Global_V5.xlsx]LANGUAGE'!#REF!</xm:f>
            <x14:dxf>
              <fill>
                <patternFill>
                  <bgColor rgb="FFFFFF00"/>
                </patternFill>
              </fill>
            </x14:dxf>
          </x14:cfRule>
          <x14:cfRule type="cellIs" priority="132" operator="equal" id="{DE416DE3-AD63-4B21-AD74-948C2E92C9F2}">
            <xm:f>'https://brosecloud.sharepoint.com/Users/qmsmuel/AppData/Roaming/brose.net/users/WUP/homer/reinhol/Documents/SQR-Template/alt/[SQR_Template_Global_V5.xlsx]LANGUAGE'!#REF!</xm:f>
            <x14:dxf>
              <fill>
                <patternFill>
                  <bgColor rgb="FFFF0000"/>
                </patternFill>
              </fill>
            </x14:dxf>
          </x14:cfRule>
          <x14:cfRule type="cellIs" priority="134" operator="equal" id="{898CE1F1-A1D3-4824-A1DA-0FD26B113A7E}">
            <xm:f>'https://brosecloud.sharepoint.com/Users/qmsmuel/AppData/Roaming/brose.net/users/WUP/homer/reinhol/Documents/SQR-Template/alt/[SQR_Template_Global_V5.xlsx]LANGUAGE'!#REF!</xm:f>
            <x14:dxf>
              <fill>
                <patternFill>
                  <bgColor rgb="FF00FF00"/>
                </patternFill>
              </fill>
            </x14:dxf>
          </x14:cfRule>
          <xm:sqref>Z78 Z81 Z87</xm:sqref>
        </x14:conditionalFormatting>
        <x14:conditionalFormatting xmlns:xm="http://schemas.microsoft.com/office/excel/2006/main">
          <x14:cfRule type="cellIs" priority="83" operator="equal" id="{98864266-431F-4B35-A826-ADB133B36295}">
            <xm:f>'https://brosecloud.sharepoint.com/Users/qmsmuel/AppData/Roaming/brose.net/users/WUP/homer/reinhol/Documents/SQR-Template/alt/[SQR_Template_Global_V5.xlsx]LANGUAGE'!#REF!</xm:f>
            <x14:dxf>
              <fill>
                <patternFill>
                  <bgColor rgb="FF00FF00"/>
                </patternFill>
              </fill>
            </x14:dxf>
          </x14:cfRule>
          <x14:cfRule type="cellIs" priority="82" operator="equal" id="{3D98FFB9-77D6-4A36-8CFE-EBD1461BDBAB}">
            <xm:f>'https://brosecloud.sharepoint.com/Users/qmsmuel/AppData/Roaming/brose.net/users/WUP/homer/reinhol/Documents/SQR-Template/alt/[SQR_Template_Global_V5.xlsx]LANGUAGE'!#REF!</xm:f>
            <x14:dxf>
              <fill>
                <patternFill>
                  <bgColor rgb="FFFFFF00"/>
                </patternFill>
              </fill>
            </x14:dxf>
          </x14:cfRule>
          <x14:cfRule type="cellIs" priority="81" operator="equal" id="{7542FAD2-7BB8-4B9E-A094-4185313A72D7}">
            <xm:f>'https://brosecloud.sharepoint.com/Users/qmsmuel/AppData/Roaming/brose.net/users/WUP/homer/reinhol/Documents/SQR-Template/alt/[SQR_Template_Global_V5.xlsx]LANGUAGE'!#REF!</xm:f>
            <x14:dxf>
              <fill>
                <patternFill>
                  <bgColor rgb="FFFF0000"/>
                </patternFill>
              </fill>
            </x14:dxf>
          </x14:cfRule>
          <xm:sqref>Z84</xm:sqref>
        </x14:conditionalFormatting>
        <x14:conditionalFormatting xmlns:xm="http://schemas.microsoft.com/office/excel/2006/main">
          <x14:cfRule type="cellIs" priority="34" operator="equal" id="{31A45CC4-49DA-4A33-9755-7140622D3A4B}">
            <xm:f>'https://brosecloud.sharepoint.com/Users/qmsmuel/AppData/Roaming/brose.net/users/WUP/homer/reinhol/Documents/SQR-Template/alt/[SQR_Template_Global_V5.xlsx]LANGUAGE'!#REF!</xm:f>
            <x14:dxf>
              <fill>
                <patternFill>
                  <bgColor rgb="FF00FF00"/>
                </patternFill>
              </fill>
            </x14:dxf>
          </x14:cfRule>
          <x14:cfRule type="cellIs" priority="32" operator="equal" id="{486CF06D-6EEA-4588-B9DF-98F7353539CD}">
            <xm:f>'https://brosecloud.sharepoint.com/Users/qmsmuel/AppData/Roaming/brose.net/users/WUP/homer/reinhol/Documents/SQR-Template/alt/[SQR_Template_Global_V5.xlsx]LANGUAGE'!#REF!</xm:f>
            <x14:dxf>
              <fill>
                <patternFill>
                  <bgColor rgb="FFFF0000"/>
                </patternFill>
              </fill>
            </x14:dxf>
          </x14:cfRule>
          <x14:cfRule type="cellIs" priority="33" operator="equal" id="{B9EEE5AF-0F27-4F2D-AFDF-FCF7909ED254}">
            <xm:f>'https://brosecloud.sharepoint.com/Users/qmsmuel/AppData/Roaming/brose.net/users/WUP/homer/reinhol/Documents/SQR-Template/alt/[SQR_Template_Global_V5.xlsx]LANGUAGE'!#REF!</xm:f>
            <x14:dxf>
              <fill>
                <patternFill>
                  <bgColor rgb="FFFFFF00"/>
                </patternFill>
              </fill>
            </x14:dxf>
          </x14:cfRule>
          <xm:sqref>Z95 Z101 Z110</xm:sqref>
        </x14:conditionalFormatting>
        <x14:conditionalFormatting xmlns:xm="http://schemas.microsoft.com/office/excel/2006/main">
          <x14:cfRule type="cellIs" priority="18" operator="equal" id="{699ACAC9-EB62-4F82-B49B-EFBD6B53BB5E}">
            <xm:f>'https://brosecloud.sharepoint.com/Users/qmsmuel/AppData/Roaming/brose.net/users/WUP/homer/reinhol/Documents/SQR-Template/alt/[SQR_Template_Global_V5.xlsx]LANGUAGE'!#REF!</xm:f>
            <x14:dxf>
              <fill>
                <patternFill>
                  <bgColor rgb="FFFF0000"/>
                </patternFill>
              </fill>
            </x14:dxf>
          </x14:cfRule>
          <x14:cfRule type="cellIs" priority="20" operator="equal" id="{1B431761-9C28-423E-A953-A810A990F11F}">
            <xm:f>'https://brosecloud.sharepoint.com/Users/qmsmuel/AppData/Roaming/brose.net/users/WUP/homer/reinhol/Documents/SQR-Template/alt/[SQR_Template_Global_V5.xlsx]LANGUAGE'!#REF!</xm:f>
            <x14:dxf>
              <fill>
                <patternFill>
                  <bgColor rgb="FF00FF00"/>
                </patternFill>
              </fill>
            </x14:dxf>
          </x14:cfRule>
          <x14:cfRule type="cellIs" priority="19" operator="equal" id="{9806E0EA-4046-4BF1-BF82-36972F21FB8E}">
            <xm:f>'https://brosecloud.sharepoint.com/Users/qmsmuel/AppData/Roaming/brose.net/users/WUP/homer/reinhol/Documents/SQR-Template/alt/[SQR_Template_Global_V5.xlsx]LANGUAGE'!#REF!</xm:f>
            <x14:dxf>
              <fill>
                <patternFill>
                  <bgColor rgb="FFFFFF00"/>
                </patternFill>
              </fill>
            </x14:dxf>
          </x14:cfRule>
          <xm:sqref>Z104</xm:sqref>
        </x14:conditionalFormatting>
        <x14:conditionalFormatting xmlns:xm="http://schemas.microsoft.com/office/excel/2006/main">
          <x14:cfRule type="cellIs" priority="25" operator="equal" id="{33104A68-BC5E-4914-96F8-FC94C8902AE7}">
            <xm:f>'https://brosecloud.sharepoint.com/Users/qmsmuel/AppData/Roaming/brose.net/users/WUP/homer/reinhol/Documents/SQR-Template/alt/[SQR_Template_Global_V5.xlsx]LANGUAGE'!#REF!</xm:f>
            <x14:dxf>
              <fill>
                <patternFill>
                  <bgColor rgb="FF00FF00"/>
                </patternFill>
              </fill>
            </x14:dxf>
          </x14:cfRule>
          <x14:cfRule type="cellIs" priority="24" operator="equal" id="{527C1A09-0C9F-4616-98B2-E22B66C30702}">
            <xm:f>'https://brosecloud.sharepoint.com/Users/qmsmuel/AppData/Roaming/brose.net/users/WUP/homer/reinhol/Documents/SQR-Template/alt/[SQR_Template_Global_V5.xlsx]LANGUAGE'!#REF!</xm:f>
            <x14:dxf>
              <fill>
                <patternFill>
                  <bgColor rgb="FFFFFF00"/>
                </patternFill>
              </fill>
            </x14:dxf>
          </x14:cfRule>
          <x14:cfRule type="cellIs" priority="23" operator="equal" id="{D38A1AE1-DD3C-4DF7-A5F4-3F20951FB2DC}">
            <xm:f>'https://brosecloud.sharepoint.com/Users/qmsmuel/AppData/Roaming/brose.net/users/WUP/homer/reinhol/Documents/SQR-Template/alt/[SQR_Template_Global_V5.xlsx]LANGUAGE'!#REF!</xm:f>
            <x14:dxf>
              <fill>
                <patternFill>
                  <bgColor rgb="FFFF0000"/>
                </patternFill>
              </fill>
            </x14:dxf>
          </x14:cfRule>
          <xm:sqref>Z107</xm:sqref>
        </x14:conditionalFormatting>
        <x14:conditionalFormatting xmlns:xm="http://schemas.microsoft.com/office/excel/2006/main">
          <x14:cfRule type="cellIs" priority="128" operator="equal" id="{F57918B9-F774-4606-B07B-9E2B53061A22}">
            <xm:f>'https://brosecloud.sharepoint.com/Users/qmsmuel/AppData/Roaming/brose.net/users/WUP/homer/reinhol/Documents/SQR-Template/alt/[SQR_Template_Global_V5.xlsx]LANGUAGE'!#REF!</xm:f>
            <x14:dxf>
              <fill>
                <patternFill>
                  <bgColor rgb="FFFFFF00"/>
                </patternFill>
              </fill>
            </x14:dxf>
          </x14:cfRule>
          <x14:cfRule type="cellIs" priority="127" operator="equal" id="{953AA2D9-AC54-4F27-A8AD-46F1B6D980F7}">
            <xm:f>'https://brosecloud.sharepoint.com/Users/qmsmuel/AppData/Roaming/brose.net/users/WUP/homer/reinhol/Documents/SQR-Template/alt/[SQR_Template_Global_V5.xlsx]LANGUAGE'!#REF!</xm:f>
            <x14:dxf>
              <fill>
                <patternFill>
                  <bgColor rgb="FFFF0000"/>
                </patternFill>
              </fill>
            </x14:dxf>
          </x14:cfRule>
          <x14:cfRule type="cellIs" priority="129" operator="equal" id="{B2FC6CB3-9C0C-40E6-BC91-FD02206AF3AE}">
            <xm:f>'https://brosecloud.sharepoint.com/Users/qmsmuel/AppData/Roaming/brose.net/users/WUP/homer/reinhol/Documents/SQR-Template/alt/[SQR_Template_Global_V5.xlsx]LANGUAGE'!#REF!</xm:f>
            <x14:dxf>
              <fill>
                <patternFill>
                  <bgColor rgb="FF00FF00"/>
                </patternFill>
              </fill>
            </x14:dxf>
          </x14:cfRule>
          <xm:sqref>Z118 Z121 Z124 Z128 Z131 Z134 Z137 Z140 Z143</xm:sqref>
        </x14:conditionalFormatting>
        <x14:conditionalFormatting xmlns:xm="http://schemas.microsoft.com/office/excel/2006/main">
          <x14:cfRule type="cellIs" priority="15" operator="equal" id="{91555836-A640-414B-AE29-45C7C6D2D11E}">
            <xm:f>'https://brosecloud.sharepoint.com/Users/qmsmuel/AppData/Roaming/brose.net/users/WUP/homer/reinhol/Documents/SQR-Template/alt/[SQR_Template_Global_V5.xlsx]LANGUAGE'!#REF!</xm:f>
            <x14:dxf>
              <fill>
                <patternFill>
                  <bgColor rgb="FF00FF00"/>
                </patternFill>
              </fill>
            </x14:dxf>
          </x14:cfRule>
          <x14:cfRule type="cellIs" priority="13" operator="equal" id="{1F9E1D3F-543B-4900-938A-A6C0FE68BCD6}">
            <xm:f>'https://brosecloud.sharepoint.com/Users/qmsmuel/AppData/Roaming/brose.net/users/WUP/homer/reinhol/Documents/SQR-Template/alt/[SQR_Template_Global_V5.xlsx]LANGUAGE'!#REF!</xm:f>
            <x14:dxf>
              <fill>
                <patternFill>
                  <bgColor rgb="FFFF0000"/>
                </patternFill>
              </fill>
            </x14:dxf>
          </x14:cfRule>
          <x14:cfRule type="cellIs" priority="14" operator="equal" id="{EA46C74C-2FE7-432A-A569-41B7AEE3D188}">
            <xm:f>'https://brosecloud.sharepoint.com/Users/qmsmuel/AppData/Roaming/brose.net/users/WUP/homer/reinhol/Documents/SQR-Template/alt/[SQR_Template_Global_V5.xlsx]LANGUAGE'!#REF!</xm:f>
            <x14:dxf>
              <fill>
                <patternFill>
                  <bgColor rgb="FFFFFF00"/>
                </patternFill>
              </fill>
            </x14:dxf>
          </x14:cfRule>
          <xm:sqref>Z151</xm:sqref>
        </x14:conditionalFormatting>
        <x14:conditionalFormatting xmlns:xm="http://schemas.microsoft.com/office/excel/2006/main">
          <x14:cfRule type="cellIs" priority="124" operator="equal" id="{7ED420F6-BBDF-450F-B2B3-74B7B1273866}">
            <xm:f>'https://brosecloud.sharepoint.com/Users/qmsmuel/AppData/Roaming/brose.net/users/WUP/homer/reinhol/Documents/SQR-Template/alt/[SQR_Template_Global_V5.xlsx]LANGUAGE'!#REF!</xm:f>
            <x14:dxf>
              <fill>
                <patternFill>
                  <bgColor rgb="FF00FF00"/>
                </patternFill>
              </fill>
            </x14:dxf>
          </x14:cfRule>
          <x14:cfRule type="cellIs" priority="123" operator="equal" id="{DA8A9EED-8085-41CB-BDE1-B5D5056193D0}">
            <xm:f>'https://brosecloud.sharepoint.com/Users/qmsmuel/AppData/Roaming/brose.net/users/WUP/homer/reinhol/Documents/SQR-Template/alt/[SQR_Template_Global_V5.xlsx]LANGUAGE'!#REF!</xm:f>
            <x14:dxf>
              <fill>
                <patternFill>
                  <bgColor rgb="FFFFFF00"/>
                </patternFill>
              </fill>
            </x14:dxf>
          </x14:cfRule>
          <x14:cfRule type="cellIs" priority="122" operator="equal" id="{AB31EC1D-C05C-4EC7-8EFC-8A2C53BFD2E0}">
            <xm:f>'https://brosecloud.sharepoint.com/Users/qmsmuel/AppData/Roaming/brose.net/users/WUP/homer/reinhol/Documents/SQR-Template/alt/[SQR_Template_Global_V5.xlsx]LANGUAGE'!#REF!</xm:f>
            <x14:dxf>
              <fill>
                <patternFill>
                  <bgColor rgb="FFFF0000"/>
                </patternFill>
              </fill>
            </x14:dxf>
          </x14:cfRule>
          <xm:sqref>Z158 Z161</xm:sqref>
        </x14:conditionalFormatting>
        <x14:conditionalFormatting xmlns:xm="http://schemas.microsoft.com/office/excel/2006/main">
          <x14:cfRule type="cellIs" priority="3" operator="equal" id="{248AB019-6888-484D-A648-068641DADB1C}">
            <xm:f>'https://brosecloud.sharepoint.com/Users/qmsmuel/AppData/Roaming/brose.net/users/WUP/homer/reinhol/Documents/SQR-Template/alt/[SQR_Template_Global_V5.xlsx]LANGUAGE'!#REF!</xm:f>
            <x14:dxf>
              <fill>
                <patternFill>
                  <bgColor rgb="FFFF0000"/>
                </patternFill>
              </fill>
            </x14:dxf>
          </x14:cfRule>
          <x14:cfRule type="cellIs" priority="4" operator="equal" id="{85BD2044-1D33-438D-A8B2-A404C6D14AD8}">
            <xm:f>'https://brosecloud.sharepoint.com/Users/qmsmuel/AppData/Roaming/brose.net/users/WUP/homer/reinhol/Documents/SQR-Template/alt/[SQR_Template_Global_V5.xlsx]LANGUAGE'!#REF!</xm:f>
            <x14:dxf>
              <fill>
                <patternFill>
                  <bgColor rgb="FFFFFF00"/>
                </patternFill>
              </fill>
            </x14:dxf>
          </x14:cfRule>
          <x14:cfRule type="cellIs" priority="5" operator="equal" id="{3A75D452-4EB9-4F30-8691-E37318F6D7CF}">
            <xm:f>'https://brosecloud.sharepoint.com/Users/qmsmuel/AppData/Roaming/brose.net/users/WUP/homer/reinhol/Documents/SQR-Template/alt/[SQR_Template_Global_V5.xlsx]LANGUAGE'!#REF!</xm:f>
            <x14:dxf>
              <fill>
                <patternFill>
                  <bgColor rgb="FF00FF00"/>
                </patternFill>
              </fill>
            </x14:dxf>
          </x14:cfRule>
          <xm:sqref>Z164</xm:sqref>
        </x14:conditionalFormatting>
        <x14:conditionalFormatting xmlns:xm="http://schemas.microsoft.com/office/excel/2006/main">
          <x14:cfRule type="cellIs" priority="117" operator="equal" id="{56EA8174-7E0D-4AA1-8D8F-29CF7398532A}">
            <xm:f>'https://brosecloud.sharepoint.com/Users/qmsmuel/AppData/Roaming/brose.net/users/WUP/homer/reinhol/Documents/SQR-Template/alt/[SQR_Template_Global_V5.xlsx]LANGUAGE'!#REF!</xm:f>
            <x14:dxf>
              <fill>
                <patternFill>
                  <bgColor rgb="FFFF0000"/>
                </patternFill>
              </fill>
            </x14:dxf>
          </x14:cfRule>
          <x14:cfRule type="cellIs" priority="118" operator="equal" id="{17E4C13E-0A58-42C8-98CC-634F27381446}">
            <xm:f>'https://brosecloud.sharepoint.com/Users/qmsmuel/AppData/Roaming/brose.net/users/WUP/homer/reinhol/Documents/SQR-Template/alt/[SQR_Template_Global_V5.xlsx]LANGUAGE'!#REF!</xm:f>
            <x14:dxf>
              <fill>
                <patternFill>
                  <bgColor rgb="FFFFFF00"/>
                </patternFill>
              </fill>
            </x14:dxf>
          </x14:cfRule>
          <x14:cfRule type="cellIs" priority="119" operator="equal" id="{D4C747C5-98D4-4C1E-B815-8182FA340C88}">
            <xm:f>'https://brosecloud.sharepoint.com/Users/qmsmuel/AppData/Roaming/brose.net/users/WUP/homer/reinhol/Documents/SQR-Template/alt/[SQR_Template_Global_V5.xlsx]LANGUAGE'!#REF!</xm:f>
            <x14:dxf>
              <fill>
                <patternFill>
                  <bgColor rgb="FF00FF00"/>
                </patternFill>
              </fill>
            </x14:dxf>
          </x14:cfRule>
          <xm:sqref>Z172 Z175</xm:sqref>
        </x14:conditionalFormatting>
        <x14:conditionalFormatting xmlns:xm="http://schemas.microsoft.com/office/excel/2006/main">
          <x14:cfRule type="cellIs" priority="42" operator="equal" id="{093ACEB6-FB63-428F-9EC3-CAC666BDC55E}">
            <xm:f>'https://brosecloud.sharepoint.com/Users/qmsmuel/AppData/Roaming/brose.net/users/WUP/homer/reinhol/Documents/SQR-Template/alt/[SQR_Template_Global_V5.xlsx]LANGUAGE'!#REF!</xm:f>
            <x14:dxf>
              <fill>
                <patternFill>
                  <bgColor rgb="FF00FF00"/>
                </patternFill>
              </fill>
            </x14:dxf>
          </x14:cfRule>
          <x14:cfRule type="cellIs" priority="141" operator="equal" id="{74FE439B-94BD-4A34-ABEF-ABA4A2FF2A11}">
            <xm:f>'https://brosecloud.sharepoint.com/Users/qmsmuel/AppData/Roaming/brose.net/users/WUP/homer/reinhol/Documents/SQR-Template/alt/[SQR_Template_Global_V5.xlsx]LANGUAGE'!#REF!</xm:f>
            <x14:dxf>
              <fill>
                <patternFill>
                  <bgColor rgb="FFFF0000"/>
                </patternFill>
              </fill>
            </x14:dxf>
          </x14:cfRule>
          <x14:cfRule type="cellIs" priority="41" operator="equal" id="{4BE85636-BC3E-4D32-8F32-6C86CCB38765}">
            <xm:f>'https://brosecloud.sharepoint.com/Users/qmsmuel/AppData/Roaming/brose.net/users/WUP/homer/reinhol/Documents/SQR-Template/alt/[SQR_Template_Global_V5.xlsx]LANGUAGE'!#REF!</xm:f>
            <x14:dxf>
              <fill>
                <patternFill>
                  <bgColor rgb="FFFFFF00"/>
                </patternFill>
              </fill>
            </x14:dxf>
          </x14:cfRule>
          <xm:sqref>Z178</xm:sqref>
        </x14:conditionalFormatting>
        <x14:conditionalFormatting xmlns:xm="http://schemas.microsoft.com/office/excel/2006/main">
          <x14:cfRule type="cellIs" priority="71" operator="equal" id="{D01630D7-486E-40B8-A046-DCE7F7CF3C44}">
            <xm:f>'https://brosecloud.sharepoint.com/Users/qmsmuel/AppData/Roaming/brose.net/users/WUP/homer/reinhol/Documents/SQR-Template/alt/[SQR_Template_Global_V5.xlsx]LANGUAGE'!#REF!</xm:f>
            <x14:dxf>
              <fill>
                <patternFill>
                  <bgColor rgb="FFFF0000"/>
                </patternFill>
              </fill>
            </x14:dxf>
          </x14:cfRule>
          <x14:cfRule type="cellIs" priority="72" operator="equal" id="{57E7950E-F337-4FAE-93C4-5FB6FD8D89F9}">
            <xm:f>'https://brosecloud.sharepoint.com/Users/qmsmuel/AppData/Roaming/brose.net/users/WUP/homer/reinhol/Documents/SQR-Template/alt/[SQR_Template_Global_V5.xlsx]LANGUAGE'!#REF!</xm:f>
            <x14:dxf>
              <fill>
                <patternFill>
                  <bgColor rgb="FFFFFF00"/>
                </patternFill>
              </fill>
            </x14:dxf>
          </x14:cfRule>
          <x14:cfRule type="cellIs" priority="73" operator="equal" id="{5503A623-07CF-4CD8-961C-484684C91C92}">
            <xm:f>'https://brosecloud.sharepoint.com/Users/qmsmuel/AppData/Roaming/brose.net/users/WUP/homer/reinhol/Documents/SQR-Template/alt/[SQR_Template_Global_V5.xlsx]LANGUAGE'!#REF!</xm:f>
            <x14:dxf>
              <fill>
                <patternFill>
                  <bgColor rgb="FF00FF00"/>
                </patternFill>
              </fill>
            </x14:dxf>
          </x14:cfRule>
          <xm:sqref>Z184 Z190 Z193 Z196 Z199 Z202</xm:sqref>
        </x14:conditionalFormatting>
        <x14:conditionalFormatting xmlns:xm="http://schemas.microsoft.com/office/excel/2006/main">
          <x14:cfRule type="cellIs" priority="10" operator="equal" id="{59CB4811-A8E9-4056-A881-860B3161A79C}">
            <xm:f>'https://brosecloud.sharepoint.com/Users/qmsmuel/AppData/Roaming/brose.net/users/WUP/homer/reinhol/Documents/SQR-Template/alt/[SQR_Template_Global_V5.xlsx]LANGUAGE'!#REF!</xm:f>
            <x14:dxf>
              <fill>
                <patternFill>
                  <bgColor rgb="FF00FF00"/>
                </patternFill>
              </fill>
            </x14:dxf>
          </x14:cfRule>
          <x14:cfRule type="cellIs" priority="9" operator="equal" id="{DA0B9607-43BB-4E77-9B71-AFF7A077617A}">
            <xm:f>'https://brosecloud.sharepoint.com/Users/qmsmuel/AppData/Roaming/brose.net/users/WUP/homer/reinhol/Documents/SQR-Template/alt/[SQR_Template_Global_V5.xlsx]LANGUAGE'!#REF!</xm:f>
            <x14:dxf>
              <fill>
                <patternFill>
                  <bgColor rgb="FFFFFF00"/>
                </patternFill>
              </fill>
            </x14:dxf>
          </x14:cfRule>
          <x14:cfRule type="cellIs" priority="8" operator="equal" id="{070A363F-C5A2-4E30-8CE4-643A4FB1A939}">
            <xm:f>'https://brosecloud.sharepoint.com/Users/qmsmuel/AppData/Roaming/brose.net/users/WUP/homer/reinhol/Documents/SQR-Template/alt/[SQR_Template_Global_V5.xlsx]LANGUAGE'!#REF!</xm:f>
            <x14:dxf>
              <fill>
                <patternFill>
                  <bgColor rgb="FFFF0000"/>
                </patternFill>
              </fill>
            </x14:dxf>
          </x14:cfRule>
          <xm:sqref>Z187</xm:sqref>
        </x14:conditionalFormatting>
        <x14:conditionalFormatting xmlns:xm="http://schemas.microsoft.com/office/excel/2006/main">
          <x14:cfRule type="cellIs" priority="61" operator="equal" id="{8F4A0649-BE59-4DEC-8AB7-82A2894A891A}">
            <xm:f>'https://brosecloud.sharepoint.com/Users/qmsmuel/AppData/Roaming/brose.net/users/WUP/homer/reinhol/Documents/SQR-Template/alt/[SQR_Template_Global_V5.xlsx]LANGUAGE'!#REF!</xm:f>
            <x14:dxf>
              <fill>
                <patternFill>
                  <bgColor rgb="FF00FF00"/>
                </patternFill>
              </fill>
            </x14:dxf>
          </x14:cfRule>
          <x14:cfRule type="cellIs" priority="60" operator="equal" id="{38A34178-EC7D-4D05-8989-7A7606890964}">
            <xm:f>'https://brosecloud.sharepoint.com/Users/qmsmuel/AppData/Roaming/brose.net/users/WUP/homer/reinhol/Documents/SQR-Template/alt/[SQR_Template_Global_V5.xlsx]LANGUAGE'!#REF!</xm:f>
            <x14:dxf>
              <fill>
                <patternFill>
                  <bgColor rgb="FFFFFF00"/>
                </patternFill>
              </fill>
            </x14:dxf>
          </x14:cfRule>
          <x14:cfRule type="cellIs" priority="59" operator="equal" id="{36FD60B9-57F3-4942-9C1E-DE2BB5EBF1C0}">
            <xm:f>'https://brosecloud.sharepoint.com/Users/qmsmuel/AppData/Roaming/brose.net/users/WUP/homer/reinhol/Documents/SQR-Template/alt/[SQR_Template_Global_V5.xlsx]LANGUAGE'!#REF!</xm:f>
            <x14:dxf>
              <fill>
                <patternFill>
                  <bgColor rgb="FFFF0000"/>
                </patternFill>
              </fill>
            </x14:dxf>
          </x14:cfRule>
          <xm:sqref>Z205</xm:sqref>
        </x14:conditionalFormatting>
        <x14:conditionalFormatting xmlns:xm="http://schemas.microsoft.com/office/excel/2006/main">
          <x14:cfRule type="cellIs" priority="136" operator="equal" id="{D22F77FF-C2D6-485A-96CE-C2DB135D0436}">
            <xm:f>'https://brosecloud.sharepoint.com/Users/qmsmuel/AppData/Roaming/brose.net/users/WUP/homer/reinhol/Documents/SQR-Template/alt/[SQR_Template_Global_V5.xlsx]LANGUAGE'!#REF!</xm:f>
            <x14:dxf>
              <fill>
                <patternFill>
                  <bgColor rgb="FF00FF00"/>
                </patternFill>
              </fill>
            </x14:dxf>
          </x14:cfRule>
          <x14:cfRule type="cellIs" priority="135" operator="equal" id="{08B7F74D-5176-4880-BF2B-6D174F4CA056}">
            <xm:f>'https://brosecloud.sharepoint.com/Users/qmsmuel/AppData/Roaming/brose.net/users/WUP/homer/reinhol/Documents/SQR-Template/alt/[SQR_Template_Global_V5.xlsx]LANGUAGE'!#REF!</xm:f>
            <x14:dxf>
              <fill>
                <patternFill>
                  <bgColor theme="0"/>
                </patternFill>
              </fill>
            </x14:dxf>
          </x14:cfRule>
          <xm:sqref>AJ75</xm:sqref>
        </x14:conditionalFormatting>
        <x14:conditionalFormatting xmlns:xm="http://schemas.microsoft.com/office/excel/2006/main">
          <x14:cfRule type="cellIs" priority="130" operator="equal" id="{AE399B62-959B-481B-B6B0-878DAC042F79}">
            <xm:f>'https://brosecloud.sharepoint.com/Users/qmsmuel/AppData/Roaming/brose.net/users/WUP/homer/reinhol/Documents/SQR-Template/alt/[SQR_Template_Global_V5.xlsx]LANGUAGE'!#REF!</xm:f>
            <x14:dxf>
              <fill>
                <patternFill>
                  <bgColor theme="0"/>
                </patternFill>
              </fill>
            </x14:dxf>
          </x14:cfRule>
          <x14:cfRule type="cellIs" priority="131" operator="equal" id="{27A9E209-1136-4D8B-8C96-1D86C246E554}">
            <xm:f>'https://brosecloud.sharepoint.com/Users/qmsmuel/AppData/Roaming/brose.net/users/WUP/homer/reinhol/Documents/SQR-Template/alt/[SQR_Template_Global_V5.xlsx]LANGUAGE'!#REF!</xm:f>
            <x14:dxf>
              <fill>
                <patternFill>
                  <bgColor rgb="FF00FF00"/>
                </patternFill>
              </fill>
            </x14:dxf>
          </x14:cfRule>
          <xm:sqref>AJ78 AJ81 AJ87</xm:sqref>
        </x14:conditionalFormatting>
        <x14:conditionalFormatting xmlns:xm="http://schemas.microsoft.com/office/excel/2006/main">
          <x14:cfRule type="cellIs" priority="80" operator="equal" id="{68F4EDCE-55D4-4E88-9F47-F2AE5E1FDCE1}">
            <xm:f>'https://brosecloud.sharepoint.com/Users/qmsmuel/AppData/Roaming/brose.net/users/WUP/homer/reinhol/Documents/SQR-Template/alt/[SQR_Template_Global_V5.xlsx]LANGUAGE'!#REF!</xm:f>
            <x14:dxf>
              <fill>
                <patternFill>
                  <bgColor rgb="FF00FF00"/>
                </patternFill>
              </fill>
            </x14:dxf>
          </x14:cfRule>
          <x14:cfRule type="cellIs" priority="79" operator="equal" id="{836CD4D3-8E3D-4312-81FC-9ED25EE04D00}">
            <xm:f>'https://brosecloud.sharepoint.com/Users/qmsmuel/AppData/Roaming/brose.net/users/WUP/homer/reinhol/Documents/SQR-Template/alt/[SQR_Template_Global_V5.xlsx]LANGUAGE'!#REF!</xm:f>
            <x14:dxf>
              <fill>
                <patternFill>
                  <bgColor theme="0"/>
                </patternFill>
              </fill>
            </x14:dxf>
          </x14:cfRule>
          <xm:sqref>AJ84</xm:sqref>
        </x14:conditionalFormatting>
        <x14:conditionalFormatting xmlns:xm="http://schemas.microsoft.com/office/excel/2006/main">
          <x14:cfRule type="cellIs" priority="31" operator="equal" id="{DFC7CE1B-4129-402B-9B66-62B631A5F366}">
            <xm:f>'https://brosecloud.sharepoint.com/Users/qmsmuel/AppData/Roaming/brose.net/users/WUP/homer/reinhol/Documents/SQR-Template/alt/[SQR_Template_Global_V5.xlsx]LANGUAGE'!#REF!</xm:f>
            <x14:dxf>
              <fill>
                <patternFill>
                  <bgColor rgb="FF00FF00"/>
                </patternFill>
              </fill>
            </x14:dxf>
          </x14:cfRule>
          <x14:cfRule type="cellIs" priority="30" operator="equal" id="{3EFEE0F4-5A76-4F92-9E7C-E0F3A5C31DD7}">
            <xm:f>'https://brosecloud.sharepoint.com/Users/qmsmuel/AppData/Roaming/brose.net/users/WUP/homer/reinhol/Documents/SQR-Template/alt/[SQR_Template_Global_V5.xlsx]LANGUAGE'!#REF!</xm:f>
            <x14:dxf>
              <fill>
                <patternFill>
                  <bgColor theme="0"/>
                </patternFill>
              </fill>
            </x14:dxf>
          </x14:cfRule>
          <xm:sqref>AJ95 AJ101 AJ110</xm:sqref>
        </x14:conditionalFormatting>
        <x14:conditionalFormatting xmlns:xm="http://schemas.microsoft.com/office/excel/2006/main">
          <x14:cfRule type="cellIs" priority="36" operator="equal" id="{6F9CD93F-2D92-4821-B6DD-47B03D2ACC48}">
            <xm:f>'https://brosecloud.sharepoint.com/Users/qmsmuel/AppData/Roaming/brose.net/users/WUP/homer/reinhol/Documents/SQR-Template/alt/[SQR_Template_Global_V5.xlsx]LANGUAGE'!#REF!</xm:f>
            <x14:dxf>
              <fill>
                <patternFill>
                  <bgColor rgb="FF00FF00"/>
                </patternFill>
              </fill>
            </x14:dxf>
          </x14:cfRule>
          <x14:cfRule type="cellIs" priority="35" operator="equal" id="{E36880D5-A6B2-4F48-990C-FED333910C5B}">
            <xm:f>'https://brosecloud.sharepoint.com/Users/qmsmuel/AppData/Roaming/brose.net/users/WUP/homer/reinhol/Documents/SQR-Template/alt/[SQR_Template_Global_V5.xlsx]LANGUAGE'!#REF!</xm:f>
            <x14:dxf>
              <fill>
                <patternFill>
                  <bgColor theme="0"/>
                </patternFill>
              </fill>
            </x14:dxf>
          </x14:cfRule>
          <xm:sqref>AJ95</xm:sqref>
        </x14:conditionalFormatting>
        <x14:conditionalFormatting xmlns:xm="http://schemas.microsoft.com/office/excel/2006/main">
          <x14:cfRule type="cellIs" priority="17" operator="equal" id="{4D16A048-EBA7-48F6-B599-83BD54985775}">
            <xm:f>'https://brosecloud.sharepoint.com/Users/qmsmuel/AppData/Roaming/brose.net/users/WUP/homer/reinhol/Documents/SQR-Template/alt/[SQR_Template_Global_V5.xlsx]LANGUAGE'!#REF!</xm:f>
            <x14:dxf>
              <fill>
                <patternFill>
                  <bgColor rgb="FF00FF00"/>
                </patternFill>
              </fill>
            </x14:dxf>
          </x14:cfRule>
          <x14:cfRule type="cellIs" priority="16" operator="equal" id="{08DB847F-A653-4E5D-8AFB-A80D8DADE9F3}">
            <xm:f>'https://brosecloud.sharepoint.com/Users/qmsmuel/AppData/Roaming/brose.net/users/WUP/homer/reinhol/Documents/SQR-Template/alt/[SQR_Template_Global_V5.xlsx]LANGUAGE'!#REF!</xm:f>
            <x14:dxf>
              <fill>
                <patternFill>
                  <bgColor theme="0"/>
                </patternFill>
              </fill>
            </x14:dxf>
          </x14:cfRule>
          <xm:sqref>AJ104</xm:sqref>
        </x14:conditionalFormatting>
        <x14:conditionalFormatting xmlns:xm="http://schemas.microsoft.com/office/excel/2006/main">
          <x14:cfRule type="cellIs" priority="21" operator="equal" id="{3BC71C06-4E2A-4DA9-893F-47394D317D22}">
            <xm:f>'https://brosecloud.sharepoint.com/Users/qmsmuel/AppData/Roaming/brose.net/users/WUP/homer/reinhol/Documents/SQR-Template/alt/[SQR_Template_Global_V5.xlsx]LANGUAGE'!#REF!</xm:f>
            <x14:dxf>
              <fill>
                <patternFill>
                  <bgColor theme="0"/>
                </patternFill>
              </fill>
            </x14:dxf>
          </x14:cfRule>
          <x14:cfRule type="cellIs" priority="22" operator="equal" id="{5C74FDA7-BEA5-48A6-B008-796EBF330847}">
            <xm:f>'https://brosecloud.sharepoint.com/Users/qmsmuel/AppData/Roaming/brose.net/users/WUP/homer/reinhol/Documents/SQR-Template/alt/[SQR_Template_Global_V5.xlsx]LANGUAGE'!#REF!</xm:f>
            <x14:dxf>
              <fill>
                <patternFill>
                  <bgColor rgb="FF00FF00"/>
                </patternFill>
              </fill>
            </x14:dxf>
          </x14:cfRule>
          <xm:sqref>AJ107</xm:sqref>
        </x14:conditionalFormatting>
        <x14:conditionalFormatting xmlns:xm="http://schemas.microsoft.com/office/excel/2006/main">
          <x14:cfRule type="cellIs" priority="126" operator="equal" id="{0043C9E5-EDC3-4738-AF21-D8A318D133D7}">
            <xm:f>'https://brosecloud.sharepoint.com/Users/qmsmuel/AppData/Roaming/brose.net/users/WUP/homer/reinhol/Documents/SQR-Template/alt/[SQR_Template_Global_V5.xlsx]LANGUAGE'!#REF!</xm:f>
            <x14:dxf>
              <fill>
                <patternFill>
                  <bgColor rgb="FF00FF00"/>
                </patternFill>
              </fill>
            </x14:dxf>
          </x14:cfRule>
          <x14:cfRule type="cellIs" priority="125" operator="equal" id="{5A8ED7D0-ECA9-41A0-9197-4084A6B2C44D}">
            <xm:f>'https://brosecloud.sharepoint.com/Users/qmsmuel/AppData/Roaming/brose.net/users/WUP/homer/reinhol/Documents/SQR-Template/alt/[SQR_Template_Global_V5.xlsx]LANGUAGE'!#REF!</xm:f>
            <x14:dxf>
              <fill>
                <patternFill>
                  <bgColor theme="0"/>
                </patternFill>
              </fill>
            </x14:dxf>
          </x14:cfRule>
          <xm:sqref>AJ118 AJ121 AJ124 AJ128 AJ131 AJ134 AJ137 AJ140 AJ143</xm:sqref>
        </x14:conditionalFormatting>
        <x14:conditionalFormatting xmlns:xm="http://schemas.microsoft.com/office/excel/2006/main">
          <x14:cfRule type="cellIs" priority="12" operator="equal" id="{7BFAFD44-7860-4961-AD05-4C6EA4D5DAC5}">
            <xm:f>'https://brosecloud.sharepoint.com/Users/qmsmuel/AppData/Roaming/brose.net/users/WUP/homer/reinhol/Documents/SQR-Template/alt/[SQR_Template_Global_V5.xlsx]LANGUAGE'!#REF!</xm:f>
            <x14:dxf>
              <fill>
                <patternFill>
                  <bgColor rgb="FF00FF00"/>
                </patternFill>
              </fill>
            </x14:dxf>
          </x14:cfRule>
          <x14:cfRule type="cellIs" priority="11" operator="equal" id="{DC95563D-FBA4-4108-A763-82E4D261FBDF}">
            <xm:f>'https://brosecloud.sharepoint.com/Users/qmsmuel/AppData/Roaming/brose.net/users/WUP/homer/reinhol/Documents/SQR-Template/alt/[SQR_Template_Global_V5.xlsx]LANGUAGE'!#REF!</xm:f>
            <x14:dxf>
              <fill>
                <patternFill>
                  <bgColor theme="0"/>
                </patternFill>
              </fill>
            </x14:dxf>
          </x14:cfRule>
          <xm:sqref>AJ151</xm:sqref>
        </x14:conditionalFormatting>
        <x14:conditionalFormatting xmlns:xm="http://schemas.microsoft.com/office/excel/2006/main">
          <x14:cfRule type="cellIs" priority="120" operator="equal" id="{26DBB651-6605-4C59-BEF5-A5413355FC71}">
            <xm:f>'https://brosecloud.sharepoint.com/Users/qmsmuel/AppData/Roaming/brose.net/users/WUP/homer/reinhol/Documents/SQR-Template/alt/[SQR_Template_Global_V5.xlsx]LANGUAGE'!#REF!</xm:f>
            <x14:dxf>
              <fill>
                <patternFill>
                  <bgColor theme="0"/>
                </patternFill>
              </fill>
            </x14:dxf>
          </x14:cfRule>
          <x14:cfRule type="cellIs" priority="121" operator="equal" id="{9DA25E57-CDDB-47EF-86AF-EA5074CCE334}">
            <xm:f>'https://brosecloud.sharepoint.com/Users/qmsmuel/AppData/Roaming/brose.net/users/WUP/homer/reinhol/Documents/SQR-Template/alt/[SQR_Template_Global_V5.xlsx]LANGUAGE'!#REF!</xm:f>
            <x14:dxf>
              <fill>
                <patternFill>
                  <bgColor rgb="FF00FF00"/>
                </patternFill>
              </fill>
            </x14:dxf>
          </x14:cfRule>
          <xm:sqref>AJ158 AJ161</xm:sqref>
        </x14:conditionalFormatting>
        <x14:conditionalFormatting xmlns:xm="http://schemas.microsoft.com/office/excel/2006/main">
          <x14:cfRule type="cellIs" priority="1" operator="equal" id="{321891BA-08EA-4874-8837-409A2B8BEB4D}">
            <xm:f>'https://brosecloud.sharepoint.com/Users/qmsmuel/AppData/Roaming/brose.net/users/WUP/homer/reinhol/Documents/SQR-Template/alt/[SQR_Template_Global_V5.xlsx]LANGUAGE'!#REF!</xm:f>
            <x14:dxf>
              <fill>
                <patternFill>
                  <bgColor theme="0"/>
                </patternFill>
              </fill>
            </x14:dxf>
          </x14:cfRule>
          <x14:cfRule type="cellIs" priority="2" operator="equal" id="{9C732F02-BB44-41D2-9B7D-A9E4DA39A109}">
            <xm:f>'https://brosecloud.sharepoint.com/Users/qmsmuel/AppData/Roaming/brose.net/users/WUP/homer/reinhol/Documents/SQR-Template/alt/[SQR_Template_Global_V5.xlsx]LANGUAGE'!#REF!</xm:f>
            <x14:dxf>
              <fill>
                <patternFill>
                  <bgColor rgb="FF00FF00"/>
                </patternFill>
              </fill>
            </x14:dxf>
          </x14:cfRule>
          <xm:sqref>AJ164</xm:sqref>
        </x14:conditionalFormatting>
        <x14:conditionalFormatting xmlns:xm="http://schemas.microsoft.com/office/excel/2006/main">
          <x14:cfRule type="cellIs" priority="116" operator="equal" id="{1A9ACC0D-BEC7-416E-8582-C1EF77680B65}">
            <xm:f>'https://brosecloud.sharepoint.com/Users/qmsmuel/AppData/Roaming/brose.net/users/WUP/homer/reinhol/Documents/SQR-Template/alt/[SQR_Template_Global_V5.xlsx]LANGUAGE'!#REF!</xm:f>
            <x14:dxf>
              <fill>
                <patternFill>
                  <bgColor rgb="FF00FF00"/>
                </patternFill>
              </fill>
            </x14:dxf>
          </x14:cfRule>
          <x14:cfRule type="cellIs" priority="115" operator="equal" id="{76A9D56F-7F0C-4E01-86ED-7749DE93AAD1}">
            <xm:f>'https://brosecloud.sharepoint.com/Users/qmsmuel/AppData/Roaming/brose.net/users/WUP/homer/reinhol/Documents/SQR-Template/alt/[SQR_Template_Global_V5.xlsx]LANGUAGE'!#REF!</xm:f>
            <x14:dxf>
              <fill>
                <patternFill>
                  <bgColor theme="0"/>
                </patternFill>
              </fill>
            </x14:dxf>
          </x14:cfRule>
          <xm:sqref>AJ172 AJ175</xm:sqref>
        </x14:conditionalFormatting>
        <x14:conditionalFormatting xmlns:xm="http://schemas.microsoft.com/office/excel/2006/main">
          <x14:cfRule type="cellIs" priority="40" operator="equal" id="{FB8B5CD7-E8AB-4882-BDF3-38FABA3A693A}">
            <xm:f>'https://brosecloud.sharepoint.com/Users/qmsmuel/AppData/Roaming/brose.net/users/WUP/homer/reinhol/Documents/SQR-Template/alt/[SQR_Template_Global_V5.xlsx]LANGUAGE'!#REF!</xm:f>
            <x14:dxf>
              <fill>
                <patternFill>
                  <bgColor rgb="FF00FF00"/>
                </patternFill>
              </fill>
            </x14:dxf>
          </x14:cfRule>
          <x14:cfRule type="cellIs" priority="142" operator="equal" id="{A50784E1-27F0-4C78-A3A7-E2A129DB2879}">
            <xm:f>'https://brosecloud.sharepoint.com/Users/qmsmuel/AppData/Roaming/brose.net/users/WUP/homer/reinhol/Documents/SQR-Template/alt/[SQR_Template_Global_V5.xlsx]LANGUAGE'!#REF!</xm:f>
            <x14:dxf>
              <fill>
                <patternFill>
                  <bgColor theme="0"/>
                </patternFill>
              </fill>
            </x14:dxf>
          </x14:cfRule>
          <xm:sqref>AJ178</xm:sqref>
        </x14:conditionalFormatting>
        <x14:conditionalFormatting xmlns:xm="http://schemas.microsoft.com/office/excel/2006/main">
          <x14:cfRule type="cellIs" priority="70" operator="equal" id="{3E3C9C33-5176-409E-8B54-DC8666341CA3}">
            <xm:f>'https://brosecloud.sharepoint.com/Users/qmsmuel/AppData/Roaming/brose.net/users/WUP/homer/reinhol/Documents/SQR-Template/alt/[SQR_Template_Global_V5.xlsx]LANGUAGE'!#REF!</xm:f>
            <x14:dxf>
              <fill>
                <patternFill>
                  <bgColor rgb="FF00FF00"/>
                </patternFill>
              </fill>
            </x14:dxf>
          </x14:cfRule>
          <x14:cfRule type="cellIs" priority="69" operator="equal" id="{7F66226E-723C-44F8-81A7-A63463FA88BE}">
            <xm:f>'https://brosecloud.sharepoint.com/Users/qmsmuel/AppData/Roaming/brose.net/users/WUP/homer/reinhol/Documents/SQR-Template/alt/[SQR_Template_Global_V5.xlsx]LANGUAGE'!#REF!</xm:f>
            <x14:dxf>
              <fill>
                <patternFill>
                  <bgColor theme="0"/>
                </patternFill>
              </fill>
            </x14:dxf>
          </x14:cfRule>
          <xm:sqref>AJ184 AJ190 AJ193 AJ196 AJ199 AJ202</xm:sqref>
        </x14:conditionalFormatting>
        <x14:conditionalFormatting xmlns:xm="http://schemas.microsoft.com/office/excel/2006/main">
          <x14:cfRule type="cellIs" priority="7" operator="equal" id="{A26A32E7-DB5A-4CE6-B9EC-91FAA06BB8BC}">
            <xm:f>'https://brosecloud.sharepoint.com/Users/qmsmuel/AppData/Roaming/brose.net/users/WUP/homer/reinhol/Documents/SQR-Template/alt/[SQR_Template_Global_V5.xlsx]LANGUAGE'!#REF!</xm:f>
            <x14:dxf>
              <fill>
                <patternFill>
                  <bgColor rgb="FF00FF00"/>
                </patternFill>
              </fill>
            </x14:dxf>
          </x14:cfRule>
          <x14:cfRule type="cellIs" priority="6" operator="equal" id="{D553412D-091C-4077-BD96-E9ABCB86A4E1}">
            <xm:f>'https://brosecloud.sharepoint.com/Users/qmsmuel/AppData/Roaming/brose.net/users/WUP/homer/reinhol/Documents/SQR-Template/alt/[SQR_Template_Global_V5.xlsx]LANGUAGE'!#REF!</xm:f>
            <x14:dxf>
              <fill>
                <patternFill>
                  <bgColor theme="0"/>
                </patternFill>
              </fill>
            </x14:dxf>
          </x14:cfRule>
          <xm:sqref>AJ187</xm:sqref>
        </x14:conditionalFormatting>
        <x14:conditionalFormatting xmlns:xm="http://schemas.microsoft.com/office/excel/2006/main">
          <x14:cfRule type="cellIs" priority="58" operator="equal" id="{CB417A15-108E-44D1-B44A-00E2828B05D4}">
            <xm:f>'https://brosecloud.sharepoint.com/Users/qmsmuel/AppData/Roaming/brose.net/users/WUP/homer/reinhol/Documents/SQR-Template/alt/[SQR_Template_Global_V5.xlsx]LANGUAGE'!#REF!</xm:f>
            <x14:dxf>
              <fill>
                <patternFill>
                  <bgColor rgb="FF00FF00"/>
                </patternFill>
              </fill>
            </x14:dxf>
          </x14:cfRule>
          <x14:cfRule type="cellIs" priority="57" operator="equal" id="{2AEEDA8E-F82D-479D-85AC-A2735681AE29}">
            <xm:f>'https://brosecloud.sharepoint.com/Users/qmsmuel/AppData/Roaming/brose.net/users/WUP/homer/reinhol/Documents/SQR-Template/alt/[SQR_Template_Global_V5.xlsx]LANGUAGE'!#REF!</xm:f>
            <x14:dxf>
              <fill>
                <patternFill>
                  <bgColor theme="0"/>
                </patternFill>
              </fill>
            </x14:dxf>
          </x14:cfRule>
          <xm:sqref>AJ205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5">
    <pageSetUpPr fitToPage="1"/>
  </sheetPr>
  <dimension ref="B2:V62"/>
  <sheetViews>
    <sheetView showGridLines="0" zoomScaleNormal="100" zoomScaleSheetLayoutView="100" zoomScalePageLayoutView="140" workbookViewId="0">
      <selection activeCell="R15" sqref="R15"/>
    </sheetView>
  </sheetViews>
  <sheetFormatPr baseColWidth="10" defaultColWidth="11" defaultRowHeight="13.15" x14ac:dyDescent="0.25"/>
  <cols>
    <col min="1" max="1" width="1.3984375" style="19" customWidth="1"/>
    <col min="2" max="2" width="2" style="19" customWidth="1"/>
    <col min="3" max="3" width="5.3984375" style="19" customWidth="1"/>
    <col min="4" max="6" width="4.3984375" style="19" customWidth="1"/>
    <col min="7" max="7" width="1.09765625" style="19" customWidth="1"/>
    <col min="8" max="10" width="3.09765625" style="19" customWidth="1"/>
    <col min="11" max="11" width="4.3984375" style="19" customWidth="1"/>
    <col min="12" max="12" width="6" style="19" customWidth="1"/>
    <col min="13" max="13" width="1.09765625" style="19" customWidth="1"/>
    <col min="14" max="15" width="4.3984375" style="19" customWidth="1"/>
    <col min="16" max="16" width="1.09765625" style="19" customWidth="1"/>
    <col min="17" max="18" width="4" style="19" customWidth="1"/>
    <col min="19" max="19" width="7.19921875" style="19" customWidth="1"/>
    <col min="20" max="20" width="7.8984375" style="19" customWidth="1"/>
    <col min="21" max="21" width="4.3984375" style="19" customWidth="1"/>
    <col min="22" max="22" width="5.09765625" style="19" customWidth="1"/>
    <col min="23" max="23" width="1.69921875" style="19" customWidth="1"/>
    <col min="24" max="16384" width="11" style="19"/>
  </cols>
  <sheetData>
    <row r="2" spans="2:22" ht="13.8" thickBot="1" x14ac:dyDescent="0.3"/>
    <row r="3" spans="2:22" ht="13.8" thickBot="1" x14ac:dyDescent="0.3">
      <c r="B3" s="2331" t="s">
        <v>1898</v>
      </c>
      <c r="C3" s="2311"/>
      <c r="D3" s="2332"/>
      <c r="E3" s="2333"/>
      <c r="F3" s="2334"/>
      <c r="H3" s="2319" t="s">
        <v>1853</v>
      </c>
      <c r="I3" s="2320"/>
      <c r="J3" s="2321"/>
      <c r="K3" s="2335" t="e">
        <f>Basic_Data!#REF!</f>
        <v>#REF!</v>
      </c>
      <c r="L3" s="2336"/>
      <c r="M3" s="2336"/>
      <c r="N3" s="2336"/>
      <c r="O3" s="2337"/>
      <c r="P3" s="39"/>
      <c r="Q3" s="2319" t="s">
        <v>1897</v>
      </c>
      <c r="R3" s="2320"/>
      <c r="S3" s="2321"/>
      <c r="T3" s="2309" t="e">
        <f>Basic_Data!#REF!</f>
        <v>#REF!</v>
      </c>
      <c r="U3" s="2310"/>
      <c r="V3" s="2311"/>
    </row>
    <row r="4" spans="2:22" ht="7.55" customHeight="1" thickBot="1" x14ac:dyDescent="0.3">
      <c r="C4" s="37"/>
      <c r="D4" s="37"/>
      <c r="E4" s="30"/>
      <c r="F4" s="30"/>
      <c r="G4" s="30"/>
    </row>
    <row r="5" spans="2:22" x14ac:dyDescent="0.25">
      <c r="B5" s="2300" t="s">
        <v>1855</v>
      </c>
      <c r="C5" s="2301"/>
      <c r="D5" s="2312">
        <f>Basic_Data!R6</f>
        <v>0</v>
      </c>
      <c r="E5" s="1819"/>
      <c r="F5" s="2313"/>
      <c r="G5" s="31"/>
      <c r="H5" s="2300" t="s">
        <v>1900</v>
      </c>
      <c r="I5" s="2306"/>
      <c r="J5" s="2306"/>
      <c r="K5" s="2338">
        <f>Basic_Data!R8</f>
        <v>0</v>
      </c>
      <c r="L5" s="2339"/>
      <c r="M5" s="2339"/>
      <c r="N5" s="2339"/>
      <c r="O5" s="2340"/>
      <c r="Q5" s="2322" t="s">
        <v>1857</v>
      </c>
      <c r="R5" s="2323"/>
      <c r="S5" s="2324"/>
      <c r="T5" s="2312">
        <f>Basic_Data!R7</f>
        <v>0</v>
      </c>
      <c r="U5" s="1819"/>
      <c r="V5" s="2313"/>
    </row>
    <row r="6" spans="2:22" x14ac:dyDescent="0.25">
      <c r="B6" s="2302"/>
      <c r="C6" s="2303"/>
      <c r="D6" s="2314"/>
      <c r="E6" s="1816"/>
      <c r="F6" s="2315"/>
      <c r="G6" s="31"/>
      <c r="H6" s="2302"/>
      <c r="I6" s="2307"/>
      <c r="J6" s="2307"/>
      <c r="K6" s="2341" t="e">
        <f>Basic_Data!#REF!</f>
        <v>#REF!</v>
      </c>
      <c r="L6" s="2342"/>
      <c r="M6" s="2342"/>
      <c r="N6" s="2342"/>
      <c r="O6" s="2343"/>
      <c r="P6" s="38"/>
      <c r="Q6" s="2325"/>
      <c r="R6" s="2326"/>
      <c r="S6" s="2327"/>
      <c r="T6" s="2314"/>
      <c r="U6" s="1816"/>
      <c r="V6" s="2315"/>
    </row>
    <row r="7" spans="2:22" ht="13.8" thickBot="1" x14ac:dyDescent="0.3">
      <c r="B7" s="2304"/>
      <c r="C7" s="2305"/>
      <c r="D7" s="2316"/>
      <c r="E7" s="2317"/>
      <c r="F7" s="2318"/>
      <c r="G7" s="31"/>
      <c r="H7" s="2304"/>
      <c r="I7" s="2308"/>
      <c r="J7" s="2308"/>
      <c r="K7" s="2344">
        <f>Basic_Data!R9</f>
        <v>0</v>
      </c>
      <c r="L7" s="2345"/>
      <c r="M7" s="2345"/>
      <c r="N7" s="2345"/>
      <c r="O7" s="2346"/>
      <c r="P7" s="38"/>
      <c r="Q7" s="2328"/>
      <c r="R7" s="2329"/>
      <c r="S7" s="2330"/>
      <c r="T7" s="2316"/>
      <c r="U7" s="2317"/>
      <c r="V7" s="2318"/>
    </row>
    <row r="8" spans="2:22" ht="6.75" customHeight="1" thickBot="1" x14ac:dyDescent="0.3"/>
    <row r="9" spans="2:22" ht="18.8" customHeight="1" x14ac:dyDescent="0.25">
      <c r="B9" s="2359" t="s">
        <v>2210</v>
      </c>
      <c r="C9" s="2360"/>
      <c r="D9" s="2360"/>
      <c r="E9" s="2369" t="e">
        <f>IF(#REF!=""," ",#REF!)</f>
        <v>#REF!</v>
      </c>
      <c r="F9" s="2369"/>
      <c r="G9" s="2369"/>
      <c r="H9" s="2369"/>
      <c r="I9" s="2360" t="s">
        <v>51</v>
      </c>
      <c r="J9" s="2360"/>
      <c r="K9" s="2391" t="e">
        <f>IF(#REF!=""," ",#REF!)</f>
        <v>#REF!</v>
      </c>
      <c r="L9" s="2391"/>
      <c r="M9" s="2369"/>
      <c r="N9" s="2376" t="s">
        <v>2211</v>
      </c>
      <c r="O9" s="2377"/>
      <c r="P9" s="2378"/>
      <c r="Q9" s="2389" t="e">
        <f>IF(#REF!=""," ",#REF!)</f>
        <v>#REF!</v>
      </c>
      <c r="R9" s="2389"/>
      <c r="S9" s="2389"/>
      <c r="T9" s="2385" t="s">
        <v>51</v>
      </c>
      <c r="U9" s="2389" t="e">
        <f>IF(#REF!=""," ",#REF!)</f>
        <v>#REF!</v>
      </c>
      <c r="V9" s="2394"/>
    </row>
    <row r="10" spans="2:22" ht="14.25" customHeight="1" x14ac:dyDescent="0.25">
      <c r="B10" s="2361"/>
      <c r="C10" s="2362"/>
      <c r="D10" s="2362"/>
      <c r="E10" s="2370" t="e">
        <f>IF(#REF!=""," ",#REF!)</f>
        <v>#REF!</v>
      </c>
      <c r="F10" s="2370"/>
      <c r="G10" s="2370"/>
      <c r="H10" s="2370"/>
      <c r="I10" s="2362"/>
      <c r="J10" s="2362"/>
      <c r="K10" s="2392" t="e">
        <f>IF(#REF!=""," ",#REF!)</f>
        <v>#REF!</v>
      </c>
      <c r="L10" s="2392"/>
      <c r="M10" s="2370"/>
      <c r="N10" s="2379"/>
      <c r="O10" s="2380"/>
      <c r="P10" s="2381"/>
      <c r="Q10" s="2388" t="e">
        <f>IF(#REF!=""," ",#REF!)</f>
        <v>#REF!</v>
      </c>
      <c r="R10" s="2388"/>
      <c r="S10" s="2388"/>
      <c r="T10" s="2386"/>
      <c r="U10" s="2371" t="e">
        <f>IF(#REF!=""," ",#REF!)</f>
        <v>#REF!</v>
      </c>
      <c r="V10" s="2372"/>
    </row>
    <row r="11" spans="2:22" ht="15.85" customHeight="1" x14ac:dyDescent="0.25">
      <c r="B11" s="2361"/>
      <c r="C11" s="2362"/>
      <c r="D11" s="2362"/>
      <c r="E11" s="2370" t="e">
        <f>IF(#REF!=""," ",#REF!)</f>
        <v>#REF!</v>
      </c>
      <c r="F11" s="2370"/>
      <c r="G11" s="2370"/>
      <c r="H11" s="2370"/>
      <c r="I11" s="2362"/>
      <c r="J11" s="2362"/>
      <c r="K11" s="2392" t="e">
        <f>IF(#REF!=""," ",#REF!)</f>
        <v>#REF!</v>
      </c>
      <c r="L11" s="2392"/>
      <c r="M11" s="2370"/>
      <c r="N11" s="2379"/>
      <c r="O11" s="2380"/>
      <c r="P11" s="2381"/>
      <c r="Q11" s="2388" t="e">
        <f>IF(#REF!=""," ",#REF!)</f>
        <v>#REF!</v>
      </c>
      <c r="R11" s="2388"/>
      <c r="S11" s="2388"/>
      <c r="T11" s="2386"/>
      <c r="U11" s="2371" t="e">
        <f>IF(#REF!=""," ",#REF!)</f>
        <v>#REF!</v>
      </c>
      <c r="V11" s="2372"/>
    </row>
    <row r="12" spans="2:22" ht="15.05" customHeight="1" thickBot="1" x14ac:dyDescent="0.3">
      <c r="B12" s="2363"/>
      <c r="C12" s="2364"/>
      <c r="D12" s="2364"/>
      <c r="E12" s="2375" t="e">
        <f>IF(#REF!=""," ",#REF!)</f>
        <v>#REF!</v>
      </c>
      <c r="F12" s="2375"/>
      <c r="G12" s="2375"/>
      <c r="H12" s="2375"/>
      <c r="I12" s="2364"/>
      <c r="J12" s="2364"/>
      <c r="K12" s="2375" t="e">
        <f>IF(#REF!=""," ",#REF!)</f>
        <v>#REF!</v>
      </c>
      <c r="L12" s="2393"/>
      <c r="M12" s="2375"/>
      <c r="N12" s="2382"/>
      <c r="O12" s="2383"/>
      <c r="P12" s="2384"/>
      <c r="Q12" s="2390" t="e">
        <f>IF(#REF!=""," ",#REF!)</f>
        <v>#REF!</v>
      </c>
      <c r="R12" s="2390"/>
      <c r="S12" s="2390"/>
      <c r="T12" s="2387"/>
      <c r="U12" s="2373" t="e">
        <f>IF(#REF!=""," ",#REF!)</f>
        <v>#REF!</v>
      </c>
      <c r="V12" s="2374"/>
    </row>
    <row r="13" spans="2:22" ht="12.7" customHeight="1" x14ac:dyDescent="0.25">
      <c r="B13" s="25"/>
      <c r="C13" s="2368" t="s">
        <v>2212</v>
      </c>
      <c r="D13" s="2368"/>
      <c r="E13" s="2368"/>
      <c r="F13" s="2368"/>
      <c r="G13" s="2368"/>
      <c r="H13" s="2368"/>
      <c r="I13" s="2368"/>
      <c r="J13" s="2368"/>
      <c r="K13" s="2368"/>
      <c r="L13" s="2368"/>
      <c r="M13" s="2368"/>
      <c r="N13" s="2368"/>
      <c r="O13" s="2368"/>
      <c r="P13" s="2368"/>
      <c r="Q13" s="2368"/>
      <c r="V13" s="23"/>
    </row>
    <row r="14" spans="2:22" ht="18" customHeight="1" x14ac:dyDescent="0.25">
      <c r="B14" s="25"/>
      <c r="C14" s="2368"/>
      <c r="D14" s="2368"/>
      <c r="E14" s="2368"/>
      <c r="F14" s="2368"/>
      <c r="G14" s="2368"/>
      <c r="H14" s="2368"/>
      <c r="I14" s="2368"/>
      <c r="J14" s="2368"/>
      <c r="K14" s="2368"/>
      <c r="L14" s="2368"/>
      <c r="M14" s="2368"/>
      <c r="N14" s="2368"/>
      <c r="O14" s="2368"/>
      <c r="P14" s="2368"/>
      <c r="Q14" s="2368"/>
      <c r="V14" s="23"/>
    </row>
    <row r="15" spans="2:22" ht="18" customHeight="1" x14ac:dyDescent="0.25">
      <c r="B15" s="25"/>
      <c r="C15" s="19" t="s">
        <v>2213</v>
      </c>
      <c r="V15" s="23"/>
    </row>
    <row r="16" spans="2:22" ht="4.55" customHeight="1" x14ac:dyDescent="0.25">
      <c r="B16" s="25"/>
      <c r="C16" s="26"/>
      <c r="D16" s="26"/>
      <c r="E16" s="26"/>
      <c r="F16" s="26"/>
      <c r="V16" s="23"/>
    </row>
    <row r="17" spans="2:22" x14ac:dyDescent="0.25">
      <c r="B17" s="25"/>
      <c r="C17" s="19" t="s">
        <v>2214</v>
      </c>
      <c r="H17" s="124"/>
      <c r="I17" s="125"/>
      <c r="J17" s="126"/>
      <c r="K17" s="19" t="s">
        <v>781</v>
      </c>
      <c r="L17" s="24" t="s">
        <v>2215</v>
      </c>
      <c r="M17" s="24"/>
      <c r="V17" s="23"/>
    </row>
    <row r="18" spans="2:22" ht="4.55" customHeight="1" x14ac:dyDescent="0.25">
      <c r="B18" s="25"/>
      <c r="L18" s="24"/>
      <c r="M18" s="24"/>
      <c r="V18" s="23"/>
    </row>
    <row r="19" spans="2:22" x14ac:dyDescent="0.25">
      <c r="B19" s="25"/>
      <c r="C19" s="19" t="s">
        <v>2216</v>
      </c>
      <c r="H19" s="2365"/>
      <c r="I19" s="2366"/>
      <c r="J19" s="2367"/>
      <c r="K19" s="19" t="s">
        <v>781</v>
      </c>
      <c r="L19" s="24" t="s">
        <v>2215</v>
      </c>
      <c r="M19" s="24"/>
      <c r="V19" s="23"/>
    </row>
    <row r="20" spans="2:22" ht="4.55" customHeight="1" x14ac:dyDescent="0.25">
      <c r="B20" s="25"/>
      <c r="L20" s="24"/>
      <c r="M20" s="24"/>
      <c r="V20" s="23"/>
    </row>
    <row r="21" spans="2:22" x14ac:dyDescent="0.25">
      <c r="B21" s="25"/>
      <c r="C21" s="19" t="s">
        <v>2217</v>
      </c>
      <c r="H21" s="124"/>
      <c r="I21" s="125"/>
      <c r="J21" s="126"/>
      <c r="K21" s="19" t="s">
        <v>781</v>
      </c>
      <c r="L21" s="24" t="s">
        <v>2218</v>
      </c>
      <c r="M21" s="24"/>
      <c r="V21" s="23"/>
    </row>
    <row r="22" spans="2:22" ht="4.55" customHeight="1" x14ac:dyDescent="0.25">
      <c r="B22" s="25"/>
      <c r="L22" s="24"/>
      <c r="M22" s="24"/>
      <c r="V22" s="23"/>
    </row>
    <row r="23" spans="2:22" x14ac:dyDescent="0.25">
      <c r="B23" s="25"/>
      <c r="C23" s="19" t="s">
        <v>2219</v>
      </c>
      <c r="H23" s="2365"/>
      <c r="I23" s="2366"/>
      <c r="J23" s="2367"/>
      <c r="K23" s="19" t="s">
        <v>792</v>
      </c>
      <c r="L23" s="24" t="s">
        <v>2220</v>
      </c>
      <c r="M23" s="24"/>
      <c r="V23" s="23"/>
    </row>
    <row r="24" spans="2:22" ht="4.55" customHeight="1" x14ac:dyDescent="0.25">
      <c r="B24" s="25"/>
      <c r="L24" s="24"/>
      <c r="M24" s="24"/>
      <c r="V24" s="23"/>
    </row>
    <row r="25" spans="2:22" x14ac:dyDescent="0.25">
      <c r="B25" s="25"/>
      <c r="C25" s="19" t="s">
        <v>795</v>
      </c>
      <c r="H25" s="2365"/>
      <c r="I25" s="2366"/>
      <c r="J25" s="2367"/>
      <c r="K25" s="19" t="s">
        <v>797</v>
      </c>
      <c r="L25" s="24" t="s">
        <v>2221</v>
      </c>
      <c r="M25" s="24"/>
      <c r="V25" s="23"/>
    </row>
    <row r="26" spans="2:22" ht="4.55" customHeight="1" x14ac:dyDescent="0.25">
      <c r="B26" s="25"/>
      <c r="L26" s="24"/>
      <c r="M26" s="24"/>
      <c r="V26" s="23"/>
    </row>
    <row r="27" spans="2:22" x14ac:dyDescent="0.25">
      <c r="B27" s="25"/>
      <c r="C27" s="19" t="s">
        <v>801</v>
      </c>
      <c r="H27" s="2365"/>
      <c r="I27" s="2366"/>
      <c r="J27" s="2367"/>
      <c r="K27" s="19" t="s">
        <v>803</v>
      </c>
      <c r="L27" s="24"/>
      <c r="M27" s="24"/>
      <c r="V27" s="23"/>
    </row>
    <row r="28" spans="2:22" ht="5.35" customHeight="1" x14ac:dyDescent="0.25">
      <c r="B28" s="25"/>
      <c r="L28" s="24"/>
      <c r="M28" s="24"/>
      <c r="V28" s="23"/>
    </row>
    <row r="29" spans="2:22" x14ac:dyDescent="0.25">
      <c r="B29" s="25"/>
      <c r="C29" s="19" t="s">
        <v>2222</v>
      </c>
      <c r="H29" s="2365"/>
      <c r="I29" s="2366"/>
      <c r="J29" s="2367"/>
      <c r="K29" s="19" t="s">
        <v>807</v>
      </c>
      <c r="L29" s="24" t="s">
        <v>2223</v>
      </c>
      <c r="M29" s="24"/>
      <c r="V29" s="23"/>
    </row>
    <row r="30" spans="2:22" ht="5.35" customHeight="1" x14ac:dyDescent="0.25">
      <c r="B30" s="25"/>
      <c r="L30" s="24"/>
      <c r="M30" s="24"/>
      <c r="V30" s="23"/>
    </row>
    <row r="31" spans="2:22" x14ac:dyDescent="0.25">
      <c r="B31" s="25"/>
      <c r="C31" s="19" t="s">
        <v>810</v>
      </c>
      <c r="H31" s="2350" t="str">
        <f>IF(H29=0,"",(H17*H19*H21*H29/1000)/H27-(H23*H27))</f>
        <v/>
      </c>
      <c r="I31" s="2351"/>
      <c r="J31" s="2352"/>
      <c r="K31" s="19" t="s">
        <v>792</v>
      </c>
      <c r="L31" s="24" t="s">
        <v>2224</v>
      </c>
      <c r="M31" s="24"/>
      <c r="V31" s="23"/>
    </row>
    <row r="32" spans="2:22" ht="4.55" customHeight="1" x14ac:dyDescent="0.25">
      <c r="B32" s="25"/>
      <c r="L32" s="24"/>
      <c r="M32" s="24"/>
      <c r="V32" s="23"/>
    </row>
    <row r="33" spans="2:22" x14ac:dyDescent="0.25">
      <c r="B33" s="25"/>
      <c r="C33" s="19" t="s">
        <v>814</v>
      </c>
      <c r="H33" s="2353"/>
      <c r="I33" s="2354"/>
      <c r="J33" s="2355"/>
      <c r="K33" s="19" t="s">
        <v>792</v>
      </c>
      <c r="L33" s="24" t="s">
        <v>870</v>
      </c>
      <c r="M33" s="24"/>
      <c r="V33" s="23"/>
    </row>
    <row r="34" spans="2:22" ht="4.55" customHeight="1" thickBot="1" x14ac:dyDescent="0.3">
      <c r="B34" s="22"/>
      <c r="C34" s="21"/>
      <c r="D34" s="21"/>
      <c r="E34" s="21"/>
      <c r="F34" s="21"/>
      <c r="G34" s="21"/>
      <c r="H34" s="21"/>
      <c r="I34" s="21"/>
      <c r="J34" s="21"/>
      <c r="K34" s="21"/>
      <c r="L34" s="21"/>
      <c r="M34" s="21"/>
      <c r="N34" s="21"/>
      <c r="O34" s="21"/>
      <c r="P34" s="21"/>
      <c r="Q34" s="21"/>
      <c r="R34" s="21"/>
      <c r="S34" s="21"/>
      <c r="T34" s="21"/>
      <c r="U34" s="21"/>
      <c r="V34" s="20"/>
    </row>
    <row r="35" spans="2:22" ht="6.75" customHeight="1" x14ac:dyDescent="0.25">
      <c r="B35" s="29"/>
      <c r="C35" s="28"/>
      <c r="D35" s="28"/>
      <c r="E35" s="28"/>
      <c r="F35" s="28"/>
      <c r="G35" s="28"/>
      <c r="H35" s="28"/>
      <c r="I35" s="28"/>
      <c r="J35" s="28"/>
      <c r="K35" s="28"/>
      <c r="L35" s="28"/>
      <c r="M35" s="28"/>
      <c r="N35" s="28"/>
      <c r="O35" s="28"/>
      <c r="P35" s="28"/>
      <c r="Q35" s="28"/>
      <c r="R35" s="28"/>
      <c r="S35" s="28"/>
      <c r="T35" s="28"/>
      <c r="U35" s="28"/>
      <c r="V35" s="27"/>
    </row>
    <row r="36" spans="2:22" ht="22.55" customHeight="1" x14ac:dyDescent="0.25">
      <c r="B36" s="25"/>
      <c r="C36" s="19" t="s">
        <v>820</v>
      </c>
      <c r="V36" s="23"/>
    </row>
    <row r="37" spans="2:22" ht="13.5" customHeight="1" x14ac:dyDescent="0.25">
      <c r="B37" s="25"/>
      <c r="C37" s="26" t="s">
        <v>2225</v>
      </c>
      <c r="D37" s="26"/>
      <c r="E37" s="26"/>
      <c r="F37" s="26"/>
      <c r="H37" s="2347"/>
      <c r="I37" s="2348"/>
      <c r="J37" s="2349"/>
      <c r="K37" s="19" t="s">
        <v>792</v>
      </c>
      <c r="L37" s="24" t="s">
        <v>870</v>
      </c>
      <c r="M37" s="24"/>
      <c r="V37" s="23"/>
    </row>
    <row r="38" spans="2:22" ht="5.35" customHeight="1" x14ac:dyDescent="0.25">
      <c r="B38" s="25"/>
      <c r="C38" s="26"/>
      <c r="D38" s="26"/>
      <c r="E38" s="26"/>
      <c r="F38" s="26"/>
      <c r="L38" s="24"/>
      <c r="M38" s="24"/>
      <c r="V38" s="23"/>
    </row>
    <row r="39" spans="2:22" x14ac:dyDescent="0.25">
      <c r="B39" s="25"/>
      <c r="C39" s="19" t="s">
        <v>2226</v>
      </c>
      <c r="H39" s="2347"/>
      <c r="I39" s="2348"/>
      <c r="J39" s="2349"/>
      <c r="K39" s="19" t="s">
        <v>792</v>
      </c>
      <c r="L39" s="24" t="s">
        <v>870</v>
      </c>
      <c r="M39" s="24"/>
      <c r="V39" s="23"/>
    </row>
    <row r="40" spans="2:22" ht="5.35" customHeight="1" x14ac:dyDescent="0.25">
      <c r="B40" s="25"/>
      <c r="L40" s="24"/>
      <c r="M40" s="24"/>
      <c r="V40" s="23"/>
    </row>
    <row r="41" spans="2:22" ht="12.05" customHeight="1" x14ac:dyDescent="0.25">
      <c r="B41" s="25"/>
      <c r="C41" s="19" t="s">
        <v>2227</v>
      </c>
      <c r="H41" s="2347"/>
      <c r="I41" s="2348"/>
      <c r="J41" s="2349"/>
      <c r="K41" s="19" t="s">
        <v>792</v>
      </c>
      <c r="L41" s="24" t="s">
        <v>2228</v>
      </c>
      <c r="M41" s="24"/>
      <c r="V41" s="23"/>
    </row>
    <row r="42" spans="2:22" ht="5.35" customHeight="1" x14ac:dyDescent="0.25">
      <c r="B42" s="25"/>
      <c r="L42" s="24"/>
      <c r="M42" s="24"/>
      <c r="V42" s="23"/>
    </row>
    <row r="43" spans="2:22" x14ac:dyDescent="0.25">
      <c r="B43" s="25"/>
      <c r="C43" s="19" t="s">
        <v>2229</v>
      </c>
      <c r="H43" s="2356"/>
      <c r="I43" s="2357"/>
      <c r="J43" s="2358"/>
      <c r="K43" s="19" t="s">
        <v>792</v>
      </c>
      <c r="L43" s="24" t="s">
        <v>2230</v>
      </c>
      <c r="M43" s="24"/>
      <c r="V43" s="23"/>
    </row>
    <row r="44" spans="2:22" ht="4.55" customHeight="1" x14ac:dyDescent="0.25">
      <c r="B44" s="25"/>
      <c r="L44" s="24"/>
      <c r="M44" s="24"/>
      <c r="V44" s="23"/>
    </row>
    <row r="45" spans="2:22" x14ac:dyDescent="0.25">
      <c r="B45" s="25"/>
      <c r="C45" s="19" t="s">
        <v>2231</v>
      </c>
      <c r="H45" s="2347"/>
      <c r="I45" s="2348"/>
      <c r="J45" s="2349"/>
      <c r="L45" s="24" t="s">
        <v>2232</v>
      </c>
      <c r="M45" s="24"/>
      <c r="V45" s="23"/>
    </row>
    <row r="46" spans="2:22" ht="3.8" customHeight="1" x14ac:dyDescent="0.25">
      <c r="B46" s="25"/>
      <c r="L46" s="24"/>
      <c r="M46" s="24"/>
      <c r="V46" s="23"/>
    </row>
    <row r="47" spans="2:22" ht="3.8" customHeight="1" x14ac:dyDescent="0.25">
      <c r="B47" s="25"/>
      <c r="L47" s="24"/>
      <c r="M47" s="24"/>
      <c r="V47" s="23"/>
    </row>
    <row r="48" spans="2:22" x14ac:dyDescent="0.25">
      <c r="B48" s="25"/>
      <c r="C48" s="19" t="s">
        <v>2233</v>
      </c>
      <c r="H48" s="2350">
        <f>(H37+H39+H43-H41)*H45</f>
        <v>0</v>
      </c>
      <c r="I48" s="2351"/>
      <c r="J48" s="2352"/>
      <c r="K48" s="19" t="s">
        <v>792</v>
      </c>
      <c r="L48" s="24"/>
      <c r="M48" s="24"/>
      <c r="V48" s="23"/>
    </row>
    <row r="49" spans="2:22" ht="4.55" customHeight="1" thickBot="1" x14ac:dyDescent="0.3">
      <c r="B49" s="22"/>
      <c r="C49" s="21"/>
      <c r="D49" s="21"/>
      <c r="E49" s="21"/>
      <c r="F49" s="21"/>
      <c r="G49" s="21"/>
      <c r="H49" s="21"/>
      <c r="I49" s="21"/>
      <c r="J49" s="21"/>
      <c r="K49" s="21"/>
      <c r="L49" s="21"/>
      <c r="M49" s="21"/>
      <c r="N49" s="21"/>
      <c r="O49" s="21"/>
      <c r="P49" s="21"/>
      <c r="Q49" s="21"/>
      <c r="R49" s="21"/>
      <c r="S49" s="21"/>
      <c r="T49" s="21"/>
      <c r="U49" s="21"/>
      <c r="V49" s="20"/>
    </row>
    <row r="50" spans="2:22" x14ac:dyDescent="0.25">
      <c r="B50" s="29"/>
      <c r="C50" s="28"/>
      <c r="D50" s="28"/>
      <c r="E50" s="28"/>
      <c r="F50" s="28"/>
      <c r="G50" s="28"/>
      <c r="H50" s="28"/>
      <c r="I50" s="28"/>
      <c r="J50" s="28"/>
      <c r="K50" s="28"/>
      <c r="L50" s="28"/>
      <c r="M50" s="28"/>
      <c r="N50" s="28"/>
      <c r="O50" s="28"/>
      <c r="P50" s="28"/>
      <c r="Q50" s="28"/>
      <c r="R50" s="28"/>
      <c r="S50" s="28"/>
      <c r="T50" s="28"/>
      <c r="U50" s="28"/>
      <c r="V50" s="27"/>
    </row>
    <row r="51" spans="2:22" x14ac:dyDescent="0.25">
      <c r="B51" s="25"/>
      <c r="C51" s="19" t="s">
        <v>2234</v>
      </c>
      <c r="V51" s="23"/>
    </row>
    <row r="52" spans="2:22" x14ac:dyDescent="0.25">
      <c r="B52" s="25"/>
      <c r="C52" s="26"/>
      <c r="D52" s="26"/>
      <c r="E52" s="26"/>
      <c r="F52" s="26"/>
      <c r="V52" s="23"/>
    </row>
    <row r="53" spans="2:22" x14ac:dyDescent="0.25">
      <c r="B53" s="25"/>
      <c r="C53" s="19" t="s">
        <v>2235</v>
      </c>
      <c r="H53" s="2347"/>
      <c r="I53" s="2348"/>
      <c r="J53" s="2349"/>
      <c r="K53" s="19" t="s">
        <v>792</v>
      </c>
      <c r="L53" s="24" t="s">
        <v>2236</v>
      </c>
      <c r="M53" s="24"/>
      <c r="V53" s="23"/>
    </row>
    <row r="54" spans="2:22" ht="5.95" customHeight="1" x14ac:dyDescent="0.25">
      <c r="B54" s="25"/>
      <c r="L54" s="24"/>
      <c r="M54" s="24"/>
      <c r="V54" s="23"/>
    </row>
    <row r="55" spans="2:22" x14ac:dyDescent="0.25">
      <c r="B55" s="25"/>
      <c r="C55" s="19" t="s">
        <v>2237</v>
      </c>
      <c r="H55" s="2356"/>
      <c r="I55" s="2357"/>
      <c r="J55" s="2358"/>
      <c r="K55" s="19" t="s">
        <v>792</v>
      </c>
      <c r="L55" s="24" t="s">
        <v>2238</v>
      </c>
      <c r="M55" s="24"/>
      <c r="V55" s="23"/>
    </row>
    <row r="56" spans="2:22" ht="8.3000000000000007" customHeight="1" x14ac:dyDescent="0.25">
      <c r="B56" s="25"/>
      <c r="L56" s="24"/>
      <c r="M56" s="24"/>
      <c r="V56" s="23"/>
    </row>
    <row r="57" spans="2:22" x14ac:dyDescent="0.25">
      <c r="B57" s="25"/>
      <c r="C57" s="19" t="s">
        <v>2231</v>
      </c>
      <c r="H57" s="2347"/>
      <c r="I57" s="2348"/>
      <c r="J57" s="2349"/>
      <c r="L57" s="24" t="s">
        <v>2232</v>
      </c>
      <c r="M57" s="24"/>
      <c r="V57" s="23"/>
    </row>
    <row r="58" spans="2:22" ht="5.95" customHeight="1" x14ac:dyDescent="0.25">
      <c r="B58" s="25"/>
      <c r="L58" s="24"/>
      <c r="M58" s="24"/>
      <c r="V58" s="23"/>
    </row>
    <row r="59" spans="2:22" ht="12.7" hidden="1" customHeight="1" x14ac:dyDescent="0.25">
      <c r="B59" s="25"/>
      <c r="L59" s="24"/>
      <c r="M59" s="24"/>
      <c r="V59" s="23"/>
    </row>
    <row r="60" spans="2:22" x14ac:dyDescent="0.25">
      <c r="B60" s="25"/>
      <c r="C60" s="19" t="s">
        <v>2239</v>
      </c>
      <c r="H60" s="2350" t="str">
        <f>IF(H53=0,"",((H53-H55)/H57))</f>
        <v/>
      </c>
      <c r="I60" s="2351"/>
      <c r="J60" s="2352"/>
      <c r="K60" s="19" t="s">
        <v>792</v>
      </c>
      <c r="L60" s="24"/>
      <c r="M60" s="24"/>
      <c r="V60" s="23"/>
    </row>
    <row r="61" spans="2:22" ht="13.8" thickBot="1" x14ac:dyDescent="0.3">
      <c r="B61" s="22"/>
      <c r="C61" s="21"/>
      <c r="D61" s="21"/>
      <c r="E61" s="21"/>
      <c r="F61" s="21"/>
      <c r="G61" s="21"/>
      <c r="H61" s="21"/>
      <c r="I61" s="21"/>
      <c r="J61" s="21"/>
      <c r="K61" s="21"/>
      <c r="L61" s="21"/>
      <c r="M61" s="21"/>
      <c r="N61" s="21"/>
      <c r="O61" s="21"/>
      <c r="P61" s="21"/>
      <c r="Q61" s="21"/>
      <c r="R61" s="21"/>
      <c r="S61" s="21"/>
      <c r="T61" s="21"/>
      <c r="U61" s="21"/>
      <c r="V61" s="20"/>
    </row>
    <row r="62" spans="2:22" ht="6.75" customHeight="1" x14ac:dyDescent="0.25"/>
  </sheetData>
  <mergeCells count="53">
    <mergeCell ref="U10:V10"/>
    <mergeCell ref="U11:V11"/>
    <mergeCell ref="U12:V12"/>
    <mergeCell ref="E12:H12"/>
    <mergeCell ref="N9:P12"/>
    <mergeCell ref="T9:T12"/>
    <mergeCell ref="Q10:S10"/>
    <mergeCell ref="Q9:S9"/>
    <mergeCell ref="Q11:S11"/>
    <mergeCell ref="Q12:S12"/>
    <mergeCell ref="K9:L9"/>
    <mergeCell ref="K10:L10"/>
    <mergeCell ref="K11:L11"/>
    <mergeCell ref="K12:L12"/>
    <mergeCell ref="M9:M12"/>
    <mergeCell ref="U9:V9"/>
    <mergeCell ref="B9:D12"/>
    <mergeCell ref="I9:J12"/>
    <mergeCell ref="H25:J25"/>
    <mergeCell ref="H29:J29"/>
    <mergeCell ref="H27:J27"/>
    <mergeCell ref="H19:J19"/>
    <mergeCell ref="C13:Q14"/>
    <mergeCell ref="H23:J23"/>
    <mergeCell ref="E9:H9"/>
    <mergeCell ref="E10:H10"/>
    <mergeCell ref="E11:H11"/>
    <mergeCell ref="H53:J53"/>
    <mergeCell ref="H57:J57"/>
    <mergeCell ref="H60:J60"/>
    <mergeCell ref="H48:J48"/>
    <mergeCell ref="H31:J31"/>
    <mergeCell ref="H33:J33"/>
    <mergeCell ref="H39:J39"/>
    <mergeCell ref="H43:J43"/>
    <mergeCell ref="H45:J45"/>
    <mergeCell ref="H37:J37"/>
    <mergeCell ref="H41:J41"/>
    <mergeCell ref="H55:J55"/>
    <mergeCell ref="B5:C7"/>
    <mergeCell ref="H5:J7"/>
    <mergeCell ref="T3:V3"/>
    <mergeCell ref="T5:V7"/>
    <mergeCell ref="H3:J3"/>
    <mergeCell ref="Q5:S7"/>
    <mergeCell ref="Q3:S3"/>
    <mergeCell ref="B3:C3"/>
    <mergeCell ref="D3:F3"/>
    <mergeCell ref="D5:F7"/>
    <mergeCell ref="K3:O3"/>
    <mergeCell ref="K5:O5"/>
    <mergeCell ref="K6:O6"/>
    <mergeCell ref="K7:O7"/>
  </mergeCells>
  <printOptions horizontalCentered="1"/>
  <pageMargins left="0.70866141732283472" right="0.55118110236220474" top="0.98425196850393704" bottom="0.9055118110236221" header="0.23622047244094491" footer="0.27559055118110237"/>
  <pageSetup paperSize="9" scale="89" orientation="portrait"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legacyDrawingHF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9">
    <tabColor rgb="FF00B050"/>
    <outlinePr summaryBelow="0"/>
  </sheetPr>
  <dimension ref="A1:FR70"/>
  <sheetViews>
    <sheetView showGridLines="0" zoomScale="70" zoomScaleNormal="70" zoomScaleSheetLayoutView="85" zoomScalePageLayoutView="70" workbookViewId="0">
      <selection activeCell="F23" sqref="F23:F64"/>
    </sheetView>
  </sheetViews>
  <sheetFormatPr baseColWidth="10" defaultColWidth="9" defaultRowHeight="13.15" outlineLevelRow="1" x14ac:dyDescent="0.25"/>
  <cols>
    <col min="1" max="1" width="9" style="32"/>
    <col min="2" max="2" width="6.3984375" style="35" customWidth="1"/>
    <col min="3" max="3" width="16" style="32" customWidth="1"/>
    <col min="4" max="4" width="6.09765625" style="32" customWidth="1"/>
    <col min="5" max="5" width="3.3984375" style="32" customWidth="1"/>
    <col min="6" max="6" width="4.3984375" style="32" customWidth="1"/>
    <col min="7" max="65" width="2.3984375" style="32" customWidth="1"/>
    <col min="66" max="66" width="5.3984375" style="32" hidden="1" customWidth="1"/>
    <col min="67" max="67" width="11.3984375" style="32" customWidth="1"/>
    <col min="68" max="68" width="10.8984375" style="32" customWidth="1"/>
    <col min="69" max="69" width="12.19921875" style="32" customWidth="1"/>
    <col min="70" max="70" width="4.8984375" style="32" customWidth="1"/>
    <col min="71" max="73" width="9" style="32"/>
    <col min="74" max="74" width="10.3984375" style="32" bestFit="1" customWidth="1"/>
    <col min="75" max="75" width="10.3984375" style="32" customWidth="1"/>
    <col min="76" max="76" width="10.3984375" style="32" bestFit="1" customWidth="1"/>
    <col min="77" max="16384" width="9" style="32"/>
  </cols>
  <sheetData>
    <row r="1" spans="2:83" ht="20.2" customHeight="1" x14ac:dyDescent="0.25">
      <c r="F1" s="40"/>
      <c r="K1" s="41"/>
      <c r="L1" s="41"/>
      <c r="M1" s="41"/>
      <c r="N1" s="41"/>
      <c r="O1" s="41"/>
      <c r="P1" s="41"/>
      <c r="Q1" s="41"/>
      <c r="R1" s="41"/>
      <c r="T1" s="42"/>
      <c r="U1" s="42"/>
      <c r="V1" s="42"/>
      <c r="W1" s="42"/>
      <c r="X1" s="42"/>
      <c r="Y1" s="42"/>
      <c r="Z1" s="42"/>
      <c r="AA1" s="42"/>
      <c r="AB1" s="42"/>
      <c r="AC1" s="42"/>
      <c r="AD1" s="42"/>
      <c r="AE1" s="42"/>
      <c r="AF1" s="42"/>
      <c r="AG1" s="43"/>
      <c r="AH1" s="44"/>
      <c r="AI1" s="44"/>
      <c r="AK1" s="40"/>
      <c r="AL1" s="40"/>
      <c r="BN1" s="33"/>
      <c r="BO1" s="33"/>
      <c r="BP1" s="33"/>
      <c r="BQ1" s="33"/>
    </row>
    <row r="2" spans="2:83" ht="15.05" customHeight="1" x14ac:dyDescent="0.25">
      <c r="B2" s="128" t="s">
        <v>2240</v>
      </c>
      <c r="C2" s="128"/>
      <c r="D2" s="128"/>
      <c r="E2" s="128"/>
      <c r="F2" s="128"/>
      <c r="G2" s="128"/>
      <c r="H2" s="128"/>
      <c r="I2" s="128"/>
      <c r="J2" s="128"/>
      <c r="K2" s="128"/>
      <c r="L2" s="128"/>
      <c r="M2" s="128"/>
      <c r="N2" s="128"/>
      <c r="O2" s="128"/>
      <c r="P2" s="128"/>
      <c r="T2" s="118"/>
      <c r="U2" s="118"/>
      <c r="V2" s="118"/>
      <c r="W2" s="118"/>
      <c r="X2" s="118"/>
      <c r="Y2" s="118"/>
      <c r="Z2" s="129"/>
      <c r="AA2" s="129"/>
      <c r="AB2" s="129"/>
      <c r="AC2" s="129"/>
      <c r="AD2" s="129"/>
      <c r="AE2" s="129"/>
      <c r="AF2" s="129"/>
      <c r="AG2" s="129"/>
      <c r="AH2" s="129"/>
      <c r="AI2" s="129"/>
      <c r="AJ2" s="129"/>
      <c r="AK2" s="129"/>
      <c r="AL2" s="129"/>
      <c r="AM2" s="129"/>
      <c r="AN2" s="129"/>
      <c r="AO2" s="34"/>
      <c r="AP2" s="34"/>
      <c r="AQ2" s="34"/>
      <c r="AR2" s="34"/>
      <c r="AT2" s="34"/>
      <c r="AU2" s="34"/>
      <c r="AV2" s="34"/>
      <c r="AW2" s="34"/>
      <c r="AX2" s="34"/>
      <c r="AY2" s="34"/>
      <c r="AZ2" s="34"/>
      <c r="BA2" s="34"/>
      <c r="BB2" s="34"/>
      <c r="BC2" s="34"/>
      <c r="BD2" s="34"/>
      <c r="BE2" s="34"/>
      <c r="BF2" s="34"/>
      <c r="BG2" s="34"/>
      <c r="BH2" s="34"/>
      <c r="BI2" s="34"/>
      <c r="BJ2" s="34"/>
      <c r="BK2" s="34"/>
      <c r="BL2" s="34"/>
      <c r="BM2" s="34"/>
    </row>
    <row r="3" spans="2:83" ht="4.25" customHeight="1" x14ac:dyDescent="0.25">
      <c r="D3" s="45"/>
      <c r="E3" s="45"/>
      <c r="F3" s="46"/>
      <c r="G3" s="45"/>
      <c r="H3" s="45"/>
      <c r="I3" s="45"/>
      <c r="J3" s="45"/>
      <c r="K3" s="45"/>
      <c r="L3" s="45"/>
      <c r="M3" s="45"/>
      <c r="N3" s="45"/>
      <c r="O3" s="45"/>
      <c r="P3" s="121"/>
      <c r="Q3" s="121"/>
      <c r="T3" s="118"/>
      <c r="U3" s="118"/>
      <c r="V3" s="118"/>
      <c r="W3" s="118"/>
      <c r="X3" s="118"/>
      <c r="Y3" s="118"/>
      <c r="Z3" s="118"/>
      <c r="AA3" s="118"/>
      <c r="AB3" s="118"/>
      <c r="AC3" s="118"/>
      <c r="AD3" s="118"/>
      <c r="AE3" s="118"/>
      <c r="AF3" s="118"/>
      <c r="AG3" s="119"/>
      <c r="AH3" s="120"/>
      <c r="AI3" s="120"/>
      <c r="AK3" s="40"/>
      <c r="AL3" s="40"/>
      <c r="BN3" s="33"/>
      <c r="BO3" s="33"/>
      <c r="BP3" s="33"/>
      <c r="BQ3" s="33"/>
    </row>
    <row r="4" spans="2:83" ht="18" customHeight="1" x14ac:dyDescent="0.25">
      <c r="B4" s="2395" t="s">
        <v>136</v>
      </c>
      <c r="C4" s="2396"/>
      <c r="D4" s="2397">
        <f>Basic_Data!R7</f>
        <v>0</v>
      </c>
      <c r="E4" s="2398"/>
      <c r="F4" s="2398"/>
      <c r="G4" s="2398"/>
      <c r="H4" s="2398"/>
      <c r="I4" s="2398"/>
      <c r="J4" s="2398"/>
      <c r="K4" s="2398"/>
      <c r="L4" s="2398"/>
      <c r="M4" s="2398"/>
      <c r="N4" s="2398"/>
      <c r="O4" s="2398"/>
      <c r="P4" s="2399"/>
      <c r="R4" s="2405" t="s">
        <v>25</v>
      </c>
      <c r="S4" s="2406"/>
      <c r="T4" s="2406"/>
      <c r="U4" s="2406"/>
      <c r="V4" s="2406"/>
      <c r="W4" s="2406"/>
      <c r="X4" s="2406"/>
      <c r="Y4" s="2407"/>
      <c r="Z4" s="2424">
        <v>42674</v>
      </c>
      <c r="AA4" s="2425"/>
      <c r="AB4" s="2425"/>
      <c r="AC4" s="2425"/>
      <c r="AD4" s="2425"/>
      <c r="AE4" s="2425"/>
      <c r="AF4" s="2425"/>
      <c r="AG4" s="2425"/>
      <c r="AH4" s="2425"/>
      <c r="AI4" s="2425"/>
      <c r="AJ4" s="2425"/>
      <c r="AK4" s="2425"/>
      <c r="AL4" s="2425"/>
      <c r="AM4" s="2425"/>
      <c r="AN4" s="2426"/>
      <c r="AO4" s="34"/>
      <c r="AP4" s="81" t="s">
        <v>2241</v>
      </c>
      <c r="AQ4" s="82"/>
      <c r="AR4" s="83"/>
      <c r="AS4" s="83"/>
      <c r="AT4" s="83"/>
      <c r="AU4" s="83"/>
      <c r="AV4" s="83"/>
      <c r="AW4" s="83"/>
      <c r="AX4" s="83"/>
      <c r="AY4" s="83"/>
      <c r="AZ4" s="83"/>
      <c r="BA4" s="83"/>
      <c r="BB4" s="83"/>
      <c r="BC4" s="83"/>
      <c r="BD4" s="83"/>
      <c r="BE4" s="84"/>
      <c r="BF4" s="34"/>
      <c r="BG4" s="34"/>
      <c r="BH4" s="34"/>
      <c r="BI4" s="34"/>
      <c r="BJ4" s="34"/>
      <c r="BK4" s="34"/>
      <c r="BL4" s="34"/>
      <c r="BM4" s="35" t="s">
        <v>2242</v>
      </c>
      <c r="BO4" s="32" t="s">
        <v>2243</v>
      </c>
      <c r="BS4" s="32" t="s">
        <v>2244</v>
      </c>
      <c r="CE4" s="32">
        <v>1</v>
      </c>
    </row>
    <row r="5" spans="2:83" ht="4.25" customHeight="1" x14ac:dyDescent="0.25">
      <c r="D5" s="45"/>
      <c r="E5" s="45"/>
      <c r="F5" s="46"/>
      <c r="G5" s="45"/>
      <c r="H5" s="45"/>
      <c r="I5" s="45"/>
      <c r="J5" s="45"/>
      <c r="K5" s="45"/>
      <c r="L5" s="45"/>
      <c r="M5" s="45"/>
      <c r="N5" s="45"/>
      <c r="O5" s="45"/>
      <c r="P5" s="41"/>
      <c r="Q5" s="41"/>
      <c r="T5" s="42"/>
      <c r="U5" s="42"/>
      <c r="V5" s="42"/>
      <c r="W5" s="42"/>
      <c r="X5" s="42"/>
      <c r="Y5" s="42"/>
      <c r="Z5" s="42"/>
      <c r="AA5" s="42"/>
      <c r="AB5" s="42"/>
      <c r="AC5" s="42"/>
      <c r="AD5" s="42"/>
      <c r="AE5" s="42"/>
      <c r="AF5" s="42"/>
      <c r="AG5" s="43"/>
      <c r="AH5" s="44"/>
      <c r="AI5" s="44"/>
      <c r="AK5" s="40"/>
      <c r="AL5" s="40"/>
      <c r="AP5" s="2400"/>
      <c r="AQ5" s="2400"/>
      <c r="AR5" s="2400"/>
      <c r="AS5" s="2400"/>
      <c r="AT5" s="2400"/>
      <c r="AU5" s="2400"/>
      <c r="AV5" s="2400"/>
      <c r="AW5" s="2400"/>
      <c r="AX5" s="2400"/>
      <c r="AY5" s="2400"/>
      <c r="AZ5" s="2400"/>
      <c r="BA5" s="2400"/>
      <c r="BB5" s="2400"/>
      <c r="BC5" s="2400"/>
      <c r="BD5" s="2400"/>
      <c r="BE5" s="2400"/>
      <c r="BM5" s="35"/>
      <c r="BN5" s="33"/>
      <c r="BO5" s="33"/>
      <c r="BP5" s="33"/>
      <c r="BQ5" s="33"/>
      <c r="CE5" s="32">
        <v>2</v>
      </c>
    </row>
    <row r="6" spans="2:83" ht="15.05" customHeight="1" x14ac:dyDescent="0.25">
      <c r="B6" s="81" t="s">
        <v>2245</v>
      </c>
      <c r="C6" s="80"/>
      <c r="D6" s="2401" t="e">
        <f>Basic_Data!#REF!</f>
        <v>#REF!</v>
      </c>
      <c r="E6" s="2402"/>
      <c r="F6" s="2402"/>
      <c r="G6" s="2402"/>
      <c r="H6" s="2402"/>
      <c r="I6" s="2402"/>
      <c r="J6" s="2402"/>
      <c r="K6" s="2402"/>
      <c r="L6" s="2402"/>
      <c r="M6" s="2402"/>
      <c r="N6" s="2402"/>
      <c r="O6" s="2402"/>
      <c r="P6" s="2402"/>
      <c r="R6" s="2405" t="s">
        <v>27</v>
      </c>
      <c r="S6" s="2406"/>
      <c r="T6" s="2406"/>
      <c r="U6" s="2406"/>
      <c r="V6" s="2406"/>
      <c r="W6" s="2406"/>
      <c r="X6" s="2406"/>
      <c r="Y6" s="2407"/>
      <c r="Z6" s="2403"/>
      <c r="AA6" s="2403"/>
      <c r="AB6" s="2403"/>
      <c r="AC6" s="2403"/>
      <c r="AD6" s="2403"/>
      <c r="AE6" s="2403"/>
      <c r="AF6" s="2403"/>
      <c r="AG6" s="2403"/>
      <c r="AH6" s="2403"/>
      <c r="AI6" s="2403"/>
      <c r="AJ6" s="2403"/>
      <c r="AK6" s="2403"/>
      <c r="AL6" s="2403"/>
      <c r="AM6" s="2403"/>
      <c r="AN6" s="2403"/>
      <c r="AO6" s="34"/>
      <c r="AP6" s="2400"/>
      <c r="AQ6" s="2400"/>
      <c r="AR6" s="2400"/>
      <c r="AS6" s="2400"/>
      <c r="AT6" s="2400"/>
      <c r="AU6" s="2400"/>
      <c r="AV6" s="2400"/>
      <c r="AW6" s="2400"/>
      <c r="AX6" s="2400"/>
      <c r="AY6" s="2400"/>
      <c r="AZ6" s="2400"/>
      <c r="BA6" s="2400"/>
      <c r="BB6" s="2400"/>
      <c r="BC6" s="2400"/>
      <c r="BD6" s="2400"/>
      <c r="BE6" s="2400"/>
      <c r="BF6" s="34"/>
      <c r="BG6" s="34"/>
      <c r="BH6" s="34"/>
      <c r="BI6" s="34"/>
      <c r="BJ6" s="34"/>
      <c r="BK6" s="34"/>
      <c r="BL6" s="34"/>
      <c r="BM6" s="35" t="s">
        <v>2242</v>
      </c>
      <c r="BO6" s="32" t="s">
        <v>2246</v>
      </c>
      <c r="CE6" s="32">
        <v>3</v>
      </c>
    </row>
    <row r="7" spans="2:83" ht="4.25" customHeight="1" x14ac:dyDescent="0.25">
      <c r="D7" s="45"/>
      <c r="E7" s="45"/>
      <c r="F7" s="46"/>
      <c r="G7" s="45"/>
      <c r="H7" s="45"/>
      <c r="I7" s="45"/>
      <c r="J7" s="45"/>
      <c r="K7" s="45"/>
      <c r="L7" s="45"/>
      <c r="M7" s="45"/>
      <c r="N7" s="45"/>
      <c r="O7" s="45"/>
      <c r="P7" s="41"/>
      <c r="Q7" s="41"/>
      <c r="T7" s="42"/>
      <c r="U7" s="42"/>
      <c r="V7" s="42"/>
      <c r="W7" s="42"/>
      <c r="X7" s="42"/>
      <c r="Y7" s="42"/>
      <c r="Z7" s="42"/>
      <c r="AA7" s="42"/>
      <c r="AB7" s="42"/>
      <c r="AC7" s="42"/>
      <c r="AD7" s="42"/>
      <c r="AE7" s="42"/>
      <c r="AF7" s="42"/>
      <c r="AG7" s="43"/>
      <c r="AH7" s="44"/>
      <c r="AI7" s="44"/>
      <c r="AK7" s="40"/>
      <c r="AL7" s="40"/>
      <c r="AP7" s="2400"/>
      <c r="AQ7" s="2400"/>
      <c r="AR7" s="2400"/>
      <c r="AS7" s="2400"/>
      <c r="AT7" s="2400"/>
      <c r="AU7" s="2400"/>
      <c r="AV7" s="2400"/>
      <c r="AW7" s="2400"/>
      <c r="AX7" s="2400"/>
      <c r="AY7" s="2400"/>
      <c r="AZ7" s="2400"/>
      <c r="BA7" s="2400"/>
      <c r="BB7" s="2400"/>
      <c r="BC7" s="2400"/>
      <c r="BD7" s="2400"/>
      <c r="BE7" s="2400"/>
      <c r="BM7" s="35"/>
      <c r="BN7" s="33"/>
      <c r="BP7" s="33"/>
      <c r="BQ7" s="33"/>
    </row>
    <row r="8" spans="2:83" ht="15.05" customHeight="1" x14ac:dyDescent="0.25">
      <c r="B8" s="81" t="s">
        <v>43</v>
      </c>
      <c r="C8" s="80"/>
      <c r="D8" s="2398">
        <f>Basic_Data!R6</f>
        <v>0</v>
      </c>
      <c r="E8" s="2398"/>
      <c r="F8" s="2398"/>
      <c r="G8" s="2398"/>
      <c r="H8" s="2398"/>
      <c r="I8" s="2398"/>
      <c r="J8" s="2398"/>
      <c r="K8" s="2398"/>
      <c r="L8" s="2398"/>
      <c r="M8" s="2398"/>
      <c r="N8" s="2398"/>
      <c r="O8" s="2398"/>
      <c r="P8" s="2398"/>
      <c r="R8" s="2408"/>
      <c r="S8" s="2408"/>
      <c r="T8" s="2408"/>
      <c r="U8" s="2408"/>
      <c r="V8" s="2408"/>
      <c r="W8" s="2408"/>
      <c r="X8" s="2408"/>
      <c r="Y8" s="2408"/>
      <c r="Z8" s="2404"/>
      <c r="AA8" s="2404"/>
      <c r="AB8" s="2404"/>
      <c r="AC8" s="2404"/>
      <c r="AD8" s="2404"/>
      <c r="AE8" s="2404"/>
      <c r="AF8" s="2404"/>
      <c r="AG8" s="2404"/>
      <c r="AH8" s="2404"/>
      <c r="AI8" s="2404"/>
      <c r="AJ8" s="2404"/>
      <c r="AK8" s="2404"/>
      <c r="AL8" s="2404"/>
      <c r="AM8" s="2404"/>
      <c r="AN8" s="2404"/>
      <c r="AO8" s="34"/>
      <c r="AP8" s="2400"/>
      <c r="AQ8" s="2400"/>
      <c r="AR8" s="2400"/>
      <c r="AS8" s="2400"/>
      <c r="AT8" s="2400"/>
      <c r="AU8" s="2400"/>
      <c r="AV8" s="2400"/>
      <c r="AW8" s="2400"/>
      <c r="AX8" s="2400"/>
      <c r="AY8" s="2400"/>
      <c r="AZ8" s="2400"/>
      <c r="BA8" s="2400"/>
      <c r="BB8" s="2400"/>
      <c r="BC8" s="2400"/>
      <c r="BD8" s="2400"/>
      <c r="BE8" s="2400"/>
      <c r="BF8" s="34"/>
      <c r="BG8" s="34"/>
      <c r="BH8" s="34"/>
      <c r="BI8" s="34"/>
      <c r="BJ8" s="34"/>
      <c r="BK8" s="34"/>
      <c r="BL8" s="34"/>
      <c r="BM8" s="65" t="s">
        <v>2242</v>
      </c>
      <c r="BO8" s="32" t="s">
        <v>2247</v>
      </c>
    </row>
    <row r="9" spans="2:83" ht="4.25" customHeight="1" x14ac:dyDescent="0.25">
      <c r="D9" s="45"/>
      <c r="E9" s="45"/>
      <c r="F9" s="46"/>
      <c r="G9" s="45"/>
      <c r="H9" s="45"/>
      <c r="I9" s="45"/>
      <c r="J9" s="45"/>
      <c r="K9" s="45"/>
      <c r="L9" s="45"/>
      <c r="M9" s="45"/>
      <c r="N9" s="45"/>
      <c r="O9" s="45"/>
      <c r="P9" s="41"/>
      <c r="Q9" s="41"/>
      <c r="T9" s="42"/>
      <c r="U9" s="42"/>
      <c r="V9" s="42"/>
      <c r="W9" s="42"/>
      <c r="X9" s="42"/>
      <c r="Y9" s="42"/>
      <c r="Z9" s="42"/>
      <c r="AA9" s="42"/>
      <c r="AB9" s="42"/>
      <c r="AC9" s="42"/>
      <c r="AD9" s="42"/>
      <c r="AE9" s="42"/>
      <c r="AF9" s="42"/>
      <c r="AG9" s="43"/>
      <c r="AH9" s="44"/>
      <c r="AI9" s="44"/>
      <c r="AK9" s="40"/>
      <c r="AL9" s="40"/>
      <c r="AS9" s="36"/>
      <c r="AT9" s="36"/>
      <c r="AU9" s="64"/>
      <c r="AV9" s="36"/>
      <c r="AW9" s="36"/>
      <c r="AX9" s="36"/>
      <c r="AY9" s="36"/>
      <c r="AZ9" s="36"/>
      <c r="BA9" s="36"/>
      <c r="BB9" s="36"/>
      <c r="BM9" s="64"/>
      <c r="BN9" s="33"/>
      <c r="BO9" s="33"/>
      <c r="BP9" s="33"/>
      <c r="BQ9" s="33"/>
    </row>
    <row r="10" spans="2:83" ht="15.05" customHeight="1" x14ac:dyDescent="0.25">
      <c r="B10" s="2488" t="s">
        <v>2248</v>
      </c>
      <c r="C10" s="2489"/>
      <c r="D10" s="2421"/>
      <c r="E10" s="2422"/>
      <c r="F10" s="2422"/>
      <c r="G10" s="2422"/>
      <c r="H10" s="2422"/>
      <c r="I10" s="2422"/>
      <c r="J10" s="2422"/>
      <c r="K10" s="2422"/>
      <c r="L10" s="2422"/>
      <c r="M10" s="2422"/>
      <c r="N10" s="2422"/>
      <c r="O10" s="2422"/>
      <c r="P10" s="2423"/>
      <c r="R10" s="2490" t="s">
        <v>659</v>
      </c>
      <c r="S10" s="2491"/>
      <c r="T10" s="2491"/>
      <c r="U10" s="2491"/>
      <c r="V10" s="2491"/>
      <c r="W10" s="2491"/>
      <c r="X10" s="2492"/>
      <c r="Y10" s="2493">
        <v>1</v>
      </c>
      <c r="Z10" s="2494"/>
      <c r="AA10" s="2494"/>
      <c r="AB10" s="2495"/>
      <c r="AC10" s="79"/>
      <c r="AD10" s="79"/>
      <c r="AE10" s="118"/>
      <c r="AF10" s="118"/>
      <c r="AG10" s="118"/>
      <c r="AH10" s="118"/>
      <c r="AI10" s="118"/>
      <c r="AJ10" s="118"/>
      <c r="AK10" s="118"/>
      <c r="AL10" s="119"/>
      <c r="AM10" s="120"/>
      <c r="AS10" s="36"/>
      <c r="AT10" s="36"/>
      <c r="AU10" s="64"/>
      <c r="AV10" s="36"/>
      <c r="AW10" s="36"/>
      <c r="AX10" s="36"/>
      <c r="AY10" s="36"/>
      <c r="AZ10" s="36"/>
      <c r="BA10" s="36"/>
      <c r="BB10" s="36"/>
      <c r="BS10" s="32" t="s">
        <v>2249</v>
      </c>
    </row>
    <row r="11" spans="2:83" ht="12.05" customHeight="1" x14ac:dyDescent="0.25">
      <c r="D11" s="45"/>
      <c r="E11" s="45"/>
      <c r="F11" s="46"/>
      <c r="G11" s="45"/>
      <c r="H11" s="45"/>
      <c r="I11" s="45"/>
      <c r="J11" s="45"/>
      <c r="K11" s="45"/>
      <c r="L11" s="45"/>
      <c r="M11" s="45"/>
      <c r="N11" s="45"/>
      <c r="O11" s="45"/>
      <c r="P11" s="121"/>
      <c r="Q11" s="121"/>
      <c r="R11" s="45"/>
      <c r="S11" s="45"/>
      <c r="T11" s="45"/>
      <c r="U11" s="121"/>
      <c r="V11" s="121"/>
      <c r="W11" s="78"/>
      <c r="X11" s="78"/>
      <c r="Y11" s="79"/>
      <c r="Z11" s="79"/>
      <c r="AA11" s="79"/>
      <c r="AB11" s="79"/>
      <c r="AC11" s="79"/>
      <c r="AD11" s="79"/>
      <c r="AE11" s="118"/>
      <c r="AF11" s="118"/>
      <c r="AG11" s="118"/>
      <c r="AH11" s="118"/>
      <c r="AI11" s="118"/>
      <c r="AJ11" s="118"/>
      <c r="AK11" s="118"/>
      <c r="AL11" s="119"/>
      <c r="AM11" s="120"/>
      <c r="AS11" s="36"/>
      <c r="AT11" s="36"/>
      <c r="AU11" s="36"/>
      <c r="AV11" s="36"/>
      <c r="AW11" s="36"/>
      <c r="AX11" s="36"/>
      <c r="AY11" s="36"/>
      <c r="AZ11" s="36"/>
      <c r="BA11" s="36"/>
      <c r="BB11" s="36"/>
      <c r="BN11" s="33"/>
      <c r="BO11" s="33"/>
      <c r="BP11" s="33"/>
      <c r="BQ11" s="33"/>
    </row>
    <row r="12" spans="2:83" ht="12.05" customHeight="1" x14ac:dyDescent="0.25">
      <c r="B12" s="32"/>
      <c r="D12" s="45"/>
      <c r="E12" s="45"/>
      <c r="F12" s="46"/>
      <c r="G12" s="45"/>
      <c r="H12" s="45"/>
      <c r="I12" s="45"/>
      <c r="J12" s="45"/>
      <c r="K12" s="45"/>
      <c r="L12" s="45"/>
      <c r="R12" s="2496" t="s">
        <v>49</v>
      </c>
      <c r="S12" s="2497"/>
      <c r="T12" s="2497"/>
      <c r="U12" s="2497"/>
      <c r="V12" s="2497"/>
      <c r="W12" s="2497"/>
      <c r="X12" s="2498"/>
      <c r="Y12" s="2496" t="s">
        <v>51</v>
      </c>
      <c r="Z12" s="2497"/>
      <c r="AA12" s="2497"/>
      <c r="AB12" s="2498"/>
      <c r="AC12" s="2499" t="s">
        <v>52</v>
      </c>
      <c r="AD12" s="2500"/>
      <c r="AE12" s="2500"/>
      <c r="AF12" s="2500"/>
      <c r="AG12" s="2500"/>
      <c r="AH12" s="2500"/>
      <c r="AI12" s="2500"/>
      <c r="AJ12" s="2501"/>
      <c r="AK12" s="2502" t="s">
        <v>51</v>
      </c>
      <c r="AL12" s="2503"/>
      <c r="AM12" s="2504"/>
      <c r="BN12" s="33"/>
      <c r="BO12" s="33"/>
      <c r="BP12" s="33"/>
      <c r="BQ12" s="33"/>
      <c r="BS12" s="115"/>
    </row>
    <row r="13" spans="2:83" ht="12.05" customHeight="1" x14ac:dyDescent="0.25">
      <c r="D13" s="45"/>
      <c r="E13" s="45"/>
      <c r="F13" s="46"/>
      <c r="G13" s="45"/>
      <c r="H13" s="45"/>
      <c r="I13" s="45"/>
      <c r="J13" s="45"/>
      <c r="K13" s="45"/>
      <c r="L13" s="45"/>
      <c r="R13" s="2429">
        <f>IF(Y10=3,'LQG-Ergebnis'!AU11,IF(Y10=2,'LQG-Ergebnis'!X11,IF(Y10=1,'LQG-Ergebnis'!A11,"")))</f>
        <v>123</v>
      </c>
      <c r="S13" s="2430"/>
      <c r="T13" s="2430"/>
      <c r="U13" s="2430"/>
      <c r="V13" s="2430"/>
      <c r="W13" s="2430"/>
      <c r="X13" s="2431"/>
      <c r="Y13" s="2429">
        <f>IF(Y10=3,'LQG-Ergebnis'!BB11,IF(Y10=2,'LQG-Ergebnis'!AE11,IF(Y10=1,'LQG-Ergebnis'!H11,"")))</f>
        <v>101</v>
      </c>
      <c r="Z13" s="2430"/>
      <c r="AA13" s="2430"/>
      <c r="AB13" s="2431"/>
      <c r="AC13" s="2432" t="str">
        <f>IF(Y10=3,'LQG-Ergebnis'!BF11,IF(Y10=2,'LQG-Ergebnis'!AI11,IF(Y10=1,'LQG-Ergebnis'!L11,"")))</f>
        <v>D55</v>
      </c>
      <c r="AD13" s="2433"/>
      <c r="AE13" s="2433"/>
      <c r="AF13" s="2433"/>
      <c r="AG13" s="2433"/>
      <c r="AH13" s="2433"/>
      <c r="AI13" s="2433"/>
      <c r="AJ13" s="2434"/>
      <c r="AK13" s="2435">
        <f>IF(Y10=3,'LQG-Ergebnis'!BN11,IF(Y10=2,'LQG-Ergebnis'!AQ11,IF(Y10=1,'LQG-Ergebnis'!T11,"")))</f>
        <v>345</v>
      </c>
      <c r="AL13" s="2436"/>
      <c r="AM13" s="2437"/>
      <c r="BN13" s="33"/>
      <c r="BO13" s="33"/>
      <c r="BP13" s="33"/>
      <c r="BQ13" s="33"/>
      <c r="BS13" s="115"/>
    </row>
    <row r="14" spans="2:83" ht="12.05" customHeight="1" x14ac:dyDescent="0.25">
      <c r="B14" s="2505"/>
      <c r="C14" s="2505"/>
      <c r="D14" s="116"/>
      <c r="E14" s="117"/>
      <c r="F14" s="117"/>
      <c r="G14" s="117"/>
      <c r="H14" s="117"/>
      <c r="I14" s="36"/>
      <c r="J14" s="36"/>
      <c r="K14" s="36"/>
      <c r="L14" s="36"/>
      <c r="R14" s="2429" t="str">
        <f>IF(Y11=3,'LQG-Ergebnis'!AU12,IF(Y11=2,'LQG-Ergebnis'!X12,IF(Y11=1,'LQG-Ergebnis'!A12,"")))</f>
        <v/>
      </c>
      <c r="S14" s="2430"/>
      <c r="T14" s="2430"/>
      <c r="U14" s="2430"/>
      <c r="V14" s="2430"/>
      <c r="W14" s="2430"/>
      <c r="X14" s="2431"/>
      <c r="Y14" s="2429" t="str">
        <f>IF(Y11=3,'LQG-Ergebnis'!BB12,IF(Y11=2,'LQG-Ergebnis'!AE12,IF(Y11=1,'LQG-Ergebnis'!H12,"")))</f>
        <v/>
      </c>
      <c r="Z14" s="2430"/>
      <c r="AA14" s="2430"/>
      <c r="AB14" s="2431"/>
      <c r="AC14" s="2432" t="str">
        <f>IF(Y11=3,'LQG-Ergebnis'!BF12,IF(Y11=2,'LQG-Ergebnis'!AI12,IF(Y11=1,'LQG-Ergebnis'!L12,"")))</f>
        <v/>
      </c>
      <c r="AD14" s="2433"/>
      <c r="AE14" s="2433"/>
      <c r="AF14" s="2433"/>
      <c r="AG14" s="2433"/>
      <c r="AH14" s="2433"/>
      <c r="AI14" s="2433"/>
      <c r="AJ14" s="2434"/>
      <c r="AK14" s="2435" t="str">
        <f>IF(Y11=3,'LQG-Ergebnis'!BN12,IF(Y11=2,'LQG-Ergebnis'!AQ12,IF(Y11=1,'LQG-Ergebnis'!T12,"")))</f>
        <v/>
      </c>
      <c r="AL14" s="2436"/>
      <c r="AM14" s="2437"/>
      <c r="BN14" s="33"/>
      <c r="BO14" s="33"/>
      <c r="BP14" s="33"/>
      <c r="BQ14" s="33"/>
      <c r="BS14" s="115"/>
    </row>
    <row r="15" spans="2:83" ht="12.05" customHeight="1" x14ac:dyDescent="0.25">
      <c r="B15" s="2427"/>
      <c r="C15" s="2427"/>
      <c r="D15" s="2427"/>
      <c r="E15" s="2427"/>
      <c r="F15" s="2427"/>
      <c r="G15" s="2427"/>
      <c r="H15" s="2427"/>
      <c r="I15" s="2428"/>
      <c r="J15" s="2428"/>
      <c r="K15" s="2428"/>
      <c r="L15" s="2428"/>
      <c r="R15" s="2429" t="str">
        <f>IF(Y12=3,'LQG-Ergebnis'!AU13,IF(Y12=2,'LQG-Ergebnis'!X13,IF(Y12=1,'LQG-Ergebnis'!A13,"")))</f>
        <v/>
      </c>
      <c r="S15" s="2430"/>
      <c r="T15" s="2430"/>
      <c r="U15" s="2430"/>
      <c r="V15" s="2430"/>
      <c r="W15" s="2430"/>
      <c r="X15" s="2431"/>
      <c r="Y15" s="2429" t="str">
        <f>IF(Y12=3,'LQG-Ergebnis'!BB13,IF(Y12=2,'LQG-Ergebnis'!AE13,IF(Y12=1,'LQG-Ergebnis'!H13,"")))</f>
        <v/>
      </c>
      <c r="Z15" s="2430"/>
      <c r="AA15" s="2430"/>
      <c r="AB15" s="2431"/>
      <c r="AC15" s="2432" t="str">
        <f>IF(Y12=3,'LQG-Ergebnis'!BF13,IF(Y12=2,'LQG-Ergebnis'!AI13,IF(Y12=1,'LQG-Ergebnis'!L13,"")))</f>
        <v/>
      </c>
      <c r="AD15" s="2433"/>
      <c r="AE15" s="2433"/>
      <c r="AF15" s="2433"/>
      <c r="AG15" s="2433"/>
      <c r="AH15" s="2433"/>
      <c r="AI15" s="2433"/>
      <c r="AJ15" s="2434"/>
      <c r="AK15" s="2435" t="str">
        <f>IF(Y12=3,'LQG-Ergebnis'!BN13,IF(Y12=2,'LQG-Ergebnis'!AQ13,IF(Y12=1,'LQG-Ergebnis'!T13,"")))</f>
        <v/>
      </c>
      <c r="AL15" s="2436"/>
      <c r="AM15" s="2437"/>
      <c r="BN15" s="33"/>
      <c r="BO15" s="33"/>
      <c r="BP15" s="33"/>
      <c r="BQ15" s="33"/>
      <c r="BS15" s="115"/>
    </row>
    <row r="16" spans="2:83" ht="12.7" customHeight="1" x14ac:dyDescent="0.25">
      <c r="B16" s="2427"/>
      <c r="C16" s="2427"/>
      <c r="D16" s="2427"/>
      <c r="E16" s="2427"/>
      <c r="F16" s="2427"/>
      <c r="G16" s="2427"/>
      <c r="H16" s="2427"/>
      <c r="I16" s="2428"/>
      <c r="J16" s="2428"/>
      <c r="K16" s="2428"/>
      <c r="L16" s="2428"/>
      <c r="R16" s="2429" t="str">
        <f>IF(Y13=3,'LQG-Ergebnis'!AU14,IF(Y13=2,'LQG-Ergebnis'!X14,IF(Y13=1,'LQG-Ergebnis'!A14,"")))</f>
        <v/>
      </c>
      <c r="S16" s="2430"/>
      <c r="T16" s="2430"/>
      <c r="U16" s="2430"/>
      <c r="V16" s="2430"/>
      <c r="W16" s="2430"/>
      <c r="X16" s="2431"/>
      <c r="Y16" s="2429" t="str">
        <f>IF(Y13=3,'LQG-Ergebnis'!BB14,IF(Y13=2,'LQG-Ergebnis'!AE14,IF(Y13=1,'LQG-Ergebnis'!H14,"")))</f>
        <v/>
      </c>
      <c r="Z16" s="2430"/>
      <c r="AA16" s="2430"/>
      <c r="AB16" s="2431"/>
      <c r="AC16" s="2432" t="str">
        <f>IF(Y13=3,'LQG-Ergebnis'!BF14,IF(Y13=2,'LQG-Ergebnis'!AI14,IF(Y13=1,'LQG-Ergebnis'!L14,"")))</f>
        <v/>
      </c>
      <c r="AD16" s="2433"/>
      <c r="AE16" s="2433"/>
      <c r="AF16" s="2433"/>
      <c r="AG16" s="2433"/>
      <c r="AH16" s="2433"/>
      <c r="AI16" s="2433"/>
      <c r="AJ16" s="2434"/>
      <c r="AK16" s="2435" t="str">
        <f>IF(Y13=3,'LQG-Ergebnis'!BN14,IF(Y13=2,'LQG-Ergebnis'!AQ14,IF(Y13=1,'LQG-Ergebnis'!T14,"")))</f>
        <v/>
      </c>
      <c r="AL16" s="2436"/>
      <c r="AM16" s="2437"/>
      <c r="BN16" s="33"/>
      <c r="BO16" s="33"/>
      <c r="BP16" s="33"/>
      <c r="BQ16" s="33"/>
      <c r="BS16" s="115"/>
    </row>
    <row r="17" spans="1:174" ht="12.7" customHeight="1" x14ac:dyDescent="0.25">
      <c r="D17" s="47"/>
      <c r="E17" s="47"/>
      <c r="F17" s="47"/>
      <c r="G17" s="48">
        <f>G18+2-WEEKDAY(G18)</f>
        <v>42674</v>
      </c>
      <c r="H17" s="48">
        <f t="shared" ref="H17:BM17" si="0">H18+2-WEEKDAY(H18)</f>
        <v>42681</v>
      </c>
      <c r="I17" s="48">
        <f t="shared" si="0"/>
        <v>42688</v>
      </c>
      <c r="J17" s="48">
        <f t="shared" si="0"/>
        <v>42695</v>
      </c>
      <c r="K17" s="48">
        <f t="shared" si="0"/>
        <v>42702</v>
      </c>
      <c r="L17" s="48">
        <f t="shared" si="0"/>
        <v>42709</v>
      </c>
      <c r="M17" s="48">
        <f t="shared" si="0"/>
        <v>42716</v>
      </c>
      <c r="N17" s="48">
        <f t="shared" si="0"/>
        <v>42723</v>
      </c>
      <c r="O17" s="48">
        <f t="shared" si="0"/>
        <v>42730</v>
      </c>
      <c r="P17" s="48">
        <f t="shared" si="0"/>
        <v>42737</v>
      </c>
      <c r="Q17" s="48">
        <f t="shared" si="0"/>
        <v>42744</v>
      </c>
      <c r="R17" s="48">
        <f t="shared" si="0"/>
        <v>42751</v>
      </c>
      <c r="S17" s="48">
        <f t="shared" si="0"/>
        <v>42758</v>
      </c>
      <c r="T17" s="48">
        <f t="shared" si="0"/>
        <v>42765</v>
      </c>
      <c r="U17" s="48">
        <f t="shared" si="0"/>
        <v>42772</v>
      </c>
      <c r="V17" s="48">
        <f t="shared" si="0"/>
        <v>42779</v>
      </c>
      <c r="W17" s="48">
        <f t="shared" si="0"/>
        <v>42786</v>
      </c>
      <c r="X17" s="48">
        <f t="shared" si="0"/>
        <v>42793</v>
      </c>
      <c r="Y17" s="48">
        <f t="shared" si="0"/>
        <v>42800</v>
      </c>
      <c r="Z17" s="48">
        <f t="shared" si="0"/>
        <v>42807</v>
      </c>
      <c r="AA17" s="48">
        <f t="shared" si="0"/>
        <v>42814</v>
      </c>
      <c r="AB17" s="48">
        <f t="shared" si="0"/>
        <v>42821</v>
      </c>
      <c r="AC17" s="48">
        <f t="shared" si="0"/>
        <v>42828</v>
      </c>
      <c r="AD17" s="48">
        <f t="shared" si="0"/>
        <v>42835</v>
      </c>
      <c r="AE17" s="48">
        <f t="shared" si="0"/>
        <v>42842</v>
      </c>
      <c r="AF17" s="48">
        <f t="shared" si="0"/>
        <v>42849</v>
      </c>
      <c r="AG17" s="48">
        <f t="shared" si="0"/>
        <v>42856</v>
      </c>
      <c r="AH17" s="48">
        <f t="shared" si="0"/>
        <v>42863</v>
      </c>
      <c r="AI17" s="48">
        <f t="shared" si="0"/>
        <v>42870</v>
      </c>
      <c r="AJ17" s="48">
        <f t="shared" si="0"/>
        <v>42877</v>
      </c>
      <c r="AK17" s="48">
        <f t="shared" si="0"/>
        <v>42884</v>
      </c>
      <c r="AL17" s="48">
        <f t="shared" si="0"/>
        <v>42891</v>
      </c>
      <c r="AM17" s="48">
        <f t="shared" si="0"/>
        <v>42898</v>
      </c>
      <c r="AN17" s="48">
        <f t="shared" si="0"/>
        <v>42905</v>
      </c>
      <c r="AO17" s="48">
        <f t="shared" si="0"/>
        <v>42912</v>
      </c>
      <c r="AP17" s="48">
        <f t="shared" si="0"/>
        <v>42919</v>
      </c>
      <c r="AQ17" s="48">
        <f t="shared" si="0"/>
        <v>42926</v>
      </c>
      <c r="AR17" s="48">
        <f t="shared" si="0"/>
        <v>42933</v>
      </c>
      <c r="AS17" s="48">
        <f t="shared" si="0"/>
        <v>42940</v>
      </c>
      <c r="AT17" s="48">
        <f t="shared" si="0"/>
        <v>42947</v>
      </c>
      <c r="AU17" s="48">
        <f t="shared" si="0"/>
        <v>42954</v>
      </c>
      <c r="AV17" s="48">
        <f t="shared" si="0"/>
        <v>42961</v>
      </c>
      <c r="AW17" s="48">
        <f t="shared" si="0"/>
        <v>42968</v>
      </c>
      <c r="AX17" s="48">
        <f t="shared" si="0"/>
        <v>42975</v>
      </c>
      <c r="AY17" s="48">
        <f t="shared" si="0"/>
        <v>42982</v>
      </c>
      <c r="AZ17" s="48">
        <f t="shared" si="0"/>
        <v>42989</v>
      </c>
      <c r="BA17" s="48">
        <f t="shared" si="0"/>
        <v>42996</v>
      </c>
      <c r="BB17" s="48">
        <f t="shared" si="0"/>
        <v>43003</v>
      </c>
      <c r="BC17" s="48">
        <f t="shared" si="0"/>
        <v>43010</v>
      </c>
      <c r="BD17" s="48">
        <f t="shared" si="0"/>
        <v>43017</v>
      </c>
      <c r="BE17" s="48">
        <f t="shared" si="0"/>
        <v>43024</v>
      </c>
      <c r="BF17" s="48">
        <f t="shared" si="0"/>
        <v>43031</v>
      </c>
      <c r="BG17" s="48">
        <f t="shared" si="0"/>
        <v>43038</v>
      </c>
      <c r="BH17" s="48">
        <f t="shared" si="0"/>
        <v>43045</v>
      </c>
      <c r="BI17" s="48">
        <f t="shared" si="0"/>
        <v>43052</v>
      </c>
      <c r="BJ17" s="48">
        <f t="shared" si="0"/>
        <v>43059</v>
      </c>
      <c r="BK17" s="48">
        <f t="shared" si="0"/>
        <v>43066</v>
      </c>
      <c r="BL17" s="48">
        <f t="shared" si="0"/>
        <v>43073</v>
      </c>
      <c r="BM17" s="48">
        <f t="shared" si="0"/>
        <v>43080</v>
      </c>
    </row>
    <row r="18" spans="1:174" ht="4.55" customHeight="1" x14ac:dyDescent="0.25">
      <c r="D18" s="47"/>
      <c r="E18" s="47"/>
      <c r="F18" s="47"/>
      <c r="G18" s="48">
        <f>Z4</f>
        <v>42674</v>
      </c>
      <c r="H18" s="48">
        <f>$G$18+BW19</f>
        <v>42681</v>
      </c>
      <c r="I18" s="48">
        <f t="shared" ref="I18:BM18" si="1">$G$18+BX19</f>
        <v>42688</v>
      </c>
      <c r="J18" s="48">
        <f t="shared" si="1"/>
        <v>42695</v>
      </c>
      <c r="K18" s="48">
        <f t="shared" si="1"/>
        <v>42702</v>
      </c>
      <c r="L18" s="48">
        <f t="shared" si="1"/>
        <v>42709</v>
      </c>
      <c r="M18" s="48">
        <f t="shared" si="1"/>
        <v>42716</v>
      </c>
      <c r="N18" s="48">
        <f t="shared" si="1"/>
        <v>42723</v>
      </c>
      <c r="O18" s="48">
        <f t="shared" si="1"/>
        <v>42730</v>
      </c>
      <c r="P18" s="48">
        <f t="shared" si="1"/>
        <v>42737</v>
      </c>
      <c r="Q18" s="48">
        <f t="shared" si="1"/>
        <v>42744</v>
      </c>
      <c r="R18" s="48">
        <f t="shared" si="1"/>
        <v>42751</v>
      </c>
      <c r="S18" s="48">
        <f t="shared" si="1"/>
        <v>42758</v>
      </c>
      <c r="T18" s="48">
        <f t="shared" si="1"/>
        <v>42765</v>
      </c>
      <c r="U18" s="48">
        <f t="shared" si="1"/>
        <v>42772</v>
      </c>
      <c r="V18" s="48">
        <f t="shared" si="1"/>
        <v>42779</v>
      </c>
      <c r="W18" s="48">
        <f t="shared" si="1"/>
        <v>42786</v>
      </c>
      <c r="X18" s="48">
        <f t="shared" si="1"/>
        <v>42793</v>
      </c>
      <c r="Y18" s="48">
        <f t="shared" si="1"/>
        <v>42800</v>
      </c>
      <c r="Z18" s="48">
        <f t="shared" si="1"/>
        <v>42807</v>
      </c>
      <c r="AA18" s="48">
        <f t="shared" si="1"/>
        <v>42814</v>
      </c>
      <c r="AB18" s="48">
        <f t="shared" si="1"/>
        <v>42821</v>
      </c>
      <c r="AC18" s="48">
        <f t="shared" si="1"/>
        <v>42828</v>
      </c>
      <c r="AD18" s="48">
        <f t="shared" si="1"/>
        <v>42835</v>
      </c>
      <c r="AE18" s="48">
        <f t="shared" si="1"/>
        <v>42842</v>
      </c>
      <c r="AF18" s="48">
        <f t="shared" si="1"/>
        <v>42849</v>
      </c>
      <c r="AG18" s="48">
        <f t="shared" si="1"/>
        <v>42856</v>
      </c>
      <c r="AH18" s="48">
        <f t="shared" si="1"/>
        <v>42863</v>
      </c>
      <c r="AI18" s="48">
        <f t="shared" si="1"/>
        <v>42870</v>
      </c>
      <c r="AJ18" s="48">
        <f t="shared" si="1"/>
        <v>42877</v>
      </c>
      <c r="AK18" s="48">
        <f t="shared" si="1"/>
        <v>42884</v>
      </c>
      <c r="AL18" s="48">
        <f t="shared" si="1"/>
        <v>42891</v>
      </c>
      <c r="AM18" s="48">
        <f t="shared" si="1"/>
        <v>42898</v>
      </c>
      <c r="AN18" s="48">
        <f t="shared" si="1"/>
        <v>42905</v>
      </c>
      <c r="AO18" s="48">
        <f t="shared" si="1"/>
        <v>42912</v>
      </c>
      <c r="AP18" s="48">
        <f t="shared" si="1"/>
        <v>42919</v>
      </c>
      <c r="AQ18" s="48">
        <f t="shared" si="1"/>
        <v>42926</v>
      </c>
      <c r="AR18" s="48">
        <f t="shared" si="1"/>
        <v>42933</v>
      </c>
      <c r="AS18" s="48">
        <f t="shared" si="1"/>
        <v>42940</v>
      </c>
      <c r="AT18" s="48">
        <f t="shared" si="1"/>
        <v>42947</v>
      </c>
      <c r="AU18" s="48">
        <f t="shared" si="1"/>
        <v>42954</v>
      </c>
      <c r="AV18" s="48">
        <f t="shared" si="1"/>
        <v>42961</v>
      </c>
      <c r="AW18" s="48">
        <f t="shared" si="1"/>
        <v>42968</v>
      </c>
      <c r="AX18" s="48">
        <f t="shared" si="1"/>
        <v>42975</v>
      </c>
      <c r="AY18" s="48">
        <f t="shared" si="1"/>
        <v>42982</v>
      </c>
      <c r="AZ18" s="48">
        <f t="shared" si="1"/>
        <v>42989</v>
      </c>
      <c r="BA18" s="48">
        <f t="shared" si="1"/>
        <v>42996</v>
      </c>
      <c r="BB18" s="48">
        <f t="shared" si="1"/>
        <v>43003</v>
      </c>
      <c r="BC18" s="48">
        <f t="shared" si="1"/>
        <v>43010</v>
      </c>
      <c r="BD18" s="48">
        <f t="shared" si="1"/>
        <v>43017</v>
      </c>
      <c r="BE18" s="48">
        <f t="shared" si="1"/>
        <v>43024</v>
      </c>
      <c r="BF18" s="48">
        <f t="shared" si="1"/>
        <v>43031</v>
      </c>
      <c r="BG18" s="48">
        <f t="shared" si="1"/>
        <v>43038</v>
      </c>
      <c r="BH18" s="48">
        <f t="shared" si="1"/>
        <v>43045</v>
      </c>
      <c r="BI18" s="48">
        <f t="shared" si="1"/>
        <v>43052</v>
      </c>
      <c r="BJ18" s="48">
        <f t="shared" si="1"/>
        <v>43059</v>
      </c>
      <c r="BK18" s="48">
        <f t="shared" si="1"/>
        <v>43066</v>
      </c>
      <c r="BL18" s="48">
        <f t="shared" si="1"/>
        <v>43073</v>
      </c>
      <c r="BM18" s="48">
        <f t="shared" si="1"/>
        <v>43080</v>
      </c>
    </row>
    <row r="19" spans="1:174" ht="48.05" customHeight="1" x14ac:dyDescent="0.25">
      <c r="B19" s="49"/>
      <c r="C19" s="50"/>
      <c r="D19" s="50"/>
      <c r="E19" s="50"/>
      <c r="F19" s="51" t="s">
        <v>748</v>
      </c>
      <c r="G19" s="52" t="str">
        <f>""&amp;WEEKNUM($Z$4,15)&amp;" / "&amp; YEAR(G17)&amp;""</f>
        <v>44 / 2016</v>
      </c>
      <c r="H19" s="52" t="str">
        <f>""&amp;WEEKNUM(G18+7,15)&amp;" / "&amp; YEAR(H17)&amp;""</f>
        <v>45 / 2016</v>
      </c>
      <c r="I19" s="52" t="str">
        <f t="shared" ref="I19:BM19" si="2">""&amp;WEEKNUM(H18+7,15)&amp;" / "&amp; YEAR(I17)&amp;""</f>
        <v>46 / 2016</v>
      </c>
      <c r="J19" s="52" t="str">
        <f t="shared" si="2"/>
        <v>47 / 2016</v>
      </c>
      <c r="K19" s="52" t="str">
        <f t="shared" si="2"/>
        <v>48 / 2016</v>
      </c>
      <c r="L19" s="52" t="str">
        <f t="shared" si="2"/>
        <v>49 / 2016</v>
      </c>
      <c r="M19" s="52" t="str">
        <f t="shared" si="2"/>
        <v>50 / 2016</v>
      </c>
      <c r="N19" s="52" t="str">
        <f t="shared" si="2"/>
        <v>51 / 2016</v>
      </c>
      <c r="O19" s="52" t="str">
        <f t="shared" si="2"/>
        <v>52 / 2016</v>
      </c>
      <c r="P19" s="52" t="str">
        <f t="shared" si="2"/>
        <v>1 / 2017</v>
      </c>
      <c r="Q19" s="52" t="str">
        <f t="shared" si="2"/>
        <v>2 / 2017</v>
      </c>
      <c r="R19" s="52" t="str">
        <f t="shared" si="2"/>
        <v>3 / 2017</v>
      </c>
      <c r="S19" s="52" t="str">
        <f t="shared" si="2"/>
        <v>4 / 2017</v>
      </c>
      <c r="T19" s="52" t="str">
        <f t="shared" si="2"/>
        <v>5 / 2017</v>
      </c>
      <c r="U19" s="52" t="str">
        <f t="shared" si="2"/>
        <v>6 / 2017</v>
      </c>
      <c r="V19" s="52" t="str">
        <f t="shared" si="2"/>
        <v>7 / 2017</v>
      </c>
      <c r="W19" s="52" t="str">
        <f t="shared" si="2"/>
        <v>8 / 2017</v>
      </c>
      <c r="X19" s="52" t="str">
        <f t="shared" si="2"/>
        <v>9 / 2017</v>
      </c>
      <c r="Y19" s="52" t="str">
        <f t="shared" si="2"/>
        <v>10 / 2017</v>
      </c>
      <c r="Z19" s="52" t="str">
        <f t="shared" si="2"/>
        <v>11 / 2017</v>
      </c>
      <c r="AA19" s="52" t="str">
        <f t="shared" si="2"/>
        <v>12 / 2017</v>
      </c>
      <c r="AB19" s="52" t="str">
        <f t="shared" si="2"/>
        <v>13 / 2017</v>
      </c>
      <c r="AC19" s="52" t="str">
        <f t="shared" si="2"/>
        <v>14 / 2017</v>
      </c>
      <c r="AD19" s="52" t="str">
        <f t="shared" si="2"/>
        <v>15 / 2017</v>
      </c>
      <c r="AE19" s="52" t="str">
        <f t="shared" si="2"/>
        <v>16 / 2017</v>
      </c>
      <c r="AF19" s="52" t="str">
        <f t="shared" si="2"/>
        <v>17 / 2017</v>
      </c>
      <c r="AG19" s="52" t="str">
        <f t="shared" si="2"/>
        <v>18 / 2017</v>
      </c>
      <c r="AH19" s="52" t="str">
        <f t="shared" si="2"/>
        <v>19 / 2017</v>
      </c>
      <c r="AI19" s="52" t="str">
        <f t="shared" si="2"/>
        <v>20 / 2017</v>
      </c>
      <c r="AJ19" s="52" t="str">
        <f t="shared" si="2"/>
        <v>21 / 2017</v>
      </c>
      <c r="AK19" s="52" t="str">
        <f t="shared" si="2"/>
        <v>22 / 2017</v>
      </c>
      <c r="AL19" s="52" t="str">
        <f t="shared" si="2"/>
        <v>23 / 2017</v>
      </c>
      <c r="AM19" s="52" t="str">
        <f t="shared" si="2"/>
        <v>24 / 2017</v>
      </c>
      <c r="AN19" s="52" t="str">
        <f t="shared" si="2"/>
        <v>25 / 2017</v>
      </c>
      <c r="AO19" s="52" t="str">
        <f t="shared" si="2"/>
        <v>26 / 2017</v>
      </c>
      <c r="AP19" s="52" t="str">
        <f t="shared" si="2"/>
        <v>27 / 2017</v>
      </c>
      <c r="AQ19" s="52" t="str">
        <f t="shared" si="2"/>
        <v>28 / 2017</v>
      </c>
      <c r="AR19" s="52" t="str">
        <f t="shared" si="2"/>
        <v>29 / 2017</v>
      </c>
      <c r="AS19" s="52" t="str">
        <f t="shared" si="2"/>
        <v>30 / 2017</v>
      </c>
      <c r="AT19" s="52" t="str">
        <f t="shared" si="2"/>
        <v>31 / 2017</v>
      </c>
      <c r="AU19" s="52" t="str">
        <f t="shared" si="2"/>
        <v>32 / 2017</v>
      </c>
      <c r="AV19" s="52" t="str">
        <f t="shared" si="2"/>
        <v>33 / 2017</v>
      </c>
      <c r="AW19" s="52" t="str">
        <f t="shared" si="2"/>
        <v>34 / 2017</v>
      </c>
      <c r="AX19" s="52" t="str">
        <f t="shared" si="2"/>
        <v>35 / 2017</v>
      </c>
      <c r="AY19" s="52" t="str">
        <f t="shared" si="2"/>
        <v>36 / 2017</v>
      </c>
      <c r="AZ19" s="52" t="str">
        <f t="shared" si="2"/>
        <v>37 / 2017</v>
      </c>
      <c r="BA19" s="52" t="str">
        <f t="shared" si="2"/>
        <v>38 / 2017</v>
      </c>
      <c r="BB19" s="52" t="str">
        <f t="shared" si="2"/>
        <v>39 / 2017</v>
      </c>
      <c r="BC19" s="52" t="str">
        <f t="shared" si="2"/>
        <v>40 / 2017</v>
      </c>
      <c r="BD19" s="52" t="str">
        <f t="shared" si="2"/>
        <v>41 / 2017</v>
      </c>
      <c r="BE19" s="52" t="str">
        <f t="shared" si="2"/>
        <v>42 / 2017</v>
      </c>
      <c r="BF19" s="52" t="str">
        <f t="shared" si="2"/>
        <v>43 / 2017</v>
      </c>
      <c r="BG19" s="52" t="str">
        <f t="shared" si="2"/>
        <v>44 / 2017</v>
      </c>
      <c r="BH19" s="52" t="str">
        <f t="shared" si="2"/>
        <v>45 / 2017</v>
      </c>
      <c r="BI19" s="52" t="str">
        <f t="shared" si="2"/>
        <v>46 / 2017</v>
      </c>
      <c r="BJ19" s="52" t="str">
        <f t="shared" si="2"/>
        <v>47 / 2017</v>
      </c>
      <c r="BK19" s="52" t="str">
        <f t="shared" si="2"/>
        <v>48 / 2017</v>
      </c>
      <c r="BL19" s="52" t="str">
        <f t="shared" si="2"/>
        <v>49 / 2017</v>
      </c>
      <c r="BM19" s="52" t="str">
        <f t="shared" si="2"/>
        <v>50 / 2017</v>
      </c>
      <c r="BN19" s="66"/>
      <c r="BO19" s="53" t="s">
        <v>2250</v>
      </c>
      <c r="BP19" s="54" t="str">
        <f ca="1">""&amp;WEEKNUM(TODAY(),2)&amp;" / "&amp;YEAR(BQ19)&amp;""</f>
        <v>32 / 2026</v>
      </c>
      <c r="BQ19" s="55">
        <f ca="1">TODAY()</f>
        <v>46238</v>
      </c>
      <c r="BW19" s="56">
        <v>7</v>
      </c>
      <c r="BX19" s="56">
        <v>14</v>
      </c>
      <c r="BY19" s="56">
        <v>21</v>
      </c>
      <c r="BZ19" s="56">
        <v>28</v>
      </c>
      <c r="CA19" s="56">
        <v>35</v>
      </c>
      <c r="CB19" s="56">
        <v>42</v>
      </c>
      <c r="CC19" s="56">
        <v>49</v>
      </c>
      <c r="CD19" s="56">
        <v>56</v>
      </c>
      <c r="CE19" s="56">
        <v>63</v>
      </c>
      <c r="CF19" s="56">
        <v>70</v>
      </c>
      <c r="CG19" s="56">
        <v>77</v>
      </c>
      <c r="CH19" s="56">
        <v>84</v>
      </c>
      <c r="CI19" s="56">
        <v>91</v>
      </c>
      <c r="CJ19" s="56">
        <v>98</v>
      </c>
      <c r="CK19" s="56">
        <v>105</v>
      </c>
      <c r="CL19" s="56">
        <v>112</v>
      </c>
      <c r="CM19" s="56">
        <v>119</v>
      </c>
      <c r="CN19" s="56">
        <v>126</v>
      </c>
      <c r="CO19" s="56">
        <v>133</v>
      </c>
      <c r="CP19" s="56">
        <v>140</v>
      </c>
      <c r="CQ19" s="56">
        <v>147</v>
      </c>
      <c r="CR19" s="56">
        <v>154</v>
      </c>
      <c r="CS19" s="56">
        <v>161</v>
      </c>
      <c r="CT19" s="56">
        <v>168</v>
      </c>
      <c r="CU19" s="56">
        <v>175</v>
      </c>
      <c r="CV19" s="56">
        <v>182</v>
      </c>
      <c r="CW19" s="56">
        <v>189</v>
      </c>
      <c r="CX19" s="56">
        <v>196</v>
      </c>
      <c r="CY19" s="56">
        <v>203</v>
      </c>
      <c r="CZ19" s="56">
        <v>210</v>
      </c>
      <c r="DA19" s="56">
        <v>217</v>
      </c>
      <c r="DB19" s="56">
        <v>224</v>
      </c>
      <c r="DC19" s="56">
        <v>231</v>
      </c>
      <c r="DD19" s="56">
        <v>238</v>
      </c>
      <c r="DE19" s="56">
        <v>245</v>
      </c>
      <c r="DF19" s="56">
        <v>252</v>
      </c>
      <c r="DG19" s="56">
        <v>259</v>
      </c>
      <c r="DH19" s="56">
        <v>266</v>
      </c>
      <c r="DI19" s="56">
        <v>273</v>
      </c>
      <c r="DJ19" s="56">
        <v>280</v>
      </c>
      <c r="DK19" s="56">
        <v>287</v>
      </c>
      <c r="DL19" s="56">
        <v>294</v>
      </c>
      <c r="DM19" s="56">
        <v>301</v>
      </c>
      <c r="DN19" s="56">
        <v>308</v>
      </c>
      <c r="DO19" s="56">
        <v>315</v>
      </c>
      <c r="DP19" s="56">
        <v>322</v>
      </c>
      <c r="DQ19" s="56">
        <v>329</v>
      </c>
      <c r="DR19" s="56">
        <v>336</v>
      </c>
      <c r="DS19" s="56">
        <v>343</v>
      </c>
      <c r="DT19" s="56">
        <v>350</v>
      </c>
      <c r="DU19" s="56">
        <v>357</v>
      </c>
      <c r="DV19" s="56">
        <v>364</v>
      </c>
      <c r="DW19" s="56">
        <v>371</v>
      </c>
      <c r="DX19" s="56">
        <v>378</v>
      </c>
      <c r="DY19" s="56">
        <v>385</v>
      </c>
      <c r="DZ19" s="56">
        <v>392</v>
      </c>
      <c r="EA19" s="56">
        <v>399</v>
      </c>
      <c r="EB19" s="56">
        <v>406</v>
      </c>
      <c r="EC19" s="56">
        <v>413</v>
      </c>
      <c r="ED19" s="56">
        <v>420</v>
      </c>
      <c r="EE19" s="56">
        <v>427</v>
      </c>
      <c r="EF19" s="56">
        <v>434</v>
      </c>
      <c r="EG19" s="56">
        <v>441</v>
      </c>
      <c r="EH19" s="56">
        <v>448</v>
      </c>
      <c r="EI19" s="56">
        <v>455</v>
      </c>
      <c r="EJ19" s="56">
        <v>462</v>
      </c>
      <c r="EK19" s="56">
        <v>469</v>
      </c>
      <c r="EL19" s="56">
        <v>476</v>
      </c>
      <c r="EM19" s="56">
        <v>483</v>
      </c>
      <c r="EN19" s="56">
        <v>490</v>
      </c>
      <c r="EO19" s="56">
        <v>497</v>
      </c>
      <c r="EP19" s="56">
        <v>504</v>
      </c>
      <c r="EQ19" s="56">
        <v>511</v>
      </c>
      <c r="ER19" s="56">
        <v>518</v>
      </c>
      <c r="ES19" s="56">
        <v>525</v>
      </c>
      <c r="ET19" s="56">
        <v>532</v>
      </c>
      <c r="EU19" s="56">
        <v>539</v>
      </c>
      <c r="EV19" s="56">
        <v>546</v>
      </c>
      <c r="EW19" s="56">
        <v>553</v>
      </c>
      <c r="EX19" s="56">
        <v>560</v>
      </c>
      <c r="EY19" s="56">
        <v>567</v>
      </c>
      <c r="EZ19" s="56">
        <v>574</v>
      </c>
      <c r="FA19" s="56">
        <v>581</v>
      </c>
      <c r="FB19" s="56">
        <v>588</v>
      </c>
      <c r="FC19" s="56">
        <v>595</v>
      </c>
      <c r="FD19" s="56">
        <v>602</v>
      </c>
      <c r="FE19" s="56">
        <v>609</v>
      </c>
      <c r="FF19" s="56">
        <v>616</v>
      </c>
      <c r="FG19" s="56">
        <v>623</v>
      </c>
      <c r="FH19" s="56">
        <v>630</v>
      </c>
      <c r="FI19" s="56">
        <v>637</v>
      </c>
      <c r="FJ19" s="56">
        <v>644</v>
      </c>
      <c r="FK19" s="56">
        <v>651</v>
      </c>
      <c r="FL19" s="56">
        <v>658</v>
      </c>
      <c r="FM19" s="56">
        <v>665</v>
      </c>
      <c r="FN19" s="56">
        <v>672</v>
      </c>
      <c r="FO19" s="56">
        <v>679</v>
      </c>
      <c r="FP19" s="56">
        <v>686</v>
      </c>
      <c r="FQ19" s="56">
        <v>693</v>
      </c>
      <c r="FR19" s="56">
        <v>700</v>
      </c>
    </row>
    <row r="20" spans="1:174" ht="9.6999999999999993" customHeight="1" x14ac:dyDescent="0.25">
      <c r="A20" s="2438" t="s">
        <v>1179</v>
      </c>
      <c r="B20" s="2439"/>
      <c r="C20" s="2444" t="s">
        <v>745</v>
      </c>
      <c r="D20" s="2445"/>
      <c r="E20" s="122"/>
      <c r="F20" s="2409" t="s">
        <v>746</v>
      </c>
      <c r="G20" s="2412">
        <v>1</v>
      </c>
      <c r="H20" s="2415">
        <v>2</v>
      </c>
      <c r="I20" s="2415">
        <v>3</v>
      </c>
      <c r="J20" s="2415">
        <v>4</v>
      </c>
      <c r="K20" s="2415">
        <v>5</v>
      </c>
      <c r="L20" s="2415">
        <v>6</v>
      </c>
      <c r="M20" s="2415">
        <v>7</v>
      </c>
      <c r="N20" s="2415">
        <v>8</v>
      </c>
      <c r="O20" s="2415">
        <v>9</v>
      </c>
      <c r="P20" s="2415">
        <v>10</v>
      </c>
      <c r="Q20" s="2415">
        <v>11</v>
      </c>
      <c r="R20" s="2415">
        <v>12</v>
      </c>
      <c r="S20" s="2415">
        <v>13</v>
      </c>
      <c r="T20" s="2415">
        <v>14</v>
      </c>
      <c r="U20" s="2415">
        <v>15</v>
      </c>
      <c r="V20" s="2415">
        <v>16</v>
      </c>
      <c r="W20" s="2415">
        <v>17</v>
      </c>
      <c r="X20" s="2415">
        <v>18</v>
      </c>
      <c r="Y20" s="2415">
        <v>19</v>
      </c>
      <c r="Z20" s="2415">
        <v>20</v>
      </c>
      <c r="AA20" s="2415">
        <v>21</v>
      </c>
      <c r="AB20" s="2415">
        <v>22</v>
      </c>
      <c r="AC20" s="2415">
        <v>23</v>
      </c>
      <c r="AD20" s="2415">
        <v>24</v>
      </c>
      <c r="AE20" s="2415">
        <v>25</v>
      </c>
      <c r="AF20" s="2415">
        <v>26</v>
      </c>
      <c r="AG20" s="2415">
        <v>27</v>
      </c>
      <c r="AH20" s="2415">
        <v>28</v>
      </c>
      <c r="AI20" s="2415">
        <v>29</v>
      </c>
      <c r="AJ20" s="2415">
        <v>30</v>
      </c>
      <c r="AK20" s="2415">
        <v>31</v>
      </c>
      <c r="AL20" s="2415">
        <v>32</v>
      </c>
      <c r="AM20" s="2415">
        <v>33</v>
      </c>
      <c r="AN20" s="2415">
        <v>34</v>
      </c>
      <c r="AO20" s="2415">
        <v>35</v>
      </c>
      <c r="AP20" s="2415">
        <v>36</v>
      </c>
      <c r="AQ20" s="2415">
        <v>37</v>
      </c>
      <c r="AR20" s="2415">
        <v>38</v>
      </c>
      <c r="AS20" s="2415">
        <v>39</v>
      </c>
      <c r="AT20" s="2415">
        <v>40</v>
      </c>
      <c r="AU20" s="2415">
        <v>41</v>
      </c>
      <c r="AV20" s="2415">
        <v>42</v>
      </c>
      <c r="AW20" s="2415">
        <v>43</v>
      </c>
      <c r="AX20" s="2415">
        <v>44</v>
      </c>
      <c r="AY20" s="2415">
        <v>45</v>
      </c>
      <c r="AZ20" s="2415">
        <v>46</v>
      </c>
      <c r="BA20" s="2415">
        <v>47</v>
      </c>
      <c r="BB20" s="2415">
        <v>48</v>
      </c>
      <c r="BC20" s="2415">
        <v>49</v>
      </c>
      <c r="BD20" s="2415">
        <v>50</v>
      </c>
      <c r="BE20" s="2415">
        <v>51</v>
      </c>
      <c r="BF20" s="2415">
        <v>52</v>
      </c>
      <c r="BG20" s="2415">
        <v>53</v>
      </c>
      <c r="BH20" s="2415">
        <v>54</v>
      </c>
      <c r="BI20" s="2415">
        <v>55</v>
      </c>
      <c r="BJ20" s="2415">
        <v>56</v>
      </c>
      <c r="BK20" s="2415">
        <v>57</v>
      </c>
      <c r="BL20" s="2415">
        <v>58</v>
      </c>
      <c r="BM20" s="2469">
        <v>59</v>
      </c>
      <c r="BN20" s="67" t="s">
        <v>2251</v>
      </c>
      <c r="BO20" s="2418" t="s">
        <v>2252</v>
      </c>
      <c r="BP20" s="2418" t="s">
        <v>2253</v>
      </c>
      <c r="BQ20" s="2450" t="s">
        <v>758</v>
      </c>
    </row>
    <row r="21" spans="1:174" ht="9.6999999999999993" customHeight="1" x14ac:dyDescent="0.25">
      <c r="A21" s="2440"/>
      <c r="B21" s="2441"/>
      <c r="C21" s="2446"/>
      <c r="D21" s="2447"/>
      <c r="E21" s="57"/>
      <c r="F21" s="2410"/>
      <c r="G21" s="2413"/>
      <c r="H21" s="2416"/>
      <c r="I21" s="2416"/>
      <c r="J21" s="2416"/>
      <c r="K21" s="2416"/>
      <c r="L21" s="2416"/>
      <c r="M21" s="2416"/>
      <c r="N21" s="2416"/>
      <c r="O21" s="2416"/>
      <c r="P21" s="2416"/>
      <c r="Q21" s="2416"/>
      <c r="R21" s="2416"/>
      <c r="S21" s="2416"/>
      <c r="T21" s="2416"/>
      <c r="U21" s="2416"/>
      <c r="V21" s="2416"/>
      <c r="W21" s="2416"/>
      <c r="X21" s="2416"/>
      <c r="Y21" s="2416"/>
      <c r="Z21" s="2416"/>
      <c r="AA21" s="2416"/>
      <c r="AB21" s="2416"/>
      <c r="AC21" s="2416"/>
      <c r="AD21" s="2416"/>
      <c r="AE21" s="2416"/>
      <c r="AF21" s="2416"/>
      <c r="AG21" s="2416"/>
      <c r="AH21" s="2416"/>
      <c r="AI21" s="2416"/>
      <c r="AJ21" s="2416"/>
      <c r="AK21" s="2416"/>
      <c r="AL21" s="2416"/>
      <c r="AM21" s="2416"/>
      <c r="AN21" s="2416"/>
      <c r="AO21" s="2416"/>
      <c r="AP21" s="2416"/>
      <c r="AQ21" s="2416"/>
      <c r="AR21" s="2416"/>
      <c r="AS21" s="2416"/>
      <c r="AT21" s="2416"/>
      <c r="AU21" s="2416"/>
      <c r="AV21" s="2416"/>
      <c r="AW21" s="2416"/>
      <c r="AX21" s="2416"/>
      <c r="AY21" s="2416"/>
      <c r="AZ21" s="2416"/>
      <c r="BA21" s="2416"/>
      <c r="BB21" s="2416"/>
      <c r="BC21" s="2416"/>
      <c r="BD21" s="2416"/>
      <c r="BE21" s="2416"/>
      <c r="BF21" s="2416"/>
      <c r="BG21" s="2416"/>
      <c r="BH21" s="2416"/>
      <c r="BI21" s="2416"/>
      <c r="BJ21" s="2416"/>
      <c r="BK21" s="2416"/>
      <c r="BL21" s="2416"/>
      <c r="BM21" s="2470"/>
      <c r="BN21" s="68" t="s">
        <v>2254</v>
      </c>
      <c r="BO21" s="2419"/>
      <c r="BP21" s="2419"/>
      <c r="BQ21" s="2451"/>
      <c r="BR21" s="56"/>
      <c r="BS21" s="56"/>
      <c r="BT21" s="56"/>
      <c r="BU21" s="56"/>
      <c r="BV21" s="56"/>
      <c r="BW21" s="56"/>
      <c r="BX21" s="56"/>
    </row>
    <row r="22" spans="1:174" ht="9.6999999999999993" customHeight="1" x14ac:dyDescent="0.25">
      <c r="A22" s="2442"/>
      <c r="B22" s="2443"/>
      <c r="C22" s="2448"/>
      <c r="D22" s="2449"/>
      <c r="E22" s="123"/>
      <c r="F22" s="2411"/>
      <c r="G22" s="2414"/>
      <c r="H22" s="2417"/>
      <c r="I22" s="2417"/>
      <c r="J22" s="2417"/>
      <c r="K22" s="2417"/>
      <c r="L22" s="2417"/>
      <c r="M22" s="2417"/>
      <c r="N22" s="2417"/>
      <c r="O22" s="2417"/>
      <c r="P22" s="2417"/>
      <c r="Q22" s="2417"/>
      <c r="R22" s="2417"/>
      <c r="S22" s="2417"/>
      <c r="T22" s="2417"/>
      <c r="U22" s="2417"/>
      <c r="V22" s="2417"/>
      <c r="W22" s="2417"/>
      <c r="X22" s="2417"/>
      <c r="Y22" s="2417"/>
      <c r="Z22" s="2417"/>
      <c r="AA22" s="2417"/>
      <c r="AB22" s="2417"/>
      <c r="AC22" s="2417"/>
      <c r="AD22" s="2417"/>
      <c r="AE22" s="2417"/>
      <c r="AF22" s="2417"/>
      <c r="AG22" s="2417"/>
      <c r="AH22" s="2417"/>
      <c r="AI22" s="2417"/>
      <c r="AJ22" s="2417"/>
      <c r="AK22" s="2417"/>
      <c r="AL22" s="2417"/>
      <c r="AM22" s="2417"/>
      <c r="AN22" s="2417"/>
      <c r="AO22" s="2417"/>
      <c r="AP22" s="2417"/>
      <c r="AQ22" s="2417"/>
      <c r="AR22" s="2417"/>
      <c r="AS22" s="2417"/>
      <c r="AT22" s="2417"/>
      <c r="AU22" s="2417"/>
      <c r="AV22" s="2417"/>
      <c r="AW22" s="2417"/>
      <c r="AX22" s="2417"/>
      <c r="AY22" s="2417"/>
      <c r="AZ22" s="2417"/>
      <c r="BA22" s="2417"/>
      <c r="BB22" s="2417"/>
      <c r="BC22" s="2417"/>
      <c r="BD22" s="2417"/>
      <c r="BE22" s="2417"/>
      <c r="BF22" s="2417"/>
      <c r="BG22" s="2417"/>
      <c r="BH22" s="2417"/>
      <c r="BI22" s="2417"/>
      <c r="BJ22" s="2417"/>
      <c r="BK22" s="2417"/>
      <c r="BL22" s="2417"/>
      <c r="BM22" s="2471"/>
      <c r="BN22" s="69" t="s">
        <v>2255</v>
      </c>
      <c r="BO22" s="2420"/>
      <c r="BP22" s="2420"/>
      <c r="BQ22" s="2452"/>
      <c r="BR22" s="56" t="s">
        <v>754</v>
      </c>
      <c r="BS22" s="56" t="s">
        <v>756</v>
      </c>
      <c r="BT22" s="56" t="s">
        <v>2256</v>
      </c>
      <c r="BU22" s="56" t="s">
        <v>2257</v>
      </c>
      <c r="BV22" s="56" t="s">
        <v>754</v>
      </c>
      <c r="BW22" s="56" t="s">
        <v>756</v>
      </c>
      <c r="BX22" s="56" t="s">
        <v>2257</v>
      </c>
    </row>
    <row r="23" spans="1:174" ht="18" customHeight="1" x14ac:dyDescent="0.25">
      <c r="A23" s="2453" t="s">
        <v>2258</v>
      </c>
      <c r="B23" s="2455"/>
      <c r="C23" s="826" t="s">
        <v>704</v>
      </c>
      <c r="D23" s="827"/>
      <c r="E23" s="828"/>
      <c r="F23" s="58" t="s">
        <v>750</v>
      </c>
      <c r="G23" s="780"/>
      <c r="H23" s="780"/>
      <c r="I23" s="780"/>
      <c r="J23" s="780"/>
      <c r="K23" s="780"/>
      <c r="L23" s="780"/>
      <c r="M23" s="780"/>
      <c r="N23" s="780"/>
      <c r="O23" s="780"/>
      <c r="P23" s="780"/>
      <c r="Q23" s="780"/>
      <c r="R23" s="780"/>
      <c r="S23" s="780"/>
      <c r="T23" s="780"/>
      <c r="U23" s="780"/>
      <c r="V23" s="780"/>
      <c r="W23" s="780"/>
      <c r="X23" s="780"/>
      <c r="Y23" s="780"/>
      <c r="Z23" s="780"/>
      <c r="AA23" s="780"/>
      <c r="AB23" s="780"/>
      <c r="AC23" s="780"/>
      <c r="AD23" s="780"/>
      <c r="AE23" s="780"/>
      <c r="AF23" s="780"/>
      <c r="AG23" s="780"/>
      <c r="AH23" s="780"/>
      <c r="AI23" s="780"/>
      <c r="AJ23" s="780"/>
      <c r="AK23" s="780"/>
      <c r="AL23" s="780"/>
      <c r="AM23" s="780"/>
      <c r="AN23" s="780"/>
      <c r="AO23" s="780"/>
      <c r="AP23" s="780"/>
      <c r="AQ23" s="780"/>
      <c r="AR23" s="780"/>
      <c r="AS23" s="780"/>
      <c r="AT23" s="780"/>
      <c r="AU23" s="780"/>
      <c r="AV23" s="780"/>
      <c r="AW23" s="780"/>
      <c r="AX23" s="780"/>
      <c r="AY23" s="780"/>
      <c r="AZ23" s="780"/>
      <c r="BA23" s="780"/>
      <c r="BB23" s="780"/>
      <c r="BC23" s="780"/>
      <c r="BD23" s="780"/>
      <c r="BE23" s="780"/>
      <c r="BF23" s="780"/>
      <c r="BG23" s="780"/>
      <c r="BH23" s="780"/>
      <c r="BI23" s="780"/>
      <c r="BJ23" s="780"/>
      <c r="BK23" s="780"/>
      <c r="BL23" s="780"/>
      <c r="BM23" s="780"/>
      <c r="BN23" s="70" t="e">
        <f ca="1">BU24/BT23</f>
        <v>#VALUE!</v>
      </c>
      <c r="BO23" s="71"/>
      <c r="BP23" s="72"/>
      <c r="BQ23" s="73"/>
      <c r="BR23" s="56">
        <f t="shared" ref="BR23:BS56" si="3">WEEKNUM(BO23,2)</f>
        <v>1</v>
      </c>
      <c r="BS23" s="56">
        <f t="shared" si="3"/>
        <v>1</v>
      </c>
      <c r="BT23" s="56">
        <f t="shared" ref="BT23:BT54" si="4">BS23-BR23</f>
        <v>0</v>
      </c>
      <c r="BU23" s="56"/>
      <c r="BV23" s="59">
        <f>BO23+2-WEEKDAY(BO23)</f>
        <v>-5</v>
      </c>
      <c r="BW23" s="59">
        <f>BP23+2-WEEKDAY(BP23)</f>
        <v>-5</v>
      </c>
      <c r="BX23" s="56"/>
    </row>
    <row r="24" spans="1:174" ht="18" customHeight="1" x14ac:dyDescent="0.25">
      <c r="A24" s="2454"/>
      <c r="B24" s="2456"/>
      <c r="C24" s="829"/>
      <c r="D24" s="830"/>
      <c r="E24" s="831"/>
      <c r="F24" s="781" t="s">
        <v>752</v>
      </c>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c r="AD24" s="516"/>
      <c r="AE24" s="516"/>
      <c r="AF24" s="516"/>
      <c r="AG24" s="516"/>
      <c r="AH24" s="516"/>
      <c r="AI24" s="516"/>
      <c r="AJ24" s="516"/>
      <c r="AK24" s="516"/>
      <c r="AL24" s="516"/>
      <c r="AM24" s="516"/>
      <c r="AN24" s="516"/>
      <c r="AO24" s="516"/>
      <c r="AP24" s="516"/>
      <c r="AQ24" s="516"/>
      <c r="AR24" s="516"/>
      <c r="AS24" s="516"/>
      <c r="AT24" s="516"/>
      <c r="AU24" s="516"/>
      <c r="AV24" s="516"/>
      <c r="AW24" s="516"/>
      <c r="AX24" s="516"/>
      <c r="AY24" s="516"/>
      <c r="AZ24" s="516"/>
      <c r="BA24" s="516"/>
      <c r="BB24" s="516"/>
      <c r="BC24" s="516"/>
      <c r="BD24" s="516"/>
      <c r="BE24" s="516"/>
      <c r="BF24" s="516"/>
      <c r="BG24" s="516"/>
      <c r="BH24" s="516"/>
      <c r="BI24" s="516"/>
      <c r="BJ24" s="516"/>
      <c r="BK24" s="516"/>
      <c r="BL24" s="516"/>
      <c r="BM24" s="516"/>
      <c r="BN24" s="74">
        <v>0.2</v>
      </c>
      <c r="BO24" s="782"/>
      <c r="BP24" s="72"/>
      <c r="BQ24" s="782"/>
      <c r="BR24" s="56">
        <f t="shared" si="3"/>
        <v>1</v>
      </c>
      <c r="BS24" s="56">
        <f t="shared" si="3"/>
        <v>1</v>
      </c>
      <c r="BT24" s="56">
        <f t="shared" si="4"/>
        <v>0</v>
      </c>
      <c r="BU24" s="56" t="e">
        <f ca="1">$BP$19-BR24</f>
        <v>#VALUE!</v>
      </c>
      <c r="BV24" s="59">
        <f>BO24+2-WEEKDAY(BO24)</f>
        <v>-5</v>
      </c>
      <c r="BW24" s="59">
        <f>BP24+2-WEEKDAY(BP24)</f>
        <v>-5</v>
      </c>
      <c r="BX24" s="59">
        <f>BQ24+2-WEEKDAY(BQ24)</f>
        <v>-5</v>
      </c>
    </row>
    <row r="25" spans="1:174" ht="18" customHeight="1" x14ac:dyDescent="0.25">
      <c r="A25" s="2457" t="s">
        <v>2259</v>
      </c>
      <c r="B25" s="2458"/>
      <c r="C25" s="2460" t="s">
        <v>706</v>
      </c>
      <c r="D25" s="2461"/>
      <c r="E25" s="2461"/>
      <c r="F25" s="781" t="s">
        <v>750</v>
      </c>
      <c r="G25" s="780"/>
      <c r="H25" s="780"/>
      <c r="I25" s="780"/>
      <c r="J25" s="780"/>
      <c r="K25" s="780"/>
      <c r="L25" s="780"/>
      <c r="M25" s="780"/>
      <c r="N25" s="780"/>
      <c r="O25" s="780"/>
      <c r="P25" s="780"/>
      <c r="Q25" s="780"/>
      <c r="R25" s="780"/>
      <c r="S25" s="780"/>
      <c r="T25" s="780"/>
      <c r="U25" s="780"/>
      <c r="V25" s="780"/>
      <c r="W25" s="780"/>
      <c r="X25" s="780"/>
      <c r="Y25" s="780"/>
      <c r="Z25" s="780"/>
      <c r="AA25" s="780"/>
      <c r="AB25" s="780"/>
      <c r="AC25" s="780"/>
      <c r="AD25" s="780"/>
      <c r="AE25" s="780"/>
      <c r="AF25" s="780"/>
      <c r="AG25" s="780"/>
      <c r="AH25" s="780"/>
      <c r="AI25" s="780"/>
      <c r="AJ25" s="780"/>
      <c r="AK25" s="780"/>
      <c r="AL25" s="780"/>
      <c r="AM25" s="780"/>
      <c r="AN25" s="780"/>
      <c r="AO25" s="780"/>
      <c r="AP25" s="780"/>
      <c r="AQ25" s="780"/>
      <c r="AR25" s="780"/>
      <c r="AS25" s="780"/>
      <c r="AT25" s="780"/>
      <c r="AU25" s="780"/>
      <c r="AV25" s="780"/>
      <c r="AW25" s="780"/>
      <c r="AX25" s="780"/>
      <c r="AY25" s="780"/>
      <c r="AZ25" s="780"/>
      <c r="BA25" s="780"/>
      <c r="BB25" s="780"/>
      <c r="BC25" s="780"/>
      <c r="BD25" s="780"/>
      <c r="BE25" s="780"/>
      <c r="BF25" s="780"/>
      <c r="BG25" s="780"/>
      <c r="BH25" s="780"/>
      <c r="BI25" s="780"/>
      <c r="BJ25" s="780"/>
      <c r="BK25" s="780"/>
      <c r="BL25" s="780"/>
      <c r="BM25" s="780"/>
      <c r="BN25" s="2462">
        <v>0</v>
      </c>
      <c r="BO25" s="71"/>
      <c r="BP25" s="72"/>
      <c r="BQ25" s="73"/>
      <c r="BR25" s="56">
        <f t="shared" si="3"/>
        <v>1</v>
      </c>
      <c r="BS25" s="56">
        <f t="shared" si="3"/>
        <v>1</v>
      </c>
      <c r="BT25" s="56">
        <f t="shared" si="4"/>
        <v>0</v>
      </c>
      <c r="BU25" s="56" t="e">
        <f t="shared" ref="BU25:BU64" ca="1" si="5">$BP$19-BR25</f>
        <v>#VALUE!</v>
      </c>
      <c r="BV25" s="59">
        <f t="shared" ref="BV25:BX56" si="6">BO25+2-WEEKDAY(BO25)</f>
        <v>-5</v>
      </c>
      <c r="BW25" s="59">
        <f t="shared" si="6"/>
        <v>-5</v>
      </c>
      <c r="BX25" s="59">
        <f t="shared" si="6"/>
        <v>-5</v>
      </c>
    </row>
    <row r="26" spans="1:174" ht="18" customHeight="1" x14ac:dyDescent="0.25">
      <c r="A26" s="2454"/>
      <c r="B26" s="2459"/>
      <c r="C26" s="829"/>
      <c r="D26" s="830"/>
      <c r="E26" s="830"/>
      <c r="F26" s="781" t="s">
        <v>752</v>
      </c>
      <c r="G26" s="516"/>
      <c r="H26" s="516"/>
      <c r="I26" s="516"/>
      <c r="J26" s="516"/>
      <c r="K26" s="516"/>
      <c r="L26" s="516"/>
      <c r="M26" s="516"/>
      <c r="N26" s="516"/>
      <c r="O26" s="516"/>
      <c r="P26" s="516"/>
      <c r="Q26" s="516"/>
      <c r="R26" s="516"/>
      <c r="S26" s="516"/>
      <c r="T26" s="516"/>
      <c r="U26" s="516"/>
      <c r="V26" s="516"/>
      <c r="W26" s="516"/>
      <c r="X26" s="516"/>
      <c r="Y26" s="516"/>
      <c r="Z26" s="516"/>
      <c r="AA26" s="516"/>
      <c r="AB26" s="516"/>
      <c r="AC26" s="516"/>
      <c r="AD26" s="516"/>
      <c r="AE26" s="516"/>
      <c r="AF26" s="516"/>
      <c r="AG26" s="516"/>
      <c r="AH26" s="516"/>
      <c r="AI26" s="516"/>
      <c r="AJ26" s="516"/>
      <c r="AK26" s="516"/>
      <c r="AL26" s="516"/>
      <c r="AM26" s="516"/>
      <c r="AN26" s="516"/>
      <c r="AO26" s="516"/>
      <c r="AP26" s="516"/>
      <c r="AQ26" s="516"/>
      <c r="AR26" s="516"/>
      <c r="AS26" s="516"/>
      <c r="AT26" s="516"/>
      <c r="AU26" s="516"/>
      <c r="AV26" s="516"/>
      <c r="AW26" s="516"/>
      <c r="AX26" s="516"/>
      <c r="AY26" s="516"/>
      <c r="AZ26" s="516"/>
      <c r="BA26" s="516"/>
      <c r="BB26" s="516"/>
      <c r="BC26" s="516"/>
      <c r="BD26" s="516"/>
      <c r="BE26" s="516"/>
      <c r="BF26" s="516"/>
      <c r="BG26" s="516"/>
      <c r="BH26" s="516"/>
      <c r="BI26" s="516"/>
      <c r="BJ26" s="516"/>
      <c r="BK26" s="516"/>
      <c r="BL26" s="516"/>
      <c r="BM26" s="516"/>
      <c r="BN26" s="2463"/>
      <c r="BO26" s="71"/>
      <c r="BP26" s="72"/>
      <c r="BQ26" s="71"/>
      <c r="BR26" s="56">
        <f t="shared" si="3"/>
        <v>1</v>
      </c>
      <c r="BS26" s="56">
        <f t="shared" si="3"/>
        <v>1</v>
      </c>
      <c r="BT26" s="56">
        <f t="shared" si="4"/>
        <v>0</v>
      </c>
      <c r="BU26" s="56" t="e">
        <f t="shared" ca="1" si="5"/>
        <v>#VALUE!</v>
      </c>
      <c r="BV26" s="59">
        <f t="shared" si="6"/>
        <v>-5</v>
      </c>
      <c r="BW26" s="59">
        <f t="shared" si="6"/>
        <v>-5</v>
      </c>
      <c r="BX26" s="59">
        <f t="shared" si="6"/>
        <v>-5</v>
      </c>
    </row>
    <row r="27" spans="1:174" ht="18" customHeight="1" x14ac:dyDescent="0.25">
      <c r="A27" s="2457" t="s">
        <v>2260</v>
      </c>
      <c r="B27" s="2464"/>
      <c r="C27" s="2466" t="s">
        <v>708</v>
      </c>
      <c r="D27" s="2467"/>
      <c r="E27" s="2468"/>
      <c r="F27" s="783" t="s">
        <v>750</v>
      </c>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784"/>
      <c r="AE27" s="784"/>
      <c r="AF27" s="784"/>
      <c r="AG27" s="784"/>
      <c r="AH27" s="784"/>
      <c r="AI27" s="784"/>
      <c r="AJ27" s="784"/>
      <c r="AK27" s="784"/>
      <c r="AL27" s="784"/>
      <c r="AM27" s="784"/>
      <c r="AN27" s="784"/>
      <c r="AO27" s="784"/>
      <c r="AP27" s="784"/>
      <c r="AQ27" s="784"/>
      <c r="AR27" s="784"/>
      <c r="AS27" s="784"/>
      <c r="AT27" s="784"/>
      <c r="AU27" s="784"/>
      <c r="AV27" s="784"/>
      <c r="AW27" s="784"/>
      <c r="AX27" s="784"/>
      <c r="AY27" s="784"/>
      <c r="AZ27" s="784"/>
      <c r="BA27" s="784"/>
      <c r="BB27" s="784"/>
      <c r="BC27" s="784"/>
      <c r="BD27" s="784"/>
      <c r="BE27" s="784"/>
      <c r="BF27" s="784"/>
      <c r="BG27" s="784"/>
      <c r="BH27" s="784"/>
      <c r="BI27" s="784"/>
      <c r="BJ27" s="784"/>
      <c r="BK27" s="784"/>
      <c r="BL27" s="784"/>
      <c r="BM27" s="784"/>
      <c r="BN27" s="2462">
        <v>0</v>
      </c>
      <c r="BO27" s="71"/>
      <c r="BP27" s="72"/>
      <c r="BQ27" s="73"/>
      <c r="BR27" s="56">
        <f t="shared" si="3"/>
        <v>1</v>
      </c>
      <c r="BS27" s="56">
        <f t="shared" si="3"/>
        <v>1</v>
      </c>
      <c r="BT27" s="56">
        <f t="shared" si="4"/>
        <v>0</v>
      </c>
      <c r="BU27" s="56" t="e">
        <f t="shared" ca="1" si="5"/>
        <v>#VALUE!</v>
      </c>
      <c r="BV27" s="59">
        <f t="shared" si="6"/>
        <v>-5</v>
      </c>
      <c r="BW27" s="59">
        <f t="shared" si="6"/>
        <v>-5</v>
      </c>
      <c r="BX27" s="59">
        <f t="shared" si="6"/>
        <v>-5</v>
      </c>
    </row>
    <row r="28" spans="1:174" ht="18" customHeight="1" x14ac:dyDescent="0.25">
      <c r="A28" s="2454"/>
      <c r="B28" s="2465"/>
      <c r="C28" s="834"/>
      <c r="D28" s="835"/>
      <c r="E28" s="836"/>
      <c r="F28" s="783" t="s">
        <v>752</v>
      </c>
      <c r="G28" s="517"/>
      <c r="H28" s="518"/>
      <c r="I28" s="518"/>
      <c r="J28" s="518"/>
      <c r="K28" s="518"/>
      <c r="L28" s="518"/>
      <c r="M28" s="518"/>
      <c r="N28" s="518"/>
      <c r="O28" s="518"/>
      <c r="P28" s="518"/>
      <c r="Q28" s="518"/>
      <c r="R28" s="518"/>
      <c r="S28" s="518"/>
      <c r="T28" s="518"/>
      <c r="U28" s="518"/>
      <c r="V28" s="518"/>
      <c r="W28" s="518"/>
      <c r="X28" s="518"/>
      <c r="Y28" s="518"/>
      <c r="Z28" s="518"/>
      <c r="AA28" s="518"/>
      <c r="AB28" s="518"/>
      <c r="AC28" s="518"/>
      <c r="AD28" s="518"/>
      <c r="AE28" s="518"/>
      <c r="AF28" s="518"/>
      <c r="AG28" s="518"/>
      <c r="AH28" s="518"/>
      <c r="AI28" s="518"/>
      <c r="AJ28" s="518"/>
      <c r="AK28" s="518"/>
      <c r="AL28" s="518"/>
      <c r="AM28" s="518"/>
      <c r="AN28" s="518"/>
      <c r="AO28" s="518"/>
      <c r="AP28" s="518"/>
      <c r="AQ28" s="518"/>
      <c r="AR28" s="518"/>
      <c r="AS28" s="518"/>
      <c r="AT28" s="518"/>
      <c r="AU28" s="518"/>
      <c r="AV28" s="518"/>
      <c r="AW28" s="518"/>
      <c r="AX28" s="518"/>
      <c r="AY28" s="518"/>
      <c r="AZ28" s="518"/>
      <c r="BA28" s="518"/>
      <c r="BB28" s="518"/>
      <c r="BC28" s="518"/>
      <c r="BD28" s="518"/>
      <c r="BE28" s="519"/>
      <c r="BF28" s="519"/>
      <c r="BG28" s="519"/>
      <c r="BH28" s="519"/>
      <c r="BI28" s="519"/>
      <c r="BJ28" s="519"/>
      <c r="BK28" s="519"/>
      <c r="BL28" s="519"/>
      <c r="BM28" s="518"/>
      <c r="BN28" s="2463"/>
      <c r="BO28" s="71"/>
      <c r="BP28" s="72"/>
      <c r="BQ28" s="71"/>
      <c r="BR28" s="56">
        <f t="shared" si="3"/>
        <v>1</v>
      </c>
      <c r="BS28" s="56">
        <f t="shared" si="3"/>
        <v>1</v>
      </c>
      <c r="BT28" s="56">
        <f t="shared" si="4"/>
        <v>0</v>
      </c>
      <c r="BU28" s="56" t="e">
        <f t="shared" ca="1" si="5"/>
        <v>#VALUE!</v>
      </c>
      <c r="BV28" s="59">
        <f t="shared" si="6"/>
        <v>-5</v>
      </c>
      <c r="BW28" s="59">
        <f t="shared" si="6"/>
        <v>-5</v>
      </c>
      <c r="BX28" s="59">
        <f t="shared" si="6"/>
        <v>-5</v>
      </c>
    </row>
    <row r="29" spans="1:174" ht="18" customHeight="1" x14ac:dyDescent="0.25">
      <c r="A29" s="2457" t="s">
        <v>2261</v>
      </c>
      <c r="B29" s="2472"/>
      <c r="C29" s="2473" t="s">
        <v>710</v>
      </c>
      <c r="D29" s="2474"/>
      <c r="E29" s="2475"/>
      <c r="F29" s="781" t="s">
        <v>750</v>
      </c>
      <c r="G29" s="780"/>
      <c r="H29" s="780"/>
      <c r="I29" s="780"/>
      <c r="J29" s="780"/>
      <c r="K29" s="780"/>
      <c r="L29" s="780"/>
      <c r="M29" s="780"/>
      <c r="N29" s="780"/>
      <c r="O29" s="780"/>
      <c r="P29" s="780"/>
      <c r="Q29" s="780"/>
      <c r="R29" s="780"/>
      <c r="S29" s="780"/>
      <c r="T29" s="780"/>
      <c r="U29" s="780"/>
      <c r="V29" s="780"/>
      <c r="W29" s="780"/>
      <c r="X29" s="780"/>
      <c r="Y29" s="780"/>
      <c r="Z29" s="780"/>
      <c r="AA29" s="780"/>
      <c r="AB29" s="780"/>
      <c r="AC29" s="780"/>
      <c r="AD29" s="780"/>
      <c r="AE29" s="780"/>
      <c r="AF29" s="780"/>
      <c r="AG29" s="780"/>
      <c r="AH29" s="780"/>
      <c r="AI29" s="780"/>
      <c r="AJ29" s="780"/>
      <c r="AK29" s="780"/>
      <c r="AL29" s="780"/>
      <c r="AM29" s="780"/>
      <c r="AN29" s="780"/>
      <c r="AO29" s="780"/>
      <c r="AP29" s="780"/>
      <c r="AQ29" s="780"/>
      <c r="AR29" s="780"/>
      <c r="AS29" s="780"/>
      <c r="AT29" s="780"/>
      <c r="AU29" s="780"/>
      <c r="AV29" s="780"/>
      <c r="AW29" s="780"/>
      <c r="AX29" s="780"/>
      <c r="AY29" s="780"/>
      <c r="AZ29" s="780"/>
      <c r="BA29" s="780"/>
      <c r="BB29" s="780"/>
      <c r="BC29" s="780"/>
      <c r="BD29" s="780"/>
      <c r="BE29" s="780"/>
      <c r="BF29" s="780"/>
      <c r="BG29" s="780"/>
      <c r="BH29" s="780"/>
      <c r="BI29" s="780"/>
      <c r="BJ29" s="780"/>
      <c r="BK29" s="780"/>
      <c r="BL29" s="780"/>
      <c r="BM29" s="780"/>
      <c r="BN29" s="2462">
        <v>0</v>
      </c>
      <c r="BO29" s="71"/>
      <c r="BP29" s="72"/>
      <c r="BQ29" s="73"/>
      <c r="BR29" s="56">
        <f t="shared" si="3"/>
        <v>1</v>
      </c>
      <c r="BS29" s="56">
        <f t="shared" si="3"/>
        <v>1</v>
      </c>
      <c r="BT29" s="56">
        <f t="shared" si="4"/>
        <v>0</v>
      </c>
      <c r="BU29" s="56" t="e">
        <f t="shared" ca="1" si="5"/>
        <v>#VALUE!</v>
      </c>
      <c r="BV29" s="59">
        <f t="shared" si="6"/>
        <v>-5</v>
      </c>
      <c r="BW29" s="59">
        <f t="shared" si="6"/>
        <v>-5</v>
      </c>
      <c r="BX29" s="59">
        <f t="shared" si="6"/>
        <v>-5</v>
      </c>
    </row>
    <row r="30" spans="1:174" ht="18" customHeight="1" x14ac:dyDescent="0.25">
      <c r="A30" s="2454"/>
      <c r="B30" s="2456"/>
      <c r="C30" s="817"/>
      <c r="D30" s="818"/>
      <c r="E30" s="819"/>
      <c r="F30" s="781" t="s">
        <v>752</v>
      </c>
      <c r="G30" s="516"/>
      <c r="H30" s="516"/>
      <c r="I30" s="516"/>
      <c r="J30" s="516"/>
      <c r="K30" s="516"/>
      <c r="L30" s="516"/>
      <c r="M30" s="516"/>
      <c r="N30" s="516"/>
      <c r="O30" s="516"/>
      <c r="P30" s="516"/>
      <c r="Q30" s="516"/>
      <c r="R30" s="516"/>
      <c r="S30" s="516"/>
      <c r="T30" s="516"/>
      <c r="U30" s="516"/>
      <c r="V30" s="516"/>
      <c r="W30" s="516"/>
      <c r="X30" s="516"/>
      <c r="Y30" s="516"/>
      <c r="Z30" s="516"/>
      <c r="AA30" s="516"/>
      <c r="AB30" s="516"/>
      <c r="AC30" s="516"/>
      <c r="AD30" s="516"/>
      <c r="AE30" s="516"/>
      <c r="AF30" s="516"/>
      <c r="AG30" s="516"/>
      <c r="AH30" s="516"/>
      <c r="AI30" s="516"/>
      <c r="AJ30" s="516"/>
      <c r="AK30" s="516"/>
      <c r="AL30" s="516"/>
      <c r="AM30" s="516"/>
      <c r="AN30" s="516"/>
      <c r="AO30" s="516"/>
      <c r="AP30" s="516"/>
      <c r="AQ30" s="516"/>
      <c r="AR30" s="516"/>
      <c r="AS30" s="516"/>
      <c r="AT30" s="516"/>
      <c r="AU30" s="516"/>
      <c r="AV30" s="516"/>
      <c r="AW30" s="516"/>
      <c r="AX30" s="516"/>
      <c r="AY30" s="516"/>
      <c r="AZ30" s="516"/>
      <c r="BA30" s="516"/>
      <c r="BB30" s="516"/>
      <c r="BC30" s="516"/>
      <c r="BD30" s="516"/>
      <c r="BE30" s="516"/>
      <c r="BF30" s="516"/>
      <c r="BG30" s="516"/>
      <c r="BH30" s="516"/>
      <c r="BI30" s="516"/>
      <c r="BJ30" s="516"/>
      <c r="BK30" s="516"/>
      <c r="BL30" s="516"/>
      <c r="BM30" s="516"/>
      <c r="BN30" s="2463"/>
      <c r="BO30" s="71"/>
      <c r="BP30" s="72"/>
      <c r="BQ30" s="71"/>
      <c r="BR30" s="56">
        <f t="shared" si="3"/>
        <v>1</v>
      </c>
      <c r="BS30" s="56">
        <f t="shared" si="3"/>
        <v>1</v>
      </c>
      <c r="BT30" s="56">
        <f t="shared" si="4"/>
        <v>0</v>
      </c>
      <c r="BU30" s="56" t="e">
        <f t="shared" ca="1" si="5"/>
        <v>#VALUE!</v>
      </c>
      <c r="BV30" s="59">
        <f t="shared" si="6"/>
        <v>-5</v>
      </c>
      <c r="BW30" s="59">
        <f t="shared" si="6"/>
        <v>-5</v>
      </c>
      <c r="BX30" s="59">
        <f t="shared" si="6"/>
        <v>-5</v>
      </c>
    </row>
    <row r="31" spans="1:174" ht="18" customHeight="1" x14ac:dyDescent="0.25">
      <c r="A31" s="2476" t="s">
        <v>2262</v>
      </c>
      <c r="B31" s="2472"/>
      <c r="C31" s="2477" t="s">
        <v>712</v>
      </c>
      <c r="D31" s="2478"/>
      <c r="E31" s="2479"/>
      <c r="F31" s="781" t="s">
        <v>750</v>
      </c>
      <c r="G31" s="780"/>
      <c r="H31" s="780"/>
      <c r="I31" s="780"/>
      <c r="J31" s="780"/>
      <c r="K31" s="780"/>
      <c r="L31" s="780"/>
      <c r="M31" s="780"/>
      <c r="N31" s="780"/>
      <c r="O31" s="780"/>
      <c r="P31" s="780"/>
      <c r="Q31" s="780"/>
      <c r="R31" s="780"/>
      <c r="S31" s="780"/>
      <c r="T31" s="780"/>
      <c r="U31" s="780"/>
      <c r="V31" s="780"/>
      <c r="W31" s="780"/>
      <c r="X31" s="780"/>
      <c r="Y31" s="780"/>
      <c r="Z31" s="780"/>
      <c r="AA31" s="780"/>
      <c r="AB31" s="780"/>
      <c r="AC31" s="780"/>
      <c r="AD31" s="780"/>
      <c r="AE31" s="780"/>
      <c r="AF31" s="780"/>
      <c r="AG31" s="780"/>
      <c r="AH31" s="780"/>
      <c r="AI31" s="780"/>
      <c r="AJ31" s="780"/>
      <c r="AK31" s="780"/>
      <c r="AL31" s="780"/>
      <c r="AM31" s="780"/>
      <c r="AN31" s="780"/>
      <c r="AO31" s="780"/>
      <c r="AP31" s="780"/>
      <c r="AQ31" s="780"/>
      <c r="AR31" s="780"/>
      <c r="AS31" s="780"/>
      <c r="AT31" s="780"/>
      <c r="AU31" s="780"/>
      <c r="AV31" s="780"/>
      <c r="AW31" s="780"/>
      <c r="AX31" s="780"/>
      <c r="AY31" s="780"/>
      <c r="AZ31" s="780"/>
      <c r="BA31" s="780"/>
      <c r="BB31" s="780"/>
      <c r="BC31" s="780"/>
      <c r="BD31" s="780"/>
      <c r="BE31" s="780"/>
      <c r="BF31" s="780"/>
      <c r="BG31" s="780"/>
      <c r="BH31" s="780"/>
      <c r="BI31" s="780"/>
      <c r="BJ31" s="780"/>
      <c r="BK31" s="780"/>
      <c r="BL31" s="780"/>
      <c r="BM31" s="780"/>
      <c r="BN31" s="2462">
        <v>0</v>
      </c>
      <c r="BO31" s="71"/>
      <c r="BP31" s="72"/>
      <c r="BQ31" s="73"/>
      <c r="BR31" s="56">
        <f t="shared" si="3"/>
        <v>1</v>
      </c>
      <c r="BS31" s="56">
        <f t="shared" si="3"/>
        <v>1</v>
      </c>
      <c r="BT31" s="56">
        <f t="shared" si="4"/>
        <v>0</v>
      </c>
      <c r="BU31" s="56" t="e">
        <f t="shared" ca="1" si="5"/>
        <v>#VALUE!</v>
      </c>
      <c r="BV31" s="59">
        <f t="shared" si="6"/>
        <v>-5</v>
      </c>
      <c r="BW31" s="59">
        <f t="shared" si="6"/>
        <v>-5</v>
      </c>
      <c r="BX31" s="59">
        <f t="shared" si="6"/>
        <v>-5</v>
      </c>
    </row>
    <row r="32" spans="1:174" ht="18" customHeight="1" x14ac:dyDescent="0.25">
      <c r="A32" s="2453"/>
      <c r="B32" s="2456"/>
      <c r="C32" s="840"/>
      <c r="D32" s="841"/>
      <c r="E32" s="842"/>
      <c r="F32" s="781" t="s">
        <v>752</v>
      </c>
      <c r="G32" s="516"/>
      <c r="H32" s="516"/>
      <c r="I32" s="516"/>
      <c r="J32" s="516"/>
      <c r="K32" s="516"/>
      <c r="L32" s="516"/>
      <c r="M32" s="516"/>
      <c r="N32" s="516"/>
      <c r="O32" s="516"/>
      <c r="P32" s="516"/>
      <c r="Q32" s="516"/>
      <c r="R32" s="516"/>
      <c r="S32" s="516"/>
      <c r="T32" s="516"/>
      <c r="U32" s="516"/>
      <c r="V32" s="516"/>
      <c r="W32" s="516"/>
      <c r="X32" s="516"/>
      <c r="Y32" s="516"/>
      <c r="Z32" s="516"/>
      <c r="AA32" s="516"/>
      <c r="AB32" s="516"/>
      <c r="AC32" s="516"/>
      <c r="AD32" s="516"/>
      <c r="AE32" s="516"/>
      <c r="AF32" s="516"/>
      <c r="AG32" s="516"/>
      <c r="AH32" s="516"/>
      <c r="AI32" s="516"/>
      <c r="AJ32" s="516"/>
      <c r="AK32" s="516"/>
      <c r="AL32" s="516"/>
      <c r="AM32" s="516"/>
      <c r="AN32" s="516"/>
      <c r="AO32" s="516"/>
      <c r="AP32" s="516"/>
      <c r="AQ32" s="516"/>
      <c r="AR32" s="516"/>
      <c r="AS32" s="516"/>
      <c r="AT32" s="516"/>
      <c r="AU32" s="516"/>
      <c r="AV32" s="516"/>
      <c r="AW32" s="516"/>
      <c r="AX32" s="516"/>
      <c r="AY32" s="516"/>
      <c r="AZ32" s="516"/>
      <c r="BA32" s="516"/>
      <c r="BB32" s="516"/>
      <c r="BC32" s="516"/>
      <c r="BD32" s="516"/>
      <c r="BE32" s="516"/>
      <c r="BF32" s="516"/>
      <c r="BG32" s="516"/>
      <c r="BH32" s="516"/>
      <c r="BI32" s="516"/>
      <c r="BJ32" s="516"/>
      <c r="BK32" s="516"/>
      <c r="BL32" s="516"/>
      <c r="BM32" s="516"/>
      <c r="BN32" s="2463"/>
      <c r="BO32" s="71"/>
      <c r="BP32" s="72"/>
      <c r="BQ32" s="71"/>
      <c r="BR32" s="56">
        <f t="shared" si="3"/>
        <v>1</v>
      </c>
      <c r="BS32" s="56">
        <f t="shared" si="3"/>
        <v>1</v>
      </c>
      <c r="BT32" s="56">
        <f t="shared" si="4"/>
        <v>0</v>
      </c>
      <c r="BU32" s="56" t="e">
        <f t="shared" ca="1" si="5"/>
        <v>#VALUE!</v>
      </c>
      <c r="BV32" s="59">
        <f t="shared" si="6"/>
        <v>-5</v>
      </c>
      <c r="BW32" s="59">
        <f t="shared" si="6"/>
        <v>-5</v>
      </c>
      <c r="BX32" s="59">
        <f t="shared" si="6"/>
        <v>-5</v>
      </c>
    </row>
    <row r="33" spans="1:76" ht="18" customHeight="1" outlineLevel="1" x14ac:dyDescent="0.25">
      <c r="A33" s="2453"/>
      <c r="B33" s="2472" t="s">
        <v>2263</v>
      </c>
      <c r="C33" s="2473" t="s">
        <v>714</v>
      </c>
      <c r="D33" s="2474"/>
      <c r="E33" s="2475"/>
      <c r="F33" s="781" t="s">
        <v>750</v>
      </c>
      <c r="G33" s="780"/>
      <c r="H33" s="780"/>
      <c r="I33" s="780"/>
      <c r="J33" s="780"/>
      <c r="K33" s="780"/>
      <c r="L33" s="780"/>
      <c r="M33" s="780"/>
      <c r="N33" s="780"/>
      <c r="O33" s="780"/>
      <c r="P33" s="780"/>
      <c r="Q33" s="780"/>
      <c r="R33" s="780"/>
      <c r="S33" s="780"/>
      <c r="T33" s="780"/>
      <c r="U33" s="780"/>
      <c r="V33" s="780"/>
      <c r="W33" s="780"/>
      <c r="X33" s="780"/>
      <c r="Y33" s="780"/>
      <c r="Z33" s="780"/>
      <c r="AA33" s="780"/>
      <c r="AB33" s="780"/>
      <c r="AC33" s="780"/>
      <c r="AD33" s="780"/>
      <c r="AE33" s="780"/>
      <c r="AF33" s="780"/>
      <c r="AG33" s="780"/>
      <c r="AH33" s="780"/>
      <c r="AI33" s="780"/>
      <c r="AJ33" s="780"/>
      <c r="AK33" s="780"/>
      <c r="AL33" s="780"/>
      <c r="AM33" s="780"/>
      <c r="AN33" s="780"/>
      <c r="AO33" s="780"/>
      <c r="AP33" s="780"/>
      <c r="AQ33" s="780"/>
      <c r="AR33" s="780"/>
      <c r="AS33" s="780"/>
      <c r="AT33" s="780"/>
      <c r="AU33" s="780"/>
      <c r="AV33" s="780"/>
      <c r="AW33" s="780"/>
      <c r="AX33" s="780"/>
      <c r="AY33" s="780"/>
      <c r="AZ33" s="780"/>
      <c r="BA33" s="780"/>
      <c r="BB33" s="780"/>
      <c r="BC33" s="780"/>
      <c r="BD33" s="780"/>
      <c r="BE33" s="780"/>
      <c r="BF33" s="780"/>
      <c r="BG33" s="780"/>
      <c r="BH33" s="780"/>
      <c r="BI33" s="780"/>
      <c r="BJ33" s="780"/>
      <c r="BK33" s="780"/>
      <c r="BL33" s="780"/>
      <c r="BM33" s="780"/>
      <c r="BN33" s="2462">
        <v>0</v>
      </c>
      <c r="BO33" s="71"/>
      <c r="BP33" s="72"/>
      <c r="BQ33" s="73"/>
      <c r="BR33" s="56">
        <f t="shared" si="3"/>
        <v>1</v>
      </c>
      <c r="BS33" s="56">
        <f t="shared" si="3"/>
        <v>1</v>
      </c>
      <c r="BT33" s="56">
        <f t="shared" si="4"/>
        <v>0</v>
      </c>
      <c r="BU33" s="56" t="e">
        <f t="shared" ca="1" si="5"/>
        <v>#VALUE!</v>
      </c>
      <c r="BV33" s="59">
        <f t="shared" si="6"/>
        <v>-5</v>
      </c>
      <c r="BW33" s="59">
        <f t="shared" si="6"/>
        <v>-5</v>
      </c>
      <c r="BX33" s="59">
        <f t="shared" si="6"/>
        <v>-5</v>
      </c>
    </row>
    <row r="34" spans="1:76" ht="18" customHeight="1" outlineLevel="1" x14ac:dyDescent="0.25">
      <c r="A34" s="2453"/>
      <c r="B34" s="2456"/>
      <c r="C34" s="817"/>
      <c r="D34" s="818"/>
      <c r="E34" s="819"/>
      <c r="F34" s="781" t="s">
        <v>752</v>
      </c>
      <c r="G34" s="516"/>
      <c r="H34" s="516"/>
      <c r="I34" s="516"/>
      <c r="J34" s="516"/>
      <c r="K34" s="516"/>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2463"/>
      <c r="BO34" s="71"/>
      <c r="BP34" s="72"/>
      <c r="BQ34" s="71"/>
      <c r="BR34" s="56">
        <f t="shared" si="3"/>
        <v>1</v>
      </c>
      <c r="BS34" s="56">
        <f t="shared" si="3"/>
        <v>1</v>
      </c>
      <c r="BT34" s="56">
        <f t="shared" si="4"/>
        <v>0</v>
      </c>
      <c r="BU34" s="56" t="e">
        <f t="shared" ca="1" si="5"/>
        <v>#VALUE!</v>
      </c>
      <c r="BV34" s="59">
        <f t="shared" si="6"/>
        <v>-5</v>
      </c>
      <c r="BW34" s="59">
        <f t="shared" si="6"/>
        <v>-5</v>
      </c>
      <c r="BX34" s="59">
        <f t="shared" si="6"/>
        <v>-5</v>
      </c>
    </row>
    <row r="35" spans="1:76" ht="18" customHeight="1" outlineLevel="1" x14ac:dyDescent="0.25">
      <c r="A35" s="2453"/>
      <c r="B35" s="2464" t="s">
        <v>2264</v>
      </c>
      <c r="C35" s="2466" t="s">
        <v>716</v>
      </c>
      <c r="D35" s="2467"/>
      <c r="E35" s="2468"/>
      <c r="F35" s="783" t="s">
        <v>750</v>
      </c>
      <c r="G35" s="784"/>
      <c r="H35" s="784"/>
      <c r="I35" s="784"/>
      <c r="J35" s="784"/>
      <c r="K35" s="784"/>
      <c r="L35" s="784"/>
      <c r="M35" s="784"/>
      <c r="N35" s="784"/>
      <c r="O35" s="784"/>
      <c r="P35" s="784"/>
      <c r="Q35" s="784"/>
      <c r="R35" s="784"/>
      <c r="S35" s="784"/>
      <c r="T35" s="784"/>
      <c r="U35" s="784"/>
      <c r="V35" s="784"/>
      <c r="W35" s="784"/>
      <c r="X35" s="784"/>
      <c r="Y35" s="784"/>
      <c r="Z35" s="784"/>
      <c r="AA35" s="784"/>
      <c r="AB35" s="784"/>
      <c r="AC35" s="784"/>
      <c r="AD35" s="784"/>
      <c r="AE35" s="784"/>
      <c r="AF35" s="784"/>
      <c r="AG35" s="784"/>
      <c r="AH35" s="784"/>
      <c r="AI35" s="784"/>
      <c r="AJ35" s="784"/>
      <c r="AK35" s="784"/>
      <c r="AL35" s="784"/>
      <c r="AM35" s="784"/>
      <c r="AN35" s="784"/>
      <c r="AO35" s="784"/>
      <c r="AP35" s="784"/>
      <c r="AQ35" s="784"/>
      <c r="AR35" s="784"/>
      <c r="AS35" s="784"/>
      <c r="AT35" s="784"/>
      <c r="AU35" s="784"/>
      <c r="AV35" s="784"/>
      <c r="AW35" s="784"/>
      <c r="AX35" s="784"/>
      <c r="AY35" s="784"/>
      <c r="AZ35" s="784"/>
      <c r="BA35" s="784"/>
      <c r="BB35" s="784"/>
      <c r="BC35" s="784"/>
      <c r="BD35" s="784"/>
      <c r="BE35" s="784"/>
      <c r="BF35" s="784"/>
      <c r="BG35" s="784"/>
      <c r="BH35" s="784"/>
      <c r="BI35" s="784"/>
      <c r="BJ35" s="784"/>
      <c r="BK35" s="784"/>
      <c r="BL35" s="784"/>
      <c r="BM35" s="784"/>
      <c r="BN35" s="2462">
        <v>0</v>
      </c>
      <c r="BO35" s="71"/>
      <c r="BP35" s="72"/>
      <c r="BQ35" s="73"/>
      <c r="BR35" s="56">
        <f t="shared" si="3"/>
        <v>1</v>
      </c>
      <c r="BS35" s="56">
        <f t="shared" si="3"/>
        <v>1</v>
      </c>
      <c r="BT35" s="56">
        <f t="shared" si="4"/>
        <v>0</v>
      </c>
      <c r="BU35" s="56" t="e">
        <f t="shared" ca="1" si="5"/>
        <v>#VALUE!</v>
      </c>
      <c r="BV35" s="59">
        <f t="shared" si="6"/>
        <v>-5</v>
      </c>
      <c r="BW35" s="59">
        <f t="shared" si="6"/>
        <v>-5</v>
      </c>
      <c r="BX35" s="59">
        <f t="shared" si="6"/>
        <v>-5</v>
      </c>
    </row>
    <row r="36" spans="1:76" ht="18" customHeight="1" outlineLevel="1" x14ac:dyDescent="0.25">
      <c r="A36" s="2453"/>
      <c r="B36" s="2465"/>
      <c r="C36" s="834"/>
      <c r="D36" s="835"/>
      <c r="E36" s="836"/>
      <c r="F36" s="783" t="s">
        <v>752</v>
      </c>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M36" s="517"/>
      <c r="AN36" s="517"/>
      <c r="AO36" s="517"/>
      <c r="AP36" s="517"/>
      <c r="AQ36" s="517"/>
      <c r="AR36" s="517"/>
      <c r="AS36" s="517"/>
      <c r="AT36" s="517"/>
      <c r="AU36" s="517"/>
      <c r="AV36" s="517"/>
      <c r="AW36" s="517"/>
      <c r="AX36" s="517"/>
      <c r="AY36" s="517"/>
      <c r="AZ36" s="517"/>
      <c r="BA36" s="517"/>
      <c r="BB36" s="517"/>
      <c r="BC36" s="517"/>
      <c r="BD36" s="517"/>
      <c r="BE36" s="517"/>
      <c r="BF36" s="517"/>
      <c r="BG36" s="517"/>
      <c r="BH36" s="517"/>
      <c r="BI36" s="517"/>
      <c r="BJ36" s="517"/>
      <c r="BK36" s="517"/>
      <c r="BL36" s="517"/>
      <c r="BM36" s="517"/>
      <c r="BN36" s="2463"/>
      <c r="BO36" s="71"/>
      <c r="BP36" s="72"/>
      <c r="BQ36" s="71"/>
      <c r="BR36" s="56">
        <f t="shared" si="3"/>
        <v>1</v>
      </c>
      <c r="BS36" s="56">
        <f t="shared" si="3"/>
        <v>1</v>
      </c>
      <c r="BT36" s="56">
        <f t="shared" si="4"/>
        <v>0</v>
      </c>
      <c r="BU36" s="56" t="e">
        <f t="shared" ca="1" si="5"/>
        <v>#VALUE!</v>
      </c>
      <c r="BV36" s="59">
        <f t="shared" si="6"/>
        <v>-5</v>
      </c>
      <c r="BW36" s="59">
        <f t="shared" si="6"/>
        <v>-5</v>
      </c>
      <c r="BX36" s="59">
        <f t="shared" si="6"/>
        <v>-5</v>
      </c>
    </row>
    <row r="37" spans="1:76" ht="18" customHeight="1" outlineLevel="1" x14ac:dyDescent="0.25">
      <c r="A37" s="2453"/>
      <c r="B37" s="2472" t="s">
        <v>2265</v>
      </c>
      <c r="C37" s="2473" t="s">
        <v>718</v>
      </c>
      <c r="D37" s="2474"/>
      <c r="E37" s="2475"/>
      <c r="F37" s="785" t="s">
        <v>750</v>
      </c>
      <c r="G37" s="780"/>
      <c r="H37" s="780"/>
      <c r="I37" s="780"/>
      <c r="J37" s="780"/>
      <c r="K37" s="780"/>
      <c r="L37" s="780"/>
      <c r="M37" s="780"/>
      <c r="N37" s="780"/>
      <c r="O37" s="780"/>
      <c r="P37" s="780"/>
      <c r="Q37" s="780"/>
      <c r="R37" s="780"/>
      <c r="S37" s="780"/>
      <c r="T37" s="780"/>
      <c r="U37" s="780"/>
      <c r="V37" s="780"/>
      <c r="W37" s="780"/>
      <c r="X37" s="780"/>
      <c r="Y37" s="780"/>
      <c r="Z37" s="780"/>
      <c r="AA37" s="780"/>
      <c r="AB37" s="780"/>
      <c r="AC37" s="780"/>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780"/>
      <c r="BD37" s="780"/>
      <c r="BE37" s="780"/>
      <c r="BF37" s="780"/>
      <c r="BG37" s="780"/>
      <c r="BH37" s="780"/>
      <c r="BI37" s="780"/>
      <c r="BJ37" s="780"/>
      <c r="BK37" s="780"/>
      <c r="BL37" s="780"/>
      <c r="BM37" s="780"/>
      <c r="BN37" s="2462">
        <v>0</v>
      </c>
      <c r="BO37" s="71"/>
      <c r="BP37" s="72"/>
      <c r="BQ37" s="73"/>
      <c r="BR37" s="56">
        <f t="shared" si="3"/>
        <v>1</v>
      </c>
      <c r="BS37" s="56">
        <f t="shared" si="3"/>
        <v>1</v>
      </c>
      <c r="BT37" s="56">
        <f t="shared" si="4"/>
        <v>0</v>
      </c>
      <c r="BU37" s="56" t="e">
        <f t="shared" ca="1" si="5"/>
        <v>#VALUE!</v>
      </c>
      <c r="BV37" s="59">
        <f t="shared" si="6"/>
        <v>-5</v>
      </c>
      <c r="BW37" s="59">
        <f t="shared" si="6"/>
        <v>-5</v>
      </c>
      <c r="BX37" s="59">
        <f t="shared" si="6"/>
        <v>-5</v>
      </c>
    </row>
    <row r="38" spans="1:76" ht="18" customHeight="1" outlineLevel="1" x14ac:dyDescent="0.25">
      <c r="A38" s="2453"/>
      <c r="B38" s="2456"/>
      <c r="C38" s="817"/>
      <c r="D38" s="818"/>
      <c r="E38" s="819"/>
      <c r="F38" s="785" t="s">
        <v>752</v>
      </c>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2463"/>
      <c r="BO38" s="71"/>
      <c r="BP38" s="72"/>
      <c r="BQ38" s="71"/>
      <c r="BR38" s="56">
        <f t="shared" si="3"/>
        <v>1</v>
      </c>
      <c r="BS38" s="56">
        <f t="shared" si="3"/>
        <v>1</v>
      </c>
      <c r="BT38" s="56">
        <f t="shared" si="4"/>
        <v>0</v>
      </c>
      <c r="BU38" s="56" t="e">
        <f t="shared" ca="1" si="5"/>
        <v>#VALUE!</v>
      </c>
      <c r="BV38" s="59">
        <f t="shared" si="6"/>
        <v>-5</v>
      </c>
      <c r="BW38" s="59">
        <f t="shared" si="6"/>
        <v>-5</v>
      </c>
      <c r="BX38" s="59">
        <f t="shared" si="6"/>
        <v>-5</v>
      </c>
    </row>
    <row r="39" spans="1:76" ht="18" customHeight="1" outlineLevel="1" x14ac:dyDescent="0.25">
      <c r="A39" s="2453"/>
      <c r="B39" s="2472" t="s">
        <v>2266</v>
      </c>
      <c r="C39" s="2473" t="s">
        <v>720</v>
      </c>
      <c r="D39" s="2474"/>
      <c r="E39" s="2475"/>
      <c r="F39" s="785" t="s">
        <v>750</v>
      </c>
      <c r="G39" s="780"/>
      <c r="H39" s="780"/>
      <c r="I39" s="780"/>
      <c r="J39" s="780"/>
      <c r="K39" s="780"/>
      <c r="L39" s="780"/>
      <c r="M39" s="780"/>
      <c r="N39" s="780"/>
      <c r="O39" s="780"/>
      <c r="P39" s="780"/>
      <c r="Q39" s="780"/>
      <c r="R39" s="780"/>
      <c r="S39" s="780"/>
      <c r="T39" s="780"/>
      <c r="U39" s="780"/>
      <c r="V39" s="780"/>
      <c r="W39" s="780"/>
      <c r="X39" s="780"/>
      <c r="Y39" s="780"/>
      <c r="Z39" s="780"/>
      <c r="AA39" s="780"/>
      <c r="AB39" s="780"/>
      <c r="AC39" s="780"/>
      <c r="AD39" s="780"/>
      <c r="AE39" s="780"/>
      <c r="AF39" s="780"/>
      <c r="AG39" s="780"/>
      <c r="AH39" s="780"/>
      <c r="AI39" s="780"/>
      <c r="AJ39" s="780"/>
      <c r="AK39" s="780"/>
      <c r="AL39" s="780"/>
      <c r="AM39" s="780"/>
      <c r="AN39" s="780"/>
      <c r="AO39" s="780"/>
      <c r="AP39" s="780"/>
      <c r="AQ39" s="780"/>
      <c r="AR39" s="780"/>
      <c r="AS39" s="780"/>
      <c r="AT39" s="780"/>
      <c r="AU39" s="780"/>
      <c r="AV39" s="780"/>
      <c r="AW39" s="780"/>
      <c r="AX39" s="780"/>
      <c r="AY39" s="780"/>
      <c r="AZ39" s="780"/>
      <c r="BA39" s="780"/>
      <c r="BB39" s="780"/>
      <c r="BC39" s="780"/>
      <c r="BD39" s="780"/>
      <c r="BE39" s="780"/>
      <c r="BF39" s="780"/>
      <c r="BG39" s="780"/>
      <c r="BH39" s="780"/>
      <c r="BI39" s="780"/>
      <c r="BJ39" s="780"/>
      <c r="BK39" s="780"/>
      <c r="BL39" s="780"/>
      <c r="BM39" s="780"/>
      <c r="BN39" s="2462">
        <v>0</v>
      </c>
      <c r="BO39" s="71"/>
      <c r="BP39" s="72"/>
      <c r="BQ39" s="73"/>
      <c r="BR39" s="56">
        <f t="shared" si="3"/>
        <v>1</v>
      </c>
      <c r="BS39" s="56">
        <f t="shared" si="3"/>
        <v>1</v>
      </c>
      <c r="BT39" s="56">
        <f t="shared" si="4"/>
        <v>0</v>
      </c>
      <c r="BU39" s="56" t="e">
        <f t="shared" ca="1" si="5"/>
        <v>#VALUE!</v>
      </c>
      <c r="BV39" s="59">
        <f t="shared" si="6"/>
        <v>-5</v>
      </c>
      <c r="BW39" s="59">
        <f t="shared" si="6"/>
        <v>-5</v>
      </c>
      <c r="BX39" s="59">
        <f t="shared" si="6"/>
        <v>-5</v>
      </c>
    </row>
    <row r="40" spans="1:76" ht="18" customHeight="1" outlineLevel="1" x14ac:dyDescent="0.25">
      <c r="A40" s="2453"/>
      <c r="B40" s="2456"/>
      <c r="C40" s="817"/>
      <c r="D40" s="818"/>
      <c r="E40" s="819"/>
      <c r="F40" s="785" t="s">
        <v>752</v>
      </c>
      <c r="G40" s="516"/>
      <c r="H40" s="516"/>
      <c r="I40" s="516"/>
      <c r="J40" s="516"/>
      <c r="K40" s="516"/>
      <c r="L40" s="516"/>
      <c r="M40" s="516"/>
      <c r="N40" s="516"/>
      <c r="O40" s="516"/>
      <c r="P40" s="516"/>
      <c r="Q40" s="516"/>
      <c r="R40" s="516"/>
      <c r="S40" s="516"/>
      <c r="T40" s="516"/>
      <c r="U40" s="516"/>
      <c r="V40" s="516"/>
      <c r="W40" s="516"/>
      <c r="X40" s="516"/>
      <c r="Y40" s="516"/>
      <c r="Z40" s="516"/>
      <c r="AA40" s="516"/>
      <c r="AB40" s="516"/>
      <c r="AC40" s="516"/>
      <c r="AD40" s="516"/>
      <c r="AE40" s="516"/>
      <c r="AF40" s="516"/>
      <c r="AG40" s="516"/>
      <c r="AH40" s="516"/>
      <c r="AI40" s="516"/>
      <c r="AJ40" s="516"/>
      <c r="AK40" s="516"/>
      <c r="AL40" s="516"/>
      <c r="AM40" s="516"/>
      <c r="AN40" s="516"/>
      <c r="AO40" s="516"/>
      <c r="AP40" s="516"/>
      <c r="AQ40" s="516"/>
      <c r="AR40" s="516"/>
      <c r="AS40" s="516"/>
      <c r="AT40" s="516"/>
      <c r="AU40" s="516"/>
      <c r="AV40" s="516"/>
      <c r="AW40" s="516"/>
      <c r="AX40" s="516"/>
      <c r="AY40" s="516"/>
      <c r="AZ40" s="516"/>
      <c r="BA40" s="516"/>
      <c r="BB40" s="516"/>
      <c r="BC40" s="516"/>
      <c r="BD40" s="516"/>
      <c r="BE40" s="516"/>
      <c r="BF40" s="516"/>
      <c r="BG40" s="516"/>
      <c r="BH40" s="516"/>
      <c r="BI40" s="516"/>
      <c r="BJ40" s="516"/>
      <c r="BK40" s="516"/>
      <c r="BL40" s="516"/>
      <c r="BM40" s="516"/>
      <c r="BN40" s="2463"/>
      <c r="BO40" s="71"/>
      <c r="BP40" s="72"/>
      <c r="BQ40" s="71"/>
      <c r="BR40" s="56">
        <f t="shared" si="3"/>
        <v>1</v>
      </c>
      <c r="BS40" s="56">
        <f t="shared" si="3"/>
        <v>1</v>
      </c>
      <c r="BT40" s="56">
        <f t="shared" si="4"/>
        <v>0</v>
      </c>
      <c r="BU40" s="56" t="e">
        <f t="shared" ca="1" si="5"/>
        <v>#VALUE!</v>
      </c>
      <c r="BV40" s="59">
        <f t="shared" si="6"/>
        <v>-5</v>
      </c>
      <c r="BW40" s="59">
        <f t="shared" si="6"/>
        <v>-5</v>
      </c>
      <c r="BX40" s="59">
        <f t="shared" si="6"/>
        <v>-5</v>
      </c>
    </row>
    <row r="41" spans="1:76" ht="18" customHeight="1" outlineLevel="1" x14ac:dyDescent="0.25">
      <c r="A41" s="2453"/>
      <c r="B41" s="2472" t="s">
        <v>2267</v>
      </c>
      <c r="C41" s="2473" t="s">
        <v>722</v>
      </c>
      <c r="D41" s="2474"/>
      <c r="E41" s="2475"/>
      <c r="F41" s="785" t="s">
        <v>750</v>
      </c>
      <c r="G41" s="780"/>
      <c r="H41" s="780"/>
      <c r="I41" s="780"/>
      <c r="J41" s="780"/>
      <c r="K41" s="780"/>
      <c r="L41" s="780"/>
      <c r="M41" s="780"/>
      <c r="N41" s="780"/>
      <c r="O41" s="780"/>
      <c r="P41" s="780"/>
      <c r="Q41" s="780"/>
      <c r="R41" s="780"/>
      <c r="S41" s="780"/>
      <c r="T41" s="780"/>
      <c r="U41" s="780"/>
      <c r="V41" s="780"/>
      <c r="W41" s="780"/>
      <c r="X41" s="780"/>
      <c r="Y41" s="780"/>
      <c r="Z41" s="780"/>
      <c r="AA41" s="780"/>
      <c r="AB41" s="780"/>
      <c r="AC41" s="780"/>
      <c r="AD41" s="780"/>
      <c r="AE41" s="780"/>
      <c r="AF41" s="780"/>
      <c r="AG41" s="780"/>
      <c r="AH41" s="780"/>
      <c r="AI41" s="780"/>
      <c r="AJ41" s="780"/>
      <c r="AK41" s="780"/>
      <c r="AL41" s="780"/>
      <c r="AM41" s="780"/>
      <c r="AN41" s="780"/>
      <c r="AO41" s="780"/>
      <c r="AP41" s="780"/>
      <c r="AQ41" s="780"/>
      <c r="AR41" s="780"/>
      <c r="AS41" s="780"/>
      <c r="AT41" s="780"/>
      <c r="AU41" s="780"/>
      <c r="AV41" s="780"/>
      <c r="AW41" s="780"/>
      <c r="AX41" s="780"/>
      <c r="AY41" s="780"/>
      <c r="AZ41" s="780"/>
      <c r="BA41" s="780"/>
      <c r="BB41" s="780"/>
      <c r="BC41" s="780"/>
      <c r="BD41" s="780"/>
      <c r="BE41" s="780"/>
      <c r="BF41" s="780"/>
      <c r="BG41" s="780"/>
      <c r="BH41" s="780"/>
      <c r="BI41" s="780"/>
      <c r="BJ41" s="780"/>
      <c r="BK41" s="780"/>
      <c r="BL41" s="780"/>
      <c r="BM41" s="780"/>
      <c r="BN41" s="2462">
        <v>0</v>
      </c>
      <c r="BO41" s="71"/>
      <c r="BP41" s="72"/>
      <c r="BQ41" s="73"/>
      <c r="BR41" s="56">
        <f t="shared" si="3"/>
        <v>1</v>
      </c>
      <c r="BS41" s="56">
        <f t="shared" si="3"/>
        <v>1</v>
      </c>
      <c r="BT41" s="56">
        <f t="shared" si="4"/>
        <v>0</v>
      </c>
      <c r="BU41" s="56" t="e">
        <f t="shared" ca="1" si="5"/>
        <v>#VALUE!</v>
      </c>
      <c r="BV41" s="59">
        <f t="shared" si="6"/>
        <v>-5</v>
      </c>
      <c r="BW41" s="59">
        <f t="shared" si="6"/>
        <v>-5</v>
      </c>
      <c r="BX41" s="59">
        <f t="shared" si="6"/>
        <v>-5</v>
      </c>
    </row>
    <row r="42" spans="1:76" ht="18" customHeight="1" outlineLevel="1" x14ac:dyDescent="0.25">
      <c r="A42" s="2453"/>
      <c r="B42" s="2456"/>
      <c r="C42" s="817"/>
      <c r="D42" s="818"/>
      <c r="E42" s="819"/>
      <c r="F42" s="785" t="s">
        <v>752</v>
      </c>
      <c r="G42" s="516"/>
      <c r="H42" s="516"/>
      <c r="I42" s="516"/>
      <c r="J42" s="516"/>
      <c r="K42" s="516"/>
      <c r="L42" s="516"/>
      <c r="M42" s="516"/>
      <c r="N42" s="516"/>
      <c r="O42" s="516"/>
      <c r="P42" s="516"/>
      <c r="Q42" s="516"/>
      <c r="R42" s="516"/>
      <c r="S42" s="516"/>
      <c r="T42" s="516"/>
      <c r="U42" s="516"/>
      <c r="V42" s="516"/>
      <c r="W42" s="516"/>
      <c r="X42" s="516"/>
      <c r="Y42" s="516"/>
      <c r="Z42" s="516"/>
      <c r="AA42" s="516"/>
      <c r="AB42" s="516"/>
      <c r="AC42" s="516"/>
      <c r="AD42" s="516"/>
      <c r="AE42" s="516"/>
      <c r="AF42" s="516"/>
      <c r="AG42" s="516"/>
      <c r="AH42" s="516"/>
      <c r="AI42" s="516"/>
      <c r="AJ42" s="516"/>
      <c r="AK42" s="516"/>
      <c r="AL42" s="516"/>
      <c r="AM42" s="516"/>
      <c r="AN42" s="516"/>
      <c r="AO42" s="516"/>
      <c r="AP42" s="516"/>
      <c r="AQ42" s="516"/>
      <c r="AR42" s="516"/>
      <c r="AS42" s="516"/>
      <c r="AT42" s="516"/>
      <c r="AU42" s="516"/>
      <c r="AV42" s="516"/>
      <c r="AW42" s="516"/>
      <c r="AX42" s="516"/>
      <c r="AY42" s="516"/>
      <c r="AZ42" s="516"/>
      <c r="BA42" s="516"/>
      <c r="BB42" s="516"/>
      <c r="BC42" s="516"/>
      <c r="BD42" s="516"/>
      <c r="BE42" s="516"/>
      <c r="BF42" s="516"/>
      <c r="BG42" s="516"/>
      <c r="BH42" s="516"/>
      <c r="BI42" s="516"/>
      <c r="BJ42" s="516"/>
      <c r="BK42" s="516"/>
      <c r="BL42" s="516"/>
      <c r="BM42" s="516"/>
      <c r="BN42" s="2463"/>
      <c r="BO42" s="71"/>
      <c r="BP42" s="72"/>
      <c r="BQ42" s="71"/>
      <c r="BR42" s="56">
        <f t="shared" si="3"/>
        <v>1</v>
      </c>
      <c r="BS42" s="56">
        <f t="shared" si="3"/>
        <v>1</v>
      </c>
      <c r="BT42" s="56">
        <f t="shared" si="4"/>
        <v>0</v>
      </c>
      <c r="BU42" s="56" t="e">
        <f t="shared" ca="1" si="5"/>
        <v>#VALUE!</v>
      </c>
      <c r="BV42" s="59">
        <f t="shared" si="6"/>
        <v>-5</v>
      </c>
      <c r="BW42" s="59">
        <f t="shared" si="6"/>
        <v>-5</v>
      </c>
      <c r="BX42" s="59">
        <f t="shared" si="6"/>
        <v>-5</v>
      </c>
    </row>
    <row r="43" spans="1:76" ht="18" customHeight="1" x14ac:dyDescent="0.25">
      <c r="A43" s="2457" t="s">
        <v>2268</v>
      </c>
      <c r="B43" s="2472"/>
      <c r="C43" s="2473" t="s">
        <v>724</v>
      </c>
      <c r="D43" s="2474"/>
      <c r="E43" s="2475"/>
      <c r="F43" s="785" t="s">
        <v>750</v>
      </c>
      <c r="G43" s="780"/>
      <c r="H43" s="780"/>
      <c r="I43" s="780"/>
      <c r="J43" s="780"/>
      <c r="K43" s="780"/>
      <c r="L43" s="780"/>
      <c r="M43" s="780"/>
      <c r="N43" s="780"/>
      <c r="O43" s="780"/>
      <c r="P43" s="780"/>
      <c r="Q43" s="780"/>
      <c r="R43" s="780"/>
      <c r="S43" s="780"/>
      <c r="T43" s="780"/>
      <c r="U43" s="780"/>
      <c r="V43" s="780"/>
      <c r="W43" s="780"/>
      <c r="X43" s="780"/>
      <c r="Y43" s="780"/>
      <c r="Z43" s="780"/>
      <c r="AA43" s="780"/>
      <c r="AB43" s="780"/>
      <c r="AC43" s="780"/>
      <c r="AD43" s="780"/>
      <c r="AE43" s="780"/>
      <c r="AF43" s="780"/>
      <c r="AG43" s="780"/>
      <c r="AH43" s="780"/>
      <c r="AI43" s="780"/>
      <c r="AJ43" s="780"/>
      <c r="AK43" s="780"/>
      <c r="AL43" s="780"/>
      <c r="AM43" s="780"/>
      <c r="AN43" s="780"/>
      <c r="AO43" s="780"/>
      <c r="AP43" s="780"/>
      <c r="AQ43" s="780"/>
      <c r="AR43" s="780"/>
      <c r="AS43" s="780"/>
      <c r="AT43" s="780"/>
      <c r="AU43" s="780"/>
      <c r="AV43" s="780"/>
      <c r="AW43" s="780"/>
      <c r="AX43" s="780"/>
      <c r="AY43" s="780"/>
      <c r="AZ43" s="780"/>
      <c r="BA43" s="780"/>
      <c r="BB43" s="780"/>
      <c r="BC43" s="780"/>
      <c r="BD43" s="780"/>
      <c r="BE43" s="780"/>
      <c r="BF43" s="780"/>
      <c r="BG43" s="780"/>
      <c r="BH43" s="780"/>
      <c r="BI43" s="780"/>
      <c r="BJ43" s="780"/>
      <c r="BK43" s="780"/>
      <c r="BL43" s="780"/>
      <c r="BM43" s="780"/>
      <c r="BN43" s="2462">
        <v>0</v>
      </c>
      <c r="BO43" s="71"/>
      <c r="BP43" s="72"/>
      <c r="BQ43" s="73"/>
      <c r="BR43" s="56">
        <f t="shared" si="3"/>
        <v>1</v>
      </c>
      <c r="BS43" s="56">
        <f t="shared" si="3"/>
        <v>1</v>
      </c>
      <c r="BT43" s="56">
        <f t="shared" si="4"/>
        <v>0</v>
      </c>
      <c r="BU43" s="56" t="e">
        <f t="shared" ca="1" si="5"/>
        <v>#VALUE!</v>
      </c>
      <c r="BV43" s="59">
        <f t="shared" si="6"/>
        <v>-5</v>
      </c>
      <c r="BW43" s="59">
        <f t="shared" si="6"/>
        <v>-5</v>
      </c>
      <c r="BX43" s="59">
        <f t="shared" si="6"/>
        <v>-5</v>
      </c>
    </row>
    <row r="44" spans="1:76" ht="18" customHeight="1" x14ac:dyDescent="0.25">
      <c r="A44" s="2454"/>
      <c r="B44" s="2456"/>
      <c r="C44" s="817"/>
      <c r="D44" s="818"/>
      <c r="E44" s="819"/>
      <c r="F44" s="785" t="s">
        <v>752</v>
      </c>
      <c r="G44" s="516"/>
      <c r="H44" s="516"/>
      <c r="I44" s="516"/>
      <c r="J44" s="516"/>
      <c r="K44" s="516"/>
      <c r="L44" s="516"/>
      <c r="M44" s="516"/>
      <c r="N44" s="516"/>
      <c r="O44" s="516"/>
      <c r="P44" s="516"/>
      <c r="Q44" s="516"/>
      <c r="R44" s="516"/>
      <c r="S44" s="516"/>
      <c r="T44" s="516"/>
      <c r="U44" s="516"/>
      <c r="V44" s="516"/>
      <c r="W44" s="516"/>
      <c r="X44" s="516"/>
      <c r="Y44" s="516"/>
      <c r="Z44" s="516"/>
      <c r="AA44" s="516"/>
      <c r="AB44" s="516"/>
      <c r="AC44" s="516"/>
      <c r="AD44" s="516"/>
      <c r="AE44" s="516"/>
      <c r="AF44" s="516"/>
      <c r="AG44" s="516"/>
      <c r="AH44" s="516"/>
      <c r="AI44" s="516"/>
      <c r="AJ44" s="516"/>
      <c r="AK44" s="516"/>
      <c r="AL44" s="516"/>
      <c r="AM44" s="516"/>
      <c r="AN44" s="516"/>
      <c r="AO44" s="516"/>
      <c r="AP44" s="516"/>
      <c r="AQ44" s="516"/>
      <c r="AR44" s="516"/>
      <c r="AS44" s="516"/>
      <c r="AT44" s="516"/>
      <c r="AU44" s="516"/>
      <c r="AV44" s="516"/>
      <c r="AW44" s="516"/>
      <c r="AX44" s="516"/>
      <c r="AY44" s="516"/>
      <c r="AZ44" s="516"/>
      <c r="BA44" s="516"/>
      <c r="BB44" s="516"/>
      <c r="BC44" s="516"/>
      <c r="BD44" s="516"/>
      <c r="BE44" s="516"/>
      <c r="BF44" s="516"/>
      <c r="BG44" s="516"/>
      <c r="BH44" s="516"/>
      <c r="BI44" s="516"/>
      <c r="BJ44" s="516"/>
      <c r="BK44" s="516"/>
      <c r="BL44" s="516"/>
      <c r="BM44" s="516"/>
      <c r="BN44" s="2463"/>
      <c r="BO44" s="71"/>
      <c r="BP44" s="72"/>
      <c r="BQ44" s="71"/>
      <c r="BR44" s="56">
        <f t="shared" si="3"/>
        <v>1</v>
      </c>
      <c r="BS44" s="56">
        <f t="shared" si="3"/>
        <v>1</v>
      </c>
      <c r="BT44" s="56">
        <f t="shared" si="4"/>
        <v>0</v>
      </c>
      <c r="BU44" s="56" t="e">
        <f t="shared" ca="1" si="5"/>
        <v>#VALUE!</v>
      </c>
      <c r="BV44" s="59">
        <f t="shared" si="6"/>
        <v>-5</v>
      </c>
      <c r="BW44" s="59">
        <f t="shared" si="6"/>
        <v>-5</v>
      </c>
      <c r="BX44" s="59">
        <f t="shared" si="6"/>
        <v>-5</v>
      </c>
    </row>
    <row r="45" spans="1:76" ht="18" customHeight="1" x14ac:dyDescent="0.25">
      <c r="A45" s="2457" t="s">
        <v>2269</v>
      </c>
      <c r="B45" s="2472"/>
      <c r="C45" s="2473" t="s">
        <v>726</v>
      </c>
      <c r="D45" s="2474"/>
      <c r="E45" s="2475"/>
      <c r="F45" s="785" t="s">
        <v>750</v>
      </c>
      <c r="G45" s="780"/>
      <c r="H45" s="780"/>
      <c r="I45" s="780"/>
      <c r="J45" s="780"/>
      <c r="K45" s="780"/>
      <c r="L45" s="780"/>
      <c r="M45" s="780"/>
      <c r="N45" s="780"/>
      <c r="O45" s="780"/>
      <c r="P45" s="780"/>
      <c r="Q45" s="780"/>
      <c r="R45" s="780"/>
      <c r="S45" s="780"/>
      <c r="T45" s="780"/>
      <c r="U45" s="780"/>
      <c r="V45" s="780"/>
      <c r="W45" s="780"/>
      <c r="X45" s="780"/>
      <c r="Y45" s="780"/>
      <c r="Z45" s="780"/>
      <c r="AA45" s="780"/>
      <c r="AB45" s="780"/>
      <c r="AC45" s="780"/>
      <c r="AD45" s="780"/>
      <c r="AE45" s="780"/>
      <c r="AF45" s="780"/>
      <c r="AG45" s="780"/>
      <c r="AH45" s="780"/>
      <c r="AI45" s="780"/>
      <c r="AJ45" s="780"/>
      <c r="AK45" s="780"/>
      <c r="AL45" s="780"/>
      <c r="AM45" s="780"/>
      <c r="AN45" s="780"/>
      <c r="AO45" s="780"/>
      <c r="AP45" s="780"/>
      <c r="AQ45" s="780"/>
      <c r="AR45" s="780"/>
      <c r="AS45" s="780"/>
      <c r="AT45" s="780"/>
      <c r="AU45" s="780" t="s">
        <v>2270</v>
      </c>
      <c r="AV45" s="780"/>
      <c r="AW45" s="780"/>
      <c r="AX45" s="780"/>
      <c r="AY45" s="780"/>
      <c r="AZ45" s="780"/>
      <c r="BA45" s="780"/>
      <c r="BB45" s="780"/>
      <c r="BC45" s="780"/>
      <c r="BD45" s="780"/>
      <c r="BE45" s="780"/>
      <c r="BF45" s="780"/>
      <c r="BG45" s="780"/>
      <c r="BH45" s="780"/>
      <c r="BI45" s="780"/>
      <c r="BJ45" s="780"/>
      <c r="BK45" s="780"/>
      <c r="BL45" s="780"/>
      <c r="BM45" s="780"/>
      <c r="BN45" s="2462">
        <v>0</v>
      </c>
      <c r="BO45" s="71"/>
      <c r="BP45" s="72"/>
      <c r="BQ45" s="73"/>
      <c r="BR45" s="56">
        <f t="shared" si="3"/>
        <v>1</v>
      </c>
      <c r="BS45" s="56">
        <f t="shared" si="3"/>
        <v>1</v>
      </c>
      <c r="BT45" s="56">
        <f t="shared" si="4"/>
        <v>0</v>
      </c>
      <c r="BU45" s="56" t="e">
        <f t="shared" ca="1" si="5"/>
        <v>#VALUE!</v>
      </c>
      <c r="BV45" s="59">
        <f t="shared" si="6"/>
        <v>-5</v>
      </c>
      <c r="BW45" s="59">
        <f t="shared" si="6"/>
        <v>-5</v>
      </c>
      <c r="BX45" s="59">
        <f t="shared" si="6"/>
        <v>-5</v>
      </c>
    </row>
    <row r="46" spans="1:76" ht="18" customHeight="1" x14ac:dyDescent="0.25">
      <c r="A46" s="2454"/>
      <c r="B46" s="2456"/>
      <c r="C46" s="817"/>
      <c r="D46" s="818"/>
      <c r="E46" s="819"/>
      <c r="F46" s="785" t="s">
        <v>752</v>
      </c>
      <c r="G46" s="516"/>
      <c r="H46" s="516"/>
      <c r="I46" s="516"/>
      <c r="J46" s="516"/>
      <c r="K46" s="516"/>
      <c r="L46" s="516"/>
      <c r="M46" s="516"/>
      <c r="N46" s="516"/>
      <c r="O46" s="516"/>
      <c r="P46" s="516"/>
      <c r="Q46" s="516"/>
      <c r="R46" s="516"/>
      <c r="S46" s="516"/>
      <c r="T46" s="516"/>
      <c r="U46" s="516"/>
      <c r="V46" s="516"/>
      <c r="W46" s="516"/>
      <c r="X46" s="516"/>
      <c r="Y46" s="516"/>
      <c r="Z46" s="516"/>
      <c r="AA46" s="516"/>
      <c r="AB46" s="516"/>
      <c r="AC46" s="516"/>
      <c r="AD46" s="516"/>
      <c r="AE46" s="516"/>
      <c r="AF46" s="516"/>
      <c r="AG46" s="516"/>
      <c r="AH46" s="516"/>
      <c r="AI46" s="516"/>
      <c r="AJ46" s="516"/>
      <c r="AK46" s="516"/>
      <c r="AL46" s="516"/>
      <c r="AM46" s="516"/>
      <c r="AN46" s="516"/>
      <c r="AO46" s="516"/>
      <c r="AP46" s="516"/>
      <c r="AQ46" s="516"/>
      <c r="AR46" s="516"/>
      <c r="AS46" s="516"/>
      <c r="AT46" s="516"/>
      <c r="AU46" s="516"/>
      <c r="AV46" s="516"/>
      <c r="AW46" s="516"/>
      <c r="AX46" s="516"/>
      <c r="AY46" s="516"/>
      <c r="AZ46" s="516"/>
      <c r="BA46" s="516"/>
      <c r="BB46" s="516"/>
      <c r="BC46" s="516"/>
      <c r="BD46" s="516"/>
      <c r="BE46" s="516"/>
      <c r="BF46" s="516"/>
      <c r="BG46" s="516"/>
      <c r="BH46" s="516"/>
      <c r="BI46" s="516"/>
      <c r="BJ46" s="516"/>
      <c r="BK46" s="516"/>
      <c r="BL46" s="516"/>
      <c r="BM46" s="516"/>
      <c r="BN46" s="2463"/>
      <c r="BO46" s="71"/>
      <c r="BP46" s="72"/>
      <c r="BQ46" s="71"/>
      <c r="BR46" s="56">
        <f t="shared" si="3"/>
        <v>1</v>
      </c>
      <c r="BS46" s="56">
        <f t="shared" si="3"/>
        <v>1</v>
      </c>
      <c r="BT46" s="56">
        <f t="shared" si="4"/>
        <v>0</v>
      </c>
      <c r="BU46" s="56" t="e">
        <f t="shared" ca="1" si="5"/>
        <v>#VALUE!</v>
      </c>
      <c r="BV46" s="59">
        <f t="shared" si="6"/>
        <v>-5</v>
      </c>
      <c r="BW46" s="59">
        <f t="shared" si="6"/>
        <v>-5</v>
      </c>
      <c r="BX46" s="59">
        <f t="shared" si="6"/>
        <v>-5</v>
      </c>
    </row>
    <row r="47" spans="1:76" ht="18" customHeight="1" x14ac:dyDescent="0.25">
      <c r="A47" s="2457" t="s">
        <v>2271</v>
      </c>
      <c r="B47" s="2464"/>
      <c r="C47" s="2466" t="s">
        <v>1720</v>
      </c>
      <c r="D47" s="2467"/>
      <c r="E47" s="2468"/>
      <c r="F47" s="783" t="s">
        <v>750</v>
      </c>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2462">
        <v>0</v>
      </c>
      <c r="BO47" s="71"/>
      <c r="BP47" s="72"/>
      <c r="BQ47" s="73"/>
      <c r="BR47" s="56">
        <f t="shared" si="3"/>
        <v>1</v>
      </c>
      <c r="BS47" s="56">
        <f t="shared" si="3"/>
        <v>1</v>
      </c>
      <c r="BT47" s="56">
        <f t="shared" si="4"/>
        <v>0</v>
      </c>
      <c r="BU47" s="56" t="e">
        <f t="shared" ca="1" si="5"/>
        <v>#VALUE!</v>
      </c>
      <c r="BV47" s="59">
        <f t="shared" si="6"/>
        <v>-5</v>
      </c>
      <c r="BW47" s="59">
        <f t="shared" si="6"/>
        <v>-5</v>
      </c>
      <c r="BX47" s="59">
        <f t="shared" si="6"/>
        <v>-5</v>
      </c>
    </row>
    <row r="48" spans="1:76" ht="18" customHeight="1" x14ac:dyDescent="0.25">
      <c r="A48" s="2454"/>
      <c r="B48" s="2465"/>
      <c r="C48" s="834"/>
      <c r="D48" s="835"/>
      <c r="E48" s="836"/>
      <c r="F48" s="783" t="s">
        <v>752</v>
      </c>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c r="AL48" s="517"/>
      <c r="AM48" s="517"/>
      <c r="AN48" s="517"/>
      <c r="AO48" s="517"/>
      <c r="AP48" s="517"/>
      <c r="AQ48" s="517"/>
      <c r="AR48" s="517"/>
      <c r="AS48" s="517"/>
      <c r="AT48" s="517"/>
      <c r="AU48" s="517"/>
      <c r="AV48" s="517"/>
      <c r="AW48" s="517"/>
      <c r="AX48" s="517"/>
      <c r="AY48" s="517"/>
      <c r="AZ48" s="517"/>
      <c r="BA48" s="517"/>
      <c r="BB48" s="517"/>
      <c r="BC48" s="517"/>
      <c r="BD48" s="517"/>
      <c r="BE48" s="517"/>
      <c r="BF48" s="517"/>
      <c r="BG48" s="517"/>
      <c r="BH48" s="517"/>
      <c r="BI48" s="517"/>
      <c r="BJ48" s="517"/>
      <c r="BK48" s="517"/>
      <c r="BL48" s="517"/>
      <c r="BM48" s="517"/>
      <c r="BN48" s="2463"/>
      <c r="BO48" s="71"/>
      <c r="BP48" s="72"/>
      <c r="BQ48" s="71"/>
      <c r="BR48" s="56">
        <f t="shared" si="3"/>
        <v>1</v>
      </c>
      <c r="BS48" s="56">
        <f t="shared" si="3"/>
        <v>1</v>
      </c>
      <c r="BT48" s="56">
        <f t="shared" si="4"/>
        <v>0</v>
      </c>
      <c r="BU48" s="56" t="e">
        <f t="shared" ca="1" si="5"/>
        <v>#VALUE!</v>
      </c>
      <c r="BV48" s="59">
        <f t="shared" si="6"/>
        <v>-5</v>
      </c>
      <c r="BW48" s="59">
        <f t="shared" si="6"/>
        <v>-5</v>
      </c>
      <c r="BX48" s="59">
        <f t="shared" si="6"/>
        <v>-5</v>
      </c>
    </row>
    <row r="49" spans="1:76" ht="18" customHeight="1" x14ac:dyDescent="0.25">
      <c r="A49" s="2457" t="s">
        <v>2272</v>
      </c>
      <c r="B49" s="2472"/>
      <c r="C49" s="2473" t="s">
        <v>1722</v>
      </c>
      <c r="D49" s="2474"/>
      <c r="E49" s="2475"/>
      <c r="F49" s="785" t="s">
        <v>750</v>
      </c>
      <c r="G49" s="780"/>
      <c r="H49" s="780"/>
      <c r="I49" s="780"/>
      <c r="J49" s="780"/>
      <c r="K49" s="780"/>
      <c r="L49" s="780"/>
      <c r="M49" s="780"/>
      <c r="N49" s="780"/>
      <c r="O49" s="780"/>
      <c r="P49" s="780"/>
      <c r="Q49" s="780"/>
      <c r="R49" s="780"/>
      <c r="S49" s="780"/>
      <c r="T49" s="780"/>
      <c r="U49" s="780"/>
      <c r="V49" s="780"/>
      <c r="W49" s="780"/>
      <c r="X49" s="780"/>
      <c r="Y49" s="780"/>
      <c r="Z49" s="780"/>
      <c r="AA49" s="780"/>
      <c r="AB49" s="780"/>
      <c r="AC49" s="780"/>
      <c r="AD49" s="780"/>
      <c r="AE49" s="780"/>
      <c r="AF49" s="780"/>
      <c r="AG49" s="780"/>
      <c r="AH49" s="780"/>
      <c r="AI49" s="780"/>
      <c r="AJ49" s="780"/>
      <c r="AK49" s="780"/>
      <c r="AL49" s="780"/>
      <c r="AM49" s="780"/>
      <c r="AN49" s="780"/>
      <c r="AO49" s="780"/>
      <c r="AP49" s="780"/>
      <c r="AQ49" s="780"/>
      <c r="AR49" s="780"/>
      <c r="AS49" s="780"/>
      <c r="AT49" s="780"/>
      <c r="AU49" s="780"/>
      <c r="AV49" s="780"/>
      <c r="AW49" s="780"/>
      <c r="AX49" s="780"/>
      <c r="AY49" s="780"/>
      <c r="AZ49" s="780"/>
      <c r="BA49" s="780"/>
      <c r="BB49" s="780"/>
      <c r="BC49" s="780"/>
      <c r="BD49" s="780"/>
      <c r="BE49" s="780"/>
      <c r="BF49" s="780"/>
      <c r="BG49" s="780"/>
      <c r="BH49" s="780"/>
      <c r="BI49" s="780"/>
      <c r="BJ49" s="780"/>
      <c r="BK49" s="780"/>
      <c r="BL49" s="780"/>
      <c r="BM49" s="780"/>
      <c r="BN49" s="2462">
        <v>0</v>
      </c>
      <c r="BO49" s="71"/>
      <c r="BP49" s="72"/>
      <c r="BQ49" s="73"/>
      <c r="BR49" s="56">
        <f t="shared" si="3"/>
        <v>1</v>
      </c>
      <c r="BS49" s="56">
        <f t="shared" si="3"/>
        <v>1</v>
      </c>
      <c r="BT49" s="56">
        <f t="shared" si="4"/>
        <v>0</v>
      </c>
      <c r="BU49" s="56" t="e">
        <f t="shared" ca="1" si="5"/>
        <v>#VALUE!</v>
      </c>
      <c r="BV49" s="59">
        <f t="shared" si="6"/>
        <v>-5</v>
      </c>
      <c r="BW49" s="59">
        <f t="shared" si="6"/>
        <v>-5</v>
      </c>
      <c r="BX49" s="59">
        <f t="shared" si="6"/>
        <v>-5</v>
      </c>
    </row>
    <row r="50" spans="1:76" ht="18" customHeight="1" x14ac:dyDescent="0.25">
      <c r="A50" s="2454"/>
      <c r="B50" s="2456"/>
      <c r="C50" s="817"/>
      <c r="D50" s="818"/>
      <c r="E50" s="819"/>
      <c r="F50" s="785" t="s">
        <v>752</v>
      </c>
      <c r="G50" s="516"/>
      <c r="H50" s="516"/>
      <c r="I50" s="516"/>
      <c r="J50" s="516"/>
      <c r="K50" s="516"/>
      <c r="L50" s="516"/>
      <c r="M50" s="516"/>
      <c r="N50" s="516"/>
      <c r="O50" s="516"/>
      <c r="P50" s="516"/>
      <c r="Q50" s="516"/>
      <c r="R50" s="516"/>
      <c r="S50" s="516"/>
      <c r="T50" s="516"/>
      <c r="U50" s="516"/>
      <c r="V50" s="516"/>
      <c r="W50" s="516"/>
      <c r="X50" s="516"/>
      <c r="Y50" s="516"/>
      <c r="Z50" s="516"/>
      <c r="AA50" s="516"/>
      <c r="AB50" s="516"/>
      <c r="AC50" s="516"/>
      <c r="AD50" s="516"/>
      <c r="AE50" s="516"/>
      <c r="AF50" s="516"/>
      <c r="AG50" s="516"/>
      <c r="AH50" s="516"/>
      <c r="AI50" s="516"/>
      <c r="AJ50" s="516"/>
      <c r="AK50" s="516"/>
      <c r="AL50" s="516"/>
      <c r="AM50" s="516"/>
      <c r="AN50" s="516"/>
      <c r="AO50" s="516"/>
      <c r="AP50" s="516"/>
      <c r="AQ50" s="516"/>
      <c r="AR50" s="516"/>
      <c r="AS50" s="516"/>
      <c r="AT50" s="516"/>
      <c r="AU50" s="516"/>
      <c r="AV50" s="516"/>
      <c r="AW50" s="516"/>
      <c r="AX50" s="516"/>
      <c r="AY50" s="516"/>
      <c r="AZ50" s="516"/>
      <c r="BA50" s="516"/>
      <c r="BB50" s="516"/>
      <c r="BC50" s="516"/>
      <c r="BD50" s="516"/>
      <c r="BE50" s="516"/>
      <c r="BF50" s="516"/>
      <c r="BG50" s="516"/>
      <c r="BH50" s="516"/>
      <c r="BI50" s="516"/>
      <c r="BJ50" s="516"/>
      <c r="BK50" s="516"/>
      <c r="BL50" s="516"/>
      <c r="BM50" s="516"/>
      <c r="BN50" s="2463"/>
      <c r="BO50" s="71"/>
      <c r="BP50" s="72"/>
      <c r="BQ50" s="71"/>
      <c r="BR50" s="56">
        <f t="shared" si="3"/>
        <v>1</v>
      </c>
      <c r="BS50" s="56">
        <f t="shared" si="3"/>
        <v>1</v>
      </c>
      <c r="BT50" s="56">
        <f t="shared" si="4"/>
        <v>0</v>
      </c>
      <c r="BU50" s="56" t="e">
        <f t="shared" ca="1" si="5"/>
        <v>#VALUE!</v>
      </c>
      <c r="BV50" s="59">
        <f t="shared" si="6"/>
        <v>-5</v>
      </c>
      <c r="BW50" s="59">
        <f t="shared" si="6"/>
        <v>-5</v>
      </c>
      <c r="BX50" s="59">
        <f t="shared" si="6"/>
        <v>-5</v>
      </c>
    </row>
    <row r="51" spans="1:76" ht="18" customHeight="1" x14ac:dyDescent="0.25">
      <c r="A51" s="2457" t="s">
        <v>2273</v>
      </c>
      <c r="B51" s="2464"/>
      <c r="C51" s="2466" t="s">
        <v>732</v>
      </c>
      <c r="D51" s="2467"/>
      <c r="E51" s="2468"/>
      <c r="F51" s="783" t="s">
        <v>750</v>
      </c>
      <c r="G51" s="784"/>
      <c r="H51" s="784"/>
      <c r="I51" s="784"/>
      <c r="J51" s="784"/>
      <c r="K51" s="784"/>
      <c r="L51" s="784"/>
      <c r="M51" s="784"/>
      <c r="N51" s="784"/>
      <c r="O51" s="784"/>
      <c r="P51" s="784"/>
      <c r="Q51" s="784"/>
      <c r="R51" s="784"/>
      <c r="S51" s="784"/>
      <c r="T51" s="784"/>
      <c r="U51" s="784"/>
      <c r="V51" s="784"/>
      <c r="W51" s="784"/>
      <c r="X51" s="784"/>
      <c r="Y51" s="784"/>
      <c r="Z51" s="784"/>
      <c r="AA51" s="784"/>
      <c r="AB51" s="784"/>
      <c r="AC51" s="784"/>
      <c r="AD51" s="784"/>
      <c r="AE51" s="784"/>
      <c r="AF51" s="784"/>
      <c r="AG51" s="784"/>
      <c r="AH51" s="784"/>
      <c r="AI51" s="784"/>
      <c r="AJ51" s="784"/>
      <c r="AK51" s="784"/>
      <c r="AL51" s="784"/>
      <c r="AM51" s="784"/>
      <c r="AN51" s="784"/>
      <c r="AO51" s="784"/>
      <c r="AP51" s="784"/>
      <c r="AQ51" s="784"/>
      <c r="AR51" s="784"/>
      <c r="AS51" s="784"/>
      <c r="AT51" s="784"/>
      <c r="AU51" s="784"/>
      <c r="AV51" s="784"/>
      <c r="AW51" s="784"/>
      <c r="AX51" s="784"/>
      <c r="AY51" s="784"/>
      <c r="AZ51" s="784"/>
      <c r="BA51" s="784"/>
      <c r="BB51" s="784"/>
      <c r="BC51" s="784"/>
      <c r="BD51" s="784"/>
      <c r="BE51" s="784"/>
      <c r="BF51" s="784"/>
      <c r="BG51" s="784"/>
      <c r="BH51" s="784"/>
      <c r="BI51" s="784"/>
      <c r="BJ51" s="784"/>
      <c r="BK51" s="784"/>
      <c r="BL51" s="784"/>
      <c r="BM51" s="784"/>
      <c r="BN51" s="2462">
        <v>0</v>
      </c>
      <c r="BO51" s="71"/>
      <c r="BP51" s="72"/>
      <c r="BQ51" s="73"/>
      <c r="BR51" s="56">
        <f t="shared" si="3"/>
        <v>1</v>
      </c>
      <c r="BS51" s="56">
        <f t="shared" si="3"/>
        <v>1</v>
      </c>
      <c r="BT51" s="56">
        <f t="shared" si="4"/>
        <v>0</v>
      </c>
      <c r="BU51" s="56" t="e">
        <f t="shared" ca="1" si="5"/>
        <v>#VALUE!</v>
      </c>
      <c r="BV51" s="59">
        <f t="shared" si="6"/>
        <v>-5</v>
      </c>
      <c r="BW51" s="59">
        <f t="shared" si="6"/>
        <v>-5</v>
      </c>
      <c r="BX51" s="59">
        <f t="shared" si="6"/>
        <v>-5</v>
      </c>
    </row>
    <row r="52" spans="1:76" ht="18" customHeight="1" x14ac:dyDescent="0.25">
      <c r="A52" s="2454"/>
      <c r="B52" s="2465"/>
      <c r="C52" s="834"/>
      <c r="D52" s="835"/>
      <c r="E52" s="836"/>
      <c r="F52" s="783" t="s">
        <v>752</v>
      </c>
      <c r="G52" s="517"/>
      <c r="H52" s="517"/>
      <c r="I52" s="517"/>
      <c r="J52" s="517"/>
      <c r="K52" s="517"/>
      <c r="L52" s="517"/>
      <c r="M52" s="517"/>
      <c r="N52" s="517"/>
      <c r="O52" s="517"/>
      <c r="P52" s="517"/>
      <c r="Q52" s="517"/>
      <c r="R52" s="517"/>
      <c r="S52" s="517"/>
      <c r="T52" s="517"/>
      <c r="U52" s="517"/>
      <c r="V52" s="517"/>
      <c r="W52" s="517"/>
      <c r="X52" s="517"/>
      <c r="Y52" s="517"/>
      <c r="Z52" s="517"/>
      <c r="AA52" s="517"/>
      <c r="AB52" s="517"/>
      <c r="AC52" s="517"/>
      <c r="AD52" s="517"/>
      <c r="AE52" s="517"/>
      <c r="AF52" s="517"/>
      <c r="AG52" s="517"/>
      <c r="AH52" s="517"/>
      <c r="AI52" s="517"/>
      <c r="AJ52" s="517"/>
      <c r="AK52" s="517"/>
      <c r="AL52" s="517"/>
      <c r="AM52" s="517"/>
      <c r="AN52" s="517"/>
      <c r="AO52" s="517"/>
      <c r="AP52" s="517"/>
      <c r="AQ52" s="517"/>
      <c r="AR52" s="517"/>
      <c r="AS52" s="517"/>
      <c r="AT52" s="517"/>
      <c r="AU52" s="517"/>
      <c r="AV52" s="517"/>
      <c r="AW52" s="517"/>
      <c r="AX52" s="517"/>
      <c r="AY52" s="517"/>
      <c r="AZ52" s="517"/>
      <c r="BA52" s="517"/>
      <c r="BB52" s="517"/>
      <c r="BC52" s="517"/>
      <c r="BD52" s="517"/>
      <c r="BE52" s="517"/>
      <c r="BF52" s="517"/>
      <c r="BG52" s="517"/>
      <c r="BH52" s="517"/>
      <c r="BI52" s="517"/>
      <c r="BJ52" s="517"/>
      <c r="BK52" s="517"/>
      <c r="BL52" s="517"/>
      <c r="BM52" s="517"/>
      <c r="BN52" s="2463"/>
      <c r="BO52" s="71"/>
      <c r="BP52" s="72"/>
      <c r="BQ52" s="71"/>
      <c r="BR52" s="56">
        <f t="shared" si="3"/>
        <v>1</v>
      </c>
      <c r="BS52" s="56">
        <f t="shared" si="3"/>
        <v>1</v>
      </c>
      <c r="BT52" s="56">
        <f t="shared" si="4"/>
        <v>0</v>
      </c>
      <c r="BU52" s="56" t="e">
        <f t="shared" ca="1" si="5"/>
        <v>#VALUE!</v>
      </c>
      <c r="BV52" s="59">
        <f t="shared" si="6"/>
        <v>-5</v>
      </c>
      <c r="BW52" s="59">
        <f t="shared" si="6"/>
        <v>-5</v>
      </c>
      <c r="BX52" s="59">
        <f t="shared" si="6"/>
        <v>-5</v>
      </c>
    </row>
    <row r="53" spans="1:76" ht="18" customHeight="1" x14ac:dyDescent="0.25">
      <c r="A53" s="2476" t="s">
        <v>2274</v>
      </c>
      <c r="B53" s="2472"/>
      <c r="C53" s="2473" t="s">
        <v>1722</v>
      </c>
      <c r="D53" s="2474"/>
      <c r="E53" s="2475"/>
      <c r="F53" s="785" t="s">
        <v>750</v>
      </c>
      <c r="G53" s="780"/>
      <c r="H53" s="780"/>
      <c r="I53" s="780"/>
      <c r="J53" s="780"/>
      <c r="K53" s="780"/>
      <c r="L53" s="780"/>
      <c r="M53" s="780"/>
      <c r="N53" s="780"/>
      <c r="O53" s="780"/>
      <c r="P53" s="780"/>
      <c r="Q53" s="780"/>
      <c r="R53" s="780"/>
      <c r="S53" s="780"/>
      <c r="T53" s="780"/>
      <c r="U53" s="780"/>
      <c r="V53" s="780"/>
      <c r="W53" s="780"/>
      <c r="X53" s="780"/>
      <c r="Y53" s="780"/>
      <c r="Z53" s="780"/>
      <c r="AA53" s="780"/>
      <c r="AB53" s="780"/>
      <c r="AC53" s="780"/>
      <c r="AD53" s="780"/>
      <c r="AE53" s="780"/>
      <c r="AF53" s="780"/>
      <c r="AG53" s="780"/>
      <c r="AH53" s="780"/>
      <c r="AI53" s="780"/>
      <c r="AJ53" s="780"/>
      <c r="AK53" s="780"/>
      <c r="AL53" s="780"/>
      <c r="AM53" s="780"/>
      <c r="AN53" s="780"/>
      <c r="AO53" s="780"/>
      <c r="AP53" s="780"/>
      <c r="AQ53" s="780"/>
      <c r="AR53" s="780"/>
      <c r="AS53" s="780"/>
      <c r="AT53" s="780"/>
      <c r="AU53" s="780"/>
      <c r="AV53" s="780"/>
      <c r="AW53" s="780"/>
      <c r="AX53" s="780"/>
      <c r="AY53" s="780"/>
      <c r="AZ53" s="780"/>
      <c r="BA53" s="780"/>
      <c r="BB53" s="780"/>
      <c r="BC53" s="780"/>
      <c r="BD53" s="780"/>
      <c r="BE53" s="780"/>
      <c r="BF53" s="780"/>
      <c r="BG53" s="780"/>
      <c r="BH53" s="780"/>
      <c r="BI53" s="780"/>
      <c r="BJ53" s="780"/>
      <c r="BK53" s="780"/>
      <c r="BL53" s="780"/>
      <c r="BM53" s="780"/>
      <c r="BN53" s="2462">
        <v>0</v>
      </c>
      <c r="BO53" s="71"/>
      <c r="BP53" s="72"/>
      <c r="BQ53" s="73"/>
      <c r="BR53" s="56">
        <f t="shared" si="3"/>
        <v>1</v>
      </c>
      <c r="BS53" s="56">
        <f t="shared" si="3"/>
        <v>1</v>
      </c>
      <c r="BT53" s="56">
        <f t="shared" si="4"/>
        <v>0</v>
      </c>
      <c r="BU53" s="56" t="e">
        <f t="shared" ca="1" si="5"/>
        <v>#VALUE!</v>
      </c>
      <c r="BV53" s="59">
        <f t="shared" si="6"/>
        <v>-5</v>
      </c>
      <c r="BW53" s="59">
        <f t="shared" si="6"/>
        <v>-5</v>
      </c>
      <c r="BX53" s="59">
        <f t="shared" si="6"/>
        <v>-5</v>
      </c>
    </row>
    <row r="54" spans="1:76" ht="18" customHeight="1" x14ac:dyDescent="0.25">
      <c r="A54" s="2454"/>
      <c r="B54" s="2456"/>
      <c r="C54" s="817"/>
      <c r="D54" s="818"/>
      <c r="E54" s="819"/>
      <c r="F54" s="785" t="s">
        <v>752</v>
      </c>
      <c r="G54" s="516"/>
      <c r="H54" s="516"/>
      <c r="I54" s="516"/>
      <c r="J54" s="516"/>
      <c r="K54" s="516"/>
      <c r="L54" s="516"/>
      <c r="M54" s="516"/>
      <c r="N54" s="516"/>
      <c r="O54" s="516"/>
      <c r="P54" s="516"/>
      <c r="Q54" s="516"/>
      <c r="R54" s="516"/>
      <c r="S54" s="516"/>
      <c r="T54" s="516"/>
      <c r="U54" s="516"/>
      <c r="V54" s="516"/>
      <c r="W54" s="516"/>
      <c r="X54" s="516"/>
      <c r="Y54" s="516"/>
      <c r="Z54" s="516"/>
      <c r="AA54" s="516"/>
      <c r="AB54" s="516"/>
      <c r="AC54" s="516"/>
      <c r="AD54" s="516"/>
      <c r="AE54" s="516"/>
      <c r="AF54" s="516"/>
      <c r="AG54" s="516"/>
      <c r="AH54" s="516"/>
      <c r="AI54" s="516"/>
      <c r="AJ54" s="516"/>
      <c r="AK54" s="516"/>
      <c r="AL54" s="516"/>
      <c r="AM54" s="516"/>
      <c r="AN54" s="516"/>
      <c r="AO54" s="516"/>
      <c r="AP54" s="516"/>
      <c r="AQ54" s="516"/>
      <c r="AR54" s="516"/>
      <c r="AS54" s="516"/>
      <c r="AT54" s="516"/>
      <c r="AU54" s="516"/>
      <c r="AV54" s="516"/>
      <c r="AW54" s="516"/>
      <c r="AX54" s="516"/>
      <c r="AY54" s="516"/>
      <c r="AZ54" s="516"/>
      <c r="BA54" s="516"/>
      <c r="BB54" s="516"/>
      <c r="BC54" s="516"/>
      <c r="BD54" s="516"/>
      <c r="BE54" s="516"/>
      <c r="BF54" s="516"/>
      <c r="BG54" s="516"/>
      <c r="BH54" s="516"/>
      <c r="BI54" s="516"/>
      <c r="BJ54" s="516"/>
      <c r="BK54" s="516"/>
      <c r="BL54" s="516"/>
      <c r="BM54" s="516"/>
      <c r="BN54" s="2463"/>
      <c r="BO54" s="71"/>
      <c r="BP54" s="72"/>
      <c r="BQ54" s="71"/>
      <c r="BR54" s="56">
        <f t="shared" si="3"/>
        <v>1</v>
      </c>
      <c r="BS54" s="56">
        <f t="shared" si="3"/>
        <v>1</v>
      </c>
      <c r="BT54" s="56">
        <f t="shared" si="4"/>
        <v>0</v>
      </c>
      <c r="BU54" s="56" t="e">
        <f t="shared" ca="1" si="5"/>
        <v>#VALUE!</v>
      </c>
      <c r="BV54" s="59">
        <f t="shared" si="6"/>
        <v>-5</v>
      </c>
      <c r="BW54" s="59">
        <f t="shared" si="6"/>
        <v>-5</v>
      </c>
      <c r="BX54" s="59">
        <f t="shared" si="6"/>
        <v>-5</v>
      </c>
    </row>
    <row r="55" spans="1:76" ht="18" customHeight="1" x14ac:dyDescent="0.25">
      <c r="A55" s="2476" t="s">
        <v>2275</v>
      </c>
      <c r="B55" s="32"/>
      <c r="C55" s="2480" t="s">
        <v>1725</v>
      </c>
      <c r="D55" s="2481"/>
      <c r="E55" s="2482"/>
      <c r="F55" s="785" t="s">
        <v>750</v>
      </c>
      <c r="G55" s="780"/>
      <c r="H55" s="780"/>
      <c r="I55" s="780"/>
      <c r="J55" s="780"/>
      <c r="K55" s="780"/>
      <c r="L55" s="780"/>
      <c r="M55" s="780"/>
      <c r="N55" s="780"/>
      <c r="O55" s="780"/>
      <c r="P55" s="780"/>
      <c r="Q55" s="780"/>
      <c r="R55" s="780"/>
      <c r="S55" s="780"/>
      <c r="T55" s="780"/>
      <c r="U55" s="780"/>
      <c r="V55" s="780"/>
      <c r="W55" s="780"/>
      <c r="X55" s="780"/>
      <c r="Y55" s="780"/>
      <c r="Z55" s="780"/>
      <c r="AA55" s="780"/>
      <c r="AB55" s="780"/>
      <c r="AC55" s="780"/>
      <c r="AD55" s="780"/>
      <c r="AE55" s="780"/>
      <c r="AF55" s="780"/>
      <c r="AG55" s="780"/>
      <c r="AH55" s="780"/>
      <c r="AI55" s="780"/>
      <c r="AJ55" s="780"/>
      <c r="AK55" s="780"/>
      <c r="AL55" s="780"/>
      <c r="AM55" s="780"/>
      <c r="AN55" s="780"/>
      <c r="AO55" s="780"/>
      <c r="AP55" s="780"/>
      <c r="AQ55" s="780"/>
      <c r="AR55" s="780"/>
      <c r="AS55" s="780"/>
      <c r="AT55" s="780"/>
      <c r="AU55" s="780"/>
      <c r="AV55" s="780"/>
      <c r="AW55" s="780"/>
      <c r="AX55" s="780"/>
      <c r="AY55" s="780"/>
      <c r="AZ55" s="780"/>
      <c r="BA55" s="780"/>
      <c r="BB55" s="780"/>
      <c r="BC55" s="780"/>
      <c r="BD55" s="780"/>
      <c r="BE55" s="780"/>
      <c r="BF55" s="780"/>
      <c r="BG55" s="780"/>
      <c r="BH55" s="780"/>
      <c r="BI55" s="780"/>
      <c r="BJ55" s="780"/>
      <c r="BK55" s="780"/>
      <c r="BL55" s="780"/>
      <c r="BM55" s="780"/>
      <c r="BN55" s="2462">
        <v>0</v>
      </c>
      <c r="BO55" s="71"/>
      <c r="BP55" s="72"/>
      <c r="BQ55" s="73"/>
      <c r="BR55" s="56">
        <f t="shared" si="3"/>
        <v>1</v>
      </c>
      <c r="BS55" s="56">
        <f t="shared" si="3"/>
        <v>1</v>
      </c>
      <c r="BT55" s="56">
        <f>BS55-BR55</f>
        <v>0</v>
      </c>
      <c r="BU55" s="56" t="e">
        <f t="shared" ca="1" si="5"/>
        <v>#VALUE!</v>
      </c>
      <c r="BV55" s="59">
        <f t="shared" si="6"/>
        <v>-5</v>
      </c>
      <c r="BW55" s="59">
        <f t="shared" si="6"/>
        <v>-5</v>
      </c>
      <c r="BX55" s="59">
        <f t="shared" si="6"/>
        <v>-5</v>
      </c>
    </row>
    <row r="56" spans="1:76" ht="18" customHeight="1" x14ac:dyDescent="0.25">
      <c r="A56" s="2454"/>
      <c r="B56" s="32"/>
      <c r="C56" s="846"/>
      <c r="D56" s="847"/>
      <c r="E56" s="848"/>
      <c r="F56" s="785" t="s">
        <v>752</v>
      </c>
      <c r="G56" s="516"/>
      <c r="H56" s="516"/>
      <c r="I56" s="516"/>
      <c r="J56" s="516"/>
      <c r="K56" s="516"/>
      <c r="L56" s="516"/>
      <c r="M56" s="516"/>
      <c r="N56" s="516"/>
      <c r="O56" s="516"/>
      <c r="P56" s="516"/>
      <c r="Q56" s="516"/>
      <c r="R56" s="516"/>
      <c r="S56" s="516"/>
      <c r="T56" s="516"/>
      <c r="U56" s="516"/>
      <c r="V56" s="516"/>
      <c r="W56" s="516"/>
      <c r="X56" s="516"/>
      <c r="Y56" s="516"/>
      <c r="Z56" s="516"/>
      <c r="AA56" s="516"/>
      <c r="AB56" s="516"/>
      <c r="AC56" s="516"/>
      <c r="AD56" s="516"/>
      <c r="AE56" s="516"/>
      <c r="AF56" s="516"/>
      <c r="AG56" s="516"/>
      <c r="AH56" s="516"/>
      <c r="AI56" s="516"/>
      <c r="AJ56" s="516"/>
      <c r="AK56" s="516"/>
      <c r="AL56" s="516"/>
      <c r="AM56" s="516"/>
      <c r="AN56" s="516"/>
      <c r="AO56" s="516"/>
      <c r="AP56" s="516"/>
      <c r="AQ56" s="516"/>
      <c r="AR56" s="516"/>
      <c r="AS56" s="516"/>
      <c r="AT56" s="516"/>
      <c r="AU56" s="516"/>
      <c r="AV56" s="516"/>
      <c r="AW56" s="516"/>
      <c r="AX56" s="516"/>
      <c r="AY56" s="516"/>
      <c r="AZ56" s="516"/>
      <c r="BA56" s="516"/>
      <c r="BB56" s="516"/>
      <c r="BC56" s="516"/>
      <c r="BD56" s="516"/>
      <c r="BE56" s="516"/>
      <c r="BF56" s="516"/>
      <c r="BG56" s="516"/>
      <c r="BH56" s="516"/>
      <c r="BI56" s="516"/>
      <c r="BJ56" s="516"/>
      <c r="BK56" s="516"/>
      <c r="BL56" s="516"/>
      <c r="BM56" s="516"/>
      <c r="BN56" s="2463"/>
      <c r="BO56" s="71"/>
      <c r="BP56" s="72"/>
      <c r="BQ56" s="71"/>
      <c r="BR56" s="56">
        <f t="shared" si="3"/>
        <v>1</v>
      </c>
      <c r="BS56" s="56">
        <f t="shared" si="3"/>
        <v>1</v>
      </c>
      <c r="BT56" s="56">
        <f>BS56-BR56</f>
        <v>0</v>
      </c>
      <c r="BU56" s="56" t="e">
        <f t="shared" ca="1" si="5"/>
        <v>#VALUE!</v>
      </c>
      <c r="BV56" s="59">
        <f t="shared" si="6"/>
        <v>-5</v>
      </c>
      <c r="BW56" s="59">
        <f t="shared" si="6"/>
        <v>-5</v>
      </c>
      <c r="BX56" s="59">
        <f t="shared" si="6"/>
        <v>-5</v>
      </c>
    </row>
    <row r="57" spans="1:76" ht="18" customHeight="1" x14ac:dyDescent="0.25">
      <c r="A57" s="2457" t="s">
        <v>2276</v>
      </c>
      <c r="B57" s="2464"/>
      <c r="C57" s="2466" t="s">
        <v>737</v>
      </c>
      <c r="D57" s="2467"/>
      <c r="E57" s="2468"/>
      <c r="F57" s="783" t="s">
        <v>750</v>
      </c>
      <c r="G57" s="784"/>
      <c r="H57" s="784"/>
      <c r="I57" s="784"/>
      <c r="J57" s="784"/>
      <c r="K57" s="784"/>
      <c r="L57" s="784"/>
      <c r="M57" s="784"/>
      <c r="N57" s="784"/>
      <c r="O57" s="784"/>
      <c r="P57" s="784"/>
      <c r="Q57" s="784"/>
      <c r="R57" s="784"/>
      <c r="S57" s="784"/>
      <c r="T57" s="784"/>
      <c r="U57" s="784"/>
      <c r="V57" s="784"/>
      <c r="W57" s="784"/>
      <c r="X57" s="784"/>
      <c r="Y57" s="784"/>
      <c r="Z57" s="784"/>
      <c r="AA57" s="784"/>
      <c r="AB57" s="784"/>
      <c r="AC57" s="784"/>
      <c r="AD57" s="784"/>
      <c r="AE57" s="784"/>
      <c r="AF57" s="784"/>
      <c r="AG57" s="784"/>
      <c r="AH57" s="784"/>
      <c r="AI57" s="784"/>
      <c r="AJ57" s="784"/>
      <c r="AK57" s="784"/>
      <c r="AL57" s="784"/>
      <c r="AM57" s="784"/>
      <c r="AN57" s="784"/>
      <c r="AO57" s="784"/>
      <c r="AP57" s="784"/>
      <c r="AQ57" s="784"/>
      <c r="AR57" s="784"/>
      <c r="AS57" s="784"/>
      <c r="AT57" s="784"/>
      <c r="AU57" s="784"/>
      <c r="AV57" s="784"/>
      <c r="AW57" s="784"/>
      <c r="AX57" s="784"/>
      <c r="AY57" s="784"/>
      <c r="AZ57" s="784"/>
      <c r="BA57" s="784"/>
      <c r="BB57" s="784"/>
      <c r="BC57" s="784"/>
      <c r="BD57" s="784"/>
      <c r="BE57" s="784"/>
      <c r="BF57" s="784"/>
      <c r="BG57" s="784"/>
      <c r="BH57" s="784"/>
      <c r="BI57" s="784"/>
      <c r="BJ57" s="784"/>
      <c r="BK57" s="784"/>
      <c r="BL57" s="784"/>
      <c r="BM57" s="784"/>
      <c r="BN57" s="2462">
        <v>0</v>
      </c>
      <c r="BO57" s="71"/>
      <c r="BP57" s="72"/>
      <c r="BQ57" s="73"/>
      <c r="BR57" s="56">
        <f t="shared" ref="BR57:BS64" si="7">WEEKNUM(BO57,2)</f>
        <v>1</v>
      </c>
      <c r="BS57" s="56">
        <f t="shared" si="7"/>
        <v>1</v>
      </c>
      <c r="BT57" s="56">
        <f t="shared" ref="BT57:BT64" si="8">BS57-BR57</f>
        <v>0</v>
      </c>
      <c r="BU57" s="56" t="e">
        <f t="shared" ca="1" si="5"/>
        <v>#VALUE!</v>
      </c>
      <c r="BV57" s="59">
        <f t="shared" ref="BV57:BX64" si="9">BO57+2-WEEKDAY(BO57)</f>
        <v>-5</v>
      </c>
      <c r="BW57" s="59">
        <f t="shared" si="9"/>
        <v>-5</v>
      </c>
      <c r="BX57" s="59">
        <f t="shared" si="9"/>
        <v>-5</v>
      </c>
    </row>
    <row r="58" spans="1:76" ht="18" customHeight="1" x14ac:dyDescent="0.25">
      <c r="A58" s="2454"/>
      <c r="B58" s="2465"/>
      <c r="C58" s="834"/>
      <c r="D58" s="835"/>
      <c r="E58" s="836"/>
      <c r="F58" s="783" t="s">
        <v>752</v>
      </c>
      <c r="G58" s="517"/>
      <c r="H58" s="517"/>
      <c r="I58" s="517"/>
      <c r="J58" s="517"/>
      <c r="K58" s="517"/>
      <c r="L58" s="517"/>
      <c r="M58" s="517"/>
      <c r="N58" s="517"/>
      <c r="O58" s="517"/>
      <c r="P58" s="517"/>
      <c r="Q58" s="517"/>
      <c r="R58" s="517"/>
      <c r="S58" s="517"/>
      <c r="T58" s="517"/>
      <c r="U58" s="517"/>
      <c r="V58" s="517"/>
      <c r="W58" s="517"/>
      <c r="X58" s="517"/>
      <c r="Y58" s="517"/>
      <c r="Z58" s="517"/>
      <c r="AA58" s="517"/>
      <c r="AB58" s="517"/>
      <c r="AC58" s="517"/>
      <c r="AD58" s="517"/>
      <c r="AE58" s="517"/>
      <c r="AF58" s="517"/>
      <c r="AG58" s="517"/>
      <c r="AH58" s="517"/>
      <c r="AI58" s="517"/>
      <c r="AJ58" s="517"/>
      <c r="AK58" s="517"/>
      <c r="AL58" s="517"/>
      <c r="AM58" s="517"/>
      <c r="AN58" s="517"/>
      <c r="AO58" s="517"/>
      <c r="AP58" s="517"/>
      <c r="AQ58" s="517"/>
      <c r="AR58" s="517"/>
      <c r="AS58" s="517"/>
      <c r="AT58" s="517"/>
      <c r="AU58" s="517"/>
      <c r="AV58" s="517"/>
      <c r="AW58" s="517"/>
      <c r="AX58" s="517"/>
      <c r="AY58" s="517"/>
      <c r="AZ58" s="517"/>
      <c r="BA58" s="517"/>
      <c r="BB58" s="517"/>
      <c r="BC58" s="517"/>
      <c r="BD58" s="517"/>
      <c r="BE58" s="517"/>
      <c r="BF58" s="517"/>
      <c r="BG58" s="517"/>
      <c r="BH58" s="517"/>
      <c r="BI58" s="517"/>
      <c r="BJ58" s="517"/>
      <c r="BK58" s="517"/>
      <c r="BL58" s="517"/>
      <c r="BM58" s="517"/>
      <c r="BN58" s="2463"/>
      <c r="BO58" s="71"/>
      <c r="BP58" s="72"/>
      <c r="BQ58" s="71"/>
      <c r="BR58" s="56">
        <f t="shared" si="7"/>
        <v>1</v>
      </c>
      <c r="BS58" s="56">
        <f t="shared" si="7"/>
        <v>1</v>
      </c>
      <c r="BT58" s="56">
        <f t="shared" si="8"/>
        <v>0</v>
      </c>
      <c r="BU58" s="56" t="e">
        <f t="shared" ca="1" si="5"/>
        <v>#VALUE!</v>
      </c>
      <c r="BV58" s="59">
        <f t="shared" si="9"/>
        <v>-5</v>
      </c>
      <c r="BW58" s="59">
        <f t="shared" si="9"/>
        <v>-5</v>
      </c>
      <c r="BX58" s="59">
        <f t="shared" si="9"/>
        <v>-5</v>
      </c>
    </row>
    <row r="59" spans="1:76" ht="18" customHeight="1" x14ac:dyDescent="0.25">
      <c r="A59" s="2457" t="s">
        <v>2277</v>
      </c>
      <c r="B59" s="2472"/>
      <c r="C59" s="2473" t="s">
        <v>739</v>
      </c>
      <c r="D59" s="2474"/>
      <c r="E59" s="2475"/>
      <c r="F59" s="785" t="s">
        <v>750</v>
      </c>
      <c r="G59" s="780"/>
      <c r="H59" s="780"/>
      <c r="I59" s="780"/>
      <c r="J59" s="780"/>
      <c r="K59" s="780"/>
      <c r="L59" s="780"/>
      <c r="M59" s="780"/>
      <c r="N59" s="780"/>
      <c r="O59" s="780"/>
      <c r="P59" s="780"/>
      <c r="Q59" s="780"/>
      <c r="R59" s="780"/>
      <c r="S59" s="780"/>
      <c r="T59" s="780"/>
      <c r="U59" s="780"/>
      <c r="V59" s="780"/>
      <c r="W59" s="780"/>
      <c r="X59" s="780"/>
      <c r="Y59" s="780"/>
      <c r="Z59" s="780"/>
      <c r="AA59" s="780"/>
      <c r="AB59" s="780"/>
      <c r="AC59" s="780"/>
      <c r="AD59" s="780"/>
      <c r="AE59" s="780"/>
      <c r="AF59" s="780"/>
      <c r="AG59" s="780"/>
      <c r="AH59" s="780"/>
      <c r="AI59" s="780"/>
      <c r="AJ59" s="780"/>
      <c r="AK59" s="780"/>
      <c r="AL59" s="780"/>
      <c r="AM59" s="780"/>
      <c r="AN59" s="780"/>
      <c r="AO59" s="780"/>
      <c r="AP59" s="780"/>
      <c r="AQ59" s="780"/>
      <c r="AR59" s="780"/>
      <c r="AS59" s="780"/>
      <c r="AT59" s="780"/>
      <c r="AU59" s="780"/>
      <c r="AV59" s="780"/>
      <c r="AW59" s="780"/>
      <c r="AX59" s="780"/>
      <c r="AY59" s="780"/>
      <c r="AZ59" s="780"/>
      <c r="BA59" s="780"/>
      <c r="BB59" s="780"/>
      <c r="BC59" s="780"/>
      <c r="BD59" s="780"/>
      <c r="BE59" s="780"/>
      <c r="BF59" s="780"/>
      <c r="BG59" s="780"/>
      <c r="BH59" s="780"/>
      <c r="BI59" s="780"/>
      <c r="BJ59" s="780"/>
      <c r="BK59" s="780"/>
      <c r="BL59" s="780"/>
      <c r="BM59" s="780"/>
      <c r="BN59" s="2462">
        <v>0</v>
      </c>
      <c r="BO59" s="71"/>
      <c r="BP59" s="72"/>
      <c r="BQ59" s="73"/>
      <c r="BR59" s="56">
        <f t="shared" si="7"/>
        <v>1</v>
      </c>
      <c r="BS59" s="56">
        <f t="shared" si="7"/>
        <v>1</v>
      </c>
      <c r="BT59" s="56">
        <f t="shared" si="8"/>
        <v>0</v>
      </c>
      <c r="BU59" s="56" t="e">
        <f t="shared" ca="1" si="5"/>
        <v>#VALUE!</v>
      </c>
      <c r="BV59" s="59">
        <f t="shared" si="9"/>
        <v>-5</v>
      </c>
      <c r="BW59" s="59">
        <f t="shared" si="9"/>
        <v>-5</v>
      </c>
      <c r="BX59" s="59">
        <f t="shared" si="9"/>
        <v>-5</v>
      </c>
    </row>
    <row r="60" spans="1:76" ht="18" customHeight="1" x14ac:dyDescent="0.25">
      <c r="A60" s="2454"/>
      <c r="B60" s="2456"/>
      <c r="C60" s="817"/>
      <c r="D60" s="818"/>
      <c r="E60" s="819"/>
      <c r="F60" s="785" t="s">
        <v>752</v>
      </c>
      <c r="G60" s="516"/>
      <c r="H60" s="516"/>
      <c r="I60" s="516"/>
      <c r="J60" s="516"/>
      <c r="K60" s="516"/>
      <c r="L60" s="516"/>
      <c r="M60" s="516"/>
      <c r="N60" s="516"/>
      <c r="O60" s="516"/>
      <c r="P60" s="516"/>
      <c r="Q60" s="516"/>
      <c r="R60" s="516"/>
      <c r="S60" s="516"/>
      <c r="T60" s="516"/>
      <c r="U60" s="516"/>
      <c r="V60" s="516"/>
      <c r="W60" s="516"/>
      <c r="X60" s="516"/>
      <c r="Y60" s="516"/>
      <c r="Z60" s="516"/>
      <c r="AA60" s="516"/>
      <c r="AB60" s="516"/>
      <c r="AC60" s="516"/>
      <c r="AD60" s="516"/>
      <c r="AE60" s="516"/>
      <c r="AF60" s="516"/>
      <c r="AG60" s="516"/>
      <c r="AH60" s="516"/>
      <c r="AI60" s="516"/>
      <c r="AJ60" s="516"/>
      <c r="AK60" s="516"/>
      <c r="AL60" s="516"/>
      <c r="AM60" s="516"/>
      <c r="AN60" s="516"/>
      <c r="AO60" s="516"/>
      <c r="AP60" s="516"/>
      <c r="AQ60" s="516"/>
      <c r="AR60" s="516"/>
      <c r="AS60" s="516"/>
      <c r="AT60" s="516"/>
      <c r="AU60" s="516"/>
      <c r="AV60" s="516"/>
      <c r="AW60" s="516"/>
      <c r="AX60" s="516"/>
      <c r="AY60" s="516"/>
      <c r="AZ60" s="516"/>
      <c r="BA60" s="516"/>
      <c r="BB60" s="516"/>
      <c r="BC60" s="516"/>
      <c r="BD60" s="516"/>
      <c r="BE60" s="516"/>
      <c r="BF60" s="516"/>
      <c r="BG60" s="516"/>
      <c r="BH60" s="516"/>
      <c r="BI60" s="516"/>
      <c r="BJ60" s="516"/>
      <c r="BK60" s="516"/>
      <c r="BL60" s="516"/>
      <c r="BM60" s="516"/>
      <c r="BN60" s="2463"/>
      <c r="BO60" s="71"/>
      <c r="BP60" s="72"/>
      <c r="BQ60" s="71"/>
      <c r="BR60" s="56">
        <f t="shared" si="7"/>
        <v>1</v>
      </c>
      <c r="BS60" s="56">
        <f t="shared" si="7"/>
        <v>1</v>
      </c>
      <c r="BT60" s="56">
        <f t="shared" si="8"/>
        <v>0</v>
      </c>
      <c r="BU60" s="56" t="e">
        <f t="shared" ca="1" si="5"/>
        <v>#VALUE!</v>
      </c>
      <c r="BV60" s="59">
        <f t="shared" si="9"/>
        <v>-5</v>
      </c>
      <c r="BW60" s="59">
        <f t="shared" si="9"/>
        <v>-5</v>
      </c>
      <c r="BX60" s="59">
        <f t="shared" si="9"/>
        <v>-5</v>
      </c>
    </row>
    <row r="61" spans="1:76" ht="18" customHeight="1" x14ac:dyDescent="0.25">
      <c r="A61" s="2457" t="s">
        <v>2278</v>
      </c>
      <c r="B61" s="2472"/>
      <c r="C61" s="2473" t="s">
        <v>1729</v>
      </c>
      <c r="D61" s="2474"/>
      <c r="E61" s="2475"/>
      <c r="F61" s="785" t="s">
        <v>750</v>
      </c>
      <c r="G61" s="780"/>
      <c r="H61" s="780"/>
      <c r="I61" s="780"/>
      <c r="J61" s="780"/>
      <c r="K61" s="780"/>
      <c r="L61" s="780"/>
      <c r="M61" s="780"/>
      <c r="N61" s="780"/>
      <c r="O61" s="780"/>
      <c r="P61" s="780"/>
      <c r="Q61" s="780"/>
      <c r="R61" s="780"/>
      <c r="S61" s="780"/>
      <c r="T61" s="780"/>
      <c r="U61" s="780"/>
      <c r="V61" s="780"/>
      <c r="W61" s="780"/>
      <c r="X61" s="780"/>
      <c r="Y61" s="780"/>
      <c r="Z61" s="780"/>
      <c r="AA61" s="780"/>
      <c r="AB61" s="780"/>
      <c r="AC61" s="780"/>
      <c r="AD61" s="780"/>
      <c r="AE61" s="780"/>
      <c r="AF61" s="780"/>
      <c r="AG61" s="780"/>
      <c r="AH61" s="780"/>
      <c r="AI61" s="780"/>
      <c r="AJ61" s="780"/>
      <c r="AK61" s="780"/>
      <c r="AL61" s="780"/>
      <c r="AM61" s="780"/>
      <c r="AN61" s="780"/>
      <c r="AO61" s="780"/>
      <c r="AP61" s="780"/>
      <c r="AQ61" s="780"/>
      <c r="AR61" s="780"/>
      <c r="AS61" s="780"/>
      <c r="AT61" s="780"/>
      <c r="AU61" s="780"/>
      <c r="AV61" s="780"/>
      <c r="AW61" s="780"/>
      <c r="AX61" s="780"/>
      <c r="AY61" s="780"/>
      <c r="AZ61" s="780"/>
      <c r="BA61" s="780"/>
      <c r="BB61" s="780"/>
      <c r="BC61" s="780"/>
      <c r="BD61" s="780"/>
      <c r="BE61" s="780"/>
      <c r="BF61" s="780"/>
      <c r="BG61" s="780"/>
      <c r="BH61" s="780"/>
      <c r="BI61" s="780"/>
      <c r="BJ61" s="780"/>
      <c r="BK61" s="780"/>
      <c r="BL61" s="780"/>
      <c r="BM61" s="780"/>
      <c r="BN61" s="2462">
        <v>0</v>
      </c>
      <c r="BO61" s="71"/>
      <c r="BP61" s="72"/>
      <c r="BQ61" s="73"/>
      <c r="BR61" s="56">
        <f t="shared" si="7"/>
        <v>1</v>
      </c>
      <c r="BS61" s="56">
        <f t="shared" si="7"/>
        <v>1</v>
      </c>
      <c r="BT61" s="56">
        <f t="shared" si="8"/>
        <v>0</v>
      </c>
      <c r="BU61" s="56" t="e">
        <f t="shared" ca="1" si="5"/>
        <v>#VALUE!</v>
      </c>
      <c r="BV61" s="59">
        <f t="shared" si="9"/>
        <v>-5</v>
      </c>
      <c r="BW61" s="59">
        <f t="shared" si="9"/>
        <v>-5</v>
      </c>
      <c r="BX61" s="59">
        <f t="shared" si="9"/>
        <v>-5</v>
      </c>
    </row>
    <row r="62" spans="1:76" ht="18" customHeight="1" x14ac:dyDescent="0.25">
      <c r="A62" s="2454"/>
      <c r="B62" s="2456"/>
      <c r="C62" s="817"/>
      <c r="D62" s="818"/>
      <c r="E62" s="819"/>
      <c r="F62" s="785" t="s">
        <v>752</v>
      </c>
      <c r="G62" s="516"/>
      <c r="H62" s="516"/>
      <c r="I62" s="516"/>
      <c r="J62" s="516"/>
      <c r="K62" s="516"/>
      <c r="L62" s="516"/>
      <c r="M62" s="516"/>
      <c r="N62" s="516"/>
      <c r="O62" s="516"/>
      <c r="P62" s="516"/>
      <c r="Q62" s="516"/>
      <c r="R62" s="516"/>
      <c r="S62" s="516"/>
      <c r="T62" s="516"/>
      <c r="U62" s="516"/>
      <c r="V62" s="516"/>
      <c r="W62" s="516"/>
      <c r="X62" s="516"/>
      <c r="Y62" s="516"/>
      <c r="Z62" s="516"/>
      <c r="AA62" s="516"/>
      <c r="AB62" s="516"/>
      <c r="AC62" s="516"/>
      <c r="AD62" s="516"/>
      <c r="AE62" s="516"/>
      <c r="AF62" s="516"/>
      <c r="AG62" s="516"/>
      <c r="AH62" s="516"/>
      <c r="AI62" s="516"/>
      <c r="AJ62" s="516"/>
      <c r="AK62" s="516"/>
      <c r="AL62" s="516"/>
      <c r="AM62" s="516"/>
      <c r="AN62" s="516"/>
      <c r="AO62" s="516"/>
      <c r="AP62" s="516"/>
      <c r="AQ62" s="516"/>
      <c r="AR62" s="516"/>
      <c r="AS62" s="516"/>
      <c r="AT62" s="516"/>
      <c r="AU62" s="516"/>
      <c r="AV62" s="516"/>
      <c r="AW62" s="516"/>
      <c r="AX62" s="516"/>
      <c r="AY62" s="516"/>
      <c r="AZ62" s="516"/>
      <c r="BA62" s="516"/>
      <c r="BB62" s="516"/>
      <c r="BC62" s="516"/>
      <c r="BD62" s="516"/>
      <c r="BE62" s="516"/>
      <c r="BF62" s="516"/>
      <c r="BG62" s="516"/>
      <c r="BH62" s="516"/>
      <c r="BI62" s="516"/>
      <c r="BJ62" s="516"/>
      <c r="BK62" s="516"/>
      <c r="BL62" s="516"/>
      <c r="BM62" s="516"/>
      <c r="BN62" s="2463"/>
      <c r="BO62" s="71"/>
      <c r="BP62" s="72"/>
      <c r="BQ62" s="71"/>
      <c r="BR62" s="56">
        <f t="shared" si="7"/>
        <v>1</v>
      </c>
      <c r="BS62" s="56">
        <f t="shared" si="7"/>
        <v>1</v>
      </c>
      <c r="BT62" s="56">
        <f t="shared" si="8"/>
        <v>0</v>
      </c>
      <c r="BU62" s="56" t="e">
        <f t="shared" ca="1" si="5"/>
        <v>#VALUE!</v>
      </c>
      <c r="BV62" s="59">
        <f t="shared" si="9"/>
        <v>-5</v>
      </c>
      <c r="BW62" s="59">
        <f t="shared" si="9"/>
        <v>-5</v>
      </c>
      <c r="BX62" s="59">
        <f t="shared" si="9"/>
        <v>-5</v>
      </c>
    </row>
    <row r="63" spans="1:76" ht="18" customHeight="1" x14ac:dyDescent="0.25">
      <c r="A63" s="2457" t="s">
        <v>2279</v>
      </c>
      <c r="B63" s="2464"/>
      <c r="C63" s="2466" t="s">
        <v>743</v>
      </c>
      <c r="D63" s="2467"/>
      <c r="E63" s="2468"/>
      <c r="F63" s="783" t="s">
        <v>750</v>
      </c>
      <c r="G63" s="784"/>
      <c r="H63" s="784"/>
      <c r="I63" s="784"/>
      <c r="J63" s="784"/>
      <c r="K63" s="784"/>
      <c r="L63" s="784"/>
      <c r="M63" s="784"/>
      <c r="N63" s="784"/>
      <c r="O63" s="784"/>
      <c r="P63" s="784"/>
      <c r="Q63" s="784"/>
      <c r="R63" s="784"/>
      <c r="S63" s="784"/>
      <c r="T63" s="784"/>
      <c r="U63" s="784"/>
      <c r="V63" s="784"/>
      <c r="W63" s="784"/>
      <c r="X63" s="784"/>
      <c r="Y63" s="784"/>
      <c r="Z63" s="784"/>
      <c r="AA63" s="784"/>
      <c r="AB63" s="784"/>
      <c r="AC63" s="784"/>
      <c r="AD63" s="784"/>
      <c r="AE63" s="784"/>
      <c r="AF63" s="784"/>
      <c r="AG63" s="784"/>
      <c r="AH63" s="784"/>
      <c r="AI63" s="784"/>
      <c r="AJ63" s="784"/>
      <c r="AK63" s="784"/>
      <c r="AL63" s="784"/>
      <c r="AM63" s="784"/>
      <c r="AN63" s="784"/>
      <c r="AO63" s="784"/>
      <c r="AP63" s="784"/>
      <c r="AQ63" s="784"/>
      <c r="AR63" s="784"/>
      <c r="AS63" s="784"/>
      <c r="AT63" s="784"/>
      <c r="AU63" s="784"/>
      <c r="AV63" s="784"/>
      <c r="AW63" s="784"/>
      <c r="AX63" s="784"/>
      <c r="AY63" s="784"/>
      <c r="AZ63" s="784"/>
      <c r="BA63" s="784"/>
      <c r="BB63" s="784"/>
      <c r="BC63" s="784"/>
      <c r="BD63" s="784"/>
      <c r="BE63" s="784"/>
      <c r="BF63" s="784"/>
      <c r="BG63" s="784"/>
      <c r="BH63" s="784"/>
      <c r="BI63" s="784"/>
      <c r="BJ63" s="784"/>
      <c r="BK63" s="784"/>
      <c r="BL63" s="784"/>
      <c r="BM63" s="784"/>
      <c r="BN63" s="2462">
        <v>0</v>
      </c>
      <c r="BO63" s="782"/>
      <c r="BP63" s="786"/>
      <c r="BQ63" s="787"/>
      <c r="BR63" s="56">
        <f t="shared" si="7"/>
        <v>1</v>
      </c>
      <c r="BS63" s="56">
        <f t="shared" si="7"/>
        <v>1</v>
      </c>
      <c r="BT63" s="56">
        <f t="shared" si="8"/>
        <v>0</v>
      </c>
      <c r="BU63" s="56" t="e">
        <f t="shared" ca="1" si="5"/>
        <v>#VALUE!</v>
      </c>
      <c r="BV63" s="59">
        <f t="shared" si="9"/>
        <v>-5</v>
      </c>
      <c r="BW63" s="59">
        <f t="shared" si="9"/>
        <v>-5</v>
      </c>
      <c r="BX63" s="59">
        <f t="shared" si="9"/>
        <v>-5</v>
      </c>
    </row>
    <row r="64" spans="1:76" ht="18" customHeight="1" x14ac:dyDescent="0.25">
      <c r="A64" s="2485"/>
      <c r="B64" s="2486"/>
      <c r="C64" s="823"/>
      <c r="D64" s="824"/>
      <c r="E64" s="825"/>
      <c r="F64" s="788" t="s">
        <v>752</v>
      </c>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2487"/>
      <c r="BO64" s="75"/>
      <c r="BP64" s="76"/>
      <c r="BQ64" s="75"/>
      <c r="BR64" s="56">
        <f t="shared" si="7"/>
        <v>1</v>
      </c>
      <c r="BS64" s="56">
        <f t="shared" si="7"/>
        <v>1</v>
      </c>
      <c r="BT64" s="56">
        <f t="shared" si="8"/>
        <v>0</v>
      </c>
      <c r="BU64" s="56" t="e">
        <f t="shared" ca="1" si="5"/>
        <v>#VALUE!</v>
      </c>
      <c r="BV64" s="59">
        <f t="shared" si="9"/>
        <v>-5</v>
      </c>
      <c r="BW64" s="59">
        <f t="shared" si="9"/>
        <v>-5</v>
      </c>
      <c r="BX64" s="59">
        <f t="shared" si="9"/>
        <v>-5</v>
      </c>
    </row>
    <row r="65" spans="2:70" x14ac:dyDescent="0.25">
      <c r="B65" s="2483"/>
      <c r="C65" s="2484"/>
      <c r="D65" s="2484"/>
      <c r="E65" s="2484"/>
      <c r="F65" s="61"/>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62"/>
      <c r="BO65" s="63"/>
      <c r="BP65" s="63"/>
      <c r="BQ65" s="63"/>
      <c r="BR65" s="36"/>
    </row>
    <row r="66" spans="2:70" x14ac:dyDescent="0.25">
      <c r="B66" s="2483"/>
      <c r="C66" s="2484"/>
      <c r="D66" s="2484"/>
      <c r="E66" s="2484"/>
      <c r="F66" s="61"/>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62"/>
      <c r="BO66" s="63"/>
      <c r="BP66" s="63"/>
      <c r="BQ66" s="63"/>
      <c r="BR66" s="36"/>
    </row>
    <row r="67" spans="2:70" x14ac:dyDescent="0.25">
      <c r="B67" s="2483"/>
      <c r="C67" s="2484"/>
      <c r="D67" s="2484"/>
      <c r="E67" s="2484"/>
      <c r="F67" s="61"/>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62"/>
      <c r="BO67" s="63"/>
      <c r="BP67" s="63"/>
      <c r="BQ67" s="63"/>
      <c r="BR67" s="36"/>
    </row>
    <row r="68" spans="2:70" x14ac:dyDescent="0.25">
      <c r="B68" s="2483"/>
      <c r="C68" s="2484"/>
      <c r="D68" s="2484"/>
      <c r="E68" s="2484"/>
      <c r="F68" s="61"/>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62"/>
      <c r="BO68" s="63"/>
      <c r="BP68" s="63"/>
      <c r="BQ68" s="63"/>
      <c r="BR68" s="36"/>
    </row>
    <row r="69" spans="2:70" x14ac:dyDescent="0.25">
      <c r="B69" s="64"/>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row>
    <row r="70" spans="2:70" x14ac:dyDescent="0.25">
      <c r="B70" s="64"/>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row>
  </sheetData>
  <mergeCells count="186">
    <mergeCell ref="B14:C14"/>
    <mergeCell ref="R14:X14"/>
    <mergeCell ref="Y14:AB14"/>
    <mergeCell ref="AC14:AJ14"/>
    <mergeCell ref="AK14:AM14"/>
    <mergeCell ref="B15:H15"/>
    <mergeCell ref="I15:L15"/>
    <mergeCell ref="R15:X15"/>
    <mergeCell ref="Y15:AB15"/>
    <mergeCell ref="AC15:AJ15"/>
    <mergeCell ref="AK15:AM15"/>
    <mergeCell ref="B10:C10"/>
    <mergeCell ref="R10:X10"/>
    <mergeCell ref="Y10:AB10"/>
    <mergeCell ref="R12:X12"/>
    <mergeCell ref="Y12:AB12"/>
    <mergeCell ref="AC12:AJ12"/>
    <mergeCell ref="AK12:AM12"/>
    <mergeCell ref="R13:X13"/>
    <mergeCell ref="Y13:AB13"/>
    <mergeCell ref="AC13:AJ13"/>
    <mergeCell ref="AK13:AM13"/>
    <mergeCell ref="B67:B68"/>
    <mergeCell ref="C67:E68"/>
    <mergeCell ref="A63:A64"/>
    <mergeCell ref="B63:B64"/>
    <mergeCell ref="C63:E64"/>
    <mergeCell ref="BN63:BN64"/>
    <mergeCell ref="B65:B66"/>
    <mergeCell ref="C65:E66"/>
    <mergeCell ref="A59:A60"/>
    <mergeCell ref="B59:B60"/>
    <mergeCell ref="C59:E60"/>
    <mergeCell ref="BN59:BN60"/>
    <mergeCell ref="A61:A62"/>
    <mergeCell ref="B61:B62"/>
    <mergeCell ref="C61:E62"/>
    <mergeCell ref="BN61:BN62"/>
    <mergeCell ref="A55:A56"/>
    <mergeCell ref="C55:E56"/>
    <mergeCell ref="BN55:BN56"/>
    <mergeCell ref="A57:A58"/>
    <mergeCell ref="B57:B58"/>
    <mergeCell ref="C57:E58"/>
    <mergeCell ref="BN57:BN58"/>
    <mergeCell ref="A51:A52"/>
    <mergeCell ref="B51:B52"/>
    <mergeCell ref="C51:E52"/>
    <mergeCell ref="BN51:BN52"/>
    <mergeCell ref="A53:A54"/>
    <mergeCell ref="B53:B54"/>
    <mergeCell ref="C53:E54"/>
    <mergeCell ref="BN53:BN54"/>
    <mergeCell ref="A47:A48"/>
    <mergeCell ref="B47:B48"/>
    <mergeCell ref="C47:E48"/>
    <mergeCell ref="BN47:BN48"/>
    <mergeCell ref="A49:A50"/>
    <mergeCell ref="B49:B50"/>
    <mergeCell ref="C49:E50"/>
    <mergeCell ref="BN49:BN50"/>
    <mergeCell ref="A43:A44"/>
    <mergeCell ref="B43:B44"/>
    <mergeCell ref="C43:E44"/>
    <mergeCell ref="BN43:BN44"/>
    <mergeCell ref="A45:A46"/>
    <mergeCell ref="B45:B46"/>
    <mergeCell ref="C45:E46"/>
    <mergeCell ref="BN45:BN46"/>
    <mergeCell ref="A29:A30"/>
    <mergeCell ref="B29:B30"/>
    <mergeCell ref="C29:E30"/>
    <mergeCell ref="BN29:BN30"/>
    <mergeCell ref="A31:A42"/>
    <mergeCell ref="B31:B32"/>
    <mergeCell ref="C31:E32"/>
    <mergeCell ref="BN31:BN32"/>
    <mergeCell ref="B33:B34"/>
    <mergeCell ref="C33:E34"/>
    <mergeCell ref="B39:B40"/>
    <mergeCell ref="C39:E40"/>
    <mergeCell ref="BN39:BN40"/>
    <mergeCell ref="B41:B42"/>
    <mergeCell ref="C41:E42"/>
    <mergeCell ref="BN41:BN42"/>
    <mergeCell ref="BN33:BN34"/>
    <mergeCell ref="B35:B36"/>
    <mergeCell ref="C35:E36"/>
    <mergeCell ref="BN35:BN36"/>
    <mergeCell ref="B37:B38"/>
    <mergeCell ref="C37:E38"/>
    <mergeCell ref="BN37:BN38"/>
    <mergeCell ref="A25:A26"/>
    <mergeCell ref="B25:B26"/>
    <mergeCell ref="C25:E26"/>
    <mergeCell ref="BN25:BN26"/>
    <mergeCell ref="A27:A28"/>
    <mergeCell ref="B27:B28"/>
    <mergeCell ref="C27:E28"/>
    <mergeCell ref="BN27:BN28"/>
    <mergeCell ref="BM20:BM22"/>
    <mergeCell ref="AO20:AO22"/>
    <mergeCell ref="AP20:AP22"/>
    <mergeCell ref="AQ20:AQ22"/>
    <mergeCell ref="AR20:AR22"/>
    <mergeCell ref="AS20:AS22"/>
    <mergeCell ref="AT20:AT22"/>
    <mergeCell ref="AI20:AI22"/>
    <mergeCell ref="AJ20:AJ22"/>
    <mergeCell ref="AK20:AK22"/>
    <mergeCell ref="AL20:AL22"/>
    <mergeCell ref="AM20:AM22"/>
    <mergeCell ref="AN20:AN22"/>
    <mergeCell ref="AC20:AC22"/>
    <mergeCell ref="AD20:AD22"/>
    <mergeCell ref="AE20:AE22"/>
    <mergeCell ref="BQ20:BQ22"/>
    <mergeCell ref="A23:A24"/>
    <mergeCell ref="B23:B24"/>
    <mergeCell ref="C23:E24"/>
    <mergeCell ref="BG20:BG22"/>
    <mergeCell ref="BH20:BH22"/>
    <mergeCell ref="BI20:BI22"/>
    <mergeCell ref="BJ20:BJ22"/>
    <mergeCell ref="BK20:BK22"/>
    <mergeCell ref="BL20:BL22"/>
    <mergeCell ref="BA20:BA22"/>
    <mergeCell ref="BB20:BB22"/>
    <mergeCell ref="BC20:BC22"/>
    <mergeCell ref="BD20:BD22"/>
    <mergeCell ref="BE20:BE22"/>
    <mergeCell ref="BF20:BF22"/>
    <mergeCell ref="AU20:AU22"/>
    <mergeCell ref="AV20:AV22"/>
    <mergeCell ref="AW20:AW22"/>
    <mergeCell ref="AX20:AX22"/>
    <mergeCell ref="AY20:AY22"/>
    <mergeCell ref="AZ20:AZ22"/>
    <mergeCell ref="AH20:AH22"/>
    <mergeCell ref="W20:W22"/>
    <mergeCell ref="X20:X22"/>
    <mergeCell ref="Y20:Y22"/>
    <mergeCell ref="Z20:Z22"/>
    <mergeCell ref="AA20:AA22"/>
    <mergeCell ref="AB20:AB22"/>
    <mergeCell ref="BO20:BO22"/>
    <mergeCell ref="BP20:BP22"/>
    <mergeCell ref="D10:P10"/>
    <mergeCell ref="Z4:AN4"/>
    <mergeCell ref="S20:S22"/>
    <mergeCell ref="T20:T22"/>
    <mergeCell ref="U20:U22"/>
    <mergeCell ref="V20:V22"/>
    <mergeCell ref="AF20:AF22"/>
    <mergeCell ref="AG20:AG22"/>
    <mergeCell ref="R4:Y4"/>
    <mergeCell ref="B16:H16"/>
    <mergeCell ref="I16:L16"/>
    <mergeCell ref="R16:X16"/>
    <mergeCell ref="Y16:AB16"/>
    <mergeCell ref="AC16:AJ16"/>
    <mergeCell ref="AK16:AM16"/>
    <mergeCell ref="A20:B22"/>
    <mergeCell ref="C20:D22"/>
    <mergeCell ref="F20:F22"/>
    <mergeCell ref="G20:G22"/>
    <mergeCell ref="H20:H22"/>
    <mergeCell ref="I20:I22"/>
    <mergeCell ref="J20:J22"/>
    <mergeCell ref="Q20:Q22"/>
    <mergeCell ref="R20:R22"/>
    <mergeCell ref="K20:K22"/>
    <mergeCell ref="L20:L22"/>
    <mergeCell ref="M20:M22"/>
    <mergeCell ref="N20:N22"/>
    <mergeCell ref="O20:O22"/>
    <mergeCell ref="P20:P22"/>
    <mergeCell ref="B4:C4"/>
    <mergeCell ref="D4:P4"/>
    <mergeCell ref="AP5:BE8"/>
    <mergeCell ref="D6:P6"/>
    <mergeCell ref="Z6:AN6"/>
    <mergeCell ref="D8:P8"/>
    <mergeCell ref="Z8:AN8"/>
    <mergeCell ref="R6:Y6"/>
    <mergeCell ref="R8:Y8"/>
  </mergeCells>
  <conditionalFormatting sqref="BN23 BN25 BN27 BN29 BN31 BN33 BN35">
    <cfRule type="cellIs" dxfId="150" priority="298" stopIfTrue="1" operator="lessThan">
      <formula>1</formula>
    </cfRule>
    <cfRule type="cellIs" dxfId="149" priority="299" stopIfTrue="1" operator="equal">
      <formula>1</formula>
    </cfRule>
  </conditionalFormatting>
  <conditionalFormatting sqref="BN37 BN39 BN41">
    <cfRule type="cellIs" dxfId="148" priority="300" stopIfTrue="1" operator="lessThan">
      <formula>1</formula>
    </cfRule>
    <cfRule type="cellIs" dxfId="147" priority="301" stopIfTrue="1" operator="equal">
      <formula>1</formula>
    </cfRule>
  </conditionalFormatting>
  <conditionalFormatting sqref="BN43 BN45 BN47">
    <cfRule type="cellIs" dxfId="146" priority="302" stopIfTrue="1" operator="lessThan">
      <formula>1</formula>
    </cfRule>
    <cfRule type="cellIs" dxfId="145" priority="303" stopIfTrue="1" operator="equal">
      <formula>1</formula>
    </cfRule>
  </conditionalFormatting>
  <conditionalFormatting sqref="BN49 BN51 BN53">
    <cfRule type="cellIs" dxfId="144" priority="304" stopIfTrue="1" operator="lessThan">
      <formula>1</formula>
    </cfRule>
    <cfRule type="cellIs" dxfId="143" priority="305" stopIfTrue="1" operator="equal">
      <formula>1</formula>
    </cfRule>
  </conditionalFormatting>
  <conditionalFormatting sqref="BN55">
    <cfRule type="cellIs" dxfId="142" priority="296" stopIfTrue="1" operator="lessThan">
      <formula>1</formula>
    </cfRule>
    <cfRule type="cellIs" dxfId="141" priority="297" stopIfTrue="1" operator="equal">
      <formula>1</formula>
    </cfRule>
  </conditionalFormatting>
  <conditionalFormatting sqref="BN57 BN59">
    <cfRule type="cellIs" dxfId="140" priority="306" stopIfTrue="1" operator="lessThan">
      <formula>1</formula>
    </cfRule>
    <cfRule type="cellIs" dxfId="139" priority="307" stopIfTrue="1" operator="equal">
      <formula>1</formula>
    </cfRule>
  </conditionalFormatting>
  <conditionalFormatting sqref="BN61">
    <cfRule type="cellIs" dxfId="138" priority="310" stopIfTrue="1" operator="lessThan">
      <formula>1</formula>
    </cfRule>
    <cfRule type="cellIs" dxfId="137" priority="311" stopIfTrue="1" operator="equal">
      <formula>1</formula>
    </cfRule>
  </conditionalFormatting>
  <conditionalFormatting sqref="BN63">
    <cfRule type="cellIs" dxfId="136" priority="308" stopIfTrue="1" operator="lessThan">
      <formula>1</formula>
    </cfRule>
    <cfRule type="cellIs" dxfId="135" priority="309" stopIfTrue="1" operator="equal">
      <formula>1</formula>
    </cfRule>
  </conditionalFormatting>
  <dataValidations disablePrompts="1" count="1">
    <dataValidation type="list" allowBlank="1" showInputMessage="1" showErrorMessage="1" sqref="Y10" xr:uid="{00000000-0002-0000-1200-000000000000}">
      <formula1>$CE$4:$CE$6</formula1>
    </dataValidation>
  </dataValidations>
  <printOptions horizontalCentered="1"/>
  <pageMargins left="0.51181102362204722" right="0.35433070866141736" top="0.82677165354330717" bottom="0.70866141732283472" header="0" footer="7.874015748031496E-2"/>
  <pageSetup paperSize="8" scale="7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theme="5" tint="0.59999389629810485"/>
  </sheetPr>
  <dimension ref="A1:BO285"/>
  <sheetViews>
    <sheetView zoomScaleNormal="100" workbookViewId="0">
      <selection activeCell="A58" sqref="A58:XFD58"/>
    </sheetView>
  </sheetViews>
  <sheetFormatPr baseColWidth="10" defaultColWidth="11.3984375" defaultRowHeight="13.15" x14ac:dyDescent="0.25"/>
  <cols>
    <col min="8" max="8" width="0" hidden="1" customWidth="1"/>
    <col min="46" max="46" width="11"/>
  </cols>
  <sheetData>
    <row r="1" spans="2:13" ht="15.05" x14ac:dyDescent="0.25">
      <c r="C1" s="131" t="s">
        <v>1503</v>
      </c>
      <c r="D1" s="130"/>
      <c r="E1" s="130" t="s">
        <v>1504</v>
      </c>
      <c r="F1" s="130"/>
      <c r="G1" s="130"/>
      <c r="H1" s="130"/>
      <c r="I1" s="131" t="s">
        <v>1505</v>
      </c>
      <c r="J1" s="130"/>
      <c r="K1" s="130"/>
      <c r="L1" s="130"/>
      <c r="M1" s="130"/>
    </row>
    <row r="2" spans="2:13" ht="13.8" thickBot="1" x14ac:dyDescent="0.3"/>
    <row r="3" spans="2:13" x14ac:dyDescent="0.25">
      <c r="B3">
        <v>1</v>
      </c>
      <c r="C3" s="865" t="s">
        <v>209</v>
      </c>
      <c r="D3" s="865"/>
      <c r="E3" s="865"/>
      <c r="F3" s="865"/>
      <c r="G3" s="865"/>
      <c r="I3" s="859" t="s">
        <v>208</v>
      </c>
      <c r="J3" s="859"/>
      <c r="K3" s="859"/>
      <c r="L3" s="859"/>
      <c r="M3" s="859"/>
    </row>
    <row r="4" spans="2:13" x14ac:dyDescent="0.25">
      <c r="B4">
        <v>2</v>
      </c>
      <c r="C4" s="851" t="s">
        <v>1506</v>
      </c>
      <c r="D4" s="851"/>
      <c r="E4" s="851"/>
      <c r="F4" s="851"/>
      <c r="G4" s="851"/>
      <c r="I4" s="851" t="s">
        <v>1507</v>
      </c>
      <c r="J4" s="851"/>
      <c r="K4" s="851"/>
      <c r="L4" s="851"/>
      <c r="M4" s="851"/>
    </row>
    <row r="5" spans="2:13" x14ac:dyDescent="0.25">
      <c r="B5">
        <v>3</v>
      </c>
      <c r="C5" s="851" t="s">
        <v>1508</v>
      </c>
      <c r="D5" s="851"/>
      <c r="E5" s="851"/>
      <c r="F5" s="851"/>
      <c r="G5" s="851"/>
      <c r="I5" s="851" t="s">
        <v>1509</v>
      </c>
      <c r="J5" s="851"/>
      <c r="K5" s="851"/>
      <c r="L5" s="851"/>
      <c r="M5" s="851"/>
    </row>
    <row r="6" spans="2:13" x14ac:dyDescent="0.25">
      <c r="B6">
        <v>4</v>
      </c>
      <c r="C6" s="851" t="s">
        <v>1510</v>
      </c>
      <c r="D6" s="851"/>
      <c r="E6" s="851"/>
      <c r="F6" s="851"/>
      <c r="G6" s="851"/>
      <c r="I6" s="851" t="s">
        <v>220</v>
      </c>
      <c r="J6" s="851"/>
      <c r="K6" s="851"/>
      <c r="L6" s="851"/>
      <c r="M6" s="851"/>
    </row>
    <row r="7" spans="2:13" x14ac:dyDescent="0.25">
      <c r="B7">
        <v>5</v>
      </c>
      <c r="C7" s="851" t="s">
        <v>1511</v>
      </c>
      <c r="D7" s="851"/>
      <c r="E7" s="851"/>
      <c r="F7" s="851"/>
      <c r="G7" s="851"/>
      <c r="H7" s="166"/>
      <c r="I7" s="860" t="s">
        <v>1512</v>
      </c>
      <c r="J7" s="861"/>
      <c r="K7" s="861"/>
      <c r="L7" s="861"/>
      <c r="M7" s="862"/>
    </row>
    <row r="8" spans="2:13" x14ac:dyDescent="0.25">
      <c r="B8">
        <v>6</v>
      </c>
      <c r="C8" s="851" t="s">
        <v>1513</v>
      </c>
      <c r="D8" s="851"/>
      <c r="E8" s="851"/>
      <c r="F8" s="851"/>
      <c r="G8" s="851"/>
      <c r="H8" s="166"/>
      <c r="I8" s="863" t="s">
        <v>1514</v>
      </c>
      <c r="J8" s="864"/>
      <c r="K8" s="864"/>
      <c r="L8" s="864"/>
      <c r="M8" s="864"/>
    </row>
    <row r="9" spans="2:13" x14ac:dyDescent="0.25">
      <c r="B9">
        <v>7</v>
      </c>
      <c r="C9" s="851" t="s">
        <v>239</v>
      </c>
      <c r="D9" s="851"/>
      <c r="E9" s="851"/>
      <c r="F9" s="851"/>
      <c r="G9" s="851"/>
      <c r="H9" s="166"/>
      <c r="I9" s="851" t="s">
        <v>238</v>
      </c>
      <c r="J9" s="851"/>
      <c r="K9" s="851"/>
      <c r="L9" s="851"/>
      <c r="M9" s="851"/>
    </row>
    <row r="10" spans="2:13" x14ac:dyDescent="0.25">
      <c r="B10">
        <v>8</v>
      </c>
      <c r="C10" s="851" t="s">
        <v>1515</v>
      </c>
      <c r="D10" s="851"/>
      <c r="E10" s="851"/>
      <c r="F10" s="851"/>
      <c r="G10" s="851"/>
      <c r="H10" s="166"/>
      <c r="I10" s="851" t="s">
        <v>1516</v>
      </c>
      <c r="J10" s="851"/>
      <c r="K10" s="851"/>
      <c r="L10" s="851"/>
      <c r="M10" s="851"/>
    </row>
    <row r="11" spans="2:13" x14ac:dyDescent="0.25">
      <c r="B11">
        <v>9</v>
      </c>
      <c r="C11" s="851" t="s">
        <v>1517</v>
      </c>
      <c r="D11" s="851"/>
      <c r="E11" s="851"/>
      <c r="F11" s="851"/>
      <c r="G11" s="851"/>
      <c r="I11" s="851" t="s">
        <v>1518</v>
      </c>
      <c r="J11" s="851"/>
      <c r="K11" s="851"/>
      <c r="L11" s="851"/>
      <c r="M11" s="851"/>
    </row>
    <row r="12" spans="2:13" x14ac:dyDescent="0.25">
      <c r="B12">
        <v>10</v>
      </c>
      <c r="C12" s="851" t="s">
        <v>1519</v>
      </c>
      <c r="D12" s="851"/>
      <c r="E12" s="851"/>
      <c r="F12" s="851"/>
      <c r="G12" s="851"/>
      <c r="I12" s="851" t="s">
        <v>1520</v>
      </c>
      <c r="J12" s="851"/>
      <c r="K12" s="851"/>
      <c r="L12" s="851"/>
      <c r="M12" s="851"/>
    </row>
    <row r="13" spans="2:13" x14ac:dyDescent="0.25">
      <c r="B13">
        <v>11</v>
      </c>
      <c r="C13" s="851" t="s">
        <v>280</v>
      </c>
      <c r="D13" s="851"/>
      <c r="E13" s="851"/>
      <c r="F13" s="851"/>
      <c r="G13" s="851"/>
      <c r="I13" s="851" t="s">
        <v>1521</v>
      </c>
      <c r="J13" s="851"/>
      <c r="K13" s="851"/>
      <c r="L13" s="851"/>
      <c r="M13" s="851"/>
    </row>
    <row r="14" spans="2:13" x14ac:dyDescent="0.25">
      <c r="B14">
        <v>12</v>
      </c>
      <c r="C14" s="851" t="s">
        <v>1522</v>
      </c>
      <c r="D14" s="851"/>
      <c r="E14" s="851"/>
      <c r="F14" s="851"/>
      <c r="G14" s="851"/>
      <c r="I14" s="851" t="s">
        <v>1523</v>
      </c>
      <c r="J14" s="851"/>
      <c r="K14" s="851"/>
      <c r="L14" s="851"/>
      <c r="M14" s="851"/>
    </row>
    <row r="15" spans="2:13" x14ac:dyDescent="0.25">
      <c r="B15">
        <v>13</v>
      </c>
      <c r="C15" s="851" t="s">
        <v>245</v>
      </c>
      <c r="D15" s="851"/>
      <c r="E15" s="851"/>
      <c r="F15" s="851"/>
      <c r="G15" s="851"/>
      <c r="H15" s="166"/>
      <c r="I15" s="851" t="s">
        <v>244</v>
      </c>
      <c r="J15" s="851"/>
      <c r="K15" s="851"/>
      <c r="L15" s="851"/>
      <c r="M15" s="851"/>
    </row>
    <row r="16" spans="2:13" x14ac:dyDescent="0.25">
      <c r="B16">
        <v>14</v>
      </c>
      <c r="C16" s="851" t="s">
        <v>1524</v>
      </c>
      <c r="D16" s="851"/>
      <c r="E16" s="851"/>
      <c r="F16" s="851"/>
      <c r="G16" s="851"/>
      <c r="I16" s="851" t="s">
        <v>1525</v>
      </c>
      <c r="J16" s="851"/>
      <c r="K16" s="851"/>
      <c r="L16" s="851"/>
      <c r="M16" s="851"/>
    </row>
    <row r="17" spans="1:13" x14ac:dyDescent="0.25">
      <c r="A17" t="s">
        <v>1526</v>
      </c>
      <c r="B17">
        <v>15</v>
      </c>
      <c r="C17" s="851" t="s">
        <v>1527</v>
      </c>
      <c r="D17" s="851"/>
      <c r="E17" s="851"/>
      <c r="F17" s="851"/>
      <c r="G17" s="851"/>
      <c r="I17" s="851" t="s">
        <v>1528</v>
      </c>
      <c r="J17" s="851"/>
      <c r="K17" s="851"/>
      <c r="L17" s="851"/>
      <c r="M17" s="851"/>
    </row>
    <row r="18" spans="1:13" x14ac:dyDescent="0.25">
      <c r="B18">
        <v>16</v>
      </c>
      <c r="C18" s="851" t="s">
        <v>1529</v>
      </c>
      <c r="D18" s="851"/>
      <c r="E18" s="851"/>
      <c r="F18" s="851"/>
      <c r="G18" s="851"/>
      <c r="I18" s="849" t="s">
        <v>1530</v>
      </c>
      <c r="J18" s="849"/>
      <c r="K18" s="849"/>
      <c r="L18" s="849"/>
      <c r="M18" s="849"/>
    </row>
    <row r="19" spans="1:13" ht="13.8" thickBot="1" x14ac:dyDescent="0.3">
      <c r="B19">
        <v>17</v>
      </c>
      <c r="C19" s="850" t="s">
        <v>1531</v>
      </c>
      <c r="D19" s="850"/>
      <c r="E19" s="850"/>
      <c r="F19" s="850"/>
      <c r="G19" s="850"/>
      <c r="I19" s="850" t="s">
        <v>1532</v>
      </c>
      <c r="J19" s="850"/>
      <c r="K19" s="850"/>
      <c r="L19" s="850"/>
      <c r="M19" s="850"/>
    </row>
    <row r="21" spans="1:13" ht="13.8" thickBot="1" x14ac:dyDescent="0.3">
      <c r="C21" s="133" t="s">
        <v>1533</v>
      </c>
      <c r="D21" s="133"/>
      <c r="E21" s="133"/>
      <c r="F21" s="133"/>
      <c r="G21" s="133"/>
      <c r="H21" s="133"/>
      <c r="I21" s="133"/>
      <c r="J21" s="133"/>
      <c r="K21" s="133"/>
      <c r="L21" s="133"/>
      <c r="M21" s="133"/>
    </row>
    <row r="22" spans="1:13" x14ac:dyDescent="0.25">
      <c r="C22" s="857" t="s">
        <v>1534</v>
      </c>
      <c r="D22" s="857"/>
      <c r="E22" s="857"/>
      <c r="F22" s="857"/>
      <c r="G22" s="858"/>
      <c r="H22" s="166"/>
      <c r="I22" s="857" t="s">
        <v>1535</v>
      </c>
      <c r="J22" s="857"/>
      <c r="K22" s="857"/>
      <c r="L22" s="857"/>
      <c r="M22" s="869"/>
    </row>
    <row r="23" spans="1:13" x14ac:dyDescent="0.25">
      <c r="C23" s="851" t="s">
        <v>1536</v>
      </c>
      <c r="D23" s="851"/>
      <c r="E23" s="851"/>
      <c r="F23" s="851"/>
      <c r="G23" s="852"/>
      <c r="I23" s="851" t="s">
        <v>311</v>
      </c>
      <c r="J23" s="851"/>
      <c r="K23" s="851"/>
      <c r="L23" s="851"/>
      <c r="M23" s="860"/>
    </row>
    <row r="24" spans="1:13" x14ac:dyDescent="0.25">
      <c r="C24" s="853"/>
      <c r="D24" s="853"/>
      <c r="E24" s="853"/>
      <c r="F24" s="853"/>
      <c r="G24" s="854"/>
      <c r="I24" s="853"/>
      <c r="J24" s="853"/>
      <c r="K24" s="853"/>
      <c r="L24" s="853"/>
      <c r="M24" s="866"/>
    </row>
    <row r="25" spans="1:13" x14ac:dyDescent="0.25">
      <c r="C25" s="851" t="s">
        <v>1537</v>
      </c>
      <c r="D25" s="851"/>
      <c r="E25" s="851"/>
      <c r="F25" s="851"/>
      <c r="G25" s="852"/>
      <c r="H25" s="166"/>
      <c r="I25" s="851" t="s">
        <v>1538</v>
      </c>
      <c r="J25" s="851"/>
      <c r="K25" s="851"/>
      <c r="L25" s="851"/>
      <c r="M25" s="860"/>
    </row>
    <row r="26" spans="1:13" x14ac:dyDescent="0.25">
      <c r="C26" s="851" t="s">
        <v>1539</v>
      </c>
      <c r="D26" s="851"/>
      <c r="E26" s="851"/>
      <c r="F26" s="851"/>
      <c r="G26" s="852"/>
      <c r="H26" s="166"/>
      <c r="I26" s="851" t="s">
        <v>1540</v>
      </c>
      <c r="J26" s="851"/>
      <c r="K26" s="851"/>
      <c r="L26" s="851"/>
      <c r="M26" s="860"/>
    </row>
    <row r="27" spans="1:13" x14ac:dyDescent="0.25">
      <c r="C27" s="851" t="s">
        <v>1541</v>
      </c>
      <c r="D27" s="851"/>
      <c r="E27" s="851"/>
      <c r="F27" s="851"/>
      <c r="G27" s="852"/>
      <c r="H27" s="166"/>
      <c r="I27" s="851" t="s">
        <v>1542</v>
      </c>
      <c r="J27" s="851"/>
      <c r="K27" s="851"/>
      <c r="L27" s="851"/>
      <c r="M27" s="860"/>
    </row>
    <row r="28" spans="1:13" x14ac:dyDescent="0.25">
      <c r="C28" s="851" t="s">
        <v>1543</v>
      </c>
      <c r="D28" s="851"/>
      <c r="E28" s="851"/>
      <c r="F28" s="851"/>
      <c r="G28" s="852"/>
      <c r="I28" s="851" t="s">
        <v>1544</v>
      </c>
      <c r="J28" s="851"/>
      <c r="K28" s="851"/>
      <c r="L28" s="851"/>
      <c r="M28" s="860"/>
    </row>
    <row r="29" spans="1:13" x14ac:dyDescent="0.25">
      <c r="C29" s="855" t="s">
        <v>1545</v>
      </c>
      <c r="D29" s="855"/>
      <c r="E29" s="855"/>
      <c r="F29" s="855"/>
      <c r="G29" s="856"/>
      <c r="I29" s="855" t="s">
        <v>1546</v>
      </c>
      <c r="J29" s="855"/>
      <c r="K29" s="855"/>
      <c r="L29" s="855"/>
      <c r="M29" s="870"/>
    </row>
    <row r="30" spans="1:13" x14ac:dyDescent="0.25">
      <c r="C30" s="851" t="s">
        <v>1547</v>
      </c>
      <c r="D30" s="851"/>
      <c r="E30" s="851"/>
      <c r="F30" s="851"/>
      <c r="G30" s="852"/>
      <c r="H30" s="166"/>
      <c r="I30" s="851" t="s">
        <v>240</v>
      </c>
      <c r="J30" s="851"/>
      <c r="K30" s="851"/>
      <c r="L30" s="851"/>
      <c r="M30" s="860"/>
    </row>
    <row r="31" spans="1:13" x14ac:dyDescent="0.25">
      <c r="C31" s="851" t="s">
        <v>1548</v>
      </c>
      <c r="D31" s="851"/>
      <c r="E31" s="851"/>
      <c r="F31" s="851"/>
      <c r="G31" s="852"/>
      <c r="I31" s="851" t="s">
        <v>1549</v>
      </c>
      <c r="J31" s="851"/>
      <c r="K31" s="851"/>
      <c r="L31" s="851"/>
      <c r="M31" s="860"/>
    </row>
    <row r="32" spans="1:13" x14ac:dyDescent="0.25">
      <c r="C32" s="851" t="s">
        <v>1550</v>
      </c>
      <c r="D32" s="851"/>
      <c r="E32" s="851"/>
      <c r="F32" s="851"/>
      <c r="G32" s="852"/>
      <c r="I32" s="851" t="s">
        <v>1551</v>
      </c>
      <c r="J32" s="851"/>
      <c r="K32" s="851"/>
      <c r="L32" s="851"/>
      <c r="M32" s="860"/>
    </row>
    <row r="33" spans="3:13" x14ac:dyDescent="0.25">
      <c r="C33" s="853" t="s">
        <v>1552</v>
      </c>
      <c r="D33" s="853"/>
      <c r="E33" s="853"/>
      <c r="F33" s="853"/>
      <c r="G33" s="854"/>
      <c r="I33" s="853" t="s">
        <v>1553</v>
      </c>
      <c r="J33" s="853"/>
      <c r="K33" s="853"/>
      <c r="L33" s="853"/>
      <c r="M33" s="866"/>
    </row>
    <row r="34" spans="3:13" x14ac:dyDescent="0.25">
      <c r="C34" s="851" t="s">
        <v>1554</v>
      </c>
      <c r="D34" s="851"/>
      <c r="E34" s="851"/>
      <c r="F34" s="851"/>
      <c r="G34" s="852"/>
      <c r="I34" s="851" t="s">
        <v>1555</v>
      </c>
      <c r="J34" s="851"/>
      <c r="K34" s="851"/>
      <c r="L34" s="851"/>
      <c r="M34" s="860"/>
    </row>
    <row r="35" spans="3:13" x14ac:dyDescent="0.25">
      <c r="C35" s="851" t="s">
        <v>1556</v>
      </c>
      <c r="D35" s="851"/>
      <c r="E35" s="851"/>
      <c r="F35" s="851"/>
      <c r="G35" s="852"/>
      <c r="I35" s="851" t="s">
        <v>1557</v>
      </c>
      <c r="J35" s="851"/>
      <c r="K35" s="851"/>
      <c r="L35" s="851"/>
      <c r="M35" s="860"/>
    </row>
    <row r="36" spans="3:13" x14ac:dyDescent="0.25">
      <c r="C36" s="853" t="s">
        <v>1558</v>
      </c>
      <c r="D36" s="853"/>
      <c r="E36" s="853"/>
      <c r="F36" s="853"/>
      <c r="G36" s="854"/>
      <c r="I36" s="853" t="s">
        <v>1559</v>
      </c>
      <c r="J36" s="853"/>
      <c r="K36" s="853"/>
      <c r="L36" s="853"/>
      <c r="M36" s="866"/>
    </row>
    <row r="37" spans="3:13" x14ac:dyDescent="0.25">
      <c r="C37" s="851" t="s">
        <v>1560</v>
      </c>
      <c r="D37" s="851"/>
      <c r="E37" s="851"/>
      <c r="F37" s="851"/>
      <c r="G37" s="852"/>
      <c r="I37" s="851" t="s">
        <v>1561</v>
      </c>
      <c r="J37" s="851"/>
      <c r="K37" s="851"/>
      <c r="L37" s="851"/>
      <c r="M37" s="851"/>
    </row>
    <row r="38" spans="3:13" x14ac:dyDescent="0.25">
      <c r="C38" s="853" t="s">
        <v>1562</v>
      </c>
      <c r="D38" s="853"/>
      <c r="E38" s="853"/>
      <c r="F38" s="853"/>
      <c r="G38" s="854"/>
      <c r="I38" s="853" t="s">
        <v>1563</v>
      </c>
      <c r="J38" s="853"/>
      <c r="K38" s="853"/>
      <c r="L38" s="853"/>
      <c r="M38" s="866"/>
    </row>
    <row r="39" spans="3:13" x14ac:dyDescent="0.25">
      <c r="C39" s="853" t="s">
        <v>1564</v>
      </c>
      <c r="D39" s="853"/>
      <c r="E39" s="853"/>
      <c r="F39" s="853"/>
      <c r="G39" s="854"/>
      <c r="I39" s="853" t="s">
        <v>1565</v>
      </c>
      <c r="J39" s="853"/>
      <c r="K39" s="853"/>
      <c r="L39" s="853"/>
      <c r="M39" s="866"/>
    </row>
    <row r="40" spans="3:13" x14ac:dyDescent="0.25">
      <c r="C40" s="851" t="s">
        <v>247</v>
      </c>
      <c r="D40" s="851"/>
      <c r="E40" s="851"/>
      <c r="F40" s="851"/>
      <c r="G40" s="852"/>
      <c r="I40" s="851" t="s">
        <v>1566</v>
      </c>
      <c r="J40" s="851"/>
      <c r="K40" s="851"/>
      <c r="L40" s="851"/>
      <c r="M40" s="860"/>
    </row>
    <row r="41" spans="3:13" x14ac:dyDescent="0.25">
      <c r="C41" s="853" t="s">
        <v>1567</v>
      </c>
      <c r="D41" s="853"/>
      <c r="E41" s="853"/>
      <c r="F41" s="853"/>
      <c r="G41" s="854"/>
      <c r="I41" s="853" t="s">
        <v>1567</v>
      </c>
      <c r="J41" s="853"/>
      <c r="K41" s="853"/>
      <c r="L41" s="853"/>
      <c r="M41" s="866"/>
    </row>
    <row r="42" spans="3:13" x14ac:dyDescent="0.25">
      <c r="C42" s="853" t="s">
        <v>1568</v>
      </c>
      <c r="D42" s="853"/>
      <c r="E42" s="853"/>
      <c r="F42" s="853"/>
      <c r="G42" s="854"/>
      <c r="I42" s="853" t="s">
        <v>1569</v>
      </c>
      <c r="J42" s="853"/>
      <c r="K42" s="853"/>
      <c r="L42" s="853"/>
      <c r="M42" s="866"/>
    </row>
    <row r="43" spans="3:13" x14ac:dyDescent="0.25">
      <c r="C43" s="853" t="s">
        <v>1570</v>
      </c>
      <c r="D43" s="853"/>
      <c r="E43" s="853"/>
      <c r="F43" s="853"/>
      <c r="G43" s="854"/>
      <c r="I43" s="853" t="s">
        <v>1571</v>
      </c>
      <c r="J43" s="853"/>
      <c r="K43" s="853"/>
      <c r="L43" s="853"/>
      <c r="M43" s="866"/>
    </row>
    <row r="44" spans="3:13" x14ac:dyDescent="0.25">
      <c r="C44" s="853" t="s">
        <v>1572</v>
      </c>
      <c r="D44" s="853"/>
      <c r="E44" s="853"/>
      <c r="F44" s="853"/>
      <c r="G44" s="854"/>
      <c r="I44" s="853" t="s">
        <v>1573</v>
      </c>
      <c r="J44" s="853"/>
      <c r="K44" s="853"/>
      <c r="L44" s="853"/>
      <c r="M44" s="866"/>
    </row>
    <row r="45" spans="3:13" x14ac:dyDescent="0.25">
      <c r="C45" s="853" t="s">
        <v>1574</v>
      </c>
      <c r="D45" s="853"/>
      <c r="E45" s="853"/>
      <c r="F45" s="853"/>
      <c r="G45" s="854"/>
      <c r="I45" s="853" t="s">
        <v>1575</v>
      </c>
      <c r="J45" s="853"/>
      <c r="K45" s="853"/>
      <c r="L45" s="853"/>
      <c r="M45" s="866"/>
    </row>
    <row r="46" spans="3:13" x14ac:dyDescent="0.25">
      <c r="C46" s="853" t="s">
        <v>1576</v>
      </c>
      <c r="D46" s="853"/>
      <c r="E46" s="853"/>
      <c r="F46" s="853"/>
      <c r="G46" s="854"/>
      <c r="I46" s="853" t="s">
        <v>1577</v>
      </c>
      <c r="J46" s="853"/>
      <c r="K46" s="853"/>
      <c r="L46" s="853"/>
      <c r="M46" s="866"/>
    </row>
    <row r="47" spans="3:13" x14ac:dyDescent="0.25">
      <c r="C47" s="853" t="s">
        <v>1578</v>
      </c>
      <c r="D47" s="853"/>
      <c r="E47" s="853"/>
      <c r="F47" s="853"/>
      <c r="G47" s="854"/>
      <c r="I47" s="853" t="s">
        <v>1579</v>
      </c>
      <c r="J47" s="853"/>
      <c r="K47" s="853"/>
      <c r="L47" s="853"/>
      <c r="M47" s="866"/>
    </row>
    <row r="48" spans="3:13" x14ac:dyDescent="0.25">
      <c r="C48" s="853" t="s">
        <v>1580</v>
      </c>
      <c r="D48" s="853"/>
      <c r="E48" s="853"/>
      <c r="F48" s="853"/>
      <c r="G48" s="854"/>
      <c r="I48" s="853" t="s">
        <v>1581</v>
      </c>
      <c r="J48" s="853"/>
      <c r="K48" s="853"/>
      <c r="L48" s="853"/>
      <c r="M48" s="866"/>
    </row>
    <row r="49" spans="3:13" x14ac:dyDescent="0.25">
      <c r="C49" s="853" t="s">
        <v>1582</v>
      </c>
      <c r="D49" s="853"/>
      <c r="E49" s="853"/>
      <c r="F49" s="853"/>
      <c r="G49" s="854"/>
      <c r="I49" s="853" t="s">
        <v>1583</v>
      </c>
      <c r="J49" s="853"/>
      <c r="K49" s="853"/>
      <c r="L49" s="853"/>
      <c r="M49" s="866"/>
    </row>
    <row r="50" spans="3:13" x14ac:dyDescent="0.25">
      <c r="C50" s="853" t="s">
        <v>1584</v>
      </c>
      <c r="D50" s="853"/>
      <c r="E50" s="853"/>
      <c r="F50" s="853"/>
      <c r="G50" s="854"/>
      <c r="I50" s="867" t="s">
        <v>1585</v>
      </c>
      <c r="J50" s="867"/>
      <c r="K50" s="867"/>
      <c r="L50" s="867"/>
      <c r="M50" s="868"/>
    </row>
    <row r="51" spans="3:13" x14ac:dyDescent="0.25">
      <c r="C51" s="853" t="s">
        <v>1586</v>
      </c>
      <c r="D51" s="853"/>
      <c r="E51" s="853"/>
      <c r="F51" s="853"/>
      <c r="G51" s="854"/>
      <c r="I51" s="853" t="s">
        <v>1587</v>
      </c>
      <c r="J51" s="853"/>
      <c r="K51" s="853"/>
      <c r="L51" s="853"/>
      <c r="M51" s="866"/>
    </row>
    <row r="52" spans="3:13" x14ac:dyDescent="0.25">
      <c r="C52" s="853" t="s">
        <v>1588</v>
      </c>
      <c r="D52" s="853"/>
      <c r="E52" s="853"/>
      <c r="F52" s="853"/>
      <c r="G52" s="854"/>
      <c r="I52" s="853" t="s">
        <v>1589</v>
      </c>
      <c r="J52" s="853"/>
      <c r="K52" s="853"/>
      <c r="L52" s="853"/>
      <c r="M52" s="866"/>
    </row>
    <row r="53" spans="3:13" x14ac:dyDescent="0.25">
      <c r="C53" s="855" t="s">
        <v>1590</v>
      </c>
      <c r="D53" s="855"/>
      <c r="E53" s="855"/>
      <c r="F53" s="855"/>
      <c r="G53" s="856"/>
      <c r="I53" s="855" t="s">
        <v>1591</v>
      </c>
      <c r="J53" s="855"/>
      <c r="K53" s="855"/>
      <c r="L53" s="855"/>
      <c r="M53" s="870"/>
    </row>
    <row r="54" spans="3:13" x14ac:dyDescent="0.25">
      <c r="C54" s="853" t="s">
        <v>1592</v>
      </c>
      <c r="D54" s="853"/>
      <c r="E54" s="853"/>
      <c r="F54" s="853"/>
      <c r="G54" s="854"/>
      <c r="I54" s="853" t="s">
        <v>1593</v>
      </c>
      <c r="J54" s="853"/>
      <c r="K54" s="853"/>
      <c r="L54" s="853"/>
      <c r="M54" s="866"/>
    </row>
    <row r="55" spans="3:13" x14ac:dyDescent="0.25">
      <c r="C55" s="855" t="s">
        <v>1594</v>
      </c>
      <c r="D55" s="855"/>
      <c r="E55" s="855"/>
      <c r="F55" s="855"/>
      <c r="G55" s="856"/>
      <c r="I55" s="855" t="s">
        <v>1595</v>
      </c>
      <c r="J55" s="855"/>
      <c r="K55" s="855"/>
      <c r="L55" s="855"/>
      <c r="M55" s="870"/>
    </row>
    <row r="56" spans="3:13" x14ac:dyDescent="0.25">
      <c r="C56" s="855" t="s">
        <v>1596</v>
      </c>
      <c r="D56" s="855"/>
      <c r="E56" s="855"/>
      <c r="F56" s="855"/>
      <c r="G56" s="856"/>
      <c r="I56" s="855" t="s">
        <v>1597</v>
      </c>
      <c r="J56" s="855"/>
      <c r="K56" s="855"/>
      <c r="L56" s="855"/>
      <c r="M56" s="870"/>
    </row>
    <row r="57" spans="3:13" x14ac:dyDescent="0.25">
      <c r="C57" s="855" t="s">
        <v>1594</v>
      </c>
      <c r="D57" s="855"/>
      <c r="E57" s="855"/>
      <c r="F57" s="855"/>
      <c r="G57" s="856"/>
      <c r="I57" s="855" t="s">
        <v>1595</v>
      </c>
      <c r="J57" s="855"/>
      <c r="K57" s="855"/>
      <c r="L57" s="855"/>
      <c r="M57" s="870"/>
    </row>
    <row r="58" spans="3:13" x14ac:dyDescent="0.25">
      <c r="C58" s="871" t="s">
        <v>1598</v>
      </c>
      <c r="D58" s="851"/>
      <c r="E58" s="851"/>
      <c r="F58" s="851"/>
      <c r="G58" s="852"/>
      <c r="I58" s="871" t="s">
        <v>1599</v>
      </c>
      <c r="J58" s="851"/>
      <c r="K58" s="851"/>
      <c r="L58" s="851"/>
      <c r="M58" s="860"/>
    </row>
    <row r="59" spans="3:13" x14ac:dyDescent="0.25">
      <c r="C59" s="851" t="s">
        <v>300</v>
      </c>
      <c r="D59" s="851"/>
      <c r="E59" s="851"/>
      <c r="F59" s="851"/>
      <c r="G59" s="852"/>
      <c r="I59" s="851" t="s">
        <v>1600</v>
      </c>
      <c r="J59" s="851"/>
      <c r="K59" s="851"/>
      <c r="L59" s="851"/>
      <c r="M59" s="860"/>
    </row>
    <row r="60" spans="3:13" ht="13.8" thickBot="1" x14ac:dyDescent="0.3">
      <c r="C60" s="850" t="s">
        <v>253</v>
      </c>
      <c r="D60" s="850"/>
      <c r="E60" s="850"/>
      <c r="F60" s="850"/>
      <c r="G60" s="873"/>
      <c r="I60" s="850" t="s">
        <v>1601</v>
      </c>
      <c r="J60" s="850"/>
      <c r="K60" s="850"/>
      <c r="L60" s="850"/>
      <c r="M60" s="872"/>
    </row>
    <row r="63" spans="3:13" x14ac:dyDescent="0.25">
      <c r="C63" s="132" t="s">
        <v>197</v>
      </c>
      <c r="D63" s="132"/>
      <c r="E63" s="132"/>
      <c r="F63" s="132"/>
      <c r="G63" s="132"/>
      <c r="H63" s="132"/>
      <c r="I63" s="132"/>
      <c r="J63" s="132"/>
      <c r="K63" s="132"/>
      <c r="L63" s="132"/>
    </row>
    <row r="64" spans="3:13" ht="13.8" thickBot="1" x14ac:dyDescent="0.3">
      <c r="D64" t="s">
        <v>1602</v>
      </c>
    </row>
    <row r="65" spans="2:13" x14ac:dyDescent="0.25">
      <c r="B65">
        <v>1</v>
      </c>
      <c r="C65" s="857" t="s">
        <v>1603</v>
      </c>
      <c r="D65" s="857"/>
      <c r="E65" s="857"/>
      <c r="F65" s="857"/>
      <c r="G65" s="857"/>
      <c r="I65" s="874" t="s">
        <v>1604</v>
      </c>
      <c r="J65" s="875"/>
      <c r="K65" s="875"/>
      <c r="L65" s="875"/>
      <c r="M65" s="875"/>
    </row>
    <row r="66" spans="2:13" x14ac:dyDescent="0.25">
      <c r="B66">
        <v>2</v>
      </c>
      <c r="C66" s="851" t="s">
        <v>1605</v>
      </c>
      <c r="D66" s="851"/>
      <c r="E66" s="851"/>
      <c r="F66" s="851"/>
      <c r="G66" s="851"/>
      <c r="I66" s="851" t="s">
        <v>1606</v>
      </c>
      <c r="J66" s="851"/>
      <c r="K66" s="851"/>
      <c r="L66" s="851"/>
      <c r="M66" s="851"/>
    </row>
    <row r="67" spans="2:13" x14ac:dyDescent="0.25">
      <c r="B67">
        <v>3</v>
      </c>
      <c r="C67" s="851" t="s">
        <v>1607</v>
      </c>
      <c r="D67" s="851"/>
      <c r="E67" s="851"/>
      <c r="F67" s="851"/>
      <c r="G67" s="851"/>
      <c r="I67" s="860" t="s">
        <v>1608</v>
      </c>
      <c r="J67" s="861"/>
      <c r="K67" s="861"/>
      <c r="L67" s="861"/>
      <c r="M67" s="862"/>
    </row>
    <row r="68" spans="2:13" ht="12.7" customHeight="1" x14ac:dyDescent="0.25">
      <c r="B68">
        <v>4</v>
      </c>
      <c r="C68" s="860" t="s">
        <v>1609</v>
      </c>
      <c r="D68" s="861"/>
      <c r="E68" s="861"/>
      <c r="F68" s="861"/>
      <c r="G68" s="862"/>
      <c r="I68" s="860" t="s">
        <v>1610</v>
      </c>
      <c r="J68" s="861"/>
      <c r="K68" s="861"/>
      <c r="L68" s="861"/>
      <c r="M68" s="862"/>
    </row>
    <row r="69" spans="2:13" x14ac:dyDescent="0.25">
      <c r="B69">
        <v>5</v>
      </c>
      <c r="C69" s="876" t="s">
        <v>1611</v>
      </c>
      <c r="D69" s="877"/>
      <c r="E69" s="877"/>
      <c r="F69" s="877"/>
      <c r="G69" s="878"/>
      <c r="I69" s="851" t="s">
        <v>1612</v>
      </c>
      <c r="J69" s="851"/>
      <c r="K69" s="851"/>
      <c r="L69" s="851"/>
      <c r="M69" s="851"/>
    </row>
    <row r="70" spans="2:13" x14ac:dyDescent="0.25">
      <c r="B70">
        <v>6</v>
      </c>
      <c r="C70" s="876" t="s">
        <v>1613</v>
      </c>
      <c r="D70" s="877"/>
      <c r="E70" s="877"/>
      <c r="F70" s="877"/>
      <c r="G70" s="878"/>
      <c r="I70" s="851" t="s">
        <v>1614</v>
      </c>
      <c r="J70" s="851"/>
      <c r="K70" s="851"/>
      <c r="L70" s="851"/>
      <c r="M70" s="851"/>
    </row>
    <row r="71" spans="2:13" x14ac:dyDescent="0.25">
      <c r="B71">
        <v>7</v>
      </c>
      <c r="C71" s="851" t="s">
        <v>1615</v>
      </c>
      <c r="D71" s="851"/>
      <c r="E71" s="851"/>
      <c r="F71" s="851"/>
      <c r="G71" s="851"/>
      <c r="I71" s="851" t="s">
        <v>1616</v>
      </c>
      <c r="J71" s="851"/>
      <c r="K71" s="851"/>
      <c r="L71" s="851"/>
      <c r="M71" s="851"/>
    </row>
    <row r="72" spans="2:13" x14ac:dyDescent="0.25">
      <c r="B72">
        <v>8</v>
      </c>
      <c r="C72" s="851" t="s">
        <v>1617</v>
      </c>
      <c r="D72" s="851"/>
      <c r="E72" s="851"/>
      <c r="F72" s="851"/>
      <c r="G72" s="851"/>
      <c r="I72" s="851" t="s">
        <v>1618</v>
      </c>
      <c r="J72" s="851"/>
      <c r="K72" s="851"/>
      <c r="L72" s="851"/>
      <c r="M72" s="851"/>
    </row>
    <row r="73" spans="2:13" x14ac:dyDescent="0.25">
      <c r="B73">
        <v>9</v>
      </c>
      <c r="C73" s="851" t="s">
        <v>1619</v>
      </c>
      <c r="D73" s="851"/>
      <c r="E73" s="851"/>
      <c r="F73" s="851"/>
      <c r="G73" s="851"/>
      <c r="I73" s="871" t="s">
        <v>1528</v>
      </c>
      <c r="J73" s="851"/>
      <c r="K73" s="851"/>
      <c r="L73" s="851"/>
      <c r="M73" s="851"/>
    </row>
    <row r="74" spans="2:13" x14ac:dyDescent="0.25">
      <c r="B74">
        <v>10</v>
      </c>
      <c r="C74" s="851" t="s">
        <v>1620</v>
      </c>
      <c r="D74" s="851"/>
      <c r="E74" s="851"/>
      <c r="F74" s="851"/>
      <c r="G74" s="851"/>
      <c r="I74" s="849" t="s">
        <v>1621</v>
      </c>
      <c r="J74" s="849"/>
      <c r="K74" s="849"/>
      <c r="L74" s="849"/>
      <c r="M74" s="849"/>
    </row>
    <row r="76" spans="2:13" ht="13.8" thickBot="1" x14ac:dyDescent="0.3">
      <c r="C76" s="133"/>
      <c r="D76" s="133" t="s">
        <v>1533</v>
      </c>
      <c r="E76" s="133"/>
      <c r="F76" s="133"/>
      <c r="G76" s="133"/>
      <c r="H76" s="133"/>
      <c r="I76" s="133"/>
      <c r="J76" s="133"/>
      <c r="K76" s="133"/>
      <c r="L76" s="133"/>
      <c r="M76" s="133"/>
    </row>
    <row r="77" spans="2:13" x14ac:dyDescent="0.25">
      <c r="C77" s="879" t="s">
        <v>1567</v>
      </c>
      <c r="D77" s="879"/>
      <c r="E77" s="879"/>
      <c r="F77" s="879"/>
      <c r="G77" s="880"/>
      <c r="I77" s="879" t="s">
        <v>1567</v>
      </c>
      <c r="J77" s="879"/>
      <c r="K77" s="879"/>
      <c r="L77" s="879"/>
      <c r="M77" s="880"/>
    </row>
    <row r="78" spans="2:13" x14ac:dyDescent="0.25">
      <c r="C78" s="853" t="s">
        <v>1536</v>
      </c>
      <c r="D78" s="853"/>
      <c r="E78" s="853"/>
      <c r="F78" s="853"/>
      <c r="G78" s="866"/>
      <c r="I78" s="853" t="s">
        <v>311</v>
      </c>
      <c r="J78" s="853"/>
      <c r="K78" s="853"/>
      <c r="L78" s="853"/>
      <c r="M78" s="866"/>
    </row>
    <row r="79" spans="2:13" x14ac:dyDescent="0.25">
      <c r="C79" s="853" t="s">
        <v>1622</v>
      </c>
      <c r="D79" s="853"/>
      <c r="E79" s="853"/>
      <c r="F79" s="853"/>
      <c r="G79" s="866"/>
      <c r="I79" s="853" t="s">
        <v>1623</v>
      </c>
      <c r="J79" s="853"/>
      <c r="K79" s="853"/>
      <c r="L79" s="853"/>
      <c r="M79" s="866"/>
    </row>
    <row r="80" spans="2:13" x14ac:dyDescent="0.25">
      <c r="C80" s="851" t="s">
        <v>1624</v>
      </c>
      <c r="D80" s="851"/>
      <c r="E80" s="851"/>
      <c r="F80" s="851"/>
      <c r="G80" s="860"/>
      <c r="I80" s="851" t="s">
        <v>1625</v>
      </c>
      <c r="J80" s="851"/>
      <c r="K80" s="851"/>
      <c r="L80" s="851"/>
      <c r="M80" s="860"/>
    </row>
    <row r="81" spans="3:13" x14ac:dyDescent="0.25">
      <c r="C81" s="853" t="s">
        <v>1626</v>
      </c>
      <c r="D81" s="853"/>
      <c r="E81" s="853"/>
      <c r="F81" s="853"/>
      <c r="G81" s="866"/>
      <c r="I81" s="866" t="s">
        <v>1627</v>
      </c>
      <c r="J81" s="884"/>
      <c r="K81" s="884"/>
      <c r="L81" s="884"/>
      <c r="M81" s="885"/>
    </row>
    <row r="82" spans="3:13" x14ac:dyDescent="0.25">
      <c r="C82" s="853" t="s">
        <v>1628</v>
      </c>
      <c r="D82" s="853"/>
      <c r="E82" s="853"/>
      <c r="F82" s="853"/>
      <c r="G82" s="866"/>
      <c r="I82" s="866" t="s">
        <v>1629</v>
      </c>
      <c r="J82" s="884"/>
      <c r="K82" s="884"/>
      <c r="L82" s="884"/>
      <c r="M82" s="885"/>
    </row>
    <row r="83" spans="3:13" x14ac:dyDescent="0.25">
      <c r="C83" s="855" t="s">
        <v>1630</v>
      </c>
      <c r="D83" s="855"/>
      <c r="E83" s="855"/>
      <c r="F83" s="855"/>
      <c r="G83" s="870"/>
      <c r="I83" s="870" t="s">
        <v>1631</v>
      </c>
      <c r="J83" s="886"/>
      <c r="K83" s="886"/>
      <c r="L83" s="886"/>
      <c r="M83" s="887"/>
    </row>
    <row r="84" spans="3:13" x14ac:dyDescent="0.25">
      <c r="C84" s="855" t="s">
        <v>1545</v>
      </c>
      <c r="D84" s="855"/>
      <c r="E84" s="855"/>
      <c r="F84" s="855"/>
      <c r="G84" s="870"/>
      <c r="I84" s="870" t="s">
        <v>1546</v>
      </c>
      <c r="J84" s="886"/>
      <c r="K84" s="886"/>
      <c r="L84" s="886"/>
      <c r="M84" s="887"/>
    </row>
    <row r="85" spans="3:13" x14ac:dyDescent="0.25">
      <c r="C85" s="851" t="s">
        <v>1632</v>
      </c>
      <c r="D85" s="851"/>
      <c r="E85" s="851"/>
      <c r="F85" s="851"/>
      <c r="G85" s="860"/>
      <c r="I85" s="860" t="s">
        <v>1633</v>
      </c>
      <c r="J85" s="861"/>
      <c r="K85" s="861"/>
      <c r="L85" s="861"/>
      <c r="M85" s="888"/>
    </row>
    <row r="86" spans="3:13" x14ac:dyDescent="0.25">
      <c r="C86" s="853" t="s">
        <v>1634</v>
      </c>
      <c r="D86" s="853"/>
      <c r="E86" s="853"/>
      <c r="F86" s="853"/>
      <c r="G86" s="866"/>
      <c r="I86" s="853"/>
      <c r="J86" s="853"/>
      <c r="K86" s="853"/>
      <c r="L86" s="853"/>
      <c r="M86" s="866"/>
    </row>
    <row r="87" spans="3:13" x14ac:dyDescent="0.25">
      <c r="C87" s="871" t="s">
        <v>1635</v>
      </c>
      <c r="D87" s="851"/>
      <c r="E87" s="851"/>
      <c r="F87" s="851"/>
      <c r="G87" s="860"/>
      <c r="I87" s="871" t="s">
        <v>1636</v>
      </c>
      <c r="J87" s="851"/>
      <c r="K87" s="851"/>
      <c r="L87" s="851"/>
      <c r="M87" s="860"/>
    </row>
    <row r="88" spans="3:13" x14ac:dyDescent="0.25">
      <c r="C88" s="853" t="s">
        <v>1637</v>
      </c>
      <c r="D88" s="853"/>
      <c r="E88" s="853"/>
      <c r="F88" s="853"/>
      <c r="G88" s="866"/>
      <c r="I88" s="853" t="s">
        <v>1638</v>
      </c>
      <c r="J88" s="853"/>
      <c r="K88" s="853"/>
      <c r="L88" s="853"/>
      <c r="M88" s="866"/>
    </row>
    <row r="89" spans="3:13" x14ac:dyDescent="0.25">
      <c r="C89" s="853" t="s">
        <v>1639</v>
      </c>
      <c r="D89" s="853"/>
      <c r="E89" s="853"/>
      <c r="F89" s="853"/>
      <c r="G89" s="866"/>
      <c r="I89" s="853" t="s">
        <v>1640</v>
      </c>
      <c r="J89" s="853"/>
      <c r="K89" s="853"/>
      <c r="L89" s="853"/>
      <c r="M89" s="866"/>
    </row>
    <row r="90" spans="3:13" x14ac:dyDescent="0.25">
      <c r="C90" s="851" t="s">
        <v>1641</v>
      </c>
      <c r="D90" s="851"/>
      <c r="E90" s="851"/>
      <c r="F90" s="851"/>
      <c r="G90" s="860"/>
      <c r="I90" s="851" t="s">
        <v>1642</v>
      </c>
      <c r="J90" s="851"/>
      <c r="K90" s="851"/>
      <c r="L90" s="851"/>
      <c r="M90" s="860"/>
    </row>
    <row r="91" spans="3:13" x14ac:dyDescent="0.25">
      <c r="C91" s="853" t="s">
        <v>1558</v>
      </c>
      <c r="D91" s="853"/>
      <c r="E91" s="853"/>
      <c r="F91" s="853"/>
      <c r="G91" s="866"/>
      <c r="I91" s="853" t="s">
        <v>1559</v>
      </c>
      <c r="J91" s="853"/>
      <c r="K91" s="853"/>
      <c r="L91" s="853"/>
      <c r="M91" s="866"/>
    </row>
    <row r="92" spans="3:13" x14ac:dyDescent="0.25">
      <c r="C92" s="851" t="s">
        <v>1643</v>
      </c>
      <c r="D92" s="851"/>
      <c r="E92" s="851"/>
      <c r="F92" s="851"/>
      <c r="G92" s="860"/>
      <c r="I92" s="851" t="s">
        <v>1644</v>
      </c>
      <c r="J92" s="851"/>
      <c r="K92" s="851"/>
      <c r="L92" s="851"/>
      <c r="M92" s="860"/>
    </row>
    <row r="93" spans="3:13" x14ac:dyDescent="0.25">
      <c r="C93" s="853" t="s">
        <v>1562</v>
      </c>
      <c r="D93" s="853"/>
      <c r="E93" s="853"/>
      <c r="F93" s="853"/>
      <c r="G93" s="866"/>
      <c r="I93" s="853" t="s">
        <v>1563</v>
      </c>
      <c r="J93" s="853"/>
      <c r="K93" s="853"/>
      <c r="L93" s="853"/>
      <c r="M93" s="866"/>
    </row>
    <row r="94" spans="3:13" x14ac:dyDescent="0.25">
      <c r="C94" s="853" t="s">
        <v>1564</v>
      </c>
      <c r="D94" s="853"/>
      <c r="E94" s="853"/>
      <c r="F94" s="853"/>
      <c r="G94" s="866"/>
      <c r="I94" s="853" t="s">
        <v>1645</v>
      </c>
      <c r="J94" s="853"/>
      <c r="K94" s="853"/>
      <c r="L94" s="853"/>
      <c r="M94" s="866"/>
    </row>
    <row r="95" spans="3:13" x14ac:dyDescent="0.25">
      <c r="C95" s="851" t="s">
        <v>342</v>
      </c>
      <c r="D95" s="851"/>
      <c r="E95" s="851"/>
      <c r="F95" s="851"/>
      <c r="G95" s="860"/>
      <c r="I95" s="851" t="s">
        <v>341</v>
      </c>
      <c r="J95" s="851"/>
      <c r="K95" s="851"/>
      <c r="L95" s="851"/>
      <c r="M95" s="860"/>
    </row>
    <row r="96" spans="3:13" x14ac:dyDescent="0.25">
      <c r="C96" s="853" t="s">
        <v>1567</v>
      </c>
      <c r="D96" s="853"/>
      <c r="E96" s="853"/>
      <c r="F96" s="853"/>
      <c r="G96" s="866"/>
      <c r="I96" s="853" t="s">
        <v>1567</v>
      </c>
      <c r="J96" s="853"/>
      <c r="K96" s="853"/>
      <c r="L96" s="853"/>
      <c r="M96" s="866"/>
    </row>
    <row r="97" spans="3:13" x14ac:dyDescent="0.25">
      <c r="C97" s="853" t="s">
        <v>1646</v>
      </c>
      <c r="D97" s="853"/>
      <c r="E97" s="853"/>
      <c r="F97" s="853"/>
      <c r="G97" s="866"/>
      <c r="I97" s="853" t="s">
        <v>1647</v>
      </c>
      <c r="J97" s="853"/>
      <c r="K97" s="853"/>
      <c r="L97" s="853"/>
      <c r="M97" s="866"/>
    </row>
    <row r="98" spans="3:13" x14ac:dyDescent="0.25">
      <c r="C98" s="853" t="s">
        <v>1648</v>
      </c>
      <c r="D98" s="853"/>
      <c r="E98" s="853"/>
      <c r="F98" s="853"/>
      <c r="G98" s="866"/>
      <c r="I98" s="853" t="s">
        <v>1649</v>
      </c>
      <c r="J98" s="853"/>
      <c r="K98" s="853"/>
      <c r="L98" s="853"/>
      <c r="M98" s="866"/>
    </row>
    <row r="99" spans="3:13" x14ac:dyDescent="0.25">
      <c r="C99" s="853" t="s">
        <v>1572</v>
      </c>
      <c r="D99" s="853"/>
      <c r="E99" s="853"/>
      <c r="F99" s="853"/>
      <c r="G99" s="866"/>
      <c r="I99" s="853" t="s">
        <v>1573</v>
      </c>
      <c r="J99" s="853"/>
      <c r="K99" s="853"/>
      <c r="L99" s="853"/>
      <c r="M99" s="866"/>
    </row>
    <row r="100" spans="3:13" x14ac:dyDescent="0.25">
      <c r="C100" s="881" t="s">
        <v>1650</v>
      </c>
      <c r="D100" s="882"/>
      <c r="E100" s="882"/>
      <c r="F100" s="882"/>
      <c r="G100" s="883"/>
      <c r="I100" s="853" t="s">
        <v>1651</v>
      </c>
      <c r="J100" s="853"/>
      <c r="K100" s="853"/>
      <c r="L100" s="853"/>
      <c r="M100" s="866"/>
    </row>
    <row r="101" spans="3:13" x14ac:dyDescent="0.25">
      <c r="C101" s="853" t="s">
        <v>1576</v>
      </c>
      <c r="D101" s="853"/>
      <c r="E101" s="853"/>
      <c r="F101" s="853"/>
      <c r="G101" s="866"/>
      <c r="I101" s="853" t="s">
        <v>1577</v>
      </c>
      <c r="J101" s="853"/>
      <c r="K101" s="853"/>
      <c r="L101" s="853"/>
      <c r="M101" s="866"/>
    </row>
    <row r="102" spans="3:13" x14ac:dyDescent="0.25">
      <c r="C102" s="853" t="s">
        <v>1578</v>
      </c>
      <c r="D102" s="853"/>
      <c r="E102" s="853"/>
      <c r="F102" s="853"/>
      <c r="G102" s="866"/>
      <c r="I102" s="853" t="s">
        <v>1652</v>
      </c>
      <c r="J102" s="853"/>
      <c r="K102" s="853"/>
      <c r="L102" s="853"/>
      <c r="M102" s="866"/>
    </row>
    <row r="103" spans="3:13" x14ac:dyDescent="0.25">
      <c r="C103" s="853" t="s">
        <v>1580</v>
      </c>
      <c r="D103" s="853"/>
      <c r="E103" s="853"/>
      <c r="F103" s="853"/>
      <c r="G103" s="866"/>
      <c r="I103" s="853" t="s">
        <v>1653</v>
      </c>
      <c r="J103" s="853"/>
      <c r="K103" s="853"/>
      <c r="L103" s="853"/>
      <c r="M103" s="866"/>
    </row>
    <row r="104" spans="3:13" x14ac:dyDescent="0.25">
      <c r="C104" s="853" t="s">
        <v>1582</v>
      </c>
      <c r="D104" s="853"/>
      <c r="E104" s="853"/>
      <c r="F104" s="853"/>
      <c r="G104" s="866"/>
      <c r="I104" s="853" t="s">
        <v>1654</v>
      </c>
      <c r="J104" s="853"/>
      <c r="K104" s="853"/>
      <c r="L104" s="853"/>
      <c r="M104" s="866"/>
    </row>
    <row r="105" spans="3:13" x14ac:dyDescent="0.25">
      <c r="C105" s="853" t="s">
        <v>1584</v>
      </c>
      <c r="D105" s="853"/>
      <c r="E105" s="853"/>
      <c r="F105" s="853"/>
      <c r="G105" s="866"/>
      <c r="I105" s="867" t="s">
        <v>1585</v>
      </c>
      <c r="J105" s="867"/>
      <c r="K105" s="867"/>
      <c r="L105" s="867"/>
      <c r="M105" s="868"/>
    </row>
    <row r="106" spans="3:13" x14ac:dyDescent="0.25">
      <c r="C106" s="853" t="s">
        <v>1586</v>
      </c>
      <c r="D106" s="853"/>
      <c r="E106" s="853"/>
      <c r="F106" s="853"/>
      <c r="G106" s="866"/>
      <c r="I106" s="853" t="s">
        <v>1587</v>
      </c>
      <c r="J106" s="853"/>
      <c r="K106" s="853"/>
      <c r="L106" s="853"/>
      <c r="M106" s="866"/>
    </row>
    <row r="107" spans="3:13" x14ac:dyDescent="0.25">
      <c r="C107" s="853" t="s">
        <v>1588</v>
      </c>
      <c r="D107" s="853"/>
      <c r="E107" s="853"/>
      <c r="F107" s="853"/>
      <c r="G107" s="866"/>
      <c r="I107" s="853" t="s">
        <v>1589</v>
      </c>
      <c r="J107" s="853"/>
      <c r="K107" s="853"/>
      <c r="L107" s="853"/>
      <c r="M107" s="866"/>
    </row>
    <row r="108" spans="3:13" x14ac:dyDescent="0.25">
      <c r="C108" s="853" t="s">
        <v>1655</v>
      </c>
      <c r="D108" s="853"/>
      <c r="E108" s="853"/>
      <c r="F108" s="853"/>
      <c r="G108" s="866"/>
      <c r="I108" s="853" t="s">
        <v>1656</v>
      </c>
      <c r="J108" s="853"/>
      <c r="K108" s="853"/>
      <c r="L108" s="853"/>
      <c r="M108" s="866"/>
    </row>
    <row r="109" spans="3:13" x14ac:dyDescent="0.25">
      <c r="C109" s="853" t="s">
        <v>1592</v>
      </c>
      <c r="D109" s="853"/>
      <c r="E109" s="853"/>
      <c r="F109" s="853"/>
      <c r="G109" s="866"/>
      <c r="I109" s="853" t="s">
        <v>1593</v>
      </c>
      <c r="J109" s="853"/>
      <c r="K109" s="853"/>
      <c r="L109" s="853"/>
      <c r="M109" s="866"/>
    </row>
    <row r="110" spans="3:13" x14ac:dyDescent="0.25">
      <c r="C110" s="855" t="s">
        <v>1594</v>
      </c>
      <c r="D110" s="855"/>
      <c r="E110" s="855"/>
      <c r="F110" s="855"/>
      <c r="G110" s="870"/>
      <c r="I110" s="855" t="s">
        <v>1595</v>
      </c>
      <c r="J110" s="855"/>
      <c r="K110" s="855"/>
      <c r="L110" s="855"/>
      <c r="M110" s="870"/>
    </row>
    <row r="111" spans="3:13" x14ac:dyDescent="0.25">
      <c r="C111" s="855" t="s">
        <v>1596</v>
      </c>
      <c r="D111" s="855"/>
      <c r="E111" s="855"/>
      <c r="F111" s="855"/>
      <c r="G111" s="870"/>
      <c r="I111" s="855" t="s">
        <v>1597</v>
      </c>
      <c r="J111" s="855"/>
      <c r="K111" s="855"/>
      <c r="L111" s="855"/>
      <c r="M111" s="870"/>
    </row>
    <row r="112" spans="3:13" x14ac:dyDescent="0.25">
      <c r="C112" s="855" t="s">
        <v>1657</v>
      </c>
      <c r="D112" s="855"/>
      <c r="E112" s="855"/>
      <c r="F112" s="855"/>
      <c r="G112" s="870"/>
      <c r="I112" s="855" t="s">
        <v>1658</v>
      </c>
      <c r="J112" s="855"/>
      <c r="K112" s="855"/>
      <c r="L112" s="855"/>
      <c r="M112" s="870"/>
    </row>
    <row r="113" spans="2:13" x14ac:dyDescent="0.25">
      <c r="C113" s="871" t="s">
        <v>1598</v>
      </c>
      <c r="D113" s="851"/>
      <c r="E113" s="851"/>
      <c r="F113" s="851"/>
      <c r="G113" s="860"/>
      <c r="I113" s="871" t="s">
        <v>1599</v>
      </c>
      <c r="J113" s="851"/>
      <c r="K113" s="851"/>
      <c r="L113" s="851"/>
      <c r="M113" s="851"/>
    </row>
    <row r="114" spans="2:13" x14ac:dyDescent="0.25">
      <c r="C114" s="851" t="s">
        <v>300</v>
      </c>
      <c r="D114" s="851"/>
      <c r="E114" s="851"/>
      <c r="F114" s="851"/>
      <c r="G114" s="860"/>
      <c r="I114" s="851" t="s">
        <v>1600</v>
      </c>
      <c r="J114" s="851"/>
      <c r="K114" s="851"/>
      <c r="L114" s="851"/>
      <c r="M114" s="860"/>
    </row>
    <row r="115" spans="2:13" ht="13.8" thickBot="1" x14ac:dyDescent="0.3">
      <c r="C115" s="889" t="s">
        <v>253</v>
      </c>
      <c r="D115" s="889"/>
      <c r="E115" s="889"/>
      <c r="F115" s="889"/>
      <c r="G115" s="890"/>
      <c r="I115" s="889" t="s">
        <v>1601</v>
      </c>
      <c r="J115" s="889"/>
      <c r="K115" s="889"/>
      <c r="L115" s="889"/>
      <c r="M115" s="890"/>
    </row>
    <row r="118" spans="2:13" x14ac:dyDescent="0.25">
      <c r="C118" s="132" t="s">
        <v>199</v>
      </c>
      <c r="D118" s="132"/>
      <c r="E118" s="132"/>
      <c r="F118" s="132"/>
      <c r="G118" s="132"/>
      <c r="H118" s="132"/>
      <c r="I118" s="132"/>
      <c r="J118" s="132"/>
      <c r="K118" s="132"/>
      <c r="L118" s="132"/>
      <c r="M118" s="132"/>
    </row>
    <row r="119" spans="2:13" ht="13.8" thickBot="1" x14ac:dyDescent="0.3">
      <c r="D119" t="s">
        <v>1602</v>
      </c>
    </row>
    <row r="120" spans="2:13" x14ac:dyDescent="0.25">
      <c r="B120">
        <v>1</v>
      </c>
      <c r="C120" s="857" t="s">
        <v>1659</v>
      </c>
      <c r="D120" s="857"/>
      <c r="E120" s="857"/>
      <c r="F120" s="857"/>
      <c r="G120" s="857"/>
      <c r="I120" s="874" t="s">
        <v>1660</v>
      </c>
      <c r="J120" s="875"/>
      <c r="K120" s="875"/>
      <c r="L120" s="875"/>
      <c r="M120" s="875"/>
    </row>
    <row r="121" spans="2:13" x14ac:dyDescent="0.25">
      <c r="B121">
        <v>2</v>
      </c>
      <c r="C121" s="851" t="s">
        <v>1661</v>
      </c>
      <c r="D121" s="851"/>
      <c r="E121" s="851"/>
      <c r="F121" s="851"/>
      <c r="G121" s="851"/>
      <c r="I121" s="851" t="s">
        <v>1662</v>
      </c>
      <c r="J121" s="851"/>
      <c r="K121" s="851"/>
      <c r="L121" s="851"/>
      <c r="M121" s="851"/>
    </row>
    <row r="122" spans="2:13" x14ac:dyDescent="0.25">
      <c r="B122">
        <v>3</v>
      </c>
      <c r="C122" s="851" t="s">
        <v>1663</v>
      </c>
      <c r="D122" s="851"/>
      <c r="E122" s="851"/>
      <c r="F122" s="851"/>
      <c r="G122" s="851"/>
      <c r="I122" s="851" t="s">
        <v>1664</v>
      </c>
      <c r="J122" s="851"/>
      <c r="K122" s="851"/>
      <c r="L122" s="851"/>
      <c r="M122" s="851"/>
    </row>
    <row r="123" spans="2:13" x14ac:dyDescent="0.25">
      <c r="B123">
        <v>4</v>
      </c>
      <c r="C123" s="851" t="s">
        <v>1665</v>
      </c>
      <c r="D123" s="851"/>
      <c r="E123" s="851"/>
      <c r="F123" s="851"/>
      <c r="G123" s="851"/>
      <c r="I123" s="851" t="s">
        <v>418</v>
      </c>
      <c r="J123" s="851"/>
      <c r="K123" s="851"/>
      <c r="L123" s="851"/>
      <c r="M123" s="851"/>
    </row>
    <row r="124" spans="2:13" x14ac:dyDescent="0.25">
      <c r="B124">
        <v>5</v>
      </c>
      <c r="C124" s="851" t="s">
        <v>1666</v>
      </c>
      <c r="D124" s="851"/>
      <c r="E124" s="851"/>
      <c r="F124" s="851"/>
      <c r="G124" s="851"/>
      <c r="I124" s="851" t="s">
        <v>1667</v>
      </c>
      <c r="J124" s="851"/>
      <c r="K124" s="851"/>
      <c r="L124" s="851"/>
      <c r="M124" s="851"/>
    </row>
    <row r="125" spans="2:13" x14ac:dyDescent="0.25">
      <c r="B125">
        <v>6</v>
      </c>
      <c r="C125" s="876" t="s">
        <v>1668</v>
      </c>
      <c r="D125" s="877"/>
      <c r="E125" s="877"/>
      <c r="F125" s="877"/>
      <c r="G125" s="878"/>
      <c r="I125" s="851" t="s">
        <v>430</v>
      </c>
      <c r="J125" s="851"/>
      <c r="K125" s="851"/>
      <c r="L125" s="851"/>
      <c r="M125" s="851"/>
    </row>
    <row r="126" spans="2:13" x14ac:dyDescent="0.25">
      <c r="B126">
        <v>7</v>
      </c>
      <c r="C126" s="851" t="s">
        <v>1669</v>
      </c>
      <c r="D126" s="851"/>
      <c r="E126" s="851"/>
      <c r="F126" s="851"/>
      <c r="G126" s="851"/>
      <c r="I126" s="851" t="s">
        <v>434</v>
      </c>
      <c r="J126" s="851"/>
      <c r="K126" s="851"/>
      <c r="L126" s="851"/>
      <c r="M126" s="851"/>
    </row>
    <row r="127" spans="2:13" x14ac:dyDescent="0.25">
      <c r="B127">
        <v>8</v>
      </c>
      <c r="C127" s="851" t="s">
        <v>1670</v>
      </c>
      <c r="D127" s="851"/>
      <c r="E127" s="851"/>
      <c r="F127" s="851"/>
      <c r="G127" s="851"/>
      <c r="I127" s="851" t="s">
        <v>438</v>
      </c>
      <c r="J127" s="851"/>
      <c r="K127" s="851"/>
      <c r="L127" s="851"/>
      <c r="M127" s="851"/>
    </row>
    <row r="128" spans="2:13" x14ac:dyDescent="0.25">
      <c r="B128">
        <v>9</v>
      </c>
      <c r="C128" s="851" t="s">
        <v>1671</v>
      </c>
      <c r="D128" s="851"/>
      <c r="E128" s="851"/>
      <c r="F128" s="851"/>
      <c r="G128" s="851"/>
      <c r="I128" s="851" t="s">
        <v>443</v>
      </c>
      <c r="J128" s="851"/>
      <c r="K128" s="851"/>
      <c r="L128" s="851"/>
      <c r="M128" s="851"/>
    </row>
    <row r="129" spans="2:13" x14ac:dyDescent="0.25">
      <c r="B129">
        <v>10</v>
      </c>
      <c r="C129" s="851" t="s">
        <v>1672</v>
      </c>
      <c r="D129" s="851"/>
      <c r="E129" s="851"/>
      <c r="F129" s="851"/>
      <c r="G129" s="851"/>
      <c r="I129" s="851" t="s">
        <v>449</v>
      </c>
      <c r="J129" s="851"/>
      <c r="K129" s="851"/>
      <c r="L129" s="851"/>
      <c r="M129" s="851"/>
    </row>
    <row r="130" spans="2:13" x14ac:dyDescent="0.25">
      <c r="B130">
        <v>11</v>
      </c>
      <c r="C130" s="851" t="s">
        <v>456</v>
      </c>
      <c r="D130" s="851"/>
      <c r="E130" s="851"/>
      <c r="F130" s="851"/>
      <c r="G130" s="851"/>
      <c r="I130" s="851" t="s">
        <v>1673</v>
      </c>
      <c r="J130" s="851"/>
      <c r="K130" s="851"/>
      <c r="L130" s="851"/>
      <c r="M130" s="851"/>
    </row>
    <row r="131" spans="2:13" x14ac:dyDescent="0.25">
      <c r="B131">
        <v>12</v>
      </c>
      <c r="C131" s="851" t="s">
        <v>1674</v>
      </c>
      <c r="D131" s="851"/>
      <c r="E131" s="851"/>
      <c r="F131" s="851"/>
      <c r="G131" s="851"/>
      <c r="I131" s="851" t="s">
        <v>402</v>
      </c>
      <c r="J131" s="851"/>
      <c r="K131" s="851"/>
      <c r="L131" s="851"/>
      <c r="M131" s="851"/>
    </row>
    <row r="132" spans="2:13" x14ac:dyDescent="0.25">
      <c r="B132">
        <v>13</v>
      </c>
      <c r="C132" s="851" t="s">
        <v>1619</v>
      </c>
      <c r="D132" s="851"/>
      <c r="E132" s="851"/>
      <c r="F132" s="851"/>
      <c r="G132" s="851"/>
      <c r="I132" s="851" t="s">
        <v>1528</v>
      </c>
      <c r="J132" s="851"/>
      <c r="K132" s="851"/>
      <c r="L132" s="851"/>
      <c r="M132" s="851"/>
    </row>
    <row r="133" spans="2:13" x14ac:dyDescent="0.25">
      <c r="B133">
        <v>14</v>
      </c>
      <c r="C133" s="851" t="s">
        <v>460</v>
      </c>
      <c r="D133" s="851"/>
      <c r="E133" s="851"/>
      <c r="F133" s="851"/>
      <c r="G133" s="851"/>
      <c r="I133" s="849" t="s">
        <v>1675</v>
      </c>
      <c r="J133" s="849"/>
      <c r="K133" s="849"/>
      <c r="L133" s="849"/>
      <c r="M133" s="849"/>
    </row>
    <row r="134" spans="2:13" ht="13.8" thickBot="1" x14ac:dyDescent="0.3">
      <c r="B134">
        <v>15</v>
      </c>
      <c r="C134" s="850" t="s">
        <v>1676</v>
      </c>
      <c r="D134" s="850"/>
      <c r="E134" s="850"/>
      <c r="F134" s="850"/>
      <c r="G134" s="850"/>
      <c r="I134" s="850" t="s">
        <v>1677</v>
      </c>
      <c r="J134" s="850"/>
      <c r="K134" s="850"/>
      <c r="L134" s="850"/>
      <c r="M134" s="850"/>
    </row>
    <row r="136" spans="2:13" ht="13.8" thickBot="1" x14ac:dyDescent="0.3">
      <c r="C136" s="133"/>
      <c r="D136" s="133" t="s">
        <v>1533</v>
      </c>
      <c r="E136" s="133"/>
      <c r="F136" s="133"/>
      <c r="G136" s="133"/>
      <c r="H136" s="133"/>
      <c r="I136" s="133"/>
      <c r="J136" s="133"/>
      <c r="K136" s="133"/>
      <c r="L136" s="133"/>
      <c r="M136" s="133"/>
    </row>
    <row r="137" spans="2:13" x14ac:dyDescent="0.25">
      <c r="C137" s="857" t="s">
        <v>1678</v>
      </c>
      <c r="D137" s="857"/>
      <c r="E137" s="857"/>
      <c r="F137" s="857"/>
      <c r="G137" s="869"/>
      <c r="I137" s="857" t="s">
        <v>1567</v>
      </c>
      <c r="J137" s="857"/>
      <c r="K137" s="857"/>
      <c r="L137" s="857"/>
      <c r="M137" s="858"/>
    </row>
    <row r="138" spans="2:13" x14ac:dyDescent="0.25">
      <c r="C138" s="853" t="s">
        <v>1536</v>
      </c>
      <c r="D138" s="853"/>
      <c r="E138" s="853"/>
      <c r="F138" s="853"/>
      <c r="G138" s="866"/>
      <c r="I138" s="853" t="s">
        <v>311</v>
      </c>
      <c r="J138" s="853"/>
      <c r="K138" s="853"/>
      <c r="L138" s="853"/>
      <c r="M138" s="854"/>
    </row>
    <row r="139" spans="2:13" x14ac:dyDescent="0.25">
      <c r="C139" s="853" t="s">
        <v>1622</v>
      </c>
      <c r="D139" s="853"/>
      <c r="E139" s="853"/>
      <c r="F139" s="853"/>
      <c r="G139" s="866"/>
      <c r="I139" s="853" t="s">
        <v>1623</v>
      </c>
      <c r="J139" s="853"/>
      <c r="K139" s="853"/>
      <c r="L139" s="853"/>
      <c r="M139" s="854"/>
    </row>
    <row r="140" spans="2:13" x14ac:dyDescent="0.25">
      <c r="C140" s="851" t="s">
        <v>1679</v>
      </c>
      <c r="D140" s="851"/>
      <c r="E140" s="851"/>
      <c r="F140" s="851"/>
      <c r="G140" s="860"/>
      <c r="I140" s="851" t="s">
        <v>1680</v>
      </c>
      <c r="J140" s="851"/>
      <c r="K140" s="851"/>
      <c r="L140" s="851"/>
      <c r="M140" s="852"/>
    </row>
    <row r="141" spans="2:13" x14ac:dyDescent="0.25">
      <c r="C141" s="853" t="s">
        <v>1626</v>
      </c>
      <c r="D141" s="853"/>
      <c r="E141" s="853"/>
      <c r="F141" s="853"/>
      <c r="G141" s="866"/>
      <c r="I141" s="866" t="s">
        <v>1627</v>
      </c>
      <c r="J141" s="884"/>
      <c r="K141" s="884"/>
      <c r="L141" s="884"/>
      <c r="M141" s="885"/>
    </row>
    <row r="142" spans="2:13" x14ac:dyDescent="0.25">
      <c r="C142" s="853" t="s">
        <v>1628</v>
      </c>
      <c r="D142" s="853"/>
      <c r="E142" s="853"/>
      <c r="F142" s="853"/>
      <c r="G142" s="866"/>
      <c r="I142" s="866" t="s">
        <v>1629</v>
      </c>
      <c r="J142" s="884"/>
      <c r="K142" s="884"/>
      <c r="L142" s="884"/>
      <c r="M142" s="885"/>
    </row>
    <row r="143" spans="2:13" x14ac:dyDescent="0.25">
      <c r="C143" s="855" t="s">
        <v>1630</v>
      </c>
      <c r="D143" s="855"/>
      <c r="E143" s="855"/>
      <c r="F143" s="855"/>
      <c r="G143" s="870"/>
      <c r="I143" s="870" t="s">
        <v>1631</v>
      </c>
      <c r="J143" s="886"/>
      <c r="K143" s="886"/>
      <c r="L143" s="886"/>
      <c r="M143" s="887"/>
    </row>
    <row r="144" spans="2:13" x14ac:dyDescent="0.25">
      <c r="C144" s="855" t="s">
        <v>1545</v>
      </c>
      <c r="D144" s="855"/>
      <c r="E144" s="855"/>
      <c r="F144" s="855"/>
      <c r="G144" s="870"/>
      <c r="I144" s="870" t="s">
        <v>1546</v>
      </c>
      <c r="J144" s="886"/>
      <c r="K144" s="886"/>
      <c r="L144" s="886"/>
      <c r="M144" s="887"/>
    </row>
    <row r="145" spans="3:13" x14ac:dyDescent="0.25">
      <c r="C145" s="853" t="s">
        <v>1681</v>
      </c>
      <c r="D145" s="853"/>
      <c r="E145" s="853"/>
      <c r="F145" s="853"/>
      <c r="G145" s="866"/>
      <c r="I145" s="866" t="s">
        <v>1682</v>
      </c>
      <c r="J145" s="884"/>
      <c r="K145" s="884"/>
      <c r="L145" s="884"/>
      <c r="M145" s="885"/>
    </row>
    <row r="146" spans="3:13" x14ac:dyDescent="0.25">
      <c r="C146" s="853" t="s">
        <v>1683</v>
      </c>
      <c r="D146" s="853"/>
      <c r="E146" s="853"/>
      <c r="F146" s="853"/>
      <c r="G146" s="866"/>
      <c r="I146" s="853" t="s">
        <v>1684</v>
      </c>
      <c r="J146" s="853"/>
      <c r="K146" s="853"/>
      <c r="L146" s="853"/>
      <c r="M146" s="854"/>
    </row>
    <row r="147" spans="3:13" x14ac:dyDescent="0.25">
      <c r="C147" s="871" t="s">
        <v>1635</v>
      </c>
      <c r="D147" s="851"/>
      <c r="E147" s="851"/>
      <c r="F147" s="851"/>
      <c r="G147" s="860"/>
      <c r="I147" s="871" t="s">
        <v>1685</v>
      </c>
      <c r="J147" s="851"/>
      <c r="K147" s="851"/>
      <c r="L147" s="851"/>
      <c r="M147" s="852"/>
    </row>
    <row r="148" spans="3:13" x14ac:dyDescent="0.25">
      <c r="C148" s="853" t="s">
        <v>1637</v>
      </c>
      <c r="D148" s="853"/>
      <c r="E148" s="853"/>
      <c r="F148" s="853"/>
      <c r="G148" s="866"/>
      <c r="I148" s="853" t="s">
        <v>1686</v>
      </c>
      <c r="J148" s="853"/>
      <c r="K148" s="853"/>
      <c r="L148" s="853"/>
      <c r="M148" s="854"/>
    </row>
    <row r="149" spans="3:13" x14ac:dyDescent="0.25">
      <c r="C149" s="851" t="s">
        <v>1639</v>
      </c>
      <c r="D149" s="851"/>
      <c r="E149" s="851"/>
      <c r="F149" s="851"/>
      <c r="G149" s="860"/>
      <c r="I149" s="851" t="s">
        <v>1640</v>
      </c>
      <c r="J149" s="851"/>
      <c r="K149" s="851"/>
      <c r="L149" s="851"/>
      <c r="M149" s="852"/>
    </row>
    <row r="150" spans="3:13" x14ac:dyDescent="0.25">
      <c r="C150" s="853" t="s">
        <v>1567</v>
      </c>
      <c r="D150" s="853"/>
      <c r="E150" s="853"/>
      <c r="F150" s="853"/>
      <c r="G150" s="866"/>
      <c r="I150" s="853" t="s">
        <v>1567</v>
      </c>
      <c r="J150" s="853"/>
      <c r="K150" s="853"/>
      <c r="L150" s="853"/>
      <c r="M150" s="854"/>
    </row>
    <row r="151" spans="3:13" x14ac:dyDescent="0.25">
      <c r="C151" s="853" t="s">
        <v>1567</v>
      </c>
      <c r="D151" s="853"/>
      <c r="E151" s="853"/>
      <c r="F151" s="853"/>
      <c r="G151" s="866"/>
      <c r="I151" s="853" t="s">
        <v>1567</v>
      </c>
      <c r="J151" s="853"/>
      <c r="K151" s="853"/>
      <c r="L151" s="853"/>
      <c r="M151" s="854"/>
    </row>
    <row r="152" spans="3:13" x14ac:dyDescent="0.25">
      <c r="C152" s="851" t="s">
        <v>1687</v>
      </c>
      <c r="D152" s="851"/>
      <c r="E152" s="851"/>
      <c r="F152" s="851"/>
      <c r="G152" s="860"/>
      <c r="I152" s="851" t="s">
        <v>1688</v>
      </c>
      <c r="J152" s="851"/>
      <c r="K152" s="851"/>
      <c r="L152" s="851"/>
      <c r="M152" s="852"/>
    </row>
    <row r="153" spans="3:13" x14ac:dyDescent="0.25">
      <c r="C153" s="853" t="s">
        <v>1689</v>
      </c>
      <c r="D153" s="853"/>
      <c r="E153" s="853"/>
      <c r="F153" s="853"/>
      <c r="G153" s="866"/>
      <c r="I153" s="853" t="s">
        <v>1690</v>
      </c>
      <c r="J153" s="853"/>
      <c r="K153" s="853"/>
      <c r="L153" s="853"/>
      <c r="M153" s="854"/>
    </row>
    <row r="154" spans="3:13" x14ac:dyDescent="0.25">
      <c r="C154" s="853" t="s">
        <v>1564</v>
      </c>
      <c r="D154" s="853"/>
      <c r="E154" s="853"/>
      <c r="F154" s="853"/>
      <c r="G154" s="866"/>
      <c r="I154" s="853" t="s">
        <v>1691</v>
      </c>
      <c r="J154" s="853"/>
      <c r="K154" s="853"/>
      <c r="L154" s="853"/>
      <c r="M154" s="854"/>
    </row>
    <row r="155" spans="3:13" x14ac:dyDescent="0.25">
      <c r="C155" s="853" t="s">
        <v>1692</v>
      </c>
      <c r="D155" s="853"/>
      <c r="E155" s="853"/>
      <c r="F155" s="853"/>
      <c r="G155" s="866"/>
      <c r="I155" s="853" t="s">
        <v>1693</v>
      </c>
      <c r="J155" s="853"/>
      <c r="K155" s="853"/>
      <c r="L155" s="853"/>
      <c r="M155" s="854"/>
    </row>
    <row r="156" spans="3:13" x14ac:dyDescent="0.25">
      <c r="C156" s="853" t="s">
        <v>1567</v>
      </c>
      <c r="D156" s="853"/>
      <c r="E156" s="853"/>
      <c r="F156" s="853"/>
      <c r="G156" s="866"/>
      <c r="I156" s="853" t="s">
        <v>1567</v>
      </c>
      <c r="J156" s="853"/>
      <c r="K156" s="853"/>
      <c r="L156" s="853"/>
      <c r="M156" s="854"/>
    </row>
    <row r="157" spans="3:13" x14ac:dyDescent="0.25">
      <c r="C157" s="853" t="s">
        <v>1646</v>
      </c>
      <c r="D157" s="853"/>
      <c r="E157" s="853"/>
      <c r="F157" s="853"/>
      <c r="G157" s="866"/>
      <c r="I157" s="853" t="s">
        <v>1647</v>
      </c>
      <c r="J157" s="853"/>
      <c r="K157" s="853"/>
      <c r="L157" s="853"/>
      <c r="M157" s="854"/>
    </row>
    <row r="158" spans="3:13" x14ac:dyDescent="0.25">
      <c r="C158" s="853" t="s">
        <v>1694</v>
      </c>
      <c r="D158" s="853"/>
      <c r="E158" s="853"/>
      <c r="F158" s="853"/>
      <c r="G158" s="866"/>
      <c r="I158" s="853" t="s">
        <v>1695</v>
      </c>
      <c r="J158" s="853"/>
      <c r="K158" s="853"/>
      <c r="L158" s="853"/>
      <c r="M158" s="854"/>
    </row>
    <row r="159" spans="3:13" x14ac:dyDescent="0.25">
      <c r="C159" s="853" t="s">
        <v>1572</v>
      </c>
      <c r="D159" s="853"/>
      <c r="E159" s="853"/>
      <c r="F159" s="853"/>
      <c r="G159" s="866"/>
      <c r="I159" s="853" t="s">
        <v>1573</v>
      </c>
      <c r="J159" s="853"/>
      <c r="K159" s="853"/>
      <c r="L159" s="853"/>
      <c r="M159" s="854"/>
    </row>
    <row r="160" spans="3:13" x14ac:dyDescent="0.25">
      <c r="C160" s="891" t="s">
        <v>1696</v>
      </c>
      <c r="D160" s="891"/>
      <c r="E160" s="891"/>
      <c r="F160" s="891"/>
      <c r="G160" s="892"/>
      <c r="I160" s="853" t="s">
        <v>1651</v>
      </c>
      <c r="J160" s="853"/>
      <c r="K160" s="853"/>
      <c r="L160" s="853"/>
      <c r="M160" s="854"/>
    </row>
    <row r="161" spans="3:13" x14ac:dyDescent="0.25">
      <c r="C161" s="853" t="s">
        <v>1567</v>
      </c>
      <c r="D161" s="853"/>
      <c r="E161" s="853"/>
      <c r="F161" s="853"/>
      <c r="G161" s="866"/>
      <c r="I161" s="853" t="s">
        <v>1567</v>
      </c>
      <c r="J161" s="853"/>
      <c r="K161" s="853"/>
      <c r="L161" s="853"/>
      <c r="M161" s="854"/>
    </row>
    <row r="162" spans="3:13" x14ac:dyDescent="0.25">
      <c r="C162" s="853" t="s">
        <v>1578</v>
      </c>
      <c r="D162" s="853"/>
      <c r="E162" s="853"/>
      <c r="F162" s="853"/>
      <c r="G162" s="866"/>
      <c r="I162" s="853" t="s">
        <v>1652</v>
      </c>
      <c r="J162" s="853"/>
      <c r="K162" s="853"/>
      <c r="L162" s="853"/>
      <c r="M162" s="854"/>
    </row>
    <row r="163" spans="3:13" x14ac:dyDescent="0.25">
      <c r="C163" s="853" t="s">
        <v>1580</v>
      </c>
      <c r="D163" s="853"/>
      <c r="E163" s="853"/>
      <c r="F163" s="853"/>
      <c r="G163" s="866"/>
      <c r="I163" s="853" t="s">
        <v>1581</v>
      </c>
      <c r="J163" s="853"/>
      <c r="K163" s="853"/>
      <c r="L163" s="853"/>
      <c r="M163" s="854"/>
    </row>
    <row r="164" spans="3:13" x14ac:dyDescent="0.25">
      <c r="C164" s="853" t="s">
        <v>1582</v>
      </c>
      <c r="D164" s="853"/>
      <c r="E164" s="853"/>
      <c r="F164" s="853"/>
      <c r="G164" s="866"/>
      <c r="I164" s="853" t="s">
        <v>1654</v>
      </c>
      <c r="J164" s="853"/>
      <c r="K164" s="853"/>
      <c r="L164" s="853"/>
      <c r="M164" s="854"/>
    </row>
    <row r="165" spans="3:13" x14ac:dyDescent="0.25">
      <c r="C165" s="853" t="s">
        <v>1584</v>
      </c>
      <c r="D165" s="853"/>
      <c r="E165" s="853"/>
      <c r="F165" s="853"/>
      <c r="G165" s="866"/>
      <c r="I165" s="867" t="s">
        <v>1585</v>
      </c>
      <c r="J165" s="867"/>
      <c r="K165" s="867"/>
      <c r="L165" s="867"/>
      <c r="M165" s="893"/>
    </row>
    <row r="166" spans="3:13" x14ac:dyDescent="0.25">
      <c r="C166" s="853" t="s">
        <v>1697</v>
      </c>
      <c r="D166" s="853"/>
      <c r="E166" s="853"/>
      <c r="F166" s="853"/>
      <c r="G166" s="866"/>
      <c r="I166" s="853" t="s">
        <v>1698</v>
      </c>
      <c r="J166" s="853"/>
      <c r="K166" s="853"/>
      <c r="L166" s="853"/>
      <c r="M166" s="854"/>
    </row>
    <row r="167" spans="3:13" x14ac:dyDescent="0.25">
      <c r="C167" s="853" t="s">
        <v>1567</v>
      </c>
      <c r="D167" s="853"/>
      <c r="E167" s="853"/>
      <c r="F167" s="853"/>
      <c r="G167" s="866"/>
      <c r="I167" s="853" t="s">
        <v>1567</v>
      </c>
      <c r="J167" s="853"/>
      <c r="K167" s="853"/>
      <c r="L167" s="853"/>
      <c r="M167" s="854"/>
    </row>
    <row r="168" spans="3:13" x14ac:dyDescent="0.25">
      <c r="C168" s="853" t="s">
        <v>1655</v>
      </c>
      <c r="D168" s="853"/>
      <c r="E168" s="853"/>
      <c r="F168" s="853"/>
      <c r="G168" s="866"/>
      <c r="I168" s="853" t="s">
        <v>1656</v>
      </c>
      <c r="J168" s="853"/>
      <c r="K168" s="853"/>
      <c r="L168" s="853"/>
      <c r="M168" s="854"/>
    </row>
    <row r="169" spans="3:13" x14ac:dyDescent="0.25">
      <c r="C169" s="851" t="s">
        <v>1699</v>
      </c>
      <c r="D169" s="851"/>
      <c r="E169" s="851"/>
      <c r="F169" s="851"/>
      <c r="G169" s="860"/>
      <c r="H169" s="166"/>
      <c r="I169" s="851" t="s">
        <v>1700</v>
      </c>
      <c r="J169" s="851"/>
      <c r="K169" s="851"/>
      <c r="L169" s="851"/>
      <c r="M169" s="852"/>
    </row>
    <row r="170" spans="3:13" x14ac:dyDescent="0.25">
      <c r="C170" s="853" t="s">
        <v>1701</v>
      </c>
      <c r="D170" s="853"/>
      <c r="E170" s="853"/>
      <c r="F170" s="853"/>
      <c r="G170" s="866"/>
      <c r="I170" s="853" t="s">
        <v>1702</v>
      </c>
      <c r="J170" s="853"/>
      <c r="K170" s="853"/>
      <c r="L170" s="853"/>
      <c r="M170" s="854"/>
    </row>
    <row r="171" spans="3:13" x14ac:dyDescent="0.25">
      <c r="C171" s="853" t="s">
        <v>1596</v>
      </c>
      <c r="D171" s="853"/>
      <c r="E171" s="853"/>
      <c r="F171" s="853"/>
      <c r="G171" s="866"/>
      <c r="I171" s="853" t="s">
        <v>1597</v>
      </c>
      <c r="J171" s="853"/>
      <c r="K171" s="853"/>
      <c r="L171" s="853"/>
      <c r="M171" s="854"/>
    </row>
    <row r="172" spans="3:13" x14ac:dyDescent="0.25">
      <c r="C172" s="851" t="s">
        <v>1703</v>
      </c>
      <c r="D172" s="851"/>
      <c r="E172" s="851"/>
      <c r="F172" s="851"/>
      <c r="G172" s="860"/>
      <c r="I172" s="851" t="s">
        <v>404</v>
      </c>
      <c r="J172" s="851"/>
      <c r="K172" s="851"/>
      <c r="L172" s="851"/>
      <c r="M172" s="852"/>
    </row>
    <row r="173" spans="3:13" x14ac:dyDescent="0.25">
      <c r="C173" s="851" t="s">
        <v>1704</v>
      </c>
      <c r="D173" s="851"/>
      <c r="E173" s="851"/>
      <c r="F173" s="851"/>
      <c r="G173" s="860"/>
      <c r="I173" s="871" t="s">
        <v>1599</v>
      </c>
      <c r="J173" s="851"/>
      <c r="K173" s="851"/>
      <c r="L173" s="851"/>
      <c r="M173" s="852"/>
    </row>
    <row r="174" spans="3:13" x14ac:dyDescent="0.25">
      <c r="C174" s="853" t="s">
        <v>1567</v>
      </c>
      <c r="D174" s="853"/>
      <c r="E174" s="853"/>
      <c r="F174" s="853"/>
      <c r="G174" s="866"/>
      <c r="I174" s="853" t="s">
        <v>1567</v>
      </c>
      <c r="J174" s="853"/>
      <c r="K174" s="853"/>
      <c r="L174" s="853"/>
      <c r="M174" s="854"/>
    </row>
    <row r="175" spans="3:13" ht="13.8" thickBot="1" x14ac:dyDescent="0.3">
      <c r="C175" s="850" t="s">
        <v>253</v>
      </c>
      <c r="D175" s="850"/>
      <c r="E175" s="850"/>
      <c r="F175" s="850"/>
      <c r="G175" s="872"/>
      <c r="I175" s="850" t="s">
        <v>1601</v>
      </c>
      <c r="J175" s="850"/>
      <c r="K175" s="850"/>
      <c r="L175" s="850"/>
      <c r="M175" s="873"/>
    </row>
    <row r="179" spans="3:17" x14ac:dyDescent="0.25">
      <c r="C179" s="133" t="s">
        <v>1705</v>
      </c>
      <c r="D179" s="133"/>
      <c r="E179" s="133"/>
      <c r="F179" s="133"/>
      <c r="G179" s="133"/>
      <c r="H179" s="133"/>
      <c r="I179" s="133"/>
      <c r="J179" s="133"/>
      <c r="K179" s="133"/>
      <c r="L179" s="133"/>
      <c r="M179" s="133"/>
      <c r="N179" s="133"/>
      <c r="O179" s="133"/>
      <c r="P179" s="133"/>
      <c r="Q179" s="133"/>
    </row>
    <row r="181" spans="3:17" x14ac:dyDescent="0.25">
      <c r="N181" s="77" t="s">
        <v>1706</v>
      </c>
      <c r="P181" s="58" t="s">
        <v>750</v>
      </c>
    </row>
    <row r="182" spans="3:17" x14ac:dyDescent="0.25">
      <c r="C182" s="826" t="s">
        <v>704</v>
      </c>
      <c r="D182" s="827"/>
      <c r="E182" s="828"/>
      <c r="G182" s="826" t="s">
        <v>1707</v>
      </c>
      <c r="H182" s="827"/>
      <c r="I182" s="828"/>
      <c r="N182" s="691" t="s">
        <v>1708</v>
      </c>
      <c r="P182" s="687" t="s">
        <v>752</v>
      </c>
    </row>
    <row r="183" spans="3:17" x14ac:dyDescent="0.25">
      <c r="C183" s="829"/>
      <c r="D183" s="830"/>
      <c r="E183" s="831"/>
      <c r="G183" s="829"/>
      <c r="H183" s="830"/>
      <c r="I183" s="831"/>
      <c r="N183" s="691" t="s">
        <v>1706</v>
      </c>
      <c r="P183" s="687" t="s">
        <v>750</v>
      </c>
    </row>
    <row r="184" spans="3:17" x14ac:dyDescent="0.25">
      <c r="C184" s="832" t="s">
        <v>706</v>
      </c>
      <c r="D184" s="833"/>
      <c r="E184" s="833"/>
      <c r="G184" s="832" t="s">
        <v>1709</v>
      </c>
      <c r="H184" s="833"/>
      <c r="I184" s="833"/>
      <c r="N184" s="691" t="s">
        <v>1708</v>
      </c>
      <c r="P184" s="687" t="s">
        <v>752</v>
      </c>
    </row>
    <row r="185" spans="3:17" x14ac:dyDescent="0.25">
      <c r="C185" s="829"/>
      <c r="D185" s="830"/>
      <c r="E185" s="830"/>
      <c r="G185" s="829"/>
      <c r="H185" s="830"/>
      <c r="I185" s="830"/>
      <c r="N185" s="692" t="s">
        <v>1706</v>
      </c>
      <c r="P185" s="688" t="s">
        <v>750</v>
      </c>
    </row>
    <row r="186" spans="3:17" x14ac:dyDescent="0.25">
      <c r="C186" s="820" t="s">
        <v>708</v>
      </c>
      <c r="D186" s="821"/>
      <c r="E186" s="822"/>
      <c r="G186" s="820" t="s">
        <v>1710</v>
      </c>
      <c r="H186" s="821"/>
      <c r="I186" s="822"/>
      <c r="N186" s="692" t="s">
        <v>1708</v>
      </c>
      <c r="P186" s="688" t="s">
        <v>752</v>
      </c>
    </row>
    <row r="187" spans="3:17" x14ac:dyDescent="0.25">
      <c r="C187" s="834"/>
      <c r="D187" s="835"/>
      <c r="E187" s="836"/>
      <c r="G187" s="834"/>
      <c r="H187" s="835"/>
      <c r="I187" s="836"/>
      <c r="N187" s="691" t="s">
        <v>1706</v>
      </c>
      <c r="P187" s="687" t="s">
        <v>750</v>
      </c>
    </row>
    <row r="188" spans="3:17" x14ac:dyDescent="0.25">
      <c r="C188" s="814" t="s">
        <v>710</v>
      </c>
      <c r="D188" s="815"/>
      <c r="E188" s="816"/>
      <c r="G188" s="814" t="s">
        <v>1711</v>
      </c>
      <c r="H188" s="815"/>
      <c r="I188" s="816"/>
      <c r="N188" s="691" t="s">
        <v>1708</v>
      </c>
      <c r="P188" s="687" t="s">
        <v>752</v>
      </c>
    </row>
    <row r="189" spans="3:17" x14ac:dyDescent="0.25">
      <c r="C189" s="817"/>
      <c r="D189" s="818"/>
      <c r="E189" s="819"/>
      <c r="G189" s="817"/>
      <c r="H189" s="818"/>
      <c r="I189" s="819"/>
      <c r="N189" s="691" t="s">
        <v>1706</v>
      </c>
      <c r="P189" s="687" t="s">
        <v>750</v>
      </c>
    </row>
    <row r="190" spans="3:17" x14ac:dyDescent="0.25">
      <c r="C190" s="837" t="s">
        <v>712</v>
      </c>
      <c r="D190" s="838"/>
      <c r="E190" s="839"/>
      <c r="G190" s="837" t="s">
        <v>1712</v>
      </c>
      <c r="H190" s="838"/>
      <c r="I190" s="839"/>
      <c r="N190" s="691" t="s">
        <v>1708</v>
      </c>
      <c r="P190" s="687" t="s">
        <v>752</v>
      </c>
    </row>
    <row r="191" spans="3:17" x14ac:dyDescent="0.25">
      <c r="C191" s="840"/>
      <c r="D191" s="841"/>
      <c r="E191" s="842"/>
      <c r="G191" s="840"/>
      <c r="H191" s="841"/>
      <c r="I191" s="842"/>
      <c r="N191" s="691" t="s">
        <v>1706</v>
      </c>
      <c r="P191" s="687" t="s">
        <v>750</v>
      </c>
    </row>
    <row r="192" spans="3:17" x14ac:dyDescent="0.25">
      <c r="C192" s="814" t="s">
        <v>714</v>
      </c>
      <c r="D192" s="815"/>
      <c r="E192" s="816"/>
      <c r="G192" s="814" t="s">
        <v>1713</v>
      </c>
      <c r="H192" s="815"/>
      <c r="I192" s="816"/>
      <c r="N192" s="691" t="s">
        <v>1708</v>
      </c>
      <c r="P192" s="687" t="s">
        <v>752</v>
      </c>
    </row>
    <row r="193" spans="3:16" x14ac:dyDescent="0.25">
      <c r="C193" s="817"/>
      <c r="D193" s="818"/>
      <c r="E193" s="819"/>
      <c r="G193" s="817"/>
      <c r="H193" s="818"/>
      <c r="I193" s="819"/>
      <c r="N193" s="692" t="s">
        <v>1706</v>
      </c>
      <c r="P193" s="688" t="s">
        <v>750</v>
      </c>
    </row>
    <row r="194" spans="3:16" x14ac:dyDescent="0.25">
      <c r="C194" s="820" t="s">
        <v>716</v>
      </c>
      <c r="D194" s="821"/>
      <c r="E194" s="822"/>
      <c r="G194" s="820" t="s">
        <v>1714</v>
      </c>
      <c r="H194" s="821"/>
      <c r="I194" s="822"/>
      <c r="N194" s="692" t="s">
        <v>1708</v>
      </c>
      <c r="P194" s="688" t="s">
        <v>752</v>
      </c>
    </row>
    <row r="195" spans="3:16" x14ac:dyDescent="0.25">
      <c r="C195" s="834"/>
      <c r="D195" s="835"/>
      <c r="E195" s="836"/>
      <c r="G195" s="834"/>
      <c r="H195" s="835"/>
      <c r="I195" s="836"/>
      <c r="N195" s="693" t="s">
        <v>1706</v>
      </c>
      <c r="P195" s="689" t="s">
        <v>750</v>
      </c>
    </row>
    <row r="196" spans="3:16" x14ac:dyDescent="0.25">
      <c r="C196" s="814" t="s">
        <v>718</v>
      </c>
      <c r="D196" s="815"/>
      <c r="E196" s="816"/>
      <c r="G196" s="814" t="s">
        <v>1715</v>
      </c>
      <c r="H196" s="815"/>
      <c r="I196" s="816"/>
      <c r="N196" s="693" t="s">
        <v>1708</v>
      </c>
      <c r="P196" s="689" t="s">
        <v>752</v>
      </c>
    </row>
    <row r="197" spans="3:16" x14ac:dyDescent="0.25">
      <c r="C197" s="817"/>
      <c r="D197" s="818"/>
      <c r="E197" s="819"/>
      <c r="G197" s="817"/>
      <c r="H197" s="818"/>
      <c r="I197" s="819"/>
      <c r="N197" s="693" t="s">
        <v>1706</v>
      </c>
      <c r="P197" s="689" t="s">
        <v>750</v>
      </c>
    </row>
    <row r="198" spans="3:16" x14ac:dyDescent="0.25">
      <c r="C198" s="814" t="s">
        <v>720</v>
      </c>
      <c r="D198" s="815"/>
      <c r="E198" s="816"/>
      <c r="G198" s="814" t="s">
        <v>1716</v>
      </c>
      <c r="H198" s="815"/>
      <c r="I198" s="816"/>
      <c r="N198" s="693" t="s">
        <v>1708</v>
      </c>
      <c r="P198" s="689" t="s">
        <v>752</v>
      </c>
    </row>
    <row r="199" spans="3:16" x14ac:dyDescent="0.25">
      <c r="C199" s="817"/>
      <c r="D199" s="818"/>
      <c r="E199" s="819"/>
      <c r="G199" s="817"/>
      <c r="H199" s="818"/>
      <c r="I199" s="819"/>
      <c r="N199" s="693" t="s">
        <v>1706</v>
      </c>
      <c r="P199" s="689" t="s">
        <v>750</v>
      </c>
    </row>
    <row r="200" spans="3:16" x14ac:dyDescent="0.25">
      <c r="C200" s="814" t="s">
        <v>722</v>
      </c>
      <c r="D200" s="815"/>
      <c r="E200" s="816"/>
      <c r="G200" s="814" t="s">
        <v>1717</v>
      </c>
      <c r="H200" s="815"/>
      <c r="I200" s="816"/>
      <c r="N200" s="693" t="s">
        <v>1708</v>
      </c>
      <c r="P200" s="689" t="s">
        <v>752</v>
      </c>
    </row>
    <row r="201" spans="3:16" x14ac:dyDescent="0.25">
      <c r="C201" s="817"/>
      <c r="D201" s="818"/>
      <c r="E201" s="819"/>
      <c r="G201" s="817"/>
      <c r="H201" s="818"/>
      <c r="I201" s="819"/>
      <c r="N201" s="693" t="s">
        <v>1706</v>
      </c>
      <c r="P201" s="689" t="s">
        <v>750</v>
      </c>
    </row>
    <row r="202" spans="3:16" x14ac:dyDescent="0.25">
      <c r="C202" s="814" t="s">
        <v>724</v>
      </c>
      <c r="D202" s="815"/>
      <c r="E202" s="816"/>
      <c r="G202" s="814" t="s">
        <v>1718</v>
      </c>
      <c r="H202" s="815"/>
      <c r="I202" s="816"/>
      <c r="N202" s="693" t="s">
        <v>1708</v>
      </c>
      <c r="P202" s="689" t="s">
        <v>752</v>
      </c>
    </row>
    <row r="203" spans="3:16" x14ac:dyDescent="0.25">
      <c r="C203" s="817"/>
      <c r="D203" s="818"/>
      <c r="E203" s="819"/>
      <c r="G203" s="817"/>
      <c r="H203" s="818"/>
      <c r="I203" s="819"/>
      <c r="N203" s="693" t="s">
        <v>1706</v>
      </c>
      <c r="P203" s="689" t="s">
        <v>750</v>
      </c>
    </row>
    <row r="204" spans="3:16" x14ac:dyDescent="0.25">
      <c r="C204" s="814" t="s">
        <v>726</v>
      </c>
      <c r="D204" s="815"/>
      <c r="E204" s="816"/>
      <c r="G204" s="814" t="s">
        <v>1719</v>
      </c>
      <c r="H204" s="815"/>
      <c r="I204" s="816"/>
      <c r="N204" s="693" t="s">
        <v>1708</v>
      </c>
      <c r="P204" s="689" t="s">
        <v>752</v>
      </c>
    </row>
    <row r="205" spans="3:16" x14ac:dyDescent="0.25">
      <c r="C205" s="817"/>
      <c r="D205" s="818"/>
      <c r="E205" s="819"/>
      <c r="G205" s="817"/>
      <c r="H205" s="818"/>
      <c r="I205" s="819"/>
      <c r="N205" s="692" t="s">
        <v>1706</v>
      </c>
      <c r="P205" s="688" t="s">
        <v>750</v>
      </c>
    </row>
    <row r="206" spans="3:16" x14ac:dyDescent="0.25">
      <c r="C206" s="820" t="s">
        <v>1720</v>
      </c>
      <c r="D206" s="821"/>
      <c r="E206" s="822"/>
      <c r="G206" s="820" t="s">
        <v>1721</v>
      </c>
      <c r="H206" s="821"/>
      <c r="I206" s="822"/>
      <c r="N206" s="692" t="s">
        <v>1708</v>
      </c>
      <c r="P206" s="688" t="s">
        <v>752</v>
      </c>
    </row>
    <row r="207" spans="3:16" x14ac:dyDescent="0.25">
      <c r="C207" s="834"/>
      <c r="D207" s="835"/>
      <c r="E207" s="836"/>
      <c r="G207" s="834"/>
      <c r="H207" s="835"/>
      <c r="I207" s="836"/>
      <c r="N207" s="693" t="s">
        <v>1706</v>
      </c>
      <c r="P207" s="689" t="s">
        <v>750</v>
      </c>
    </row>
    <row r="208" spans="3:16" x14ac:dyDescent="0.25">
      <c r="C208" s="814" t="s">
        <v>1722</v>
      </c>
      <c r="D208" s="815"/>
      <c r="E208" s="816"/>
      <c r="G208" s="814" t="s">
        <v>1723</v>
      </c>
      <c r="H208" s="815"/>
      <c r="I208" s="816"/>
      <c r="N208" s="693" t="s">
        <v>1708</v>
      </c>
      <c r="P208" s="689" t="s">
        <v>752</v>
      </c>
    </row>
    <row r="209" spans="3:16" x14ac:dyDescent="0.25">
      <c r="C209" s="817"/>
      <c r="D209" s="818"/>
      <c r="E209" s="819"/>
      <c r="G209" s="817"/>
      <c r="H209" s="818"/>
      <c r="I209" s="819"/>
      <c r="N209" s="692" t="s">
        <v>1706</v>
      </c>
      <c r="P209" s="688" t="s">
        <v>750</v>
      </c>
    </row>
    <row r="210" spans="3:16" x14ac:dyDescent="0.25">
      <c r="C210" s="820" t="s">
        <v>732</v>
      </c>
      <c r="D210" s="821"/>
      <c r="E210" s="822"/>
      <c r="G210" s="820" t="s">
        <v>1724</v>
      </c>
      <c r="H210" s="821"/>
      <c r="I210" s="822"/>
      <c r="N210" s="692" t="s">
        <v>1708</v>
      </c>
      <c r="P210" s="688" t="s">
        <v>752</v>
      </c>
    </row>
    <row r="211" spans="3:16" x14ac:dyDescent="0.25">
      <c r="C211" s="834"/>
      <c r="D211" s="835"/>
      <c r="E211" s="836"/>
      <c r="G211" s="834"/>
      <c r="H211" s="835"/>
      <c r="I211" s="836"/>
      <c r="N211" s="693" t="s">
        <v>1706</v>
      </c>
      <c r="P211" s="689" t="s">
        <v>750</v>
      </c>
    </row>
    <row r="212" spans="3:16" x14ac:dyDescent="0.25">
      <c r="C212" s="814" t="s">
        <v>1722</v>
      </c>
      <c r="D212" s="815"/>
      <c r="E212" s="816"/>
      <c r="G212" s="814" t="s">
        <v>1723</v>
      </c>
      <c r="H212" s="815"/>
      <c r="I212" s="816"/>
      <c r="N212" s="693" t="s">
        <v>1708</v>
      </c>
      <c r="P212" s="689" t="s">
        <v>752</v>
      </c>
    </row>
    <row r="213" spans="3:16" x14ac:dyDescent="0.25">
      <c r="C213" s="817"/>
      <c r="D213" s="818"/>
      <c r="E213" s="819"/>
      <c r="G213" s="817"/>
      <c r="H213" s="818"/>
      <c r="I213" s="819"/>
      <c r="N213" s="693" t="s">
        <v>1706</v>
      </c>
      <c r="P213" s="689" t="s">
        <v>750</v>
      </c>
    </row>
    <row r="214" spans="3:16" x14ac:dyDescent="0.25">
      <c r="C214" s="843" t="s">
        <v>1725</v>
      </c>
      <c r="D214" s="844"/>
      <c r="E214" s="845"/>
      <c r="G214" s="843" t="s">
        <v>1726</v>
      </c>
      <c r="H214" s="844"/>
      <c r="I214" s="845"/>
      <c r="N214" s="693" t="s">
        <v>1708</v>
      </c>
      <c r="P214" s="689" t="s">
        <v>752</v>
      </c>
    </row>
    <row r="215" spans="3:16" x14ac:dyDescent="0.25">
      <c r="C215" s="846"/>
      <c r="D215" s="847"/>
      <c r="E215" s="848"/>
      <c r="G215" s="846"/>
      <c r="H215" s="847"/>
      <c r="I215" s="848"/>
      <c r="N215" s="692" t="s">
        <v>1706</v>
      </c>
      <c r="P215" s="688" t="s">
        <v>750</v>
      </c>
    </row>
    <row r="216" spans="3:16" x14ac:dyDescent="0.25">
      <c r="C216" s="820" t="s">
        <v>737</v>
      </c>
      <c r="D216" s="821"/>
      <c r="E216" s="822"/>
      <c r="G216" s="820" t="s">
        <v>1727</v>
      </c>
      <c r="H216" s="821"/>
      <c r="I216" s="822"/>
      <c r="N216" s="692" t="s">
        <v>1708</v>
      </c>
      <c r="P216" s="688" t="s">
        <v>752</v>
      </c>
    </row>
    <row r="217" spans="3:16" x14ac:dyDescent="0.25">
      <c r="C217" s="834"/>
      <c r="D217" s="835"/>
      <c r="E217" s="836"/>
      <c r="G217" s="834"/>
      <c r="H217" s="835"/>
      <c r="I217" s="836"/>
      <c r="N217" s="693" t="s">
        <v>1706</v>
      </c>
      <c r="P217" s="689" t="s">
        <v>750</v>
      </c>
    </row>
    <row r="218" spans="3:16" x14ac:dyDescent="0.25">
      <c r="C218" s="814" t="s">
        <v>739</v>
      </c>
      <c r="D218" s="815"/>
      <c r="E218" s="816"/>
      <c r="G218" s="814" t="s">
        <v>1728</v>
      </c>
      <c r="H218" s="815"/>
      <c r="I218" s="816"/>
      <c r="N218" s="693" t="s">
        <v>1708</v>
      </c>
      <c r="P218" s="689" t="s">
        <v>752</v>
      </c>
    </row>
    <row r="219" spans="3:16" x14ac:dyDescent="0.25">
      <c r="C219" s="817"/>
      <c r="D219" s="818"/>
      <c r="E219" s="819"/>
      <c r="G219" s="817"/>
      <c r="H219" s="818"/>
      <c r="I219" s="819"/>
      <c r="N219" s="693" t="s">
        <v>1706</v>
      </c>
      <c r="P219" s="689" t="s">
        <v>750</v>
      </c>
    </row>
    <row r="220" spans="3:16" x14ac:dyDescent="0.25">
      <c r="C220" s="814" t="s">
        <v>1729</v>
      </c>
      <c r="D220" s="815"/>
      <c r="E220" s="816"/>
      <c r="G220" s="814" t="s">
        <v>1729</v>
      </c>
      <c r="H220" s="815"/>
      <c r="I220" s="816"/>
      <c r="N220" s="693" t="s">
        <v>1708</v>
      </c>
      <c r="P220" s="689" t="s">
        <v>752</v>
      </c>
    </row>
    <row r="221" spans="3:16" x14ac:dyDescent="0.25">
      <c r="C221" s="817"/>
      <c r="D221" s="818"/>
      <c r="E221" s="819"/>
      <c r="G221" s="817"/>
      <c r="H221" s="818"/>
      <c r="I221" s="819"/>
      <c r="N221" s="692" t="s">
        <v>1706</v>
      </c>
      <c r="P221" s="688" t="s">
        <v>750</v>
      </c>
    </row>
    <row r="222" spans="3:16" x14ac:dyDescent="0.25">
      <c r="C222" s="820" t="s">
        <v>743</v>
      </c>
      <c r="D222" s="821"/>
      <c r="E222" s="822"/>
      <c r="G222" s="820" t="s">
        <v>1730</v>
      </c>
      <c r="H222" s="821"/>
      <c r="I222" s="822"/>
      <c r="N222" s="764" t="s">
        <v>1708</v>
      </c>
      <c r="P222" s="690" t="s">
        <v>752</v>
      </c>
    </row>
    <row r="223" spans="3:16" x14ac:dyDescent="0.25">
      <c r="C223" s="823"/>
      <c r="D223" s="824"/>
      <c r="E223" s="825"/>
      <c r="G223" s="823"/>
      <c r="H223" s="824"/>
      <c r="I223" s="825"/>
    </row>
    <row r="224" spans="3:16" ht="10.5" customHeight="1" x14ac:dyDescent="0.25"/>
    <row r="225" spans="3:18" hidden="1" x14ac:dyDescent="0.25"/>
    <row r="226" spans="3:18" ht="14.25" customHeight="1" x14ac:dyDescent="0.25">
      <c r="C226" s="894" t="s">
        <v>1731</v>
      </c>
      <c r="D226" s="894"/>
      <c r="E226" s="894"/>
      <c r="F226" s="894"/>
      <c r="G226" s="894"/>
      <c r="H226" s="894"/>
      <c r="I226" s="894"/>
      <c r="K226" s="894" t="s">
        <v>1732</v>
      </c>
      <c r="L226" s="894"/>
      <c r="M226" s="894"/>
      <c r="N226" s="894"/>
      <c r="O226" s="894"/>
      <c r="P226" s="894"/>
      <c r="Q226" s="894"/>
      <c r="R226" s="894"/>
    </row>
    <row r="227" spans="3:18" ht="14.25" customHeight="1" x14ac:dyDescent="0.25">
      <c r="C227" s="894"/>
      <c r="D227" s="894"/>
      <c r="E227" s="894"/>
      <c r="F227" s="894"/>
      <c r="G227" s="894"/>
      <c r="H227" s="894"/>
      <c r="I227" s="894"/>
      <c r="K227" s="894"/>
      <c r="L227" s="894"/>
      <c r="M227" s="894"/>
      <c r="N227" s="894"/>
      <c r="O227" s="894"/>
      <c r="P227" s="894"/>
      <c r="Q227" s="894"/>
      <c r="R227" s="894"/>
    </row>
    <row r="228" spans="3:18" ht="14.25" customHeight="1" x14ac:dyDescent="0.25">
      <c r="C228" s="894"/>
      <c r="D228" s="894"/>
      <c r="E228" s="894"/>
      <c r="F228" s="894"/>
      <c r="G228" s="894"/>
      <c r="H228" s="894"/>
      <c r="I228" s="894"/>
      <c r="K228" s="894"/>
      <c r="L228" s="894"/>
      <c r="M228" s="894"/>
      <c r="N228" s="894"/>
      <c r="O228" s="894"/>
      <c r="P228" s="894"/>
      <c r="Q228" s="894"/>
      <c r="R228" s="894"/>
    </row>
    <row r="229" spans="3:18" ht="14.25" customHeight="1" x14ac:dyDescent="0.25">
      <c r="C229" s="894"/>
      <c r="D229" s="894"/>
      <c r="E229" s="894"/>
      <c r="F229" s="894"/>
      <c r="G229" s="894"/>
      <c r="H229" s="894"/>
      <c r="I229" s="894"/>
      <c r="K229" s="894"/>
      <c r="L229" s="894"/>
      <c r="M229" s="894"/>
      <c r="N229" s="894"/>
      <c r="O229" s="894"/>
      <c r="P229" s="894"/>
      <c r="Q229" s="894"/>
      <c r="R229" s="894"/>
    </row>
    <row r="230" spans="3:18" ht="14.25" customHeight="1" x14ac:dyDescent="0.25">
      <c r="C230" s="894"/>
      <c r="D230" s="894"/>
      <c r="E230" s="894"/>
      <c r="F230" s="894"/>
      <c r="G230" s="894"/>
      <c r="H230" s="894"/>
      <c r="I230" s="894"/>
      <c r="K230" s="894"/>
      <c r="L230" s="894"/>
      <c r="M230" s="894"/>
      <c r="N230" s="894"/>
      <c r="O230" s="894"/>
      <c r="P230" s="894"/>
      <c r="Q230" s="894"/>
      <c r="R230" s="894"/>
    </row>
    <row r="231" spans="3:18" ht="14.25" customHeight="1" x14ac:dyDescent="0.25">
      <c r="C231" s="894"/>
      <c r="D231" s="894"/>
      <c r="E231" s="894"/>
      <c r="F231" s="894"/>
      <c r="G231" s="894"/>
      <c r="H231" s="894"/>
      <c r="I231" s="894"/>
      <c r="K231" s="894"/>
      <c r="L231" s="894"/>
      <c r="M231" s="894"/>
      <c r="N231" s="894"/>
      <c r="O231" s="894"/>
      <c r="P231" s="894"/>
      <c r="Q231" s="894"/>
      <c r="R231" s="894"/>
    </row>
    <row r="232" spans="3:18" ht="12.7" customHeight="1" x14ac:dyDescent="0.25">
      <c r="C232" s="894"/>
      <c r="D232" s="894"/>
      <c r="E232" s="894"/>
      <c r="F232" s="894"/>
      <c r="G232" s="894"/>
      <c r="H232" s="894"/>
      <c r="I232" s="894"/>
      <c r="K232" s="894"/>
      <c r="L232" s="894"/>
      <c r="M232" s="894"/>
      <c r="N232" s="894"/>
      <c r="O232" s="894"/>
      <c r="P232" s="894"/>
      <c r="Q232" s="894"/>
      <c r="R232" s="894"/>
    </row>
    <row r="233" spans="3:18" ht="12.7" customHeight="1" x14ac:dyDescent="0.25">
      <c r="C233" s="894"/>
      <c r="D233" s="894"/>
      <c r="E233" s="894"/>
      <c r="F233" s="894"/>
      <c r="G233" s="894"/>
      <c r="H233" s="894"/>
      <c r="I233" s="894"/>
      <c r="K233" s="894"/>
      <c r="L233" s="894"/>
      <c r="M233" s="894"/>
      <c r="N233" s="894"/>
      <c r="O233" s="894"/>
      <c r="P233" s="894"/>
      <c r="Q233" s="894"/>
      <c r="R233" s="894"/>
    </row>
    <row r="234" spans="3:18" ht="12.7" customHeight="1" x14ac:dyDescent="0.25">
      <c r="C234" s="894"/>
      <c r="D234" s="894"/>
      <c r="E234" s="894"/>
      <c r="F234" s="894"/>
      <c r="G234" s="894"/>
      <c r="H234" s="894"/>
      <c r="I234" s="894"/>
      <c r="K234" s="894"/>
      <c r="L234" s="894"/>
      <c r="M234" s="894"/>
      <c r="N234" s="894"/>
      <c r="O234" s="894"/>
      <c r="P234" s="894"/>
      <c r="Q234" s="894"/>
      <c r="R234" s="894"/>
    </row>
    <row r="235" spans="3:18" ht="34.450000000000003" customHeight="1" x14ac:dyDescent="0.25">
      <c r="C235" s="894"/>
      <c r="D235" s="894"/>
      <c r="E235" s="894"/>
      <c r="F235" s="894"/>
      <c r="G235" s="894"/>
      <c r="H235" s="894"/>
      <c r="I235" s="894"/>
      <c r="K235" s="894"/>
      <c r="L235" s="894"/>
      <c r="M235" s="894"/>
      <c r="N235" s="894"/>
      <c r="O235" s="894"/>
      <c r="P235" s="894"/>
      <c r="Q235" s="894"/>
      <c r="R235" s="894"/>
    </row>
    <row r="236" spans="3:18" x14ac:dyDescent="0.25">
      <c r="C236" s="894"/>
      <c r="D236" s="894"/>
      <c r="E236" s="894"/>
      <c r="F236" s="894"/>
      <c r="G236" s="894"/>
      <c r="H236" s="894"/>
      <c r="I236" s="894"/>
      <c r="K236" s="894"/>
      <c r="L236" s="894"/>
      <c r="M236" s="894"/>
      <c r="N236" s="894"/>
      <c r="O236" s="894"/>
      <c r="P236" s="894"/>
      <c r="Q236" s="894"/>
      <c r="R236" s="894"/>
    </row>
    <row r="237" spans="3:18" x14ac:dyDescent="0.25">
      <c r="C237" s="894"/>
      <c r="D237" s="894"/>
      <c r="E237" s="894"/>
      <c r="F237" s="894"/>
      <c r="G237" s="894"/>
      <c r="H237" s="894"/>
      <c r="I237" s="894"/>
      <c r="K237" s="894"/>
      <c r="L237" s="894"/>
      <c r="M237" s="894"/>
      <c r="N237" s="894"/>
      <c r="O237" s="894"/>
      <c r="P237" s="894"/>
      <c r="Q237" s="894"/>
      <c r="R237" s="894"/>
    </row>
    <row r="241" spans="3:46" s="133" customFormat="1" x14ac:dyDescent="0.25">
      <c r="C241" s="133" t="s">
        <v>1733</v>
      </c>
      <c r="AT241"/>
    </row>
    <row r="244" spans="3:46" ht="15.65" thickBot="1" x14ac:dyDescent="0.3">
      <c r="C244" s="895" t="s">
        <v>1734</v>
      </c>
      <c r="D244" s="896"/>
      <c r="E244" s="897"/>
      <c r="G244" s="895" t="str">
        <f>IF(Basic_Data!$AF$5="English","Brose Supplier Qualiy Gates - Instructions","Brose Lieferanten Quality Gates - Anweisungen")</f>
        <v>Brose Lieferanten Quality Gates - Anweisungen</v>
      </c>
      <c r="H244" s="896"/>
      <c r="I244" s="897"/>
    </row>
    <row r="245" spans="3:46" x14ac:dyDescent="0.25">
      <c r="C245" s="898"/>
      <c r="D245" s="899"/>
      <c r="E245" s="900"/>
      <c r="G245" s="898"/>
      <c r="H245" s="899"/>
      <c r="I245" s="900"/>
    </row>
    <row r="246" spans="3:46" x14ac:dyDescent="0.25">
      <c r="C246" s="907" t="s">
        <v>1735</v>
      </c>
      <c r="D246" s="908"/>
      <c r="E246" s="909"/>
      <c r="G246" s="901" t="s">
        <v>1736</v>
      </c>
      <c r="H246" s="902"/>
      <c r="I246" s="903"/>
    </row>
    <row r="247" spans="3:46" x14ac:dyDescent="0.25">
      <c r="C247" s="907"/>
      <c r="D247" s="908"/>
      <c r="E247" s="909"/>
      <c r="G247" s="901"/>
      <c r="H247" s="902"/>
      <c r="I247" s="903"/>
    </row>
    <row r="248" spans="3:46" x14ac:dyDescent="0.25">
      <c r="C248" s="5"/>
      <c r="D248" s="6"/>
      <c r="E248" s="7"/>
      <c r="G248" s="5"/>
      <c r="H248" s="6"/>
      <c r="I248" s="7"/>
    </row>
    <row r="249" spans="3:46" x14ac:dyDescent="0.25">
      <c r="C249" s="5"/>
      <c r="D249" s="6"/>
      <c r="E249" s="7"/>
      <c r="G249" s="5"/>
      <c r="H249" s="6"/>
      <c r="I249" s="7"/>
    </row>
    <row r="250" spans="3:46" x14ac:dyDescent="0.25">
      <c r="C250" s="904"/>
      <c r="D250" s="905"/>
      <c r="E250" s="906"/>
      <c r="G250" s="904"/>
      <c r="H250" s="905"/>
      <c r="I250" s="906"/>
    </row>
    <row r="251" spans="3:46" x14ac:dyDescent="0.25">
      <c r="C251" s="5"/>
      <c r="D251" s="6"/>
      <c r="E251" s="7"/>
      <c r="G251" s="5"/>
      <c r="H251" s="6"/>
      <c r="I251" s="7"/>
    </row>
    <row r="257" spans="1:67" s="18" customFormat="1" x14ac:dyDescent="0.25">
      <c r="A257" s="127" t="s">
        <v>1737</v>
      </c>
      <c r="B257" s="17"/>
    </row>
    <row r="258" spans="1:67" s="18" customFormat="1" x14ac:dyDescent="0.25">
      <c r="B258" s="17"/>
    </row>
    <row r="259" spans="1:67" s="18" customFormat="1" x14ac:dyDescent="0.25">
      <c r="B259" s="17"/>
      <c r="G259" s="910" t="s">
        <v>1738</v>
      </c>
      <c r="H259" s="911"/>
      <c r="I259" s="911"/>
      <c r="J259" s="911"/>
      <c r="K259" s="911"/>
      <c r="L259" s="911"/>
      <c r="M259" s="911"/>
      <c r="N259" s="911"/>
      <c r="O259" s="911"/>
      <c r="P259" s="911"/>
      <c r="Q259" s="911"/>
      <c r="R259" s="911"/>
      <c r="S259" s="911"/>
      <c r="T259" s="911"/>
      <c r="U259" s="911"/>
      <c r="V259" s="911"/>
      <c r="W259" s="911"/>
      <c r="X259" s="911"/>
      <c r="Y259" s="911"/>
      <c r="Z259" s="911"/>
      <c r="AA259" s="911"/>
      <c r="AB259" s="911"/>
      <c r="AC259" s="911"/>
      <c r="AD259" s="911"/>
      <c r="AE259" s="911"/>
      <c r="AF259" s="911"/>
      <c r="AG259" s="911"/>
      <c r="AH259" s="911"/>
      <c r="AI259" s="911"/>
      <c r="AJ259" s="912"/>
      <c r="AN259" s="914" t="s">
        <v>545</v>
      </c>
      <c r="AO259" s="915"/>
      <c r="AP259" s="915"/>
      <c r="AQ259" s="915"/>
      <c r="AR259" s="915"/>
      <c r="AS259" s="915"/>
      <c r="AT259" s="915"/>
      <c r="AU259" s="915"/>
      <c r="AV259" s="915"/>
      <c r="AW259" s="915"/>
      <c r="AX259" s="915"/>
      <c r="AY259" s="915"/>
      <c r="AZ259" s="915"/>
      <c r="BA259" s="915"/>
      <c r="BB259" s="915"/>
      <c r="BC259" s="915"/>
      <c r="BD259" s="915"/>
      <c r="BE259" s="915"/>
      <c r="BF259" s="915"/>
      <c r="BG259" s="915"/>
      <c r="BH259" s="915"/>
      <c r="BI259" s="915"/>
      <c r="BJ259" s="915"/>
      <c r="BK259" s="915"/>
      <c r="BL259" s="915"/>
      <c r="BM259" s="915"/>
      <c r="BN259" s="915"/>
      <c r="BO259" s="916"/>
    </row>
    <row r="260" spans="1:67" s="18" customFormat="1" ht="20.7" x14ac:dyDescent="0.25">
      <c r="B260" s="17"/>
      <c r="G260" s="913"/>
      <c r="H260" s="913"/>
      <c r="I260" s="913"/>
      <c r="J260" s="913"/>
      <c r="K260" s="913"/>
      <c r="L260" s="913"/>
      <c r="M260" s="913"/>
      <c r="N260" s="913"/>
      <c r="O260" s="913"/>
      <c r="P260" s="913"/>
      <c r="Q260" s="913"/>
      <c r="R260" s="913"/>
      <c r="S260" s="913"/>
      <c r="T260" s="913"/>
      <c r="U260" s="913"/>
      <c r="V260" s="913"/>
      <c r="W260" s="913"/>
      <c r="X260" s="913"/>
      <c r="Y260" s="913"/>
      <c r="Z260" s="913"/>
      <c r="AA260" s="913"/>
      <c r="AB260" s="913"/>
      <c r="AC260" s="913"/>
      <c r="AD260" s="913"/>
      <c r="AE260" s="913"/>
      <c r="AF260" s="913"/>
      <c r="AG260" s="913"/>
      <c r="AH260" s="913"/>
      <c r="AI260" s="913"/>
      <c r="AJ260" s="913"/>
      <c r="AN260" s="919" t="s">
        <v>1739</v>
      </c>
      <c r="AO260" s="919"/>
      <c r="AP260" s="919"/>
      <c r="AQ260" s="919"/>
      <c r="AR260" s="919"/>
      <c r="AS260" s="919"/>
      <c r="AT260" s="919"/>
      <c r="AU260" s="919"/>
      <c r="AV260" s="919"/>
      <c r="AW260" s="919"/>
      <c r="AX260" s="919"/>
      <c r="AY260" s="919"/>
      <c r="AZ260" s="919"/>
      <c r="BA260" s="919"/>
      <c r="BB260" s="919"/>
      <c r="BC260" s="919"/>
      <c r="BD260" s="919"/>
      <c r="BE260" s="919"/>
      <c r="BF260" s="919"/>
      <c r="BG260" s="919"/>
      <c r="BH260" s="919"/>
      <c r="BI260" s="919"/>
      <c r="BJ260" s="919"/>
      <c r="BK260" s="919"/>
      <c r="BL260" s="919"/>
      <c r="BM260" s="919"/>
      <c r="BN260" s="919"/>
      <c r="BO260" s="919"/>
    </row>
    <row r="261" spans="1:67" s="18" customFormat="1" x14ac:dyDescent="0.25">
      <c r="B261" s="17"/>
      <c r="G261" s="910" t="s">
        <v>1740</v>
      </c>
      <c r="H261" s="911"/>
      <c r="I261" s="911"/>
      <c r="J261" s="911"/>
      <c r="K261" s="911"/>
      <c r="L261" s="911"/>
      <c r="M261" s="911"/>
      <c r="N261" s="911"/>
      <c r="O261" s="911"/>
      <c r="P261" s="911"/>
      <c r="Q261" s="911"/>
      <c r="R261" s="911"/>
      <c r="S261" s="911"/>
      <c r="T261" s="911"/>
      <c r="U261" s="911"/>
      <c r="V261" s="911"/>
      <c r="W261" s="911"/>
      <c r="X261" s="911"/>
      <c r="Y261" s="911"/>
      <c r="Z261" s="911"/>
      <c r="AA261" s="911"/>
      <c r="AB261" s="911"/>
      <c r="AC261" s="911"/>
      <c r="AD261" s="911"/>
      <c r="AE261" s="911"/>
      <c r="AF261" s="911"/>
      <c r="AG261" s="911"/>
      <c r="AH261" s="911"/>
      <c r="AI261" s="911"/>
      <c r="AJ261" s="912"/>
      <c r="AN261" s="914" t="s">
        <v>1741</v>
      </c>
      <c r="AO261" s="915"/>
      <c r="AP261" s="915"/>
      <c r="AQ261" s="915"/>
      <c r="AR261" s="915"/>
      <c r="AS261" s="915"/>
      <c r="AT261" s="915"/>
      <c r="AU261" s="915"/>
      <c r="AV261" s="915"/>
      <c r="AW261" s="915"/>
      <c r="AX261" s="915"/>
      <c r="AY261" s="915"/>
      <c r="AZ261" s="915"/>
      <c r="BA261" s="915"/>
      <c r="BB261" s="915"/>
      <c r="BC261" s="915"/>
      <c r="BD261" s="915"/>
      <c r="BE261" s="915"/>
      <c r="BF261" s="915"/>
      <c r="BG261" s="915"/>
      <c r="BH261" s="915"/>
      <c r="BI261" s="915"/>
      <c r="BJ261" s="915"/>
      <c r="BK261" s="915"/>
      <c r="BL261" s="915"/>
      <c r="BM261" s="915"/>
      <c r="BN261" s="915"/>
      <c r="BO261" s="916"/>
    </row>
    <row r="262" spans="1:67" s="18" customFormat="1" x14ac:dyDescent="0.25">
      <c r="B262" s="17"/>
      <c r="G262" s="910" t="s">
        <v>1742</v>
      </c>
      <c r="H262" s="911"/>
      <c r="I262" s="911"/>
      <c r="J262" s="911"/>
      <c r="K262" s="911"/>
      <c r="L262" s="911"/>
      <c r="M262" s="911"/>
      <c r="N262" s="911"/>
      <c r="O262" s="911"/>
      <c r="P262" s="911"/>
      <c r="Q262" s="911"/>
      <c r="R262" s="911"/>
      <c r="S262" s="911"/>
      <c r="T262" s="911"/>
      <c r="U262" s="911"/>
      <c r="V262" s="911"/>
      <c r="W262" s="911"/>
      <c r="X262" s="911"/>
      <c r="Y262" s="911"/>
      <c r="Z262" s="911"/>
      <c r="AA262" s="911"/>
      <c r="AB262" s="911"/>
      <c r="AC262" s="911"/>
      <c r="AD262" s="911"/>
      <c r="AE262" s="911"/>
      <c r="AF262" s="911"/>
      <c r="AG262" s="911"/>
      <c r="AH262" s="911"/>
      <c r="AI262" s="911"/>
      <c r="AJ262" s="912"/>
      <c r="AN262" s="914" t="s">
        <v>1743</v>
      </c>
      <c r="AO262" s="915"/>
      <c r="AP262" s="915"/>
      <c r="AQ262" s="915"/>
      <c r="AR262" s="915"/>
      <c r="AS262" s="915"/>
      <c r="AT262" s="915"/>
      <c r="AU262" s="915"/>
      <c r="AV262" s="915"/>
      <c r="AW262" s="915"/>
      <c r="AX262" s="915"/>
      <c r="AY262" s="915"/>
      <c r="AZ262" s="915"/>
      <c r="BA262" s="915"/>
      <c r="BB262" s="915"/>
      <c r="BC262" s="915"/>
      <c r="BD262" s="915"/>
      <c r="BE262" s="915"/>
      <c r="BF262" s="915"/>
      <c r="BG262" s="915"/>
      <c r="BH262" s="915"/>
      <c r="BI262" s="915"/>
      <c r="BJ262" s="915"/>
      <c r="BK262" s="915"/>
      <c r="BL262" s="915"/>
      <c r="BM262" s="915"/>
      <c r="BN262" s="915"/>
      <c r="BO262" s="916"/>
    </row>
    <row r="263" spans="1:67" s="18" customFormat="1" x14ac:dyDescent="0.25">
      <c r="B263" s="17"/>
      <c r="G263" s="914" t="s">
        <v>1744</v>
      </c>
      <c r="H263" s="915"/>
      <c r="I263" s="915"/>
      <c r="J263" s="915"/>
      <c r="K263" s="915"/>
      <c r="L263" s="915"/>
      <c r="M263" s="915"/>
      <c r="N263" s="915"/>
      <c r="O263" s="915"/>
      <c r="P263" s="915"/>
      <c r="Q263" s="915"/>
      <c r="R263" s="915"/>
      <c r="S263" s="915"/>
      <c r="T263" s="915"/>
      <c r="U263" s="915"/>
      <c r="V263" s="915"/>
      <c r="W263" s="915"/>
      <c r="X263" s="915"/>
      <c r="Y263" s="915"/>
      <c r="Z263" s="915"/>
      <c r="AA263" s="915"/>
      <c r="AB263" s="915"/>
      <c r="AC263" s="915"/>
      <c r="AD263" s="915"/>
      <c r="AE263" s="915"/>
      <c r="AF263" s="915"/>
      <c r="AG263" s="915"/>
      <c r="AH263" s="915"/>
      <c r="AI263" s="915"/>
      <c r="AJ263" s="916"/>
      <c r="AN263" s="914" t="s">
        <v>1745</v>
      </c>
      <c r="AO263" s="915"/>
      <c r="AP263" s="915"/>
      <c r="AQ263" s="915"/>
      <c r="AR263" s="915"/>
      <c r="AS263" s="915"/>
      <c r="AT263" s="915"/>
      <c r="AU263" s="915"/>
      <c r="AV263" s="915"/>
      <c r="AW263" s="915"/>
      <c r="AX263" s="915"/>
      <c r="AY263" s="915"/>
      <c r="AZ263" s="915"/>
      <c r="BA263" s="915"/>
      <c r="BB263" s="915"/>
      <c r="BC263" s="915"/>
      <c r="BD263" s="915"/>
      <c r="BE263" s="915"/>
      <c r="BF263" s="915"/>
      <c r="BG263" s="915"/>
      <c r="BH263" s="915"/>
      <c r="BI263" s="915"/>
      <c r="BJ263" s="915"/>
      <c r="BK263" s="915"/>
      <c r="BL263" s="915"/>
      <c r="BM263" s="915"/>
      <c r="BN263" s="915"/>
      <c r="BO263" s="916"/>
    </row>
    <row r="264" spans="1:67" s="18" customFormat="1" x14ac:dyDescent="0.25">
      <c r="B264" s="17"/>
      <c r="G264" s="914" t="s">
        <v>1746</v>
      </c>
      <c r="H264" s="915"/>
      <c r="I264" s="915"/>
      <c r="J264" s="915"/>
      <c r="K264" s="915"/>
      <c r="L264" s="915"/>
      <c r="M264" s="915"/>
      <c r="N264" s="915"/>
      <c r="O264" s="915"/>
      <c r="P264" s="915"/>
      <c r="Q264" s="915"/>
      <c r="R264" s="915"/>
      <c r="S264" s="915"/>
      <c r="T264" s="915"/>
      <c r="U264" s="915"/>
      <c r="V264" s="915"/>
      <c r="W264" s="915"/>
      <c r="X264" s="915"/>
      <c r="Y264" s="915"/>
      <c r="Z264" s="915"/>
      <c r="AA264" s="915"/>
      <c r="AB264" s="915"/>
      <c r="AC264" s="915"/>
      <c r="AD264" s="915"/>
      <c r="AE264" s="915"/>
      <c r="AF264" s="915"/>
      <c r="AG264" s="915"/>
      <c r="AH264" s="915"/>
      <c r="AI264" s="915"/>
      <c r="AJ264" s="916"/>
      <c r="AN264" s="914" t="s">
        <v>1747</v>
      </c>
      <c r="AO264" s="915"/>
      <c r="AP264" s="915"/>
      <c r="AQ264" s="915"/>
      <c r="AR264" s="915"/>
      <c r="AS264" s="915"/>
      <c r="AT264" s="915"/>
      <c r="AU264" s="915"/>
      <c r="AV264" s="915"/>
      <c r="AW264" s="915"/>
      <c r="AX264" s="915"/>
      <c r="AY264" s="915"/>
      <c r="AZ264" s="915"/>
      <c r="BA264" s="915"/>
      <c r="BB264" s="915"/>
      <c r="BC264" s="915"/>
      <c r="BD264" s="915"/>
      <c r="BE264" s="915"/>
      <c r="BF264" s="915"/>
      <c r="BG264" s="915"/>
      <c r="BH264" s="915"/>
      <c r="BI264" s="915"/>
      <c r="BJ264" s="915"/>
      <c r="BK264" s="915"/>
      <c r="BL264" s="915"/>
      <c r="BM264" s="915"/>
      <c r="BN264" s="915"/>
      <c r="BO264" s="916"/>
    </row>
    <row r="265" spans="1:67" s="18" customFormat="1" ht="20.7" x14ac:dyDescent="0.25">
      <c r="B265" s="17"/>
      <c r="G265" s="913"/>
      <c r="H265" s="913"/>
      <c r="I265" s="913"/>
      <c r="J265" s="913"/>
      <c r="K265" s="913"/>
      <c r="L265" s="913"/>
      <c r="M265" s="913"/>
      <c r="N265" s="913"/>
      <c r="O265" s="913"/>
      <c r="P265" s="913"/>
      <c r="Q265" s="913"/>
      <c r="R265" s="913"/>
      <c r="S265" s="913"/>
      <c r="T265" s="913"/>
      <c r="U265" s="913"/>
      <c r="V265" s="913"/>
      <c r="W265" s="913"/>
      <c r="X265" s="913"/>
      <c r="Y265" s="913"/>
      <c r="Z265" s="913"/>
      <c r="AA265" s="913"/>
      <c r="AB265" s="913"/>
      <c r="AC265" s="913"/>
      <c r="AD265" s="913"/>
      <c r="AE265" s="913"/>
      <c r="AF265" s="913"/>
      <c r="AG265" s="913"/>
      <c r="AH265" s="913"/>
      <c r="AI265" s="913"/>
      <c r="AJ265" s="913"/>
      <c r="AN265" s="919" t="s">
        <v>1748</v>
      </c>
      <c r="AO265" s="919"/>
      <c r="AP265" s="919"/>
      <c r="AQ265" s="919"/>
      <c r="AR265" s="919"/>
      <c r="AS265" s="919"/>
      <c r="AT265" s="919"/>
      <c r="AU265" s="919"/>
      <c r="AV265" s="919"/>
      <c r="AW265" s="919"/>
      <c r="AX265" s="919"/>
      <c r="AY265" s="919"/>
      <c r="AZ265" s="919"/>
      <c r="BA265" s="919"/>
      <c r="BB265" s="919"/>
      <c r="BC265" s="919"/>
      <c r="BD265" s="919"/>
      <c r="BE265" s="919"/>
      <c r="BF265" s="919"/>
      <c r="BG265" s="919"/>
      <c r="BH265" s="919"/>
      <c r="BI265" s="919"/>
      <c r="BJ265" s="919"/>
      <c r="BK265" s="919"/>
      <c r="BL265" s="919"/>
      <c r="BM265" s="919"/>
      <c r="BN265" s="919"/>
      <c r="BO265" s="919"/>
    </row>
    <row r="266" spans="1:67" s="18" customFormat="1" x14ac:dyDescent="0.25">
      <c r="B266" s="17"/>
      <c r="G266" s="910" t="s">
        <v>1749</v>
      </c>
      <c r="H266" s="911"/>
      <c r="I266" s="911"/>
      <c r="J266" s="911"/>
      <c r="K266" s="911"/>
      <c r="L266" s="911"/>
      <c r="M266" s="911"/>
      <c r="N266" s="911"/>
      <c r="O266" s="911"/>
      <c r="P266" s="911"/>
      <c r="Q266" s="911"/>
      <c r="R266" s="911"/>
      <c r="S266" s="911"/>
      <c r="T266" s="911"/>
      <c r="U266" s="911"/>
      <c r="V266" s="911"/>
      <c r="W266" s="911"/>
      <c r="X266" s="911"/>
      <c r="Y266" s="911"/>
      <c r="Z266" s="911"/>
      <c r="AA266" s="911"/>
      <c r="AB266" s="911"/>
      <c r="AC266" s="911"/>
      <c r="AD266" s="911"/>
      <c r="AE266" s="911"/>
      <c r="AF266" s="911"/>
      <c r="AG266" s="911"/>
      <c r="AH266" s="911"/>
      <c r="AI266" s="911"/>
      <c r="AJ266" s="912"/>
      <c r="AN266" s="910" t="s">
        <v>618</v>
      </c>
      <c r="AO266" s="911"/>
      <c r="AP266" s="911"/>
      <c r="AQ266" s="911"/>
      <c r="AR266" s="911"/>
      <c r="AS266" s="911"/>
      <c r="AT266" s="911"/>
      <c r="AU266" s="911"/>
      <c r="AV266" s="911"/>
      <c r="AW266" s="911"/>
      <c r="AX266" s="911"/>
      <c r="AY266" s="911"/>
      <c r="AZ266" s="911"/>
      <c r="BA266" s="911"/>
      <c r="BB266" s="911"/>
      <c r="BC266" s="911"/>
      <c r="BD266" s="911"/>
      <c r="BE266" s="911"/>
      <c r="BF266" s="911"/>
      <c r="BG266" s="911"/>
      <c r="BH266" s="911"/>
      <c r="BI266" s="911"/>
      <c r="BJ266" s="911"/>
      <c r="BK266" s="911"/>
      <c r="BL266" s="911"/>
      <c r="BM266" s="911"/>
      <c r="BN266" s="911"/>
      <c r="BO266" s="912"/>
    </row>
    <row r="267" spans="1:67" s="18" customFormat="1" x14ac:dyDescent="0.25">
      <c r="B267" s="17"/>
      <c r="G267" s="910" t="s">
        <v>1750</v>
      </c>
      <c r="H267" s="911"/>
      <c r="I267" s="911"/>
      <c r="J267" s="911"/>
      <c r="K267" s="911"/>
      <c r="L267" s="911"/>
      <c r="M267" s="911"/>
      <c r="N267" s="911"/>
      <c r="O267" s="911"/>
      <c r="P267" s="911"/>
      <c r="Q267" s="911"/>
      <c r="R267" s="911"/>
      <c r="S267" s="911"/>
      <c r="T267" s="911"/>
      <c r="U267" s="911"/>
      <c r="V267" s="911"/>
      <c r="W267" s="911"/>
      <c r="X267" s="911"/>
      <c r="Y267" s="911"/>
      <c r="Z267" s="911"/>
      <c r="AA267" s="911"/>
      <c r="AB267" s="911"/>
      <c r="AC267" s="911"/>
      <c r="AD267" s="911"/>
      <c r="AE267" s="911"/>
      <c r="AF267" s="911"/>
      <c r="AG267" s="911"/>
      <c r="AH267" s="911"/>
      <c r="AI267" s="911"/>
      <c r="AJ267" s="912"/>
      <c r="AN267" s="914" t="s">
        <v>1751</v>
      </c>
      <c r="AO267" s="915"/>
      <c r="AP267" s="915"/>
      <c r="AQ267" s="915"/>
      <c r="AR267" s="915"/>
      <c r="AS267" s="915"/>
      <c r="AT267" s="915"/>
      <c r="AU267" s="915"/>
      <c r="AV267" s="915"/>
      <c r="AW267" s="915"/>
      <c r="AX267" s="915"/>
      <c r="AY267" s="915"/>
      <c r="AZ267" s="915"/>
      <c r="BA267" s="915"/>
      <c r="BB267" s="915"/>
      <c r="BC267" s="915"/>
      <c r="BD267" s="915"/>
      <c r="BE267" s="915"/>
      <c r="BF267" s="915"/>
      <c r="BG267" s="915"/>
      <c r="BH267" s="915"/>
      <c r="BI267" s="915"/>
      <c r="BJ267" s="915"/>
      <c r="BK267" s="915"/>
      <c r="BL267" s="915"/>
      <c r="BM267" s="915"/>
      <c r="BN267" s="915"/>
      <c r="BO267" s="916"/>
    </row>
    <row r="268" spans="1:67" s="18" customFormat="1" x14ac:dyDescent="0.25">
      <c r="B268" s="17"/>
      <c r="G268" s="914" t="s">
        <v>1752</v>
      </c>
      <c r="H268" s="920"/>
      <c r="I268" s="920"/>
      <c r="J268" s="920"/>
      <c r="K268" s="920"/>
      <c r="L268" s="920"/>
      <c r="M268" s="920"/>
      <c r="N268" s="920"/>
      <c r="O268" s="920"/>
      <c r="P268" s="920"/>
      <c r="Q268" s="920"/>
      <c r="R268" s="920"/>
      <c r="S268" s="920"/>
      <c r="T268" s="920"/>
      <c r="U268" s="920"/>
      <c r="V268" s="920"/>
      <c r="W268" s="920"/>
      <c r="X268" s="920"/>
      <c r="Y268" s="920"/>
      <c r="Z268" s="920"/>
      <c r="AA268" s="920"/>
      <c r="AB268" s="920"/>
      <c r="AC268" s="920"/>
      <c r="AD268" s="920"/>
      <c r="AE268" s="920"/>
      <c r="AF268" s="920"/>
      <c r="AG268" s="920"/>
      <c r="AH268" s="920"/>
      <c r="AI268" s="920"/>
      <c r="AJ268" s="921"/>
      <c r="AN268" s="914" t="s">
        <v>629</v>
      </c>
      <c r="AO268" s="915"/>
      <c r="AP268" s="915"/>
      <c r="AQ268" s="915"/>
      <c r="AR268" s="915"/>
      <c r="AS268" s="915"/>
      <c r="AT268" s="915"/>
      <c r="AU268" s="915"/>
      <c r="AV268" s="915"/>
      <c r="AW268" s="915"/>
      <c r="AX268" s="915"/>
      <c r="AY268" s="915"/>
      <c r="AZ268" s="915"/>
      <c r="BA268" s="915"/>
      <c r="BB268" s="915"/>
      <c r="BC268" s="915"/>
      <c r="BD268" s="915"/>
      <c r="BE268" s="915"/>
      <c r="BF268" s="915"/>
      <c r="BG268" s="915"/>
      <c r="BH268" s="915"/>
      <c r="BI268" s="915"/>
      <c r="BJ268" s="915"/>
      <c r="BK268" s="915"/>
      <c r="BL268" s="915"/>
      <c r="BM268" s="915"/>
      <c r="BN268" s="915"/>
      <c r="BO268" s="916"/>
    </row>
    <row r="269" spans="1:67" s="18" customFormat="1" x14ac:dyDescent="0.25">
      <c r="B269" s="17"/>
      <c r="G269" s="910" t="s">
        <v>1753</v>
      </c>
      <c r="H269" s="911"/>
      <c r="I269" s="911"/>
      <c r="J269" s="911"/>
      <c r="K269" s="911"/>
      <c r="L269" s="911"/>
      <c r="M269" s="911"/>
      <c r="N269" s="911"/>
      <c r="O269" s="911"/>
      <c r="P269" s="911"/>
      <c r="Q269" s="911"/>
      <c r="R269" s="911"/>
      <c r="S269" s="911"/>
      <c r="T269" s="911"/>
      <c r="U269" s="911"/>
      <c r="V269" s="911"/>
      <c r="W269" s="911"/>
      <c r="X269" s="911"/>
      <c r="Y269" s="911"/>
      <c r="Z269" s="911"/>
      <c r="AA269" s="911"/>
      <c r="AB269" s="911"/>
      <c r="AC269" s="911"/>
      <c r="AD269" s="911"/>
      <c r="AE269" s="911"/>
      <c r="AF269" s="911"/>
      <c r="AG269" s="911"/>
      <c r="AH269" s="911"/>
      <c r="AI269" s="911"/>
      <c r="AJ269" s="912"/>
      <c r="AN269" s="914" t="s">
        <v>1754</v>
      </c>
      <c r="AO269" s="915"/>
      <c r="AP269" s="915"/>
      <c r="AQ269" s="915"/>
      <c r="AR269" s="915"/>
      <c r="AS269" s="915"/>
      <c r="AT269" s="915"/>
      <c r="AU269" s="915"/>
      <c r="AV269" s="915"/>
      <c r="AW269" s="915"/>
      <c r="AX269" s="915"/>
      <c r="AY269" s="915"/>
      <c r="AZ269" s="915"/>
      <c r="BA269" s="915"/>
      <c r="BB269" s="915"/>
      <c r="BC269" s="915"/>
      <c r="BD269" s="915"/>
      <c r="BE269" s="915"/>
      <c r="BF269" s="915"/>
      <c r="BG269" s="915"/>
      <c r="BH269" s="915"/>
      <c r="BI269" s="915"/>
      <c r="BJ269" s="915"/>
      <c r="BK269" s="915"/>
      <c r="BL269" s="915"/>
      <c r="BM269" s="915"/>
      <c r="BN269" s="915"/>
      <c r="BO269" s="916"/>
    </row>
    <row r="270" spans="1:67" s="18" customFormat="1" x14ac:dyDescent="0.25">
      <c r="B270" s="17"/>
      <c r="G270" s="910" t="s">
        <v>1755</v>
      </c>
      <c r="H270" s="911"/>
      <c r="I270" s="911"/>
      <c r="J270" s="911"/>
      <c r="K270" s="911"/>
      <c r="L270" s="911"/>
      <c r="M270" s="911"/>
      <c r="N270" s="911"/>
      <c r="O270" s="911"/>
      <c r="P270" s="911"/>
      <c r="Q270" s="911"/>
      <c r="R270" s="911"/>
      <c r="S270" s="911"/>
      <c r="T270" s="911"/>
      <c r="U270" s="911"/>
      <c r="V270" s="911"/>
      <c r="W270" s="911"/>
      <c r="X270" s="911"/>
      <c r="Y270" s="911"/>
      <c r="Z270" s="911"/>
      <c r="AA270" s="911"/>
      <c r="AB270" s="911"/>
      <c r="AC270" s="911"/>
      <c r="AD270" s="911"/>
      <c r="AE270" s="911"/>
      <c r="AF270" s="911"/>
      <c r="AG270" s="911"/>
      <c r="AH270" s="911"/>
      <c r="AI270" s="911"/>
      <c r="AJ270" s="912"/>
      <c r="AN270" s="910" t="s">
        <v>1756</v>
      </c>
      <c r="AO270" s="911"/>
      <c r="AP270" s="911"/>
      <c r="AQ270" s="911"/>
      <c r="AR270" s="911"/>
      <c r="AS270" s="911"/>
      <c r="AT270" s="911"/>
      <c r="AU270" s="911"/>
      <c r="AV270" s="911"/>
      <c r="AW270" s="911"/>
      <c r="AX270" s="911"/>
      <c r="AY270" s="911"/>
      <c r="AZ270" s="911"/>
      <c r="BA270" s="911"/>
      <c r="BB270" s="911"/>
      <c r="BC270" s="911"/>
      <c r="BD270" s="911"/>
      <c r="BE270" s="911"/>
      <c r="BF270" s="911"/>
      <c r="BG270" s="911"/>
      <c r="BH270" s="911"/>
      <c r="BI270" s="911"/>
      <c r="BJ270" s="911"/>
      <c r="BK270" s="911"/>
      <c r="BL270" s="911"/>
      <c r="BM270" s="911"/>
      <c r="BN270" s="911"/>
      <c r="BO270" s="912"/>
    </row>
    <row r="271" spans="1:67" s="18" customFormat="1" x14ac:dyDescent="0.25">
      <c r="B271" s="17"/>
      <c r="G271" s="910" t="s">
        <v>1757</v>
      </c>
      <c r="H271" s="911"/>
      <c r="I271" s="911"/>
      <c r="J271" s="911"/>
      <c r="K271" s="911"/>
      <c r="L271" s="911"/>
      <c r="M271" s="911"/>
      <c r="N271" s="911"/>
      <c r="O271" s="911"/>
      <c r="P271" s="911"/>
      <c r="Q271" s="911"/>
      <c r="R271" s="911"/>
      <c r="S271" s="911"/>
      <c r="T271" s="911"/>
      <c r="U271" s="911"/>
      <c r="V271" s="911"/>
      <c r="W271" s="911"/>
      <c r="X271" s="911"/>
      <c r="Y271" s="911"/>
      <c r="Z271" s="911"/>
      <c r="AA271" s="911"/>
      <c r="AB271" s="911"/>
      <c r="AC271" s="911"/>
      <c r="AD271" s="911"/>
      <c r="AE271" s="911"/>
      <c r="AF271" s="911"/>
      <c r="AG271" s="911"/>
      <c r="AH271" s="911"/>
      <c r="AI271" s="911"/>
      <c r="AJ271" s="912"/>
      <c r="AN271" s="910" t="s">
        <v>1758</v>
      </c>
      <c r="AO271" s="911"/>
      <c r="AP271" s="911"/>
      <c r="AQ271" s="911"/>
      <c r="AR271" s="911"/>
      <c r="AS271" s="911"/>
      <c r="AT271" s="911"/>
      <c r="AU271" s="911"/>
      <c r="AV271" s="911"/>
      <c r="AW271" s="911"/>
      <c r="AX271" s="911"/>
      <c r="AY271" s="911"/>
      <c r="AZ271" s="911"/>
      <c r="BA271" s="911"/>
      <c r="BB271" s="911"/>
      <c r="BC271" s="911"/>
      <c r="BD271" s="911"/>
      <c r="BE271" s="911"/>
      <c r="BF271" s="911"/>
      <c r="BG271" s="911"/>
      <c r="BH271" s="911"/>
      <c r="BI271" s="911"/>
      <c r="BJ271" s="911"/>
      <c r="BK271" s="911"/>
      <c r="BL271" s="911"/>
      <c r="BM271" s="911"/>
      <c r="BN271" s="911"/>
      <c r="BO271" s="912"/>
    </row>
    <row r="272" spans="1:67" s="18" customFormat="1" x14ac:dyDescent="0.25">
      <c r="B272" s="17"/>
      <c r="G272" s="910" t="s">
        <v>1759</v>
      </c>
      <c r="H272" s="911"/>
      <c r="I272" s="911"/>
      <c r="J272" s="911"/>
      <c r="K272" s="911"/>
      <c r="L272" s="911"/>
      <c r="M272" s="911"/>
      <c r="N272" s="911"/>
      <c r="O272" s="911"/>
      <c r="P272" s="911"/>
      <c r="Q272" s="911"/>
      <c r="R272" s="911"/>
      <c r="S272" s="911"/>
      <c r="T272" s="911"/>
      <c r="U272" s="911"/>
      <c r="V272" s="911"/>
      <c r="W272" s="911"/>
      <c r="X272" s="911"/>
      <c r="Y272" s="911"/>
      <c r="Z272" s="911"/>
      <c r="AA272" s="911"/>
      <c r="AB272" s="911"/>
      <c r="AC272" s="911"/>
      <c r="AD272" s="911"/>
      <c r="AE272" s="911"/>
      <c r="AF272" s="911"/>
      <c r="AG272" s="911"/>
      <c r="AH272" s="911"/>
      <c r="AI272" s="911"/>
      <c r="AJ272" s="912"/>
      <c r="AN272" s="910" t="s">
        <v>655</v>
      </c>
      <c r="AO272" s="911"/>
      <c r="AP272" s="911"/>
      <c r="AQ272" s="911"/>
      <c r="AR272" s="911"/>
      <c r="AS272" s="911"/>
      <c r="AT272" s="911"/>
      <c r="AU272" s="911"/>
      <c r="AV272" s="911"/>
      <c r="AW272" s="911"/>
      <c r="AX272" s="911"/>
      <c r="AY272" s="911"/>
      <c r="AZ272" s="911"/>
      <c r="BA272" s="911"/>
      <c r="BB272" s="911"/>
      <c r="BC272" s="911"/>
      <c r="BD272" s="911"/>
      <c r="BE272" s="911"/>
      <c r="BF272" s="911"/>
      <c r="BG272" s="911"/>
      <c r="BH272" s="911"/>
      <c r="BI272" s="911"/>
      <c r="BJ272" s="911"/>
      <c r="BK272" s="911"/>
      <c r="BL272" s="911"/>
      <c r="BM272" s="911"/>
      <c r="BN272" s="911"/>
      <c r="BO272" s="912"/>
    </row>
    <row r="273" spans="2:67" s="18" customFormat="1" x14ac:dyDescent="0.25">
      <c r="B273" s="17"/>
      <c r="G273" s="910" t="s">
        <v>1760</v>
      </c>
      <c r="H273" s="911"/>
      <c r="I273" s="911"/>
      <c r="J273" s="911"/>
      <c r="K273" s="911"/>
      <c r="L273" s="911"/>
      <c r="M273" s="911"/>
      <c r="N273" s="911"/>
      <c r="O273" s="911"/>
      <c r="P273" s="911"/>
      <c r="Q273" s="911"/>
      <c r="R273" s="911"/>
      <c r="S273" s="911"/>
      <c r="T273" s="911"/>
      <c r="U273" s="911"/>
      <c r="V273" s="911"/>
      <c r="W273" s="911"/>
      <c r="X273" s="911"/>
      <c r="Y273" s="911"/>
      <c r="Z273" s="911"/>
      <c r="AA273" s="911"/>
      <c r="AB273" s="911"/>
      <c r="AC273" s="911"/>
      <c r="AD273" s="911"/>
      <c r="AE273" s="911"/>
      <c r="AF273" s="911"/>
      <c r="AG273" s="911"/>
      <c r="AH273" s="911"/>
      <c r="AI273" s="911"/>
      <c r="AJ273" s="912"/>
      <c r="AN273" s="914" t="s">
        <v>1761</v>
      </c>
      <c r="AO273" s="915"/>
      <c r="AP273" s="915"/>
      <c r="AQ273" s="915"/>
      <c r="AR273" s="915"/>
      <c r="AS273" s="915"/>
      <c r="AT273" s="915"/>
      <c r="AU273" s="915"/>
      <c r="AV273" s="915"/>
      <c r="AW273" s="915"/>
      <c r="AX273" s="915"/>
      <c r="AY273" s="915"/>
      <c r="AZ273" s="915"/>
      <c r="BA273" s="915"/>
      <c r="BB273" s="915"/>
      <c r="BC273" s="915"/>
      <c r="BD273" s="915"/>
      <c r="BE273" s="915"/>
      <c r="BF273" s="915"/>
      <c r="BG273" s="915"/>
      <c r="BH273" s="915"/>
      <c r="BI273" s="915"/>
      <c r="BJ273" s="915"/>
      <c r="BK273" s="915"/>
      <c r="BL273" s="915"/>
      <c r="BM273" s="915"/>
      <c r="BN273" s="915"/>
      <c r="BO273" s="916"/>
    </row>
    <row r="274" spans="2:67" s="18" customFormat="1" x14ac:dyDescent="0.25">
      <c r="B274" s="17"/>
      <c r="G274" s="914" t="s">
        <v>1762</v>
      </c>
      <c r="H274" s="920"/>
      <c r="I274" s="920"/>
      <c r="J274" s="920"/>
      <c r="K274" s="920"/>
      <c r="L274" s="920"/>
      <c r="M274" s="920"/>
      <c r="N274" s="920"/>
      <c r="O274" s="920"/>
      <c r="P274" s="920"/>
      <c r="Q274" s="920"/>
      <c r="R274" s="920"/>
      <c r="S274" s="920"/>
      <c r="T274" s="920"/>
      <c r="U274" s="920"/>
      <c r="V274" s="920"/>
      <c r="W274" s="920"/>
      <c r="X274" s="920"/>
      <c r="Y274" s="920"/>
      <c r="Z274" s="920"/>
      <c r="AA274" s="920"/>
      <c r="AB274" s="920"/>
      <c r="AC274" s="920"/>
      <c r="AD274" s="920"/>
      <c r="AE274" s="920"/>
      <c r="AF274" s="920"/>
      <c r="AG274" s="920"/>
      <c r="AH274" s="920"/>
      <c r="AI274" s="920"/>
      <c r="AJ274" s="921"/>
      <c r="AN274" s="914" t="s">
        <v>667</v>
      </c>
      <c r="AO274" s="915"/>
      <c r="AP274" s="915"/>
      <c r="AQ274" s="915"/>
      <c r="AR274" s="915"/>
      <c r="AS274" s="915"/>
      <c r="AT274" s="915"/>
      <c r="AU274" s="915"/>
      <c r="AV274" s="915"/>
      <c r="AW274" s="915"/>
      <c r="AX274" s="915"/>
      <c r="AY274" s="915"/>
      <c r="AZ274" s="915"/>
      <c r="BA274" s="915"/>
      <c r="BB274" s="915"/>
      <c r="BC274" s="915"/>
      <c r="BD274" s="915"/>
      <c r="BE274" s="915"/>
      <c r="BF274" s="915"/>
      <c r="BG274" s="915"/>
      <c r="BH274" s="915"/>
      <c r="BI274" s="915"/>
      <c r="BJ274" s="915"/>
      <c r="BK274" s="915"/>
      <c r="BL274" s="915"/>
      <c r="BM274" s="915"/>
      <c r="BN274" s="915"/>
      <c r="BO274" s="916"/>
    </row>
    <row r="275" spans="2:67" s="18" customFormat="1" ht="20.7" x14ac:dyDescent="0.25">
      <c r="B275" s="17"/>
      <c r="G275" s="913"/>
      <c r="H275" s="913"/>
      <c r="I275" s="913"/>
      <c r="J275" s="913"/>
      <c r="K275" s="913"/>
      <c r="L275" s="913"/>
      <c r="M275" s="913"/>
      <c r="N275" s="913"/>
      <c r="O275" s="913"/>
      <c r="P275" s="913"/>
      <c r="Q275" s="913"/>
      <c r="R275" s="913"/>
      <c r="S275" s="913"/>
      <c r="T275" s="913"/>
      <c r="U275" s="913"/>
      <c r="V275" s="913"/>
      <c r="W275" s="913"/>
      <c r="X275" s="913"/>
      <c r="Y275" s="913"/>
      <c r="Z275" s="913"/>
      <c r="AA275" s="913"/>
      <c r="AB275" s="913"/>
      <c r="AC275" s="913"/>
      <c r="AD275" s="913"/>
      <c r="AE275" s="913"/>
      <c r="AF275" s="913"/>
      <c r="AG275" s="913"/>
      <c r="AH275" s="913"/>
      <c r="AI275" s="913"/>
      <c r="AJ275" s="913"/>
      <c r="AN275" s="919" t="s">
        <v>1763</v>
      </c>
      <c r="AO275" s="919"/>
      <c r="AP275" s="919"/>
      <c r="AQ275" s="919"/>
      <c r="AR275" s="919"/>
      <c r="AS275" s="919"/>
      <c r="AT275" s="919"/>
      <c r="AU275" s="919"/>
      <c r="AV275" s="919"/>
      <c r="AW275" s="919"/>
      <c r="AX275" s="919"/>
      <c r="AY275" s="919"/>
      <c r="AZ275" s="919"/>
      <c r="BA275" s="919"/>
      <c r="BB275" s="919"/>
      <c r="BC275" s="919"/>
      <c r="BD275" s="919"/>
      <c r="BE275" s="919"/>
      <c r="BF275" s="919"/>
      <c r="BG275" s="919"/>
      <c r="BH275" s="919"/>
      <c r="BI275" s="919"/>
      <c r="BJ275" s="919"/>
      <c r="BK275" s="919"/>
      <c r="BL275" s="919"/>
      <c r="BM275" s="919"/>
      <c r="BN275" s="919"/>
      <c r="BO275" s="919"/>
    </row>
    <row r="276" spans="2:67" s="18" customFormat="1" x14ac:dyDescent="0.25">
      <c r="B276" s="17"/>
      <c r="G276" s="914" t="s">
        <v>1764</v>
      </c>
      <c r="H276" s="920"/>
      <c r="I276" s="920"/>
      <c r="J276" s="920"/>
      <c r="K276" s="920"/>
      <c r="L276" s="920"/>
      <c r="M276" s="920"/>
      <c r="N276" s="920"/>
      <c r="O276" s="920"/>
      <c r="P276" s="920"/>
      <c r="Q276" s="920"/>
      <c r="R276" s="920"/>
      <c r="S276" s="920"/>
      <c r="T276" s="920"/>
      <c r="U276" s="920"/>
      <c r="V276" s="920"/>
      <c r="W276" s="920"/>
      <c r="X276" s="920"/>
      <c r="Y276" s="920"/>
      <c r="Z276" s="920"/>
      <c r="AA276" s="920"/>
      <c r="AB276" s="920"/>
      <c r="AC276" s="920"/>
      <c r="AD276" s="920"/>
      <c r="AE276" s="920"/>
      <c r="AF276" s="920"/>
      <c r="AG276" s="920"/>
      <c r="AH276" s="920"/>
      <c r="AI276" s="920"/>
      <c r="AJ276" s="921"/>
      <c r="AN276" s="914" t="s">
        <v>1765</v>
      </c>
      <c r="AO276" s="915"/>
      <c r="AP276" s="915"/>
      <c r="AQ276" s="915"/>
      <c r="AR276" s="915"/>
      <c r="AS276" s="915"/>
      <c r="AT276" s="915"/>
      <c r="AU276" s="915"/>
      <c r="AV276" s="915"/>
      <c r="AW276" s="915"/>
      <c r="AX276" s="915"/>
      <c r="AY276" s="915"/>
      <c r="AZ276" s="915"/>
      <c r="BA276" s="915"/>
      <c r="BB276" s="915"/>
      <c r="BC276" s="915"/>
      <c r="BD276" s="915"/>
      <c r="BE276" s="915"/>
      <c r="BF276" s="915"/>
      <c r="BG276" s="915"/>
      <c r="BH276" s="915"/>
      <c r="BI276" s="915"/>
      <c r="BJ276" s="915"/>
      <c r="BK276" s="915"/>
      <c r="BL276" s="915"/>
      <c r="BM276" s="915"/>
      <c r="BN276" s="915"/>
      <c r="BO276" s="916"/>
    </row>
    <row r="277" spans="2:67" s="18" customFormat="1" ht="20.7" x14ac:dyDescent="0.25">
      <c r="B277" s="17"/>
      <c r="G277" s="913"/>
      <c r="H277" s="913"/>
      <c r="I277" s="913"/>
      <c r="J277" s="913"/>
      <c r="K277" s="913"/>
      <c r="L277" s="913"/>
      <c r="M277" s="913"/>
      <c r="N277" s="913"/>
      <c r="O277" s="913"/>
      <c r="P277" s="913"/>
      <c r="Q277" s="913"/>
      <c r="R277" s="913"/>
      <c r="S277" s="913"/>
      <c r="T277" s="913"/>
      <c r="U277" s="913"/>
      <c r="V277" s="913"/>
      <c r="W277" s="913"/>
      <c r="X277" s="913"/>
      <c r="Y277" s="913"/>
      <c r="Z277" s="913"/>
      <c r="AA277" s="913"/>
      <c r="AB277" s="913"/>
      <c r="AC277" s="913"/>
      <c r="AD277" s="913"/>
      <c r="AE277" s="913"/>
      <c r="AF277" s="913"/>
      <c r="AG277" s="913"/>
      <c r="AH277" s="913"/>
      <c r="AI277" s="913"/>
      <c r="AJ277" s="913"/>
      <c r="AN277" s="919" t="s">
        <v>1766</v>
      </c>
      <c r="AO277" s="919"/>
      <c r="AP277" s="919"/>
      <c r="AQ277" s="919"/>
      <c r="AR277" s="919"/>
      <c r="AS277" s="919"/>
      <c r="AT277" s="919"/>
      <c r="AU277" s="919"/>
      <c r="AV277" s="919"/>
      <c r="AW277" s="919"/>
      <c r="AX277" s="919"/>
      <c r="AY277" s="919"/>
      <c r="AZ277" s="919"/>
      <c r="BA277" s="919"/>
      <c r="BB277" s="919"/>
      <c r="BC277" s="919"/>
      <c r="BD277" s="919"/>
      <c r="BE277" s="919"/>
      <c r="BF277" s="919"/>
      <c r="BG277" s="919"/>
      <c r="BH277" s="919"/>
      <c r="BI277" s="919"/>
      <c r="BJ277" s="919"/>
      <c r="BK277" s="919"/>
      <c r="BL277" s="919"/>
      <c r="BM277" s="919"/>
      <c r="BN277" s="919"/>
      <c r="BO277" s="919"/>
    </row>
    <row r="278" spans="2:67" s="18" customFormat="1" x14ac:dyDescent="0.25">
      <c r="B278" s="17"/>
      <c r="G278" s="917" t="s">
        <v>1767</v>
      </c>
      <c r="H278" s="918"/>
      <c r="I278" s="918"/>
      <c r="J278" s="918"/>
      <c r="K278" s="918"/>
      <c r="L278" s="918"/>
      <c r="M278" s="918"/>
      <c r="N278" s="918"/>
      <c r="O278" s="918"/>
      <c r="P278" s="918"/>
      <c r="Q278" s="918"/>
      <c r="R278" s="918"/>
      <c r="S278" s="918"/>
      <c r="T278" s="918"/>
      <c r="U278" s="918"/>
      <c r="V278" s="918"/>
      <c r="W278" s="918"/>
      <c r="X278" s="918"/>
      <c r="Y278" s="918"/>
      <c r="Z278" s="918"/>
      <c r="AA278" s="918"/>
      <c r="AB278" s="918"/>
      <c r="AC278" s="918"/>
      <c r="AD278" s="918"/>
      <c r="AE278" s="918"/>
      <c r="AF278" s="918"/>
      <c r="AG278" s="918"/>
      <c r="AH278" s="918"/>
      <c r="AI278" s="918"/>
      <c r="AJ278" s="918"/>
      <c r="AN278" s="917" t="s">
        <v>1768</v>
      </c>
      <c r="AO278" s="918"/>
      <c r="AP278" s="918"/>
      <c r="AQ278" s="918"/>
      <c r="AR278" s="918"/>
      <c r="AS278" s="918"/>
      <c r="AT278" s="918"/>
      <c r="AU278" s="918"/>
      <c r="AV278" s="918"/>
      <c r="AW278" s="918"/>
      <c r="AX278" s="918"/>
      <c r="AY278" s="918"/>
      <c r="AZ278" s="918"/>
      <c r="BA278" s="918"/>
      <c r="BB278" s="918"/>
      <c r="BC278" s="918"/>
      <c r="BD278" s="918"/>
      <c r="BE278" s="918"/>
      <c r="BF278" s="918"/>
      <c r="BG278" s="918"/>
      <c r="BH278" s="918"/>
      <c r="BI278" s="918"/>
      <c r="BJ278" s="918"/>
      <c r="BK278" s="918"/>
      <c r="BL278" s="918"/>
      <c r="BM278" s="918"/>
      <c r="BN278" s="918"/>
      <c r="BO278" s="918"/>
    </row>
    <row r="279" spans="2:67" s="18" customFormat="1" x14ac:dyDescent="0.25">
      <c r="B279" s="17"/>
      <c r="G279" s="917" t="s">
        <v>1769</v>
      </c>
      <c r="H279" s="918"/>
      <c r="I279" s="918"/>
      <c r="J279" s="918"/>
      <c r="K279" s="918"/>
      <c r="L279" s="918"/>
      <c r="M279" s="918"/>
      <c r="N279" s="918"/>
      <c r="O279" s="918"/>
      <c r="P279" s="918"/>
      <c r="Q279" s="918"/>
      <c r="R279" s="918"/>
      <c r="S279" s="918"/>
      <c r="T279" s="918"/>
      <c r="U279" s="918"/>
      <c r="V279" s="918"/>
      <c r="W279" s="918"/>
      <c r="X279" s="918"/>
      <c r="Y279" s="918"/>
      <c r="Z279" s="918"/>
      <c r="AA279" s="918"/>
      <c r="AB279" s="918"/>
      <c r="AC279" s="918"/>
      <c r="AD279" s="918"/>
      <c r="AE279" s="918"/>
      <c r="AF279" s="918"/>
      <c r="AG279" s="918"/>
      <c r="AH279" s="918"/>
      <c r="AI279" s="918"/>
      <c r="AJ279" s="918"/>
      <c r="AN279" s="917" t="s">
        <v>683</v>
      </c>
      <c r="AO279" s="918"/>
      <c r="AP279" s="918"/>
      <c r="AQ279" s="918"/>
      <c r="AR279" s="918"/>
      <c r="AS279" s="918"/>
      <c r="AT279" s="918"/>
      <c r="AU279" s="918"/>
      <c r="AV279" s="918"/>
      <c r="AW279" s="918"/>
      <c r="AX279" s="918"/>
      <c r="AY279" s="918"/>
      <c r="AZ279" s="918"/>
      <c r="BA279" s="918"/>
      <c r="BB279" s="918"/>
      <c r="BC279" s="918"/>
      <c r="BD279" s="918"/>
      <c r="BE279" s="918"/>
      <c r="BF279" s="918"/>
      <c r="BG279" s="918"/>
      <c r="BH279" s="918"/>
      <c r="BI279" s="918"/>
      <c r="BJ279" s="918"/>
      <c r="BK279" s="918"/>
      <c r="BL279" s="918"/>
      <c r="BM279" s="918"/>
      <c r="BN279" s="918"/>
      <c r="BO279" s="918"/>
    </row>
    <row r="280" spans="2:67" s="18" customFormat="1" ht="20.7" x14ac:dyDescent="0.25">
      <c r="B280" s="17"/>
      <c r="G280" s="913"/>
      <c r="H280" s="913"/>
      <c r="I280" s="913"/>
      <c r="J280" s="913"/>
      <c r="K280" s="913"/>
      <c r="L280" s="913"/>
      <c r="M280" s="913"/>
      <c r="N280" s="913"/>
      <c r="O280" s="913"/>
      <c r="P280" s="913"/>
      <c r="Q280" s="913"/>
      <c r="R280" s="913"/>
      <c r="S280" s="913"/>
      <c r="T280" s="913"/>
      <c r="U280" s="913"/>
      <c r="V280" s="913"/>
      <c r="W280" s="913"/>
      <c r="X280" s="913"/>
      <c r="Y280" s="913"/>
      <c r="Z280" s="913"/>
      <c r="AA280" s="913"/>
      <c r="AB280" s="913"/>
      <c r="AC280" s="913"/>
      <c r="AD280" s="913"/>
      <c r="AE280" s="913"/>
      <c r="AF280" s="913"/>
      <c r="AG280" s="913"/>
      <c r="AH280" s="913"/>
      <c r="AI280" s="913"/>
      <c r="AJ280" s="913"/>
      <c r="AN280" s="919" t="s">
        <v>1770</v>
      </c>
      <c r="AO280" s="919"/>
      <c r="AP280" s="919"/>
      <c r="AQ280" s="919"/>
      <c r="AR280" s="919"/>
      <c r="AS280" s="919"/>
      <c r="AT280" s="919"/>
      <c r="AU280" s="919"/>
      <c r="AV280" s="919"/>
      <c r="AW280" s="919"/>
      <c r="AX280" s="919"/>
      <c r="AY280" s="919"/>
      <c r="AZ280" s="919"/>
      <c r="BA280" s="919"/>
      <c r="BB280" s="919"/>
      <c r="BC280" s="919"/>
      <c r="BD280" s="919"/>
      <c r="BE280" s="919"/>
      <c r="BF280" s="919"/>
      <c r="BG280" s="919"/>
      <c r="BH280" s="919"/>
      <c r="BI280" s="919"/>
      <c r="BJ280" s="919"/>
      <c r="BK280" s="919"/>
      <c r="BL280" s="919"/>
      <c r="BM280" s="919"/>
      <c r="BN280" s="919"/>
      <c r="BO280" s="919"/>
    </row>
    <row r="281" spans="2:67" s="18" customFormat="1" x14ac:dyDescent="0.25">
      <c r="B281" s="17"/>
      <c r="G281" s="917" t="s">
        <v>1771</v>
      </c>
      <c r="H281" s="918"/>
      <c r="I281" s="918"/>
      <c r="J281" s="918"/>
      <c r="K281" s="918"/>
      <c r="L281" s="918"/>
      <c r="M281" s="918"/>
      <c r="N281" s="918"/>
      <c r="O281" s="918"/>
      <c r="P281" s="918"/>
      <c r="Q281" s="918"/>
      <c r="R281" s="918"/>
      <c r="S281" s="918"/>
      <c r="T281" s="918"/>
      <c r="U281" s="918"/>
      <c r="V281" s="918"/>
      <c r="W281" s="918"/>
      <c r="X281" s="918"/>
      <c r="Y281" s="918"/>
      <c r="Z281" s="918"/>
      <c r="AA281" s="918"/>
      <c r="AB281" s="918"/>
      <c r="AC281" s="918"/>
      <c r="AD281" s="918"/>
      <c r="AE281" s="918"/>
      <c r="AF281" s="918"/>
      <c r="AG281" s="918"/>
      <c r="AH281" s="918"/>
      <c r="AI281" s="918"/>
      <c r="AJ281" s="918"/>
      <c r="AN281" s="922" t="s">
        <v>691</v>
      </c>
      <c r="AO281" s="923"/>
      <c r="AP281" s="923"/>
      <c r="AQ281" s="923"/>
      <c r="AR281" s="923"/>
      <c r="AS281" s="923"/>
      <c r="AT281" s="923"/>
      <c r="AU281" s="923"/>
      <c r="AV281" s="923"/>
      <c r="AW281" s="923"/>
      <c r="AX281" s="923"/>
      <c r="AY281" s="923"/>
      <c r="AZ281" s="923"/>
      <c r="BA281" s="923"/>
      <c r="BB281" s="923"/>
      <c r="BC281" s="923"/>
      <c r="BD281" s="923"/>
      <c r="BE281" s="923"/>
      <c r="BF281" s="923"/>
      <c r="BG281" s="923"/>
      <c r="BH281" s="923"/>
      <c r="BI281" s="923"/>
      <c r="BJ281" s="923"/>
      <c r="BK281" s="923"/>
      <c r="BL281" s="923"/>
      <c r="BM281" s="923"/>
      <c r="BN281" s="923"/>
      <c r="BO281" s="923"/>
    </row>
    <row r="282" spans="2:67" s="18" customFormat="1" x14ac:dyDescent="0.25">
      <c r="B282" s="17"/>
      <c r="G282" s="917" t="s">
        <v>1772</v>
      </c>
      <c r="H282" s="918"/>
      <c r="I282" s="918"/>
      <c r="J282" s="918"/>
      <c r="K282" s="918"/>
      <c r="L282" s="918"/>
      <c r="M282" s="918"/>
      <c r="N282" s="918"/>
      <c r="O282" s="918"/>
      <c r="P282" s="918"/>
      <c r="Q282" s="918"/>
      <c r="R282" s="918"/>
      <c r="S282" s="918"/>
      <c r="T282" s="918"/>
      <c r="U282" s="918"/>
      <c r="V282" s="918"/>
      <c r="W282" s="918"/>
      <c r="X282" s="918"/>
      <c r="Y282" s="918"/>
      <c r="Z282" s="918"/>
      <c r="AA282" s="918"/>
      <c r="AB282" s="918"/>
      <c r="AC282" s="918"/>
      <c r="AD282" s="918"/>
      <c r="AE282" s="918"/>
      <c r="AF282" s="918"/>
      <c r="AG282" s="918"/>
      <c r="AH282" s="918"/>
      <c r="AI282" s="918"/>
      <c r="AJ282" s="918"/>
      <c r="AN282" s="917" t="s">
        <v>1773</v>
      </c>
      <c r="AO282" s="918"/>
      <c r="AP282" s="918"/>
      <c r="AQ282" s="918"/>
      <c r="AR282" s="918"/>
      <c r="AS282" s="918"/>
      <c r="AT282" s="918"/>
      <c r="AU282" s="918"/>
      <c r="AV282" s="918"/>
      <c r="AW282" s="918"/>
      <c r="AX282" s="918"/>
      <c r="AY282" s="918"/>
      <c r="AZ282" s="918"/>
      <c r="BA282" s="918"/>
      <c r="BB282" s="918"/>
      <c r="BC282" s="918"/>
      <c r="BD282" s="918"/>
      <c r="BE282" s="918"/>
      <c r="BF282" s="918"/>
      <c r="BG282" s="918"/>
      <c r="BH282" s="918"/>
      <c r="BI282" s="918"/>
      <c r="BJ282" s="918"/>
      <c r="BK282" s="918"/>
      <c r="BL282" s="918"/>
      <c r="BM282" s="918"/>
      <c r="BN282" s="918"/>
      <c r="BO282" s="918"/>
    </row>
    <row r="283" spans="2:67" s="18" customFormat="1" x14ac:dyDescent="0.25">
      <c r="B283" s="17"/>
    </row>
    <row r="284" spans="2:67" s="18" customFormat="1" x14ac:dyDescent="0.25">
      <c r="B284" s="17"/>
    </row>
    <row r="285" spans="2:67" s="18" customFormat="1" x14ac:dyDescent="0.25">
      <c r="B285" s="17"/>
    </row>
  </sheetData>
  <mergeCells count="418">
    <mergeCell ref="G268:AJ268"/>
    <mergeCell ref="G269:AJ269"/>
    <mergeCell ref="G267:AJ267"/>
    <mergeCell ref="AN280:BO280"/>
    <mergeCell ref="AN281:BO281"/>
    <mergeCell ref="AN282:BO282"/>
    <mergeCell ref="G277:AJ277"/>
    <mergeCell ref="G278:AJ278"/>
    <mergeCell ref="G279:AJ279"/>
    <mergeCell ref="G280:AJ280"/>
    <mergeCell ref="G281:AJ281"/>
    <mergeCell ref="G282:AJ282"/>
    <mergeCell ref="AN277:BO277"/>
    <mergeCell ref="AN278:BO278"/>
    <mergeCell ref="G270:AJ270"/>
    <mergeCell ref="G271:AJ271"/>
    <mergeCell ref="G272:AJ272"/>
    <mergeCell ref="G273:AJ273"/>
    <mergeCell ref="G274:AJ274"/>
    <mergeCell ref="G275:AJ275"/>
    <mergeCell ref="G276:AJ276"/>
    <mergeCell ref="AN274:BO274"/>
    <mergeCell ref="AN275:BO275"/>
    <mergeCell ref="AN276:BO276"/>
    <mergeCell ref="G259:AJ259"/>
    <mergeCell ref="G260:AJ260"/>
    <mergeCell ref="G261:AJ261"/>
    <mergeCell ref="G262:AJ262"/>
    <mergeCell ref="G263:AJ263"/>
    <mergeCell ref="G264:AJ264"/>
    <mergeCell ref="G265:AJ265"/>
    <mergeCell ref="G266:AJ266"/>
    <mergeCell ref="AN279:BO279"/>
    <mergeCell ref="AN259:BO259"/>
    <mergeCell ref="AN260:BO260"/>
    <mergeCell ref="AN261:BO261"/>
    <mergeCell ref="AN262:BO262"/>
    <mergeCell ref="AN263:BO263"/>
    <mergeCell ref="AN264:BO264"/>
    <mergeCell ref="AN265:BO265"/>
    <mergeCell ref="AN266:BO266"/>
    <mergeCell ref="AN267:BO267"/>
    <mergeCell ref="AN268:BO268"/>
    <mergeCell ref="AN269:BO269"/>
    <mergeCell ref="AN270:BO270"/>
    <mergeCell ref="AN271:BO271"/>
    <mergeCell ref="AN272:BO272"/>
    <mergeCell ref="AN273:BO273"/>
    <mergeCell ref="C226:I237"/>
    <mergeCell ref="K226:R237"/>
    <mergeCell ref="G244:I244"/>
    <mergeCell ref="G245:I245"/>
    <mergeCell ref="G246:I247"/>
    <mergeCell ref="G250:I250"/>
    <mergeCell ref="C244:E244"/>
    <mergeCell ref="C245:E245"/>
    <mergeCell ref="C246:E247"/>
    <mergeCell ref="C250:E250"/>
    <mergeCell ref="I172:M172"/>
    <mergeCell ref="I173:M173"/>
    <mergeCell ref="I174:M174"/>
    <mergeCell ref="I175:M175"/>
    <mergeCell ref="I167:M167"/>
    <mergeCell ref="I168:M168"/>
    <mergeCell ref="I169:M169"/>
    <mergeCell ref="I170:M170"/>
    <mergeCell ref="I171:M171"/>
    <mergeCell ref="I162:M162"/>
    <mergeCell ref="I163:M163"/>
    <mergeCell ref="I164:M164"/>
    <mergeCell ref="I165:M165"/>
    <mergeCell ref="I166:M166"/>
    <mergeCell ref="I157:M157"/>
    <mergeCell ref="I158:M158"/>
    <mergeCell ref="I159:M159"/>
    <mergeCell ref="I160:M160"/>
    <mergeCell ref="I161:M161"/>
    <mergeCell ref="I152:M152"/>
    <mergeCell ref="I153:M153"/>
    <mergeCell ref="I154:M154"/>
    <mergeCell ref="I155:M155"/>
    <mergeCell ref="I156:M156"/>
    <mergeCell ref="C175:G175"/>
    <mergeCell ref="I137:M137"/>
    <mergeCell ref="I138:M138"/>
    <mergeCell ref="I139:M139"/>
    <mergeCell ref="I140:M140"/>
    <mergeCell ref="I141:M141"/>
    <mergeCell ref="I142:M142"/>
    <mergeCell ref="I143:M143"/>
    <mergeCell ref="I144:M144"/>
    <mergeCell ref="I145:M145"/>
    <mergeCell ref="I146:M146"/>
    <mergeCell ref="I147:M147"/>
    <mergeCell ref="I148:M148"/>
    <mergeCell ref="I149:M149"/>
    <mergeCell ref="I150:M150"/>
    <mergeCell ref="I151:M151"/>
    <mergeCell ref="C170:G170"/>
    <mergeCell ref="C171:G171"/>
    <mergeCell ref="C172:G172"/>
    <mergeCell ref="C173:G173"/>
    <mergeCell ref="C174:G174"/>
    <mergeCell ref="C165:G165"/>
    <mergeCell ref="C166:G166"/>
    <mergeCell ref="C167:G167"/>
    <mergeCell ref="C168:G168"/>
    <mergeCell ref="C169:G169"/>
    <mergeCell ref="C160:G160"/>
    <mergeCell ref="C161:G161"/>
    <mergeCell ref="C162:G162"/>
    <mergeCell ref="C163:G163"/>
    <mergeCell ref="C164:G164"/>
    <mergeCell ref="C155:G155"/>
    <mergeCell ref="C156:G156"/>
    <mergeCell ref="C157:G157"/>
    <mergeCell ref="C158:G158"/>
    <mergeCell ref="C159:G159"/>
    <mergeCell ref="C150:G150"/>
    <mergeCell ref="C151:G151"/>
    <mergeCell ref="C152:G152"/>
    <mergeCell ref="C153:G153"/>
    <mergeCell ref="C154:G154"/>
    <mergeCell ref="C145:G145"/>
    <mergeCell ref="C146:G146"/>
    <mergeCell ref="C147:G147"/>
    <mergeCell ref="C148:G148"/>
    <mergeCell ref="C149:G149"/>
    <mergeCell ref="C140:G140"/>
    <mergeCell ref="C141:G141"/>
    <mergeCell ref="C142:G142"/>
    <mergeCell ref="C143:G143"/>
    <mergeCell ref="C144:G144"/>
    <mergeCell ref="I134:M134"/>
    <mergeCell ref="C137:G137"/>
    <mergeCell ref="C138:G138"/>
    <mergeCell ref="C139:G139"/>
    <mergeCell ref="I130:M130"/>
    <mergeCell ref="I131:M131"/>
    <mergeCell ref="I132:M132"/>
    <mergeCell ref="C131:G131"/>
    <mergeCell ref="C132:G132"/>
    <mergeCell ref="C133:G133"/>
    <mergeCell ref="C134:G134"/>
    <mergeCell ref="I127:M127"/>
    <mergeCell ref="I123:M123"/>
    <mergeCell ref="I124:M124"/>
    <mergeCell ref="I125:M125"/>
    <mergeCell ref="I126:M126"/>
    <mergeCell ref="I122:M122"/>
    <mergeCell ref="I129:M129"/>
    <mergeCell ref="I128:M128"/>
    <mergeCell ref="I133:M133"/>
    <mergeCell ref="C122:G122"/>
    <mergeCell ref="C123:G123"/>
    <mergeCell ref="C124:G124"/>
    <mergeCell ref="C125:G125"/>
    <mergeCell ref="C128:G128"/>
    <mergeCell ref="C126:G126"/>
    <mergeCell ref="C127:G127"/>
    <mergeCell ref="C129:G129"/>
    <mergeCell ref="C130:G130"/>
    <mergeCell ref="C120:G120"/>
    <mergeCell ref="C121:G121"/>
    <mergeCell ref="I111:M111"/>
    <mergeCell ref="I112:M112"/>
    <mergeCell ref="I113:M113"/>
    <mergeCell ref="I114:M114"/>
    <mergeCell ref="I115:M115"/>
    <mergeCell ref="C111:G111"/>
    <mergeCell ref="C112:G112"/>
    <mergeCell ref="C113:G113"/>
    <mergeCell ref="C114:G114"/>
    <mergeCell ref="C115:G115"/>
    <mergeCell ref="I120:M120"/>
    <mergeCell ref="I121:M121"/>
    <mergeCell ref="I106:M106"/>
    <mergeCell ref="I107:M107"/>
    <mergeCell ref="I108:M108"/>
    <mergeCell ref="I109:M109"/>
    <mergeCell ref="I110:M110"/>
    <mergeCell ref="I101:M101"/>
    <mergeCell ref="I102:M102"/>
    <mergeCell ref="I103:M103"/>
    <mergeCell ref="I104:M104"/>
    <mergeCell ref="I105:M105"/>
    <mergeCell ref="I96:M96"/>
    <mergeCell ref="I97:M97"/>
    <mergeCell ref="I98:M98"/>
    <mergeCell ref="I99:M99"/>
    <mergeCell ref="I100:M100"/>
    <mergeCell ref="I91:M91"/>
    <mergeCell ref="I92:M92"/>
    <mergeCell ref="I93:M93"/>
    <mergeCell ref="I94:M94"/>
    <mergeCell ref="I95:M95"/>
    <mergeCell ref="I87:M87"/>
    <mergeCell ref="I88:M88"/>
    <mergeCell ref="I89:M89"/>
    <mergeCell ref="I90:M90"/>
    <mergeCell ref="I81:M81"/>
    <mergeCell ref="I82:M82"/>
    <mergeCell ref="I83:M83"/>
    <mergeCell ref="I84:M84"/>
    <mergeCell ref="I85:M85"/>
    <mergeCell ref="C106:G106"/>
    <mergeCell ref="C107:G107"/>
    <mergeCell ref="C108:G108"/>
    <mergeCell ref="C109:G109"/>
    <mergeCell ref="C110:G110"/>
    <mergeCell ref="C101:G101"/>
    <mergeCell ref="C102:G102"/>
    <mergeCell ref="C103:G103"/>
    <mergeCell ref="C104:G104"/>
    <mergeCell ref="C105:G105"/>
    <mergeCell ref="C96:G96"/>
    <mergeCell ref="C97:G97"/>
    <mergeCell ref="C98:G98"/>
    <mergeCell ref="C99:G99"/>
    <mergeCell ref="C100:G100"/>
    <mergeCell ref="C91:G91"/>
    <mergeCell ref="C92:G92"/>
    <mergeCell ref="C93:G93"/>
    <mergeCell ref="C94:G94"/>
    <mergeCell ref="C95:G95"/>
    <mergeCell ref="C87:G87"/>
    <mergeCell ref="C88:G88"/>
    <mergeCell ref="C89:G89"/>
    <mergeCell ref="C90:G90"/>
    <mergeCell ref="C81:G81"/>
    <mergeCell ref="C82:G82"/>
    <mergeCell ref="C83:G83"/>
    <mergeCell ref="C84:G84"/>
    <mergeCell ref="C85:G85"/>
    <mergeCell ref="C77:G77"/>
    <mergeCell ref="C78:G78"/>
    <mergeCell ref="C79:G79"/>
    <mergeCell ref="C80:G80"/>
    <mergeCell ref="I77:M77"/>
    <mergeCell ref="I78:M78"/>
    <mergeCell ref="I79:M79"/>
    <mergeCell ref="I80:M80"/>
    <mergeCell ref="C86:G86"/>
    <mergeCell ref="I86:M86"/>
    <mergeCell ref="C73:G73"/>
    <mergeCell ref="C74:G74"/>
    <mergeCell ref="I65:M65"/>
    <mergeCell ref="I66:M66"/>
    <mergeCell ref="I67:M67"/>
    <mergeCell ref="I68:M68"/>
    <mergeCell ref="I71:M71"/>
    <mergeCell ref="I72:M72"/>
    <mergeCell ref="I73:M73"/>
    <mergeCell ref="I74:M74"/>
    <mergeCell ref="C67:G67"/>
    <mergeCell ref="C68:G68"/>
    <mergeCell ref="C66:G66"/>
    <mergeCell ref="C71:G71"/>
    <mergeCell ref="C72:G72"/>
    <mergeCell ref="C69:G69"/>
    <mergeCell ref="C70:G70"/>
    <mergeCell ref="I69:M69"/>
    <mergeCell ref="I70:M70"/>
    <mergeCell ref="I57:M57"/>
    <mergeCell ref="I58:M58"/>
    <mergeCell ref="I59:M59"/>
    <mergeCell ref="I60:M60"/>
    <mergeCell ref="C65:G65"/>
    <mergeCell ref="I52:M52"/>
    <mergeCell ref="I53:M53"/>
    <mergeCell ref="I54:M54"/>
    <mergeCell ref="I55:M55"/>
    <mergeCell ref="I56:M56"/>
    <mergeCell ref="C56:G56"/>
    <mergeCell ref="C57:G57"/>
    <mergeCell ref="C58:G58"/>
    <mergeCell ref="C59:G59"/>
    <mergeCell ref="C60:G60"/>
    <mergeCell ref="C55:G55"/>
    <mergeCell ref="C52:G52"/>
    <mergeCell ref="C53:G53"/>
    <mergeCell ref="C54:G54"/>
    <mergeCell ref="I22:M22"/>
    <mergeCell ref="I23:M23"/>
    <mergeCell ref="I24:M24"/>
    <mergeCell ref="I25:M25"/>
    <mergeCell ref="I26:M26"/>
    <mergeCell ref="I37:M37"/>
    <mergeCell ref="I38:M38"/>
    <mergeCell ref="I39:M39"/>
    <mergeCell ref="I40:M40"/>
    <mergeCell ref="I32:M32"/>
    <mergeCell ref="I33:M33"/>
    <mergeCell ref="I34:M34"/>
    <mergeCell ref="I35:M35"/>
    <mergeCell ref="I36:M36"/>
    <mergeCell ref="I27:M27"/>
    <mergeCell ref="I28:M28"/>
    <mergeCell ref="I29:M29"/>
    <mergeCell ref="I30:M30"/>
    <mergeCell ref="I31:M31"/>
    <mergeCell ref="C39:G39"/>
    <mergeCell ref="C40:G40"/>
    <mergeCell ref="C51:G51"/>
    <mergeCell ref="C46:G46"/>
    <mergeCell ref="C47:G47"/>
    <mergeCell ref="C48:G48"/>
    <mergeCell ref="C49:G49"/>
    <mergeCell ref="C50:G50"/>
    <mergeCell ref="I41:M41"/>
    <mergeCell ref="I47:M47"/>
    <mergeCell ref="I48:M48"/>
    <mergeCell ref="I49:M49"/>
    <mergeCell ref="I51:M51"/>
    <mergeCell ref="I42:M42"/>
    <mergeCell ref="I43:M43"/>
    <mergeCell ref="I44:M44"/>
    <mergeCell ref="I45:M45"/>
    <mergeCell ref="I46:M46"/>
    <mergeCell ref="I50:M50"/>
    <mergeCell ref="C9:G9"/>
    <mergeCell ref="C10:G10"/>
    <mergeCell ref="C11:G11"/>
    <mergeCell ref="C12:G12"/>
    <mergeCell ref="C13:G13"/>
    <mergeCell ref="C14:G14"/>
    <mergeCell ref="C15:G15"/>
    <mergeCell ref="C36:G36"/>
    <mergeCell ref="C37:G37"/>
    <mergeCell ref="I13:M13"/>
    <mergeCell ref="I14:M14"/>
    <mergeCell ref="I16:M16"/>
    <mergeCell ref="C17:G17"/>
    <mergeCell ref="C18:G18"/>
    <mergeCell ref="C19:G19"/>
    <mergeCell ref="I3:M3"/>
    <mergeCell ref="I4:M4"/>
    <mergeCell ref="I5:M5"/>
    <mergeCell ref="I6:M6"/>
    <mergeCell ref="I7:M7"/>
    <mergeCell ref="I8:M8"/>
    <mergeCell ref="I15:M15"/>
    <mergeCell ref="I9:M9"/>
    <mergeCell ref="I10:M10"/>
    <mergeCell ref="I11:M11"/>
    <mergeCell ref="I12:M12"/>
    <mergeCell ref="C16:G16"/>
    <mergeCell ref="C7:G7"/>
    <mergeCell ref="C3:G3"/>
    <mergeCell ref="C4:G4"/>
    <mergeCell ref="C5:G5"/>
    <mergeCell ref="C6:G6"/>
    <mergeCell ref="C8:G8"/>
    <mergeCell ref="I18:M18"/>
    <mergeCell ref="I19:M19"/>
    <mergeCell ref="I17:M17"/>
    <mergeCell ref="C182:E183"/>
    <mergeCell ref="C31:G31"/>
    <mergeCell ref="C32:G32"/>
    <mergeCell ref="C33:G33"/>
    <mergeCell ref="C34:G34"/>
    <mergeCell ref="C35:G35"/>
    <mergeCell ref="C26:G26"/>
    <mergeCell ref="C27:G27"/>
    <mergeCell ref="C28:G28"/>
    <mergeCell ref="C29:G29"/>
    <mergeCell ref="C30:G30"/>
    <mergeCell ref="C41:G41"/>
    <mergeCell ref="C42:G42"/>
    <mergeCell ref="C43:G43"/>
    <mergeCell ref="C44:G44"/>
    <mergeCell ref="C45:G45"/>
    <mergeCell ref="C22:G22"/>
    <mergeCell ref="C23:G23"/>
    <mergeCell ref="C24:G24"/>
    <mergeCell ref="C25:G25"/>
    <mergeCell ref="C38:G38"/>
    <mergeCell ref="C204:E205"/>
    <mergeCell ref="C206:E207"/>
    <mergeCell ref="C208:E209"/>
    <mergeCell ref="C210:E211"/>
    <mergeCell ref="C212:E213"/>
    <mergeCell ref="C214:E215"/>
    <mergeCell ref="C216:E217"/>
    <mergeCell ref="C218:E219"/>
    <mergeCell ref="C184:E185"/>
    <mergeCell ref="C186:E187"/>
    <mergeCell ref="C188:E189"/>
    <mergeCell ref="C190:E191"/>
    <mergeCell ref="C192:E193"/>
    <mergeCell ref="C194:E195"/>
    <mergeCell ref="C196:E197"/>
    <mergeCell ref="C198:E199"/>
    <mergeCell ref="C200:E201"/>
    <mergeCell ref="C220:E221"/>
    <mergeCell ref="C222:E223"/>
    <mergeCell ref="G182:I183"/>
    <mergeCell ref="G184:I185"/>
    <mergeCell ref="G186:I187"/>
    <mergeCell ref="G188:I189"/>
    <mergeCell ref="G190:I191"/>
    <mergeCell ref="G192:I193"/>
    <mergeCell ref="G194:I195"/>
    <mergeCell ref="G196:I197"/>
    <mergeCell ref="G198:I199"/>
    <mergeCell ref="G200:I201"/>
    <mergeCell ref="G202:I203"/>
    <mergeCell ref="G204:I205"/>
    <mergeCell ref="G206:I207"/>
    <mergeCell ref="G208:I209"/>
    <mergeCell ref="G210:I211"/>
    <mergeCell ref="G212:I213"/>
    <mergeCell ref="G214:I215"/>
    <mergeCell ref="G216:I217"/>
    <mergeCell ref="G218:I219"/>
    <mergeCell ref="G220:I221"/>
    <mergeCell ref="G222:I223"/>
    <mergeCell ref="C202:E203"/>
  </mergeCells>
  <conditionalFormatting sqref="G259">
    <cfRule type="expression" dxfId="626" priority="8" stopIfTrue="1">
      <formula>#REF!=""</formula>
    </cfRule>
  </conditionalFormatting>
  <conditionalFormatting sqref="G261:G264">
    <cfRule type="expression" dxfId="625" priority="9" stopIfTrue="1">
      <formula>#REF!=""</formula>
    </cfRule>
  </conditionalFormatting>
  <conditionalFormatting sqref="G266:G274">
    <cfRule type="expression" dxfId="624" priority="11" stopIfTrue="1">
      <formula>#REF!=""</formula>
    </cfRule>
  </conditionalFormatting>
  <conditionalFormatting sqref="G276">
    <cfRule type="expression" dxfId="623" priority="12" stopIfTrue="1">
      <formula>#REF!=""</formula>
    </cfRule>
  </conditionalFormatting>
  <conditionalFormatting sqref="G278:G279">
    <cfRule type="expression" dxfId="622" priority="13" stopIfTrue="1">
      <formula>#REF!=""</formula>
    </cfRule>
  </conditionalFormatting>
  <conditionalFormatting sqref="G281:G282">
    <cfRule type="expression" dxfId="621" priority="14" stopIfTrue="1">
      <formula>#REF!=""</formula>
    </cfRule>
  </conditionalFormatting>
  <conditionalFormatting sqref="AN259">
    <cfRule type="expression" dxfId="620" priority="1" stopIfTrue="1">
      <formula>#REF!=""</formula>
    </cfRule>
  </conditionalFormatting>
  <conditionalFormatting sqref="AN261:AN264">
    <cfRule type="expression" dxfId="619" priority="2" stopIfTrue="1">
      <formula>#REF!=""</formula>
    </cfRule>
  </conditionalFormatting>
  <conditionalFormatting sqref="AN266:AN274">
    <cfRule type="expression" dxfId="618" priority="4" stopIfTrue="1">
      <formula>#REF!=""</formula>
    </cfRule>
  </conditionalFormatting>
  <conditionalFormatting sqref="AN276">
    <cfRule type="expression" dxfId="617" priority="5" stopIfTrue="1">
      <formula>#REF!=""</formula>
    </cfRule>
  </conditionalFormatting>
  <conditionalFormatting sqref="AN278:AN279">
    <cfRule type="expression" dxfId="616" priority="6" stopIfTrue="1">
      <formula>#REF!=""</formula>
    </cfRule>
  </conditionalFormatting>
  <conditionalFormatting sqref="AN281:AN282">
    <cfRule type="expression" dxfId="615" priority="7" stopIfTrue="1">
      <formula>#REF!=""</formula>
    </cfRule>
  </conditionalFormatting>
  <pageMargins left="0.7" right="0.7" top="0.78740157499999996" bottom="0.78740157499999996" header="0.3" footer="0.3"/>
  <pageSetup paperSize="9" orientation="portrait"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legacyDrawingHF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tabColor theme="3" tint="0.39997558519241921"/>
  </sheetPr>
  <dimension ref="A1:PT112"/>
  <sheetViews>
    <sheetView showGridLines="0" zoomScaleNormal="100" zoomScaleSheetLayoutView="100" workbookViewId="0">
      <selection activeCell="I17" sqref="I17:L17"/>
    </sheetView>
  </sheetViews>
  <sheetFormatPr baseColWidth="10" defaultColWidth="5.3984375" defaultRowHeight="13.15" x14ac:dyDescent="0.25"/>
  <cols>
    <col min="1" max="10" width="5.3984375" style="421"/>
    <col min="11" max="11" width="5.3984375" style="421" customWidth="1"/>
    <col min="12" max="16384" width="5.3984375" style="421"/>
  </cols>
  <sheetData>
    <row r="1" spans="1:436" s="187" customFormat="1" ht="17.7" customHeight="1" x14ac:dyDescent="0.25">
      <c r="A1" s="1023"/>
      <c r="B1" s="1023" t="str">
        <f>HLOOKUP(LANGUAGE!$B$2,LANGUAGE!$C$14:$G$3008,1307)</f>
        <v>Weights</v>
      </c>
      <c r="C1" s="1023"/>
      <c r="D1" s="1023"/>
      <c r="E1" s="1023"/>
      <c r="F1" s="1023"/>
      <c r="G1" s="2583" t="s">
        <v>2</v>
      </c>
      <c r="H1" s="2583"/>
      <c r="I1" s="2583"/>
      <c r="J1" s="2583"/>
      <c r="K1" s="2583"/>
      <c r="L1" s="2583"/>
      <c r="M1" s="185"/>
      <c r="N1" s="185"/>
      <c r="O1" s="185"/>
      <c r="P1" s="2584" t="str">
        <f>HLOOKUP(LANGUAGE!$B$2,LANGUAGE!$C$14:$G$1500,2)</f>
        <v>Attention!!!        Only yellow fields has to be filled</v>
      </c>
      <c r="Q1" s="2584"/>
      <c r="R1" s="2584"/>
      <c r="S1" s="2584"/>
      <c r="T1" s="2584"/>
      <c r="U1" s="2584"/>
      <c r="V1" s="1023"/>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U1" s="42"/>
      <c r="DV1" s="42"/>
      <c r="DW1" s="42"/>
      <c r="DX1" s="42"/>
      <c r="DY1" s="42"/>
      <c r="DZ1" s="42"/>
      <c r="EA1" s="42"/>
      <c r="EB1" s="42"/>
      <c r="EC1" s="42"/>
      <c r="ED1" s="42"/>
      <c r="EE1" s="42"/>
      <c r="EF1" s="4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c r="IW1" s="32"/>
      <c r="IX1" s="32"/>
      <c r="IY1" s="32"/>
      <c r="IZ1" s="32"/>
      <c r="JA1" s="32"/>
      <c r="JB1" s="32"/>
      <c r="JC1" s="32"/>
      <c r="JD1" s="32"/>
      <c r="JE1" s="32"/>
      <c r="JF1" s="32"/>
      <c r="JG1" s="32"/>
      <c r="JH1" s="32"/>
      <c r="JI1" s="32"/>
      <c r="JJ1" s="32"/>
      <c r="JK1" s="32"/>
      <c r="JL1" s="32"/>
      <c r="JM1" s="32"/>
      <c r="JN1" s="32"/>
      <c r="JO1" s="32"/>
      <c r="JP1" s="32"/>
      <c r="JQ1" s="32"/>
      <c r="JR1" s="32"/>
      <c r="JS1" s="32"/>
      <c r="JT1" s="32"/>
      <c r="JU1" s="32"/>
      <c r="JV1" s="32"/>
      <c r="JW1" s="32"/>
      <c r="JX1" s="32"/>
      <c r="JY1" s="32"/>
      <c r="JZ1" s="32"/>
      <c r="KA1" s="32"/>
      <c r="KB1" s="32"/>
      <c r="KC1" s="32"/>
      <c r="KD1" s="32"/>
      <c r="KE1" s="32"/>
      <c r="KF1" s="32"/>
      <c r="KG1" s="32"/>
      <c r="KH1" s="32"/>
      <c r="KI1" s="32"/>
      <c r="KJ1" s="32"/>
      <c r="KK1" s="32"/>
      <c r="KL1" s="32"/>
      <c r="KM1" s="32"/>
      <c r="KN1" s="32"/>
      <c r="KO1" s="32"/>
      <c r="KP1" s="32"/>
      <c r="KQ1" s="32"/>
      <c r="KR1" s="32"/>
      <c r="KS1" s="32"/>
      <c r="KT1" s="32"/>
      <c r="KU1" s="32"/>
      <c r="KV1" s="32"/>
      <c r="KW1" s="32"/>
      <c r="KX1" s="32"/>
      <c r="KY1" s="32"/>
      <c r="KZ1" s="32"/>
      <c r="LA1" s="32"/>
      <c r="LB1" s="32"/>
      <c r="LC1" s="32"/>
      <c r="LD1" s="32"/>
      <c r="LE1" s="32"/>
      <c r="LF1" s="32"/>
      <c r="LG1" s="32"/>
      <c r="LH1" s="32"/>
      <c r="LI1" s="32"/>
      <c r="LJ1" s="32"/>
      <c r="LK1" s="32"/>
      <c r="LL1" s="32"/>
      <c r="LM1" s="32"/>
      <c r="LN1" s="32"/>
      <c r="LO1" s="32"/>
      <c r="LP1" s="32"/>
      <c r="LQ1" s="32"/>
      <c r="LR1" s="32"/>
      <c r="LS1" s="32"/>
      <c r="LT1" s="32"/>
      <c r="LU1" s="32"/>
      <c r="LV1" s="32"/>
      <c r="LW1" s="32"/>
      <c r="LX1" s="32"/>
      <c r="LY1" s="32"/>
      <c r="LZ1" s="32"/>
      <c r="MA1" s="32"/>
      <c r="MB1" s="32"/>
      <c r="MC1" s="32"/>
      <c r="MD1" s="32"/>
      <c r="ME1" s="32"/>
      <c r="MF1" s="32"/>
      <c r="MG1" s="32"/>
      <c r="MH1" s="32"/>
      <c r="MI1" s="32"/>
      <c r="MJ1" s="32"/>
      <c r="MK1" s="32"/>
      <c r="ML1" s="32"/>
      <c r="MM1" s="32"/>
      <c r="MN1" s="32"/>
      <c r="MO1" s="32"/>
      <c r="MP1" s="32"/>
      <c r="MQ1" s="32"/>
      <c r="MR1" s="32"/>
      <c r="MS1" s="32"/>
      <c r="MT1" s="32"/>
      <c r="MU1" s="32"/>
      <c r="MV1" s="32"/>
      <c r="MW1" s="32"/>
      <c r="MX1" s="32"/>
      <c r="MY1" s="32"/>
      <c r="MZ1" s="32"/>
      <c r="NA1" s="32"/>
      <c r="NB1" s="32"/>
      <c r="NC1" s="32"/>
      <c r="ND1" s="32"/>
      <c r="NE1" s="32"/>
      <c r="NF1" s="32"/>
      <c r="NG1" s="32"/>
      <c r="NH1" s="32"/>
      <c r="NI1" s="32"/>
      <c r="NJ1" s="32"/>
      <c r="NK1" s="32"/>
      <c r="NL1" s="32"/>
      <c r="NM1" s="32"/>
      <c r="NN1" s="32"/>
      <c r="NO1" s="32"/>
      <c r="NP1" s="32"/>
      <c r="NQ1" s="32"/>
      <c r="NR1" s="32"/>
      <c r="NS1" s="32"/>
      <c r="NT1" s="32"/>
      <c r="NU1" s="32"/>
      <c r="NV1" s="32"/>
      <c r="NW1" s="32"/>
      <c r="NX1" s="32"/>
      <c r="NY1" s="32"/>
      <c r="NZ1" s="32"/>
      <c r="OA1" s="32"/>
      <c r="OB1" s="32"/>
      <c r="OC1" s="32"/>
      <c r="OD1" s="32"/>
      <c r="OE1" s="32"/>
      <c r="OF1" s="32"/>
      <c r="OG1" s="32"/>
      <c r="OH1" s="32"/>
      <c r="OI1" s="32"/>
      <c r="OJ1" s="32"/>
      <c r="OK1" s="32"/>
      <c r="OL1" s="32"/>
      <c r="OM1" s="32"/>
      <c r="ON1" s="32"/>
      <c r="OO1" s="32"/>
      <c r="OP1" s="32"/>
      <c r="OQ1" s="32"/>
      <c r="OR1" s="32"/>
      <c r="OS1" s="32"/>
      <c r="OT1" s="32"/>
      <c r="OU1" s="32"/>
      <c r="OV1" s="32"/>
      <c r="OW1" s="32"/>
      <c r="OX1" s="32"/>
      <c r="OY1" s="32"/>
      <c r="OZ1" s="32"/>
      <c r="PA1" s="32"/>
      <c r="PB1" s="32"/>
      <c r="PC1" s="32"/>
      <c r="PD1" s="32"/>
      <c r="PE1" s="32"/>
      <c r="PF1" s="32"/>
      <c r="PG1" s="32"/>
      <c r="PH1" s="32"/>
      <c r="PI1" s="32"/>
      <c r="PJ1" s="32"/>
      <c r="PK1" s="32"/>
      <c r="PL1" s="32"/>
      <c r="PM1" s="32"/>
      <c r="PN1" s="32"/>
      <c r="PO1" s="32"/>
      <c r="PP1" s="32"/>
      <c r="PQ1" s="32"/>
      <c r="PR1" s="32"/>
      <c r="PS1" s="32"/>
      <c r="PT1" s="32"/>
    </row>
    <row r="2" spans="1:436" s="187" customFormat="1" ht="17.7" customHeight="1" x14ac:dyDescent="0.25">
      <c r="A2" s="1023"/>
      <c r="B2" s="1023"/>
      <c r="C2" s="1023"/>
      <c r="D2" s="1023"/>
      <c r="E2" s="1023"/>
      <c r="F2" s="1023"/>
      <c r="G2" s="2583" t="s">
        <v>1774</v>
      </c>
      <c r="H2" s="2583"/>
      <c r="I2" s="2583"/>
      <c r="J2" s="2583"/>
      <c r="K2" s="2583"/>
      <c r="L2" s="2583"/>
      <c r="M2" s="185"/>
      <c r="N2" s="185"/>
      <c r="O2" s="185"/>
      <c r="P2" s="2584"/>
      <c r="Q2" s="2584"/>
      <c r="R2" s="2584"/>
      <c r="S2" s="2584"/>
      <c r="T2" s="2584"/>
      <c r="U2" s="2584"/>
      <c r="V2" s="2585"/>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c r="CU2" s="42"/>
      <c r="CV2" s="42"/>
      <c r="CW2" s="42"/>
      <c r="CX2" s="42"/>
      <c r="CY2" s="42"/>
      <c r="CZ2" s="42"/>
      <c r="DA2" s="42"/>
      <c r="DB2" s="42"/>
      <c r="DC2" s="42"/>
      <c r="DD2" s="42"/>
      <c r="DE2" s="42"/>
      <c r="DF2" s="42"/>
      <c r="DG2" s="42"/>
      <c r="DH2" s="42"/>
      <c r="DI2" s="42"/>
      <c r="DJ2" s="42"/>
      <c r="DK2" s="42"/>
      <c r="DL2" s="42"/>
      <c r="DM2" s="42"/>
      <c r="DN2" s="42"/>
      <c r="DO2" s="42"/>
      <c r="DP2" s="42"/>
      <c r="DQ2" s="42"/>
      <c r="DR2" s="42"/>
      <c r="DS2" s="42"/>
      <c r="DT2" s="42"/>
      <c r="DU2" s="42"/>
      <c r="DV2" s="42"/>
      <c r="DW2" s="42"/>
      <c r="DX2" s="42"/>
      <c r="DY2" s="42"/>
      <c r="DZ2" s="42"/>
      <c r="EA2" s="42"/>
      <c r="EB2" s="42"/>
      <c r="EC2" s="42"/>
      <c r="ED2" s="42"/>
      <c r="EE2" s="42"/>
      <c r="EF2" s="4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32"/>
      <c r="KJ2" s="32"/>
      <c r="KK2" s="32"/>
      <c r="KL2" s="32"/>
      <c r="KM2" s="32"/>
      <c r="KN2" s="32"/>
      <c r="KO2" s="32"/>
      <c r="KP2" s="32"/>
      <c r="KQ2" s="32"/>
      <c r="KR2" s="32"/>
      <c r="KS2" s="32"/>
      <c r="KT2" s="32"/>
      <c r="KU2" s="32"/>
      <c r="KV2" s="32"/>
      <c r="KW2" s="32"/>
      <c r="KX2" s="32"/>
      <c r="KY2" s="32"/>
      <c r="KZ2" s="32"/>
      <c r="LA2" s="32"/>
      <c r="LB2" s="32"/>
      <c r="LC2" s="32"/>
      <c r="LD2" s="32"/>
      <c r="LE2" s="32"/>
      <c r="LF2" s="32"/>
      <c r="LG2" s="32"/>
      <c r="LH2" s="32"/>
      <c r="LI2" s="32"/>
      <c r="LJ2" s="32"/>
      <c r="LK2" s="32"/>
      <c r="LL2" s="32"/>
      <c r="LM2" s="32"/>
      <c r="LN2" s="32"/>
      <c r="LO2" s="32"/>
      <c r="LP2" s="32"/>
      <c r="LQ2" s="32"/>
      <c r="LR2" s="32"/>
      <c r="LS2" s="32"/>
      <c r="LT2" s="32"/>
      <c r="LU2" s="32"/>
      <c r="LV2" s="32"/>
      <c r="LW2" s="32"/>
      <c r="LX2" s="32"/>
      <c r="LY2" s="32"/>
      <c r="LZ2" s="32"/>
      <c r="MA2" s="32"/>
      <c r="MB2" s="32"/>
      <c r="MC2" s="32"/>
      <c r="MD2" s="32"/>
      <c r="ME2" s="32"/>
      <c r="MF2" s="32"/>
      <c r="MG2" s="32"/>
      <c r="MH2" s="32"/>
      <c r="MI2" s="32"/>
      <c r="MJ2" s="32"/>
      <c r="MK2" s="32"/>
      <c r="ML2" s="32"/>
      <c r="MM2" s="32"/>
      <c r="MN2" s="32"/>
      <c r="MO2" s="32"/>
      <c r="MP2" s="32"/>
      <c r="MQ2" s="32"/>
      <c r="MR2" s="32"/>
      <c r="MS2" s="32"/>
      <c r="MT2" s="32"/>
      <c r="MU2" s="32"/>
      <c r="MV2" s="32"/>
      <c r="MW2" s="32"/>
      <c r="MX2" s="32"/>
      <c r="MY2" s="32"/>
      <c r="MZ2" s="32"/>
      <c r="NA2" s="32"/>
      <c r="NB2" s="32"/>
      <c r="NC2" s="32"/>
      <c r="ND2" s="32"/>
      <c r="NE2" s="32"/>
      <c r="NF2" s="32"/>
      <c r="NG2" s="32"/>
      <c r="NH2" s="32"/>
      <c r="NI2" s="32"/>
      <c r="NJ2" s="32"/>
      <c r="NK2" s="32"/>
      <c r="NL2" s="32"/>
      <c r="NM2" s="32"/>
      <c r="NN2" s="32"/>
      <c r="NO2" s="32"/>
      <c r="NP2" s="32"/>
      <c r="NQ2" s="32"/>
      <c r="NR2" s="32"/>
      <c r="NS2" s="32"/>
      <c r="NT2" s="32"/>
      <c r="NU2" s="32"/>
      <c r="NV2" s="32"/>
      <c r="NW2" s="32"/>
      <c r="NX2" s="32"/>
      <c r="NY2" s="32"/>
      <c r="NZ2" s="32"/>
      <c r="OA2" s="32"/>
      <c r="OB2" s="32"/>
      <c r="OC2" s="32"/>
      <c r="OD2" s="32"/>
      <c r="OE2" s="32"/>
      <c r="OF2" s="32"/>
      <c r="OG2" s="32"/>
      <c r="OH2" s="32"/>
      <c r="OI2" s="32"/>
      <c r="OJ2" s="32"/>
      <c r="OK2" s="32"/>
      <c r="OL2" s="32"/>
      <c r="OM2" s="32"/>
      <c r="ON2" s="32"/>
      <c r="OO2" s="32"/>
      <c r="OP2" s="32"/>
      <c r="OQ2" s="32"/>
      <c r="OR2" s="32"/>
      <c r="OS2" s="32"/>
      <c r="OT2" s="32"/>
      <c r="OU2" s="32"/>
      <c r="OV2" s="32"/>
      <c r="OW2" s="32"/>
      <c r="OX2" s="32"/>
      <c r="OY2" s="32"/>
      <c r="OZ2" s="32"/>
      <c r="PA2" s="32"/>
      <c r="PB2" s="32"/>
      <c r="PC2" s="32"/>
      <c r="PD2" s="32"/>
      <c r="PE2" s="32"/>
      <c r="PF2" s="32"/>
      <c r="PG2" s="32"/>
      <c r="PH2" s="32"/>
      <c r="PI2" s="32"/>
      <c r="PJ2" s="32"/>
      <c r="PK2" s="32"/>
      <c r="PL2" s="32"/>
      <c r="PM2" s="32"/>
      <c r="PN2" s="32"/>
      <c r="PO2" s="32"/>
      <c r="PP2" s="32"/>
      <c r="PQ2" s="32"/>
      <c r="PR2" s="32"/>
      <c r="PS2" s="32"/>
      <c r="PT2" s="32"/>
    </row>
    <row r="3" spans="1:436" s="187" customFormat="1" ht="17.7" customHeight="1" x14ac:dyDescent="0.25">
      <c r="A3" s="32"/>
      <c r="B3" s="358"/>
      <c r="C3" s="358"/>
      <c r="D3" s="358"/>
      <c r="E3" s="358"/>
      <c r="F3" s="358"/>
      <c r="G3" s="415"/>
      <c r="H3" s="415"/>
      <c r="I3" s="415"/>
      <c r="J3" s="415"/>
      <c r="K3" s="415"/>
      <c r="L3" s="415"/>
      <c r="M3" s="416"/>
      <c r="N3" s="416"/>
      <c r="O3" s="416"/>
      <c r="P3" s="417"/>
      <c r="Q3" s="417"/>
      <c r="R3" s="417"/>
      <c r="S3" s="417"/>
      <c r="T3" s="417"/>
      <c r="U3" s="417"/>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c r="IW3" s="32"/>
      <c r="IX3" s="32"/>
      <c r="IY3" s="32"/>
      <c r="IZ3" s="32"/>
      <c r="JA3" s="32"/>
      <c r="JB3" s="32"/>
      <c r="JC3" s="32"/>
      <c r="JD3" s="32"/>
      <c r="JE3" s="32"/>
      <c r="JF3" s="32"/>
      <c r="JG3" s="32"/>
      <c r="JH3" s="32"/>
      <c r="JI3" s="32"/>
      <c r="JJ3" s="32"/>
      <c r="JK3" s="32"/>
      <c r="JL3" s="32"/>
      <c r="JM3" s="32"/>
      <c r="JN3" s="32"/>
      <c r="JO3" s="32"/>
      <c r="JP3" s="32"/>
      <c r="JQ3" s="32"/>
      <c r="JR3" s="32"/>
      <c r="JS3" s="32"/>
      <c r="JT3" s="32"/>
      <c r="JU3" s="32"/>
      <c r="JV3" s="32"/>
      <c r="JW3" s="32"/>
      <c r="JX3" s="32"/>
      <c r="JY3" s="32"/>
      <c r="JZ3" s="32"/>
      <c r="KA3" s="32"/>
      <c r="KB3" s="32"/>
      <c r="KC3" s="32"/>
      <c r="KD3" s="32"/>
      <c r="KE3" s="32"/>
      <c r="KF3" s="32"/>
      <c r="KG3" s="32"/>
      <c r="KH3" s="32"/>
      <c r="KI3" s="32"/>
      <c r="KJ3" s="32"/>
      <c r="KK3" s="32"/>
      <c r="KL3" s="32"/>
      <c r="KM3" s="32"/>
      <c r="KN3" s="32"/>
      <c r="KO3" s="32"/>
      <c r="KP3" s="32"/>
      <c r="KQ3" s="32"/>
      <c r="KR3" s="32"/>
      <c r="KS3" s="32"/>
      <c r="KT3" s="32"/>
      <c r="KU3" s="32"/>
      <c r="KV3" s="32"/>
      <c r="KW3" s="32"/>
      <c r="KX3" s="32"/>
      <c r="KY3" s="32"/>
      <c r="KZ3" s="32"/>
      <c r="LA3" s="32"/>
      <c r="LB3" s="32"/>
      <c r="LC3" s="32"/>
      <c r="LD3" s="32"/>
      <c r="LE3" s="32"/>
      <c r="LF3" s="32"/>
      <c r="LG3" s="32"/>
      <c r="LH3" s="32"/>
      <c r="LI3" s="32"/>
      <c r="LJ3" s="32"/>
      <c r="LK3" s="32"/>
      <c r="LL3" s="32"/>
      <c r="LM3" s="32"/>
      <c r="LN3" s="32"/>
      <c r="LO3" s="32"/>
      <c r="LP3" s="32"/>
      <c r="LQ3" s="32"/>
      <c r="LR3" s="32"/>
      <c r="LS3" s="32"/>
      <c r="LT3" s="32"/>
      <c r="LU3" s="32"/>
      <c r="LV3" s="32"/>
      <c r="LW3" s="32"/>
      <c r="LX3" s="32"/>
      <c r="LY3" s="32"/>
      <c r="LZ3" s="32"/>
      <c r="MA3" s="32"/>
      <c r="MB3" s="32"/>
      <c r="MC3" s="32"/>
      <c r="MD3" s="32"/>
      <c r="ME3" s="32"/>
      <c r="MF3" s="32"/>
      <c r="MG3" s="32"/>
      <c r="MH3" s="32"/>
      <c r="MI3" s="32"/>
      <c r="MJ3" s="32"/>
      <c r="MK3" s="32"/>
      <c r="ML3" s="32"/>
      <c r="MM3" s="32"/>
      <c r="MN3" s="32"/>
      <c r="MO3" s="32"/>
      <c r="MP3" s="32"/>
      <c r="MQ3" s="32"/>
      <c r="MR3" s="32"/>
      <c r="MS3" s="32"/>
      <c r="MT3" s="32"/>
      <c r="MU3" s="32"/>
      <c r="MV3" s="32"/>
      <c r="MW3" s="32"/>
      <c r="MX3" s="32"/>
      <c r="MY3" s="32"/>
      <c r="MZ3" s="32"/>
      <c r="NA3" s="32"/>
      <c r="NB3" s="32"/>
      <c r="NC3" s="32"/>
      <c r="ND3" s="32"/>
      <c r="NE3" s="32"/>
      <c r="NF3" s="32"/>
      <c r="NG3" s="32"/>
      <c r="NH3" s="32"/>
      <c r="NI3" s="32"/>
      <c r="NJ3" s="32"/>
      <c r="NK3" s="32"/>
      <c r="NL3" s="32"/>
      <c r="NM3" s="32"/>
      <c r="NN3" s="32"/>
      <c r="NO3" s="32"/>
      <c r="NP3" s="32"/>
      <c r="NQ3" s="32"/>
      <c r="NR3" s="32"/>
      <c r="NS3" s="32"/>
      <c r="NT3" s="32"/>
      <c r="NU3" s="32"/>
      <c r="NV3" s="32"/>
      <c r="NW3" s="32"/>
      <c r="NX3" s="32"/>
      <c r="NY3" s="32"/>
      <c r="NZ3" s="32"/>
      <c r="OA3" s="32"/>
      <c r="OB3" s="32"/>
      <c r="OC3" s="32"/>
      <c r="OD3" s="32"/>
      <c r="OE3" s="32"/>
      <c r="OF3" s="32"/>
      <c r="OG3" s="32"/>
      <c r="OH3" s="32"/>
      <c r="OI3" s="32"/>
      <c r="OJ3" s="32"/>
      <c r="OK3" s="32"/>
      <c r="OL3" s="32"/>
      <c r="OM3" s="32"/>
      <c r="ON3" s="32"/>
      <c r="OO3" s="32"/>
      <c r="OP3" s="32"/>
      <c r="OQ3" s="32"/>
      <c r="OR3" s="32"/>
      <c r="OS3" s="32"/>
      <c r="OT3" s="32"/>
      <c r="OU3" s="32"/>
      <c r="OV3" s="32"/>
      <c r="OW3" s="32"/>
      <c r="OX3" s="32"/>
      <c r="OY3" s="32"/>
      <c r="OZ3" s="32"/>
      <c r="PA3" s="32"/>
      <c r="PB3" s="32"/>
      <c r="PC3" s="32"/>
      <c r="PD3" s="32"/>
      <c r="PE3" s="32"/>
      <c r="PF3" s="32"/>
      <c r="PG3" s="32"/>
      <c r="PH3" s="32"/>
      <c r="PI3" s="32"/>
      <c r="PJ3" s="32"/>
      <c r="PK3" s="32"/>
      <c r="PL3" s="32"/>
      <c r="PM3" s="32"/>
      <c r="PN3" s="32"/>
      <c r="PO3" s="32"/>
      <c r="PP3" s="32"/>
      <c r="PQ3" s="32"/>
      <c r="PR3" s="32"/>
      <c r="PS3" s="32"/>
      <c r="PT3" s="32"/>
    </row>
    <row r="4" spans="1:436" s="187" customFormat="1" ht="17.7" customHeight="1" thickBot="1" x14ac:dyDescent="0.3">
      <c r="A4" s="32"/>
      <c r="B4" s="358"/>
      <c r="C4" s="358"/>
      <c r="D4" s="358"/>
      <c r="E4" s="358"/>
      <c r="F4" s="358"/>
      <c r="G4" s="415"/>
      <c r="H4" s="415"/>
      <c r="I4" s="415"/>
      <c r="J4" s="415"/>
      <c r="K4" s="415"/>
      <c r="L4" s="415"/>
      <c r="M4" s="416"/>
      <c r="N4" s="416"/>
      <c r="O4" s="416"/>
      <c r="P4" s="417"/>
      <c r="Q4" s="417"/>
      <c r="R4" s="417"/>
      <c r="S4" s="417"/>
      <c r="T4" s="417"/>
      <c r="U4" s="417"/>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c r="LG4" s="32"/>
      <c r="LH4" s="32"/>
      <c r="LI4" s="32"/>
      <c r="LJ4" s="32"/>
      <c r="LK4" s="32"/>
      <c r="LL4" s="32"/>
      <c r="LM4" s="32"/>
      <c r="LN4" s="32"/>
      <c r="LO4" s="32"/>
      <c r="LP4" s="32"/>
      <c r="LQ4" s="32"/>
      <c r="LR4" s="32"/>
      <c r="LS4" s="32"/>
      <c r="LT4" s="32"/>
      <c r="LU4" s="32"/>
      <c r="LV4" s="32"/>
      <c r="LW4" s="32"/>
      <c r="LX4" s="32"/>
      <c r="LY4" s="32"/>
      <c r="LZ4" s="32"/>
      <c r="MA4" s="32"/>
      <c r="MB4" s="32"/>
      <c r="MC4" s="32"/>
      <c r="MD4" s="32"/>
      <c r="ME4" s="32"/>
      <c r="MF4" s="32"/>
      <c r="MG4" s="32"/>
      <c r="MH4" s="32"/>
      <c r="MI4" s="32"/>
      <c r="MJ4" s="32"/>
      <c r="MK4" s="32"/>
      <c r="ML4" s="32"/>
      <c r="MM4" s="32"/>
      <c r="MN4" s="32"/>
      <c r="MO4" s="32"/>
      <c r="MP4" s="32"/>
      <c r="MQ4" s="32"/>
      <c r="MR4" s="32"/>
      <c r="MS4" s="32"/>
      <c r="MT4" s="32"/>
      <c r="MU4" s="32"/>
      <c r="MV4" s="32"/>
      <c r="MW4" s="32"/>
      <c r="MX4" s="32"/>
      <c r="MY4" s="32"/>
      <c r="MZ4" s="32"/>
      <c r="NA4" s="32"/>
      <c r="NB4" s="32"/>
      <c r="NC4" s="32"/>
      <c r="ND4" s="32"/>
      <c r="NE4" s="32"/>
      <c r="NF4" s="32"/>
      <c r="NG4" s="32"/>
      <c r="NH4" s="32"/>
      <c r="NI4" s="32"/>
      <c r="NJ4" s="32"/>
      <c r="NK4" s="32"/>
      <c r="NL4" s="32"/>
      <c r="NM4" s="32"/>
      <c r="NN4" s="32"/>
      <c r="NO4" s="32"/>
      <c r="NP4" s="32"/>
      <c r="NQ4" s="32"/>
      <c r="NR4" s="32"/>
      <c r="NS4" s="32"/>
      <c r="NT4" s="32"/>
      <c r="NU4" s="32"/>
      <c r="NV4" s="32"/>
      <c r="NW4" s="32"/>
      <c r="NX4" s="32"/>
      <c r="NY4" s="32"/>
      <c r="NZ4" s="32"/>
      <c r="OA4" s="32"/>
      <c r="OB4" s="32"/>
      <c r="OC4" s="32"/>
      <c r="OD4" s="32"/>
      <c r="OE4" s="32"/>
      <c r="OF4" s="32"/>
      <c r="OG4" s="32"/>
      <c r="OH4" s="32"/>
      <c r="OI4" s="32"/>
      <c r="OJ4" s="32"/>
      <c r="OK4" s="32"/>
      <c r="OL4" s="32"/>
      <c r="OM4" s="32"/>
      <c r="ON4" s="32"/>
      <c r="OO4" s="32"/>
      <c r="OP4" s="32"/>
      <c r="OQ4" s="32"/>
      <c r="OR4" s="32"/>
      <c r="OS4" s="32"/>
      <c r="OT4" s="32"/>
      <c r="OU4" s="32"/>
      <c r="OV4" s="32"/>
      <c r="OW4" s="32"/>
      <c r="OX4" s="32"/>
      <c r="OY4" s="32"/>
      <c r="OZ4" s="32"/>
      <c r="PA4" s="32"/>
      <c r="PB4" s="32"/>
      <c r="PC4" s="32"/>
      <c r="PD4" s="32"/>
      <c r="PE4" s="32"/>
      <c r="PF4" s="32"/>
      <c r="PG4" s="32"/>
      <c r="PH4" s="32"/>
      <c r="PI4" s="32"/>
      <c r="PJ4" s="32"/>
      <c r="PK4" s="32"/>
      <c r="PL4" s="32"/>
      <c r="PM4" s="32"/>
      <c r="PN4" s="32"/>
      <c r="PO4" s="32"/>
      <c r="PP4" s="32"/>
      <c r="PQ4" s="32"/>
      <c r="PR4" s="32"/>
      <c r="PS4" s="32"/>
      <c r="PT4" s="32"/>
    </row>
    <row r="5" spans="1:436" s="32" customFormat="1" ht="17.7" customHeight="1" x14ac:dyDescent="0.25">
      <c r="B5" s="2568" t="str">
        <f>HLOOKUP(LANGUAGE!$B$2,LANGUAGE!$C$14:$G$1500,27)</f>
        <v>Supplier Data</v>
      </c>
      <c r="C5" s="2569"/>
      <c r="D5" s="2569"/>
      <c r="E5" s="2569"/>
      <c r="F5" s="2569"/>
      <c r="G5" s="2569"/>
      <c r="H5" s="2569"/>
      <c r="I5" s="2569"/>
      <c r="J5" s="2569"/>
      <c r="K5" s="2569"/>
      <c r="L5" s="2569"/>
      <c r="M5" s="2569"/>
      <c r="N5" s="2569"/>
      <c r="O5" s="2570"/>
      <c r="Q5" s="1266" t="str">
        <f>HLOOKUP(LANGUAGE!$B$2,LANGUAGE!$C$14:$G$1500,21)</f>
        <v>Date</v>
      </c>
      <c r="R5" s="1267"/>
      <c r="S5" s="1267"/>
      <c r="T5" s="1267"/>
      <c r="U5" s="1268"/>
      <c r="V5" s="42"/>
      <c r="W5" s="42"/>
      <c r="X5" s="42"/>
      <c r="Y5" s="42"/>
      <c r="Z5" s="42"/>
      <c r="AA5" s="42"/>
      <c r="AB5" s="42"/>
      <c r="AC5" s="42"/>
      <c r="AD5" s="42"/>
      <c r="AE5" s="42"/>
      <c r="AF5" s="42"/>
      <c r="AG5" s="42"/>
      <c r="AH5" s="42"/>
      <c r="AI5" s="42"/>
      <c r="AJ5" s="42"/>
      <c r="AK5" s="42"/>
      <c r="AL5" s="42"/>
      <c r="AM5" s="42"/>
    </row>
    <row r="6" spans="1:436" s="32" customFormat="1" ht="17.7" customHeight="1" x14ac:dyDescent="0.25">
      <c r="B6" s="2571" t="str">
        <f>HLOOKUP(LANGUAGE!$B$2,LANGUAGE!$C$14:$G$1500,28)</f>
        <v>Supplier</v>
      </c>
      <c r="C6" s="2572"/>
      <c r="D6" s="2572"/>
      <c r="E6" s="2572"/>
      <c r="F6" s="2573"/>
      <c r="G6" s="2574" t="str">
        <f>IF(Basic_Data!R6&lt;&gt;"",CONCATENATE(Basic_Data!R6," (",Basic_Data!R7,")"),"")</f>
        <v/>
      </c>
      <c r="H6" s="2575"/>
      <c r="I6" s="2575"/>
      <c r="J6" s="2575"/>
      <c r="K6" s="2575"/>
      <c r="L6" s="2575"/>
      <c r="M6" s="2575"/>
      <c r="N6" s="2575"/>
      <c r="O6" s="2576"/>
      <c r="Q6" s="1273"/>
      <c r="R6" s="1274"/>
      <c r="S6" s="1274"/>
      <c r="T6" s="1274"/>
      <c r="U6" s="1275"/>
      <c r="V6" s="42"/>
      <c r="W6" s="42"/>
      <c r="X6" s="42"/>
      <c r="Y6" s="42"/>
      <c r="Z6" s="42"/>
      <c r="AA6" s="42"/>
      <c r="AB6" s="42"/>
      <c r="AC6" s="42"/>
      <c r="AD6" s="42"/>
      <c r="AE6" s="42"/>
      <c r="AF6" s="42"/>
      <c r="AG6" s="43"/>
      <c r="AH6" s="44"/>
      <c r="AI6" s="44"/>
      <c r="AK6" s="40"/>
      <c r="AL6" s="40"/>
    </row>
    <row r="7" spans="1:436" s="32" customFormat="1" ht="17.7" customHeight="1" thickBot="1" x14ac:dyDescent="0.3">
      <c r="B7" s="2577" t="str">
        <f>HLOOKUP(LANGUAGE!$B$2,LANGUAGE!$C$14:$G$1500,29)</f>
        <v>Address</v>
      </c>
      <c r="C7" s="2578"/>
      <c r="D7" s="2578"/>
      <c r="E7" s="2578"/>
      <c r="F7" s="2579"/>
      <c r="G7" s="2580" t="str">
        <f>IF(Basic_Data!R8&lt;&gt;"",CONCATENATE(Basic_Data!R8,", ",Basic_Data!R9,", ",Basic_Data!R10,""),"")</f>
        <v/>
      </c>
      <c r="H7" s="2581"/>
      <c r="I7" s="2581"/>
      <c r="J7" s="2581"/>
      <c r="K7" s="2581"/>
      <c r="L7" s="2581"/>
      <c r="M7" s="2581"/>
      <c r="N7" s="2581"/>
      <c r="O7" s="2582"/>
      <c r="Q7" s="1276"/>
      <c r="R7" s="1277"/>
      <c r="S7" s="1277"/>
      <c r="T7" s="1277"/>
      <c r="U7" s="1278"/>
      <c r="V7" s="42"/>
      <c r="W7" s="42"/>
      <c r="X7" s="42"/>
      <c r="Y7" s="42"/>
      <c r="Z7" s="42"/>
      <c r="AA7" s="42"/>
      <c r="AB7" s="42"/>
      <c r="AC7" s="42"/>
      <c r="AD7" s="42"/>
      <c r="AE7" s="42"/>
      <c r="AF7" s="42"/>
      <c r="AG7" s="43"/>
      <c r="AH7" s="44"/>
      <c r="AI7" s="44"/>
      <c r="AK7" s="40"/>
      <c r="AL7" s="40"/>
    </row>
    <row r="8" spans="1:436" s="32" customFormat="1" ht="17.7" customHeight="1" thickBot="1" x14ac:dyDescent="0.3">
      <c r="B8" s="35"/>
      <c r="M8" s="220"/>
      <c r="Q8" s="41"/>
      <c r="T8" s="42"/>
      <c r="U8" s="42"/>
      <c r="V8" s="42"/>
      <c r="W8" s="42"/>
      <c r="X8" s="42"/>
      <c r="Y8" s="42"/>
      <c r="Z8" s="42"/>
      <c r="AA8" s="42"/>
      <c r="AB8" s="42"/>
      <c r="AC8" s="42"/>
      <c r="AD8" s="42"/>
      <c r="AE8" s="42"/>
      <c r="AF8" s="42"/>
      <c r="AG8" s="43"/>
      <c r="AH8" s="44"/>
      <c r="AI8" s="44"/>
      <c r="AK8" s="40"/>
      <c r="AL8" s="40"/>
    </row>
    <row r="9" spans="1:436" s="32" customFormat="1" ht="17.7" customHeight="1" x14ac:dyDescent="0.25">
      <c r="B9" s="2565" t="str">
        <f>HLOOKUP(LANGUAGE!$B$2,LANGUAGE!$C$14:$G$1500,12)</f>
        <v>Project Data</v>
      </c>
      <c r="C9" s="2566"/>
      <c r="D9" s="2566"/>
      <c r="E9" s="2566"/>
      <c r="F9" s="2566"/>
      <c r="G9" s="2566"/>
      <c r="H9" s="2566"/>
      <c r="I9" s="2566"/>
      <c r="J9" s="2566"/>
      <c r="K9" s="2566"/>
      <c r="L9" s="2566"/>
      <c r="M9" s="2566"/>
      <c r="N9" s="2566"/>
      <c r="O9" s="2567"/>
      <c r="AF9" s="42"/>
      <c r="AG9" s="43"/>
      <c r="AH9" s="44"/>
      <c r="AI9" s="44"/>
      <c r="AK9" s="40"/>
      <c r="AL9" s="40"/>
    </row>
    <row r="10" spans="1:436" s="32" customFormat="1" ht="17.7" customHeight="1" x14ac:dyDescent="0.25">
      <c r="B10" s="2586" t="str">
        <f>HLOOKUP(LANGUAGE!$B$2,LANGUAGE!$C$14:$G$1500,13)</f>
        <v>Project</v>
      </c>
      <c r="C10" s="2587"/>
      <c r="D10" s="2587"/>
      <c r="E10" s="2587"/>
      <c r="F10" s="2587"/>
      <c r="G10" s="2588" t="str">
        <f>IF(Basic_Data!F6&lt;&gt;"",CONCATENATE(Basic_Data!F6," / ",Basic_Data!F7,""),"")</f>
        <v/>
      </c>
      <c r="H10" s="2588"/>
      <c r="I10" s="2588"/>
      <c r="J10" s="2588"/>
      <c r="K10" s="2588"/>
      <c r="L10" s="2588"/>
      <c r="M10" s="2588"/>
      <c r="N10" s="2588"/>
      <c r="O10" s="2589"/>
      <c r="AF10" s="42"/>
      <c r="AG10" s="43"/>
      <c r="AH10" s="44"/>
      <c r="AI10" s="44"/>
      <c r="AK10" s="40"/>
      <c r="AL10" s="40"/>
    </row>
    <row r="11" spans="1:436" s="32" customFormat="1" ht="17.7" customHeight="1" thickBot="1" x14ac:dyDescent="0.3">
      <c r="B11" s="2561" t="str">
        <f>HLOOKUP(LANGUAGE!$B$2,LANGUAGE!$C$14:$G$1500,14)</f>
        <v>Part Name(s)</v>
      </c>
      <c r="C11" s="2562"/>
      <c r="D11" s="2562"/>
      <c r="E11" s="2562"/>
      <c r="F11" s="2562"/>
      <c r="G11" s="2563" t="str">
        <f>IF(Basic_Data!F6&lt;&gt;"",CONCATENATE(Basic_Data!F6," / ",Basic_Data!F7,""),"")</f>
        <v/>
      </c>
      <c r="H11" s="2563"/>
      <c r="I11" s="2563"/>
      <c r="J11" s="2563"/>
      <c r="K11" s="2563"/>
      <c r="L11" s="2563"/>
      <c r="M11" s="2563"/>
      <c r="N11" s="2563"/>
      <c r="O11" s="2564"/>
      <c r="AF11" s="42"/>
      <c r="AG11" s="43"/>
      <c r="AH11" s="44"/>
      <c r="AI11" s="44"/>
      <c r="AK11" s="40"/>
      <c r="AL11" s="40"/>
    </row>
    <row r="12" spans="1:436" s="32" customFormat="1" ht="17.7" customHeight="1" thickBot="1" x14ac:dyDescent="0.3">
      <c r="B12" s="35"/>
      <c r="M12" s="220"/>
      <c r="Q12" s="41"/>
      <c r="T12" s="42"/>
      <c r="U12" s="42"/>
      <c r="V12" s="42"/>
      <c r="W12" s="42"/>
      <c r="X12" s="42"/>
      <c r="Y12" s="42"/>
      <c r="Z12" s="42"/>
      <c r="AA12" s="42"/>
      <c r="AB12" s="42"/>
      <c r="AC12" s="42"/>
      <c r="AD12" s="42"/>
      <c r="AE12" s="42"/>
      <c r="AF12" s="42"/>
      <c r="AG12" s="43"/>
      <c r="AH12" s="44"/>
      <c r="AI12" s="44"/>
      <c r="AK12" s="40"/>
      <c r="AL12" s="40"/>
    </row>
    <row r="13" spans="1:436" s="32" customFormat="1" ht="17.7" customHeight="1" x14ac:dyDescent="0.25">
      <c r="B13" s="2565" t="str">
        <f>HLOOKUP(LANGUAGE!$B$2,LANGUAGE!$C$14:$G$1500,40)</f>
        <v>Material Data</v>
      </c>
      <c r="C13" s="2566"/>
      <c r="D13" s="2566"/>
      <c r="E13" s="2566"/>
      <c r="F13" s="2566"/>
      <c r="G13" s="2566"/>
      <c r="H13" s="2566"/>
      <c r="I13" s="2566"/>
      <c r="J13" s="2566"/>
      <c r="K13" s="2566"/>
      <c r="L13" s="2566"/>
      <c r="M13" s="2566"/>
      <c r="N13" s="2566"/>
      <c r="O13" s="2567"/>
      <c r="V13" s="42"/>
      <c r="W13" s="42"/>
      <c r="X13" s="42"/>
      <c r="Y13" s="42"/>
      <c r="Z13" s="42"/>
      <c r="AA13" s="42"/>
      <c r="AB13" s="42"/>
      <c r="AC13" s="42"/>
      <c r="AD13" s="42"/>
      <c r="AE13" s="42"/>
      <c r="AF13" s="42"/>
      <c r="AG13" s="43"/>
      <c r="AH13" s="44"/>
      <c r="AI13" s="44"/>
      <c r="AK13" s="40"/>
      <c r="AL13" s="40"/>
    </row>
    <row r="14" spans="1:436" s="32" customFormat="1" ht="17.7" customHeight="1" x14ac:dyDescent="0.25">
      <c r="B14" s="1287" t="str">
        <f>HLOOKUP(LANGUAGE!$B$2,LANGUAGE!$C$14:$G$1500,41)</f>
        <v>Brose Part No.</v>
      </c>
      <c r="C14" s="1288"/>
      <c r="D14" s="1288"/>
      <c r="E14" s="1288"/>
      <c r="F14" s="1288" t="str">
        <f>HLOOKUP(LANGUAGE!$B$2,LANGUAGE!$C$14:$G$1500,42)</f>
        <v>Index</v>
      </c>
      <c r="G14" s="1288"/>
      <c r="H14" s="1288"/>
      <c r="I14" s="1289" t="str">
        <f>HLOOKUP(LANGUAGE!$B$2,LANGUAGE!$C$14:$G$1500,43)</f>
        <v>Brose Drawing No.</v>
      </c>
      <c r="J14" s="1289"/>
      <c r="K14" s="1289"/>
      <c r="L14" s="1289"/>
      <c r="M14" s="1288" t="str">
        <f>HLOOKUP(LANGUAGE!$B$2,LANGUAGE!$C$14:$G$1500,42)</f>
        <v>Index</v>
      </c>
      <c r="N14" s="1288"/>
      <c r="O14" s="1290"/>
      <c r="V14" s="42"/>
      <c r="W14" s="42"/>
      <c r="X14" s="42"/>
      <c r="Y14" s="42"/>
      <c r="Z14" s="42"/>
      <c r="AA14" s="42"/>
      <c r="AB14" s="42"/>
      <c r="AC14" s="42"/>
      <c r="AD14" s="42"/>
      <c r="AE14" s="42"/>
      <c r="AF14" s="42"/>
      <c r="AG14" s="43"/>
      <c r="AH14" s="44"/>
      <c r="AI14" s="44"/>
      <c r="AK14" s="40"/>
      <c r="AL14" s="40"/>
    </row>
    <row r="15" spans="1:436" s="32" customFormat="1" ht="17.7" customHeight="1" x14ac:dyDescent="0.25">
      <c r="B15" s="2555" t="str">
        <f>IF(FRT!B11="","",FRT!B11)</f>
        <v/>
      </c>
      <c r="C15" s="2556"/>
      <c r="D15" s="2556"/>
      <c r="E15" s="2556"/>
      <c r="F15" s="2556" t="str">
        <f>IF(FRT!F11="","",FRT!F11)</f>
        <v/>
      </c>
      <c r="G15" s="2556"/>
      <c r="H15" s="2556"/>
      <c r="I15" s="2556" t="str">
        <f>IF(FRT!I11="","",FRT!I11)</f>
        <v/>
      </c>
      <c r="J15" s="2556"/>
      <c r="K15" s="2556"/>
      <c r="L15" s="2556"/>
      <c r="M15" s="2556" t="str">
        <f>IF(FRT!M11="","",FRT!M11)</f>
        <v/>
      </c>
      <c r="N15" s="2556"/>
      <c r="O15" s="2557"/>
      <c r="V15" s="42"/>
      <c r="W15" s="42"/>
      <c r="AC15" s="42"/>
      <c r="AD15" s="42"/>
      <c r="AE15" s="42"/>
      <c r="AF15" s="42"/>
      <c r="AG15" s="43"/>
      <c r="AH15" s="44"/>
      <c r="AI15" s="44"/>
      <c r="AK15" s="40"/>
      <c r="AL15" s="40"/>
    </row>
    <row r="16" spans="1:436" s="32" customFormat="1" ht="17.7" customHeight="1" x14ac:dyDescent="0.25">
      <c r="B16" s="2555" t="str">
        <f>IF(FRT!B12="","",FRT!B12)</f>
        <v/>
      </c>
      <c r="C16" s="2556"/>
      <c r="D16" s="2556"/>
      <c r="E16" s="2556"/>
      <c r="F16" s="2556" t="str">
        <f>IF(FRT!F12="","",FRT!F12)</f>
        <v/>
      </c>
      <c r="G16" s="2556"/>
      <c r="H16" s="2556"/>
      <c r="I16" s="2556" t="str">
        <f>IF(FRT!I12="","",FRT!I12)</f>
        <v/>
      </c>
      <c r="J16" s="2556"/>
      <c r="K16" s="2556"/>
      <c r="L16" s="2556"/>
      <c r="M16" s="2556" t="str">
        <f>IF(FRT!M12="","",FRT!M12)</f>
        <v/>
      </c>
      <c r="N16" s="2556"/>
      <c r="O16" s="2557"/>
      <c r="Q16" s="41"/>
      <c r="T16" s="42"/>
      <c r="U16" s="42"/>
      <c r="V16" s="42"/>
      <c r="W16" s="42"/>
      <c r="AC16" s="42"/>
      <c r="AD16" s="42"/>
      <c r="AE16" s="42"/>
      <c r="AF16" s="42"/>
      <c r="AG16" s="43"/>
      <c r="AH16" s="44"/>
      <c r="AI16" s="44"/>
      <c r="AK16" s="40"/>
      <c r="AL16" s="40"/>
    </row>
    <row r="17" spans="2:38" s="32" customFormat="1" ht="17.7" customHeight="1" x14ac:dyDescent="0.25">
      <c r="B17" s="2555" t="str">
        <f>IF(FRT!B13="","",FRT!B13)</f>
        <v/>
      </c>
      <c r="C17" s="2556"/>
      <c r="D17" s="2556"/>
      <c r="E17" s="2556"/>
      <c r="F17" s="2556" t="str">
        <f>IF(FRT!F13="","",FRT!F13)</f>
        <v/>
      </c>
      <c r="G17" s="2556"/>
      <c r="H17" s="2556"/>
      <c r="I17" s="2556" t="str">
        <f>IF(FRT!I13="","",FRT!I13)</f>
        <v/>
      </c>
      <c r="J17" s="2556"/>
      <c r="K17" s="2556"/>
      <c r="L17" s="2556"/>
      <c r="M17" s="2556" t="str">
        <f>IF(FRT!M13="","",FRT!M13)</f>
        <v/>
      </c>
      <c r="N17" s="2556"/>
      <c r="O17" s="2557"/>
      <c r="Q17" s="41"/>
      <c r="T17" s="42"/>
      <c r="U17" s="42"/>
      <c r="V17" s="42"/>
      <c r="W17" s="42"/>
      <c r="AC17" s="42"/>
      <c r="AD17" s="42"/>
      <c r="AE17" s="42"/>
      <c r="AF17" s="42"/>
      <c r="AG17" s="43"/>
      <c r="AH17" s="44"/>
      <c r="AI17" s="44"/>
      <c r="AK17" s="40"/>
      <c r="AL17" s="40"/>
    </row>
    <row r="18" spans="2:38" s="32" customFormat="1" ht="17.7" customHeight="1" x14ac:dyDescent="0.25">
      <c r="B18" s="2555" t="str">
        <f>IF(FRT!B14="","",FRT!B14)</f>
        <v/>
      </c>
      <c r="C18" s="2556"/>
      <c r="D18" s="2556"/>
      <c r="E18" s="2556"/>
      <c r="F18" s="2556" t="str">
        <f>IF(FRT!F14="","",FRT!F14)</f>
        <v/>
      </c>
      <c r="G18" s="2556"/>
      <c r="H18" s="2556"/>
      <c r="I18" s="2556" t="str">
        <f>IF(FRT!I14="","",FRT!I14)</f>
        <v/>
      </c>
      <c r="J18" s="2556"/>
      <c r="K18" s="2556"/>
      <c r="L18" s="2556"/>
      <c r="M18" s="2556" t="str">
        <f>IF(FRT!M14="","",FRT!M14)</f>
        <v/>
      </c>
      <c r="N18" s="2556"/>
      <c r="O18" s="2557"/>
      <c r="Q18" s="41"/>
      <c r="T18" s="42"/>
      <c r="U18" s="42"/>
      <c r="V18" s="42"/>
      <c r="W18" s="42"/>
      <c r="X18" s="42"/>
      <c r="Y18" s="42"/>
      <c r="Z18" s="42"/>
      <c r="AA18" s="42"/>
      <c r="AB18" s="42"/>
      <c r="AC18" s="42"/>
      <c r="AD18" s="42"/>
      <c r="AE18" s="42"/>
      <c r="AF18" s="42"/>
      <c r="AG18" s="43"/>
      <c r="AH18" s="44"/>
      <c r="AI18" s="44"/>
      <c r="AK18" s="40"/>
      <c r="AL18" s="40"/>
    </row>
    <row r="19" spans="2:38" s="32" customFormat="1" ht="17.7" customHeight="1" thickBot="1" x14ac:dyDescent="0.3">
      <c r="B19" s="2558" t="str">
        <f>IF(FRT!B15="","",FRT!B15)</f>
        <v/>
      </c>
      <c r="C19" s="2559"/>
      <c r="D19" s="2559"/>
      <c r="E19" s="2559"/>
      <c r="F19" s="2559" t="str">
        <f>IF(FRT!F15="","",FRT!F15)</f>
        <v/>
      </c>
      <c r="G19" s="2559"/>
      <c r="H19" s="2559"/>
      <c r="I19" s="2559" t="str">
        <f>IF(FRT!I15="","",FRT!I15)</f>
        <v/>
      </c>
      <c r="J19" s="2559"/>
      <c r="K19" s="2559"/>
      <c r="L19" s="2559"/>
      <c r="M19" s="2559" t="str">
        <f>IF(FRT!M15="","",FRT!M15)</f>
        <v/>
      </c>
      <c r="N19" s="2559"/>
      <c r="O19" s="2560"/>
      <c r="Q19" s="41"/>
      <c r="T19" s="42"/>
      <c r="U19" s="42"/>
      <c r="V19" s="42"/>
      <c r="W19" s="42"/>
      <c r="X19" s="42"/>
      <c r="Y19" s="42"/>
      <c r="Z19" s="42"/>
      <c r="AA19" s="42"/>
      <c r="AB19" s="42"/>
      <c r="AC19" s="42"/>
      <c r="AD19" s="42"/>
      <c r="AE19" s="42"/>
      <c r="AF19" s="42"/>
      <c r="AG19" s="43"/>
      <c r="AH19" s="44"/>
      <c r="AI19" s="44"/>
      <c r="AK19" s="40"/>
      <c r="AL19" s="40"/>
    </row>
    <row r="20" spans="2:38" s="32" customFormat="1" ht="17.7" customHeight="1" thickBot="1" x14ac:dyDescent="0.3">
      <c r="B20" s="35"/>
      <c r="M20" s="220"/>
      <c r="Q20" s="41"/>
      <c r="T20" s="42"/>
      <c r="U20" s="42"/>
      <c r="V20" s="42"/>
      <c r="W20" s="42"/>
      <c r="X20" s="42"/>
      <c r="Y20" s="42"/>
      <c r="Z20" s="42"/>
      <c r="AA20" s="42"/>
      <c r="AB20" s="42"/>
      <c r="AC20" s="42"/>
      <c r="AD20" s="42"/>
      <c r="AE20" s="42"/>
      <c r="AF20" s="42"/>
      <c r="AG20" s="43"/>
      <c r="AH20" s="44"/>
      <c r="AI20" s="44"/>
      <c r="AK20" s="40"/>
      <c r="AL20" s="40"/>
    </row>
    <row r="21" spans="2:38" ht="17.7" customHeight="1" x14ac:dyDescent="0.25">
      <c r="B21" s="418"/>
      <c r="C21" s="2550" t="str">
        <f>CONCATENATE(HLOOKUP(LANGUAGE!$B$2,LANGUAGE!$C$14:$G$3008,1313)," ",HLOOKUP(LANGUAGE!$B$2,LANGUAGE!$C$14:$G$3008,981))</f>
        <v>Data input for Process Approval (Full-Run-Test)</v>
      </c>
      <c r="D21" s="2550"/>
      <c r="E21" s="2550"/>
      <c r="F21" s="2550"/>
      <c r="G21" s="2550"/>
      <c r="H21" s="2550"/>
      <c r="I21" s="2550"/>
      <c r="J21" s="2550"/>
      <c r="K21" s="2550"/>
      <c r="L21" s="2550"/>
      <c r="M21" s="2550"/>
      <c r="N21" s="2550"/>
      <c r="O21" s="2550"/>
      <c r="P21" s="2550"/>
      <c r="Q21" s="419"/>
      <c r="R21" s="419"/>
      <c r="S21" s="419"/>
      <c r="T21" s="419"/>
      <c r="U21" s="420"/>
    </row>
    <row r="22" spans="2:38" ht="17.7" customHeight="1" thickBot="1" x14ac:dyDescent="0.3">
      <c r="B22" s="422"/>
      <c r="C22" s="2551"/>
      <c r="D22" s="2551"/>
      <c r="E22" s="2551"/>
      <c r="F22" s="2551"/>
      <c r="G22" s="2551"/>
      <c r="H22" s="2551"/>
      <c r="I22" s="2551"/>
      <c r="J22" s="2551"/>
      <c r="K22" s="2551"/>
      <c r="L22" s="2551"/>
      <c r="M22" s="2551"/>
      <c r="N22" s="2551"/>
      <c r="O22" s="2551"/>
      <c r="P22" s="2551"/>
      <c r="Q22" s="423"/>
      <c r="R22" s="423"/>
      <c r="S22" s="423"/>
      <c r="T22" s="423"/>
      <c r="U22" s="424"/>
    </row>
    <row r="23" spans="2:38" ht="17.7" customHeight="1" x14ac:dyDescent="0.25">
      <c r="B23" s="425"/>
      <c r="C23" s="426" t="str">
        <f>HLOOKUP(LANGUAGE!$B$2,LANGUAGE!$C$14:$G$3008,1317)</f>
        <v>Calculation gross weight for stamp parts</v>
      </c>
      <c r="D23" s="427"/>
      <c r="E23" s="427"/>
      <c r="F23" s="427"/>
      <c r="G23" s="427"/>
      <c r="H23" s="427"/>
      <c r="I23" s="427"/>
      <c r="J23" s="427"/>
      <c r="K23" s="427"/>
      <c r="L23" s="427"/>
      <c r="M23" s="427"/>
      <c r="N23" s="427"/>
      <c r="O23" s="427"/>
      <c r="P23" s="427"/>
      <c r="Q23" s="427"/>
      <c r="R23" s="427"/>
      <c r="S23" s="427"/>
      <c r="T23" s="427"/>
      <c r="U23" s="428"/>
    </row>
    <row r="24" spans="2:38" ht="5.95" customHeight="1" x14ac:dyDescent="0.25">
      <c r="B24" s="425"/>
      <c r="C24" s="429"/>
      <c r="D24" s="429"/>
      <c r="E24" s="429"/>
      <c r="F24" s="429"/>
      <c r="G24" s="427"/>
      <c r="H24" s="427"/>
      <c r="I24" s="427"/>
      <c r="J24" s="427"/>
      <c r="K24" s="427"/>
      <c r="L24" s="427"/>
      <c r="M24" s="427"/>
      <c r="N24" s="427"/>
      <c r="O24" s="427"/>
      <c r="P24" s="427"/>
      <c r="Q24" s="427"/>
      <c r="R24" s="427"/>
      <c r="S24" s="427"/>
      <c r="T24" s="427"/>
      <c r="U24" s="428"/>
    </row>
    <row r="25" spans="2:38" ht="17.7" customHeight="1" x14ac:dyDescent="0.25">
      <c r="B25" s="430"/>
      <c r="C25" s="431" t="str">
        <f>HLOOKUP(LANGUAGE!$B$2,LANGUAGE!$C$14:$G$3008,1321)</f>
        <v>Coil width</v>
      </c>
      <c r="D25" s="431"/>
      <c r="E25" s="431"/>
      <c r="F25" s="431"/>
      <c r="G25" s="431"/>
      <c r="H25" s="2545"/>
      <c r="I25" s="2546"/>
      <c r="J25" s="2547"/>
      <c r="K25" s="431" t="s">
        <v>781</v>
      </c>
      <c r="L25" s="431" t="str">
        <f>HLOOKUP(LANGUAGE!$B$2,LANGUAGE!$C$14:$G$3008,1328)</f>
        <v>you can find at coil or material data sheet</v>
      </c>
      <c r="M25" s="431"/>
      <c r="N25" s="431"/>
      <c r="O25" s="431"/>
      <c r="P25" s="431"/>
      <c r="Q25" s="431"/>
      <c r="R25" s="431"/>
      <c r="S25" s="431"/>
      <c r="T25" s="431"/>
      <c r="U25" s="432"/>
    </row>
    <row r="26" spans="2:38" ht="5.95" customHeight="1" x14ac:dyDescent="0.25">
      <c r="B26" s="430"/>
      <c r="C26" s="431"/>
      <c r="D26" s="431"/>
      <c r="E26" s="431"/>
      <c r="F26" s="431"/>
      <c r="G26" s="431"/>
      <c r="H26" s="431"/>
      <c r="I26" s="431"/>
      <c r="J26" s="431"/>
      <c r="K26" s="431"/>
      <c r="L26" s="431"/>
      <c r="M26" s="431"/>
      <c r="N26" s="431"/>
      <c r="O26" s="431"/>
      <c r="P26" s="431"/>
      <c r="Q26" s="431"/>
      <c r="R26" s="431"/>
      <c r="S26" s="431"/>
      <c r="T26" s="431"/>
      <c r="U26" s="432"/>
    </row>
    <row r="27" spans="2:38" ht="17.7" customHeight="1" x14ac:dyDescent="0.25">
      <c r="B27" s="430"/>
      <c r="C27" s="431" t="str">
        <f>HLOOKUP(LANGUAGE!$B$2,LANGUAGE!$C$14:$G$3008,1332)</f>
        <v>Material thickness</v>
      </c>
      <c r="D27" s="431"/>
      <c r="E27" s="431"/>
      <c r="F27" s="431"/>
      <c r="G27" s="431"/>
      <c r="H27" s="2552"/>
      <c r="I27" s="2553"/>
      <c r="J27" s="2554"/>
      <c r="K27" s="431" t="s">
        <v>781</v>
      </c>
      <c r="L27" s="431" t="str">
        <f>HLOOKUP(LANGUAGE!$B$2,LANGUAGE!$C$14:$G$3008,1328)</f>
        <v>you can find at coil or material data sheet</v>
      </c>
      <c r="M27" s="431"/>
      <c r="N27" s="431"/>
      <c r="O27" s="431"/>
      <c r="P27" s="431"/>
      <c r="Q27" s="431"/>
      <c r="R27" s="431"/>
      <c r="S27" s="431"/>
      <c r="T27" s="431"/>
      <c r="U27" s="432"/>
    </row>
    <row r="28" spans="2:38" ht="5.95" customHeight="1" x14ac:dyDescent="0.25">
      <c r="B28" s="430"/>
      <c r="C28" s="431"/>
      <c r="D28" s="431"/>
      <c r="E28" s="431"/>
      <c r="F28" s="431"/>
      <c r="G28" s="431"/>
      <c r="H28" s="431"/>
      <c r="I28" s="431"/>
      <c r="J28" s="431"/>
      <c r="K28" s="431"/>
      <c r="L28" s="431"/>
      <c r="M28" s="431"/>
      <c r="N28" s="431"/>
      <c r="O28" s="431"/>
      <c r="P28" s="431"/>
      <c r="Q28" s="431"/>
      <c r="R28" s="431"/>
      <c r="S28" s="431"/>
      <c r="T28" s="431"/>
      <c r="U28" s="432"/>
    </row>
    <row r="29" spans="2:38" ht="17.7" customHeight="1" x14ac:dyDescent="0.25">
      <c r="B29" s="430"/>
      <c r="C29" s="431" t="str">
        <f>HLOOKUP(LANGUAGE!$B$2,LANGUAGE!$C$14:$G$3008,1336)</f>
        <v>Progression/ pitch</v>
      </c>
      <c r="D29" s="431"/>
      <c r="E29" s="431"/>
      <c r="F29" s="431"/>
      <c r="G29" s="431"/>
      <c r="H29" s="2552"/>
      <c r="I29" s="2553"/>
      <c r="J29" s="2554"/>
      <c r="K29" s="431" t="s">
        <v>781</v>
      </c>
      <c r="L29" s="431" t="str">
        <f>HLOOKUP(LANGUAGE!$B$2,LANGUAGE!$C$14:$G$3008,1340)</f>
        <v>you can measure in the tool or look to the feed roll unit.</v>
      </c>
      <c r="M29" s="431"/>
      <c r="N29" s="431"/>
      <c r="O29" s="431"/>
      <c r="P29" s="431"/>
      <c r="Q29" s="431"/>
      <c r="R29" s="431"/>
      <c r="S29" s="431"/>
      <c r="T29" s="431"/>
      <c r="U29" s="432"/>
    </row>
    <row r="30" spans="2:38" ht="5.95" customHeight="1" x14ac:dyDescent="0.25">
      <c r="B30" s="430"/>
      <c r="C30" s="431"/>
      <c r="D30" s="431"/>
      <c r="E30" s="431"/>
      <c r="F30" s="431"/>
      <c r="G30" s="431"/>
      <c r="H30" s="431"/>
      <c r="I30" s="431"/>
      <c r="J30" s="431"/>
      <c r="K30" s="431"/>
      <c r="L30" s="431"/>
      <c r="M30" s="431"/>
      <c r="N30" s="431"/>
      <c r="O30" s="431"/>
      <c r="P30" s="431"/>
      <c r="Q30" s="431"/>
      <c r="R30" s="431"/>
      <c r="S30" s="431"/>
      <c r="T30" s="431"/>
      <c r="U30" s="432"/>
    </row>
    <row r="31" spans="2:38" ht="17.7" customHeight="1" x14ac:dyDescent="0.25">
      <c r="B31" s="430"/>
      <c r="C31" s="431" t="str">
        <f>HLOOKUP(LANGUAGE!$B$2,LANGUAGE!$C$14:$G$3008,1344)</f>
        <v>Weight feeded parts</v>
      </c>
      <c r="D31" s="431"/>
      <c r="E31" s="431"/>
      <c r="F31" s="431"/>
      <c r="G31" s="431"/>
      <c r="H31" s="2552"/>
      <c r="I31" s="2553"/>
      <c r="J31" s="2554"/>
      <c r="K31" s="431" t="s">
        <v>792</v>
      </c>
      <c r="L31" s="431" t="str">
        <f>HLOOKUP(LANGUAGE!$B$2,LANGUAGE!$C$14:$G$3008,1352)</f>
        <v>complete weigt from all feeded parts per 1 stamp part</v>
      </c>
      <c r="M31" s="431"/>
      <c r="N31" s="431"/>
      <c r="O31" s="431"/>
      <c r="P31" s="431"/>
      <c r="Q31" s="431"/>
      <c r="R31" s="431"/>
      <c r="S31" s="431"/>
      <c r="T31" s="431"/>
      <c r="U31" s="432"/>
    </row>
    <row r="32" spans="2:38" ht="5.95" customHeight="1" x14ac:dyDescent="0.25">
      <c r="B32" s="430"/>
      <c r="C32" s="431"/>
      <c r="D32" s="431"/>
      <c r="E32" s="431"/>
      <c r="F32" s="431"/>
      <c r="G32" s="431"/>
      <c r="H32" s="431"/>
      <c r="I32" s="431"/>
      <c r="J32" s="431"/>
      <c r="K32" s="431"/>
      <c r="L32" s="431"/>
      <c r="M32" s="431"/>
      <c r="N32" s="431"/>
      <c r="O32" s="431"/>
      <c r="P32" s="431"/>
      <c r="Q32" s="431"/>
      <c r="R32" s="431"/>
      <c r="S32" s="431"/>
      <c r="T32" s="431"/>
      <c r="U32" s="432"/>
    </row>
    <row r="33" spans="2:22" ht="17.7" customHeight="1" x14ac:dyDescent="0.25">
      <c r="B33" s="430"/>
      <c r="C33" s="431" t="str">
        <f>HLOOKUP(LANGUAGE!$B$2,LANGUAGE!$C$14:$G$3008,1356)</f>
        <v>Tool layout</v>
      </c>
      <c r="D33" s="431"/>
      <c r="E33" s="431"/>
      <c r="F33" s="431"/>
      <c r="G33" s="431"/>
      <c r="H33" s="2545"/>
      <c r="I33" s="2546"/>
      <c r="J33" s="2547"/>
      <c r="K33" s="431" t="str">
        <f>HLOOKUP(LANGUAGE!$B$2,LANGUAGE!$C$14:$G$3008,1360)</f>
        <v>out</v>
      </c>
      <c r="L33" s="431" t="str">
        <f>HLOOKUP(LANGUAGE!$B$2,LANGUAGE!$C$14:$G$3008,1364)</f>
        <v>left/right = 1+1out, x+x out / 2 out, 3 out, x out</v>
      </c>
      <c r="M33" s="431"/>
      <c r="N33" s="431"/>
      <c r="O33" s="431"/>
      <c r="P33" s="431"/>
      <c r="Q33" s="431"/>
      <c r="R33" s="431"/>
      <c r="S33" s="431"/>
      <c r="T33" s="431"/>
      <c r="U33" s="432"/>
    </row>
    <row r="34" spans="2:22" ht="5.95" customHeight="1" x14ac:dyDescent="0.25">
      <c r="B34" s="430"/>
      <c r="C34" s="431"/>
      <c r="D34" s="431"/>
      <c r="E34" s="431"/>
      <c r="F34" s="431"/>
      <c r="G34" s="431"/>
      <c r="H34" s="431"/>
      <c r="I34" s="431"/>
      <c r="J34" s="431"/>
      <c r="K34" s="431"/>
      <c r="L34" s="431"/>
      <c r="M34" s="431"/>
      <c r="N34" s="431"/>
      <c r="O34" s="431"/>
      <c r="P34" s="431"/>
      <c r="Q34" s="431"/>
      <c r="R34" s="431"/>
      <c r="S34" s="431"/>
      <c r="T34" s="431"/>
      <c r="U34" s="432"/>
    </row>
    <row r="35" spans="2:22" ht="17.7" customHeight="1" x14ac:dyDescent="0.25">
      <c r="B35" s="430"/>
      <c r="C35" s="431" t="str">
        <f>HLOOKUP(LANGUAGE!$B$2,LANGUAGE!$C$14:$G$3008,1368)</f>
        <v>Parts per stroke</v>
      </c>
      <c r="D35" s="431"/>
      <c r="E35" s="431"/>
      <c r="F35" s="431"/>
      <c r="G35" s="431"/>
      <c r="H35" s="2545"/>
      <c r="I35" s="2546"/>
      <c r="J35" s="2547"/>
      <c r="K35" s="431" t="str">
        <f>HLOOKUP(LANGUAGE!$B$2,LANGUAGE!$C$14:$G$3008,1372)</f>
        <v>Parts</v>
      </c>
      <c r="L35" s="431"/>
      <c r="M35" s="431"/>
      <c r="N35" s="431"/>
      <c r="O35" s="431"/>
      <c r="P35" s="431"/>
      <c r="Q35" s="431"/>
      <c r="R35" s="431"/>
      <c r="S35" s="431"/>
      <c r="T35" s="431"/>
      <c r="U35" s="432"/>
    </row>
    <row r="36" spans="2:22" ht="5.95" customHeight="1" x14ac:dyDescent="0.25">
      <c r="B36" s="430"/>
      <c r="C36" s="431"/>
      <c r="D36" s="431"/>
      <c r="E36" s="431"/>
      <c r="F36" s="431"/>
      <c r="G36" s="431"/>
      <c r="H36" s="431"/>
      <c r="I36" s="431"/>
      <c r="J36" s="431"/>
      <c r="K36" s="431"/>
      <c r="L36" s="431"/>
      <c r="M36" s="431"/>
      <c r="N36" s="431"/>
      <c r="O36" s="431"/>
      <c r="P36" s="431"/>
      <c r="Q36" s="431"/>
      <c r="R36" s="431"/>
      <c r="S36" s="431"/>
      <c r="T36" s="431"/>
      <c r="U36" s="432"/>
    </row>
    <row r="37" spans="2:22" ht="17.7" customHeight="1" x14ac:dyDescent="0.25">
      <c r="B37" s="430"/>
      <c r="C37" s="431" t="str">
        <f>HLOOKUP(LANGUAGE!$B$2,LANGUAGE!$C$14:$G$3008,1376)</f>
        <v>Density</v>
      </c>
      <c r="D37" s="431"/>
      <c r="E37" s="431"/>
      <c r="F37" s="431"/>
      <c r="G37" s="431"/>
      <c r="H37" s="2506"/>
      <c r="I37" s="2507"/>
      <c r="J37" s="2508"/>
      <c r="K37" s="431" t="str">
        <f>HLOOKUP(LANGUAGE!$B$2,LANGUAGE!$C$14:$G$3008,1380)</f>
        <v>g/cm³</v>
      </c>
      <c r="L37" s="431" t="str">
        <f>HLOOKUP(LANGUAGE!$B$2,LANGUAGE!$C$14:$G$3008,1384)</f>
        <v>7,85 steel, 2,66 Alu, or Mechanical and Metal Trades Handbook</v>
      </c>
      <c r="M37" s="431"/>
      <c r="N37" s="431"/>
      <c r="O37" s="431"/>
      <c r="P37" s="431"/>
      <c r="Q37" s="431"/>
      <c r="R37" s="431"/>
      <c r="S37" s="431"/>
      <c r="T37" s="431"/>
      <c r="U37" s="432"/>
      <c r="V37" s="661"/>
    </row>
    <row r="38" spans="2:22" ht="5.95" customHeight="1" x14ac:dyDescent="0.25">
      <c r="B38" s="430"/>
      <c r="C38" s="431"/>
      <c r="D38" s="431"/>
      <c r="E38" s="431"/>
      <c r="F38" s="431"/>
      <c r="G38" s="431"/>
      <c r="H38" s="431"/>
      <c r="I38" s="431"/>
      <c r="J38" s="431"/>
      <c r="K38" s="431"/>
      <c r="L38" s="431"/>
      <c r="M38" s="431"/>
      <c r="N38" s="431"/>
      <c r="O38" s="431"/>
      <c r="P38" s="431"/>
      <c r="Q38" s="431"/>
      <c r="R38" s="431"/>
      <c r="S38" s="431"/>
      <c r="T38" s="431"/>
      <c r="U38" s="432"/>
    </row>
    <row r="39" spans="2:22" ht="17.7" customHeight="1" x14ac:dyDescent="0.25">
      <c r="B39" s="430"/>
      <c r="C39" s="433" t="str">
        <f>HLOOKUP(LANGUAGE!$B$2,LANGUAGE!$C$14:$G$3008,1388)</f>
        <v>Gross part weight</v>
      </c>
      <c r="D39" s="431"/>
      <c r="E39" s="431"/>
      <c r="F39" s="431"/>
      <c r="G39" s="431"/>
      <c r="H39" s="2530" t="str">
        <f>IF(H37=0,"",(H25*H27*H29*H37/1000)/H35)</f>
        <v/>
      </c>
      <c r="I39" s="2531"/>
      <c r="J39" s="2532"/>
      <c r="K39" s="431" t="s">
        <v>792</v>
      </c>
      <c r="L39" s="431" t="str">
        <f>HLOOKUP(LANGUAGE!$B$2,LANGUAGE!$C$14:$G$3008,1392)</f>
        <v>will be calculated by that sheet</v>
      </c>
      <c r="M39" s="431"/>
      <c r="N39" s="431"/>
      <c r="O39" s="431"/>
      <c r="P39" s="431"/>
      <c r="Q39" s="431"/>
      <c r="R39" s="431"/>
      <c r="S39" s="431"/>
      <c r="T39" s="431"/>
      <c r="U39" s="432"/>
    </row>
    <row r="40" spans="2:22" ht="5.95" customHeight="1" x14ac:dyDescent="0.25">
      <c r="B40" s="430"/>
      <c r="C40" s="431"/>
      <c r="D40" s="431"/>
      <c r="E40" s="431"/>
      <c r="F40" s="431"/>
      <c r="G40" s="431"/>
      <c r="H40" s="431"/>
      <c r="I40" s="431"/>
      <c r="J40" s="431"/>
      <c r="K40" s="431"/>
      <c r="L40" s="431"/>
      <c r="M40" s="431"/>
      <c r="N40" s="431"/>
      <c r="O40" s="431"/>
      <c r="P40" s="431"/>
      <c r="Q40" s="431"/>
      <c r="R40" s="431"/>
      <c r="S40" s="431"/>
      <c r="T40" s="431"/>
      <c r="U40" s="432"/>
    </row>
    <row r="41" spans="2:22" ht="17.7" customHeight="1" x14ac:dyDescent="0.25">
      <c r="B41" s="430"/>
      <c r="C41" s="431" t="str">
        <f>HLOOKUP(LANGUAGE!$B$2,LANGUAGE!$C$14:$G$3008,1396)</f>
        <v>Part weight</v>
      </c>
      <c r="D41" s="431"/>
      <c r="E41" s="431"/>
      <c r="F41" s="431"/>
      <c r="G41" s="431"/>
      <c r="H41" s="2506"/>
      <c r="I41" s="2507"/>
      <c r="J41" s="2508"/>
      <c r="K41" s="431" t="s">
        <v>792</v>
      </c>
      <c r="L41" s="431" t="str">
        <f>HLOOKUP(LANGUAGE!$B$2,LANGUAGE!$C$14:$G$3008,1400)</f>
        <v>must be weighed</v>
      </c>
      <c r="M41" s="431"/>
      <c r="N41" s="431"/>
      <c r="O41" s="431"/>
      <c r="P41" s="431"/>
      <c r="Q41" s="431"/>
      <c r="R41" s="431"/>
      <c r="S41" s="431"/>
      <c r="T41" s="431"/>
      <c r="U41" s="432"/>
    </row>
    <row r="42" spans="2:22" ht="5.95" customHeight="1" x14ac:dyDescent="0.25">
      <c r="B42" s="430"/>
      <c r="C42" s="431"/>
      <c r="D42" s="431"/>
      <c r="E42" s="431"/>
      <c r="F42" s="431"/>
      <c r="G42" s="431"/>
      <c r="H42" s="434"/>
      <c r="I42" s="434"/>
      <c r="J42" s="434"/>
      <c r="K42" s="431"/>
      <c r="L42" s="431"/>
      <c r="M42" s="431"/>
      <c r="N42" s="431"/>
      <c r="O42" s="431"/>
      <c r="P42" s="431"/>
      <c r="Q42" s="431"/>
      <c r="R42" s="431"/>
      <c r="S42" s="431"/>
      <c r="T42" s="431"/>
      <c r="U42" s="432"/>
    </row>
    <row r="43" spans="2:22" ht="17.25" customHeight="1" x14ac:dyDescent="0.25">
      <c r="B43" s="430"/>
      <c r="C43" s="431" t="str">
        <f>HLOOKUP(LANGUAGE!$B$2,LANGUAGE!$C$14:$G$3008,1309)</f>
        <v>Irrecoverable losses acc. to CBD</v>
      </c>
      <c r="D43" s="431"/>
      <c r="E43" s="431"/>
      <c r="F43" s="431"/>
      <c r="G43" s="431"/>
      <c r="H43" s="2506"/>
      <c r="I43" s="2507"/>
      <c r="J43" s="2508"/>
      <c r="K43" s="431" t="s">
        <v>792</v>
      </c>
      <c r="L43" s="431" t="str">
        <f>HLOOKUP(LANGUAGE!$B$2,LANGUAGE!$C$14:$G$3008,1311)</f>
        <v>Information from purchasing</v>
      </c>
      <c r="M43" s="431"/>
      <c r="N43" s="431"/>
      <c r="O43" s="431"/>
      <c r="P43" s="431"/>
      <c r="Q43" s="431"/>
      <c r="R43" s="431"/>
      <c r="S43" s="431"/>
      <c r="T43" s="431"/>
      <c r="U43" s="432"/>
    </row>
    <row r="44" spans="2:22" ht="5.95" customHeight="1" x14ac:dyDescent="0.25">
      <c r="B44" s="430"/>
      <c r="C44" s="431"/>
      <c r="D44" s="431"/>
      <c r="E44" s="431"/>
      <c r="F44" s="431"/>
      <c r="G44" s="431"/>
      <c r="H44" s="434"/>
      <c r="I44" s="434"/>
      <c r="J44" s="434"/>
      <c r="K44" s="431"/>
      <c r="L44" s="431"/>
      <c r="M44" s="431"/>
      <c r="N44" s="431"/>
      <c r="O44" s="431"/>
      <c r="P44" s="431"/>
      <c r="Q44" s="431"/>
      <c r="R44" s="431"/>
      <c r="S44" s="431"/>
      <c r="T44" s="431"/>
      <c r="U44" s="432"/>
    </row>
    <row r="45" spans="2:22" ht="17.25" customHeight="1" x14ac:dyDescent="0.25">
      <c r="B45" s="430"/>
      <c r="C45" s="431" t="str">
        <f>HLOOKUP(LANGUAGE!$B$2,LANGUAGE!$C$14:$G$3008,1310)</f>
        <v>Calculation weight</v>
      </c>
      <c r="D45" s="431"/>
      <c r="E45" s="431"/>
      <c r="F45" s="431"/>
      <c r="G45" s="431"/>
      <c r="H45" s="2506"/>
      <c r="I45" s="2507"/>
      <c r="J45" s="2508"/>
      <c r="K45" s="431" t="s">
        <v>792</v>
      </c>
      <c r="L45" s="431" t="str">
        <f>HLOOKUP(LANGUAGE!$B$2,LANGUAGE!$C$14:$G$3008,1311)</f>
        <v>Information from purchasing</v>
      </c>
      <c r="M45" s="431"/>
      <c r="N45" s="431"/>
      <c r="O45" s="431"/>
      <c r="P45" s="431"/>
      <c r="Q45" s="431"/>
      <c r="R45" s="431"/>
      <c r="S45" s="431"/>
      <c r="T45" s="431"/>
      <c r="U45" s="432"/>
    </row>
    <row r="46" spans="2:22" ht="5.95" customHeight="1" x14ac:dyDescent="0.25">
      <c r="B46" s="430"/>
      <c r="C46" s="431"/>
      <c r="D46" s="431"/>
      <c r="E46" s="431"/>
      <c r="F46" s="431"/>
      <c r="G46" s="431"/>
      <c r="H46" s="434"/>
      <c r="I46" s="434"/>
      <c r="J46" s="434"/>
      <c r="K46" s="431"/>
      <c r="L46" s="431"/>
      <c r="M46" s="431"/>
      <c r="N46" s="431"/>
      <c r="O46" s="431"/>
      <c r="P46" s="431"/>
      <c r="Q46" s="431"/>
      <c r="R46" s="431"/>
      <c r="S46" s="431"/>
      <c r="T46" s="431"/>
      <c r="U46" s="432"/>
    </row>
    <row r="47" spans="2:22" ht="17.7" customHeight="1" x14ac:dyDescent="0.25">
      <c r="B47" s="430"/>
      <c r="C47" s="435" t="str">
        <f>HLOOKUP(LANGUAGE!$B$2,LANGUAGE!$C$14:$G$3008,1398)</f>
        <v>In the case of tools with different part weights, a tool-specific solution must be found for the determination of the part weights</v>
      </c>
      <c r="D47" s="431"/>
      <c r="E47" s="431"/>
      <c r="F47" s="431"/>
      <c r="G47" s="431"/>
      <c r="H47" s="434"/>
      <c r="I47" s="434"/>
      <c r="J47" s="434"/>
      <c r="K47" s="431"/>
      <c r="L47" s="431"/>
      <c r="M47" s="431"/>
      <c r="N47" s="431"/>
      <c r="O47" s="431"/>
      <c r="P47" s="431"/>
      <c r="Q47" s="431"/>
      <c r="R47" s="431"/>
      <c r="S47" s="431"/>
      <c r="T47" s="431"/>
      <c r="U47" s="432"/>
    </row>
    <row r="48" spans="2:22" ht="5.95" customHeight="1" thickBot="1" x14ac:dyDescent="0.3">
      <c r="B48" s="436"/>
      <c r="C48" s="437"/>
      <c r="D48" s="437"/>
      <c r="E48" s="437"/>
      <c r="F48" s="437"/>
      <c r="G48" s="437"/>
      <c r="H48" s="437"/>
      <c r="I48" s="437"/>
      <c r="J48" s="437"/>
      <c r="K48" s="437"/>
      <c r="L48" s="437"/>
      <c r="M48" s="437"/>
      <c r="N48" s="437"/>
      <c r="O48" s="437"/>
      <c r="P48" s="437"/>
      <c r="Q48" s="437"/>
      <c r="R48" s="437"/>
      <c r="S48" s="437"/>
      <c r="T48" s="437"/>
      <c r="U48" s="438"/>
    </row>
    <row r="49" spans="2:22" ht="17.7" customHeight="1" x14ac:dyDescent="0.25">
      <c r="B49" s="439"/>
      <c r="C49" s="440" t="str">
        <f>HLOOKUP(LANGUAGE!$B$2,LANGUAGE!$C$14:$G$3008,1404)</f>
        <v>Calculation partweight plastic parts</v>
      </c>
      <c r="D49" s="441"/>
      <c r="E49" s="441"/>
      <c r="F49" s="441"/>
      <c r="G49" s="441"/>
      <c r="H49" s="441"/>
      <c r="I49" s="441"/>
      <c r="J49" s="441"/>
      <c r="K49" s="441"/>
      <c r="L49" s="441"/>
      <c r="M49" s="441"/>
      <c r="N49" s="441"/>
      <c r="O49" s="441"/>
      <c r="P49" s="441"/>
      <c r="Q49" s="441"/>
      <c r="R49" s="441"/>
      <c r="S49" s="441"/>
      <c r="T49" s="441"/>
      <c r="U49" s="442"/>
    </row>
    <row r="50" spans="2:22" ht="5.95" customHeight="1" x14ac:dyDescent="0.25">
      <c r="B50" s="443"/>
      <c r="C50" s="444"/>
      <c r="D50" s="444"/>
      <c r="E50" s="444"/>
      <c r="F50" s="444"/>
      <c r="G50" s="444"/>
      <c r="H50" s="444"/>
      <c r="I50" s="444"/>
      <c r="J50" s="444"/>
      <c r="K50" s="444"/>
      <c r="L50" s="444"/>
      <c r="M50" s="444"/>
      <c r="N50" s="444"/>
      <c r="O50" s="444"/>
      <c r="P50" s="444"/>
      <c r="Q50" s="444"/>
      <c r="R50" s="444"/>
      <c r="S50" s="444"/>
      <c r="T50" s="444"/>
      <c r="U50" s="445"/>
    </row>
    <row r="51" spans="2:22" ht="17.7" customHeight="1" x14ac:dyDescent="0.25">
      <c r="B51" s="430"/>
      <c r="C51" s="446" t="str">
        <f>HLOOKUP(LANGUAGE!$B$2,LANGUAGE!$C$14:$G$3008,1406)</f>
        <v>Number of cavities</v>
      </c>
      <c r="D51" s="447"/>
      <c r="E51" s="447"/>
      <c r="F51" s="447"/>
      <c r="G51" s="431"/>
      <c r="H51" s="2545"/>
      <c r="I51" s="2546"/>
      <c r="J51" s="2547"/>
      <c r="K51" s="431"/>
      <c r="L51" s="431"/>
      <c r="M51" s="431"/>
      <c r="N51" s="431"/>
      <c r="O51" s="431"/>
      <c r="P51" s="431"/>
      <c r="Q51" s="431"/>
      <c r="R51" s="431"/>
      <c r="S51" s="431"/>
      <c r="T51" s="431"/>
      <c r="U51" s="432"/>
    </row>
    <row r="52" spans="2:22" ht="12.7" customHeight="1" x14ac:dyDescent="0.25">
      <c r="B52" s="430"/>
      <c r="C52" s="447"/>
      <c r="D52" s="447"/>
      <c r="E52" s="447"/>
      <c r="F52" s="447"/>
      <c r="G52" s="431"/>
      <c r="H52" s="2548" t="str">
        <f>HLOOKUP(LANGUAGE!$B$2,LANGUAGE!$C$14:$G$3008,1438)</f>
        <v>shot 1</v>
      </c>
      <c r="I52" s="2548"/>
      <c r="J52" s="2549" t="str">
        <f>HLOOKUP(LANGUAGE!$B$2,LANGUAGE!$C$14:$G$3008,1440)</f>
        <v>shot 2</v>
      </c>
      <c r="K52" s="2549"/>
      <c r="L52" s="2524" t="str">
        <f>HLOOKUP(LANGUAGE!$B$2,LANGUAGE!$C$14:$G$3008,1442)</f>
        <v>shot 3</v>
      </c>
      <c r="M52" s="2524"/>
      <c r="N52" s="431"/>
      <c r="O52" s="448" t="str">
        <f>HLOOKUP(LANGUAGE!$B$2,LANGUAGE!$C$14:$G$3008,1444)</f>
        <v>1=start FRT   2=middle FRT   3=end FRT</v>
      </c>
      <c r="P52" s="433"/>
      <c r="Q52" s="433"/>
      <c r="R52" s="433"/>
      <c r="S52" s="433"/>
      <c r="T52" s="433"/>
      <c r="U52" s="449"/>
      <c r="V52" s="661"/>
    </row>
    <row r="53" spans="2:22" ht="17.7" customHeight="1" x14ac:dyDescent="0.25">
      <c r="B53" s="430"/>
      <c r="C53" s="433" t="str">
        <f>HLOOKUP(LANGUAGE!$B$2,LANGUAGE!$C$14:$G$3008,1408)</f>
        <v>Shot weight without cold runner</v>
      </c>
      <c r="D53" s="431"/>
      <c r="E53" s="431"/>
      <c r="F53" s="431"/>
      <c r="G53" s="431"/>
      <c r="H53" s="2511"/>
      <c r="I53" s="2511"/>
      <c r="J53" s="2511"/>
      <c r="K53" s="2511"/>
      <c r="L53" s="2511"/>
      <c r="M53" s="2511"/>
      <c r="N53" s="431" t="s">
        <v>792</v>
      </c>
      <c r="O53" s="450" t="str">
        <f>HLOOKUP(LANGUAGE!$B$2,LANGUAGE!$C$14:$G$3008,1410)</f>
        <v>all parts of a shot (without cold runner)</v>
      </c>
      <c r="P53" s="450"/>
      <c r="Q53" s="450"/>
      <c r="R53" s="450"/>
      <c r="S53" s="450"/>
      <c r="T53" s="450"/>
      <c r="U53" s="451"/>
    </row>
    <row r="54" spans="2:22" ht="5.95" customHeight="1" x14ac:dyDescent="0.25">
      <c r="B54" s="430"/>
      <c r="C54" s="431"/>
      <c r="D54" s="431"/>
      <c r="E54" s="431"/>
      <c r="F54" s="431"/>
      <c r="G54" s="431"/>
      <c r="H54" s="431"/>
      <c r="I54" s="431"/>
      <c r="J54" s="431"/>
      <c r="K54" s="431"/>
      <c r="L54" s="452"/>
      <c r="M54" s="431"/>
      <c r="N54" s="431"/>
      <c r="O54" s="2534" t="str">
        <f>HLOOKUP(LANGUAGE!$B$2,LANGUAGE!$C$14:$G$3008,1414)</f>
        <v>all cold runners of a shot of the 1st material
0 must be entered for cold runner reuse</v>
      </c>
      <c r="P54" s="2534"/>
      <c r="Q54" s="2534"/>
      <c r="R54" s="2534"/>
      <c r="S54" s="2534"/>
      <c r="T54" s="2534"/>
      <c r="U54" s="2535"/>
    </row>
    <row r="55" spans="2:22" ht="17.7" customHeight="1" x14ac:dyDescent="0.25">
      <c r="B55" s="430"/>
      <c r="C55" s="435" t="str">
        <f>HLOOKUP(LANGUAGE!$B$2,LANGUAGE!$C$14:$G$3008,1412)</f>
        <v>Cold runner weight of shot 1st material</v>
      </c>
      <c r="D55" s="431"/>
      <c r="E55" s="431"/>
      <c r="F55" s="431"/>
      <c r="G55" s="431"/>
      <c r="H55" s="2511"/>
      <c r="I55" s="2511"/>
      <c r="J55" s="2511"/>
      <c r="K55" s="2511"/>
      <c r="L55" s="2511"/>
      <c r="M55" s="2511"/>
      <c r="N55" s="431" t="s">
        <v>792</v>
      </c>
      <c r="O55" s="2534"/>
      <c r="P55" s="2534"/>
      <c r="Q55" s="2534"/>
      <c r="R55" s="2534"/>
      <c r="S55" s="2534"/>
      <c r="T55" s="2534"/>
      <c r="U55" s="2535"/>
    </row>
    <row r="56" spans="2:22" ht="5.95" customHeight="1" x14ac:dyDescent="0.25">
      <c r="B56" s="430"/>
      <c r="C56" s="431"/>
      <c r="D56" s="431"/>
      <c r="E56" s="431"/>
      <c r="F56" s="431"/>
      <c r="G56" s="431"/>
      <c r="H56" s="431"/>
      <c r="I56" s="431"/>
      <c r="J56" s="431"/>
      <c r="K56" s="431"/>
      <c r="L56" s="452"/>
      <c r="M56" s="431"/>
      <c r="N56" s="431"/>
      <c r="O56" s="2534"/>
      <c r="P56" s="2534"/>
      <c r="Q56" s="2534"/>
      <c r="R56" s="2534"/>
      <c r="S56" s="2534"/>
      <c r="T56" s="2534"/>
      <c r="U56" s="2535"/>
    </row>
    <row r="57" spans="2:22" ht="17.7" customHeight="1" x14ac:dyDescent="0.25">
      <c r="B57" s="2536" t="str">
        <f>HLOOKUP(LANGUAGE!$B$2,LANGUAGE!$C$14:$G$3008,1416)</f>
        <v>for 2K</v>
      </c>
      <c r="C57" s="484" t="str">
        <f>HLOOKUP(LANGUAGE!$B$2,LANGUAGE!$C$14:$G$3008,1418)</f>
        <v>Shot weight 1st mat. w/o cold runner</v>
      </c>
      <c r="D57" s="453"/>
      <c r="E57" s="453"/>
      <c r="F57" s="453"/>
      <c r="G57" s="454"/>
      <c r="H57" s="2511"/>
      <c r="I57" s="2511"/>
      <c r="J57" s="2511"/>
      <c r="K57" s="2511"/>
      <c r="L57" s="2511"/>
      <c r="M57" s="2511"/>
      <c r="N57" s="431" t="s">
        <v>792</v>
      </c>
      <c r="O57" s="789" t="str">
        <f>HLOOKUP(LANGUAGE!$B$2,LANGUAGE!$C$14:$G$3008,1420)</f>
        <v>all parts of a shot of the 1st mat. (w/o cold runner)</v>
      </c>
      <c r="P57" s="790"/>
      <c r="Q57" s="790"/>
      <c r="R57" s="790"/>
      <c r="S57" s="790"/>
      <c r="T57" s="790"/>
      <c r="U57" s="791"/>
    </row>
    <row r="58" spans="2:22" ht="5.95" customHeight="1" x14ac:dyDescent="0.25">
      <c r="B58" s="2537"/>
      <c r="C58" s="433"/>
      <c r="D58" s="431"/>
      <c r="E58" s="431"/>
      <c r="F58" s="431"/>
      <c r="G58" s="431"/>
      <c r="H58" s="455"/>
      <c r="I58" s="455"/>
      <c r="J58" s="456"/>
      <c r="K58" s="456"/>
      <c r="L58" s="456"/>
      <c r="M58" s="456"/>
      <c r="N58" s="431"/>
      <c r="O58" s="2539" t="str">
        <f>HLOOKUP(LANGUAGE!$B$2,LANGUAGE!$C$14:$G$3008,1424)</f>
        <v>all cold runners of a shot of the 2nd material
0 must be entered for cold runner reuse</v>
      </c>
      <c r="P58" s="2539"/>
      <c r="Q58" s="2539"/>
      <c r="R58" s="2539"/>
      <c r="S58" s="2539"/>
      <c r="T58" s="2539"/>
      <c r="U58" s="2540"/>
    </row>
    <row r="59" spans="2:22" ht="17.7" customHeight="1" x14ac:dyDescent="0.25">
      <c r="B59" s="2538"/>
      <c r="C59" s="485" t="str">
        <f>HLOOKUP(LANGUAGE!$B$2,LANGUAGE!$C$14:$G$3008,1422)</f>
        <v>Cold runner weight of shot 2nd material</v>
      </c>
      <c r="D59" s="457"/>
      <c r="E59" s="457"/>
      <c r="F59" s="457"/>
      <c r="G59" s="458"/>
      <c r="H59" s="2511"/>
      <c r="I59" s="2511"/>
      <c r="J59" s="2511"/>
      <c r="K59" s="2511" t="s">
        <v>792</v>
      </c>
      <c r="L59" s="2511"/>
      <c r="M59" s="2511"/>
      <c r="N59" s="431" t="s">
        <v>792</v>
      </c>
      <c r="O59" s="2541"/>
      <c r="P59" s="2541"/>
      <c r="Q59" s="2541"/>
      <c r="R59" s="2541"/>
      <c r="S59" s="2541"/>
      <c r="T59" s="2541"/>
      <c r="U59" s="2542"/>
    </row>
    <row r="60" spans="2:22" ht="5.95" customHeight="1" x14ac:dyDescent="0.25">
      <c r="B60" s="430"/>
      <c r="C60" s="431"/>
      <c r="D60" s="431"/>
      <c r="E60" s="431"/>
      <c r="F60" s="431"/>
      <c r="G60" s="431"/>
      <c r="H60" s="431"/>
      <c r="I60" s="431"/>
      <c r="J60" s="431"/>
      <c r="K60" s="431"/>
      <c r="L60" s="431"/>
      <c r="M60" s="431"/>
      <c r="N60" s="431"/>
      <c r="O60" s="2543"/>
      <c r="P60" s="2543"/>
      <c r="Q60" s="2543"/>
      <c r="R60" s="2543"/>
      <c r="S60" s="2543"/>
      <c r="T60" s="2543"/>
      <c r="U60" s="2544"/>
    </row>
    <row r="61" spans="2:22" ht="17.25" customHeight="1" x14ac:dyDescent="0.25">
      <c r="B61" s="430"/>
      <c r="C61" s="433" t="str">
        <f>HLOOKUP(LANGUAGE!$B$2,LANGUAGE!$C$14:$G$3008,1426)</f>
        <v>Weight inserts of shot</v>
      </c>
      <c r="D61" s="431"/>
      <c r="E61" s="431"/>
      <c r="F61" s="431"/>
      <c r="G61" s="431"/>
      <c r="H61" s="2511"/>
      <c r="I61" s="2511"/>
      <c r="J61" s="2511"/>
      <c r="K61" s="2511"/>
      <c r="L61" s="2511"/>
      <c r="M61" s="2511"/>
      <c r="N61" s="431" t="s">
        <v>792</v>
      </c>
      <c r="O61" s="790" t="str">
        <f>HLOOKUP(LANGUAGE!$B$2,LANGUAGE!$C$14:$G$3008,1428)</f>
        <v>all inserts of a shot</v>
      </c>
      <c r="P61" s="790"/>
      <c r="Q61" s="790"/>
      <c r="R61" s="790"/>
      <c r="S61" s="790"/>
      <c r="T61" s="790"/>
      <c r="U61" s="791"/>
    </row>
    <row r="62" spans="2:22" ht="17.25" hidden="1" customHeight="1" x14ac:dyDescent="0.25">
      <c r="B62" s="430"/>
      <c r="C62" s="431" t="s">
        <v>2280</v>
      </c>
      <c r="D62" s="431"/>
      <c r="E62" s="431"/>
      <c r="F62" s="431"/>
      <c r="G62" s="431"/>
      <c r="H62" s="2533" t="str">
        <f>IF(OR($H$51="",H53=""),"",IF(AND(H57&lt;&gt;"",H57&gt;0),(H57+H55-H61)/$H$51,(H53+H55-H61)/$H$51))</f>
        <v/>
      </c>
      <c r="I62" s="2533"/>
      <c r="J62" s="2533" t="str">
        <f>IF(OR($H$51="",J53=""),"",IF(AND(J57&lt;&gt;"",J57&gt;0),(J57+J55-J61)/$H$51,(J53+J55-J61)/$H$51))</f>
        <v/>
      </c>
      <c r="K62" s="2533"/>
      <c r="L62" s="2533" t="str">
        <f>IF(OR($H$51="",L53=""),"",IF(AND(L57&lt;&gt;"",L57&gt;0),(L57+L55-L61)/$H$51,(L53+L55-L61)/$H$51))</f>
        <v/>
      </c>
      <c r="M62" s="2533"/>
      <c r="N62" s="431"/>
      <c r="O62" s="433"/>
      <c r="P62" s="433"/>
      <c r="Q62" s="433"/>
      <c r="R62" s="433"/>
      <c r="S62" s="433"/>
      <c r="T62" s="433"/>
      <c r="U62" s="449"/>
    </row>
    <row r="63" spans="2:22" ht="18" hidden="1" customHeight="1" x14ac:dyDescent="0.25">
      <c r="B63" s="430"/>
      <c r="C63" s="431" t="s">
        <v>2281</v>
      </c>
      <c r="D63" s="431"/>
      <c r="E63" s="431"/>
      <c r="F63" s="431"/>
      <c r="G63" s="431"/>
      <c r="H63" s="2528" t="str">
        <f>IF(OR(H57="",H57=0),"",(H53-H57+H59)/$H$51)</f>
        <v/>
      </c>
      <c r="I63" s="2528"/>
      <c r="J63" s="2529" t="str">
        <f t="shared" ref="J63" si="0">IF(OR(J57="",J57=0),"",(J53-J57+J59)/$H$51)</f>
        <v/>
      </c>
      <c r="K63" s="2529"/>
      <c r="L63" s="2529" t="str">
        <f t="shared" ref="L63" si="1">IF(OR(L57="",L57=0),"",(L53-L57+L59)/$H$51)</f>
        <v/>
      </c>
      <c r="M63" s="2529"/>
      <c r="N63" s="431"/>
      <c r="O63" s="433"/>
      <c r="P63" s="433"/>
      <c r="Q63" s="433"/>
      <c r="R63" s="433"/>
      <c r="S63" s="433"/>
      <c r="T63" s="433"/>
      <c r="U63" s="449"/>
    </row>
    <row r="64" spans="2:22" ht="5.95" customHeight="1" x14ac:dyDescent="0.25">
      <c r="B64" s="430"/>
      <c r="C64" s="431"/>
      <c r="D64" s="431"/>
      <c r="E64" s="431"/>
      <c r="F64" s="431"/>
      <c r="G64" s="431"/>
      <c r="H64" s="431"/>
      <c r="I64" s="431"/>
      <c r="J64" s="431"/>
      <c r="K64" s="431"/>
      <c r="L64" s="431"/>
      <c r="M64" s="431"/>
      <c r="N64" s="431"/>
      <c r="O64" s="433"/>
      <c r="P64" s="433"/>
      <c r="Q64" s="433"/>
      <c r="R64" s="433"/>
      <c r="S64" s="433"/>
      <c r="T64" s="433"/>
      <c r="U64" s="449"/>
    </row>
    <row r="65" spans="2:22" ht="17.7" customHeight="1" x14ac:dyDescent="0.25">
      <c r="B65" s="430"/>
      <c r="C65" s="433" t="str">
        <f>HLOOKUP(LANGUAGE!$B$2,LANGUAGE!$C$14:$G$3008,1430)</f>
        <v>part weight with runner 1st mat.</v>
      </c>
      <c r="D65" s="431"/>
      <c r="E65" s="431"/>
      <c r="F65" s="431"/>
      <c r="G65" s="431"/>
      <c r="H65" s="2530">
        <f>IF(AND(H62="",J62="",L62=""),0,AVERAGE(H62:M62))</f>
        <v>0</v>
      </c>
      <c r="I65" s="2531"/>
      <c r="J65" s="2532"/>
      <c r="K65" s="431" t="s">
        <v>792</v>
      </c>
      <c r="L65" s="431"/>
      <c r="M65" s="431"/>
      <c r="N65" s="431"/>
      <c r="O65" s="450" t="str">
        <f>HLOOKUP(LANGUAGE!$B$2,LANGUAGE!$C$14:$G$3008,1434)</f>
        <v>per part (average)</v>
      </c>
      <c r="P65" s="450"/>
      <c r="Q65" s="450"/>
      <c r="R65" s="450"/>
      <c r="S65" s="450"/>
      <c r="T65" s="450"/>
      <c r="U65" s="451"/>
    </row>
    <row r="66" spans="2:22" ht="5.95" customHeight="1" x14ac:dyDescent="0.25">
      <c r="B66" s="430"/>
      <c r="C66" s="433"/>
      <c r="D66" s="431"/>
      <c r="E66" s="431"/>
      <c r="F66" s="431"/>
      <c r="G66" s="431"/>
      <c r="H66" s="459"/>
      <c r="I66" s="459"/>
      <c r="J66" s="459"/>
      <c r="K66" s="431"/>
      <c r="L66" s="431"/>
      <c r="M66" s="431"/>
      <c r="N66" s="431"/>
      <c r="O66" s="433"/>
      <c r="P66" s="433"/>
      <c r="Q66" s="433"/>
      <c r="R66" s="433"/>
      <c r="S66" s="433"/>
      <c r="T66" s="433"/>
      <c r="U66" s="449"/>
    </row>
    <row r="67" spans="2:22" ht="17.7" customHeight="1" x14ac:dyDescent="0.25">
      <c r="B67" s="430"/>
      <c r="C67" s="433" t="str">
        <f>HLOOKUP(LANGUAGE!$B$2,LANGUAGE!$C$14:$G$3008,1432)</f>
        <v>part weight with runner 2nd mat.</v>
      </c>
      <c r="D67" s="431"/>
      <c r="E67" s="431"/>
      <c r="F67" s="431"/>
      <c r="G67" s="431"/>
      <c r="H67" s="2530" t="str">
        <f>IF(AND(H63="",J63="",L63=""),"",AVERAGE(H63:M63))</f>
        <v/>
      </c>
      <c r="I67" s="2531"/>
      <c r="J67" s="2532"/>
      <c r="K67" s="431" t="s">
        <v>792</v>
      </c>
      <c r="L67" s="431"/>
      <c r="M67" s="431"/>
      <c r="N67" s="431"/>
      <c r="O67" s="450" t="str">
        <f>HLOOKUP(LANGUAGE!$B$2,LANGUAGE!$C$14:$G$3008,1434)</f>
        <v>per part (average)</v>
      </c>
      <c r="P67" s="450"/>
      <c r="Q67" s="450"/>
      <c r="R67" s="450"/>
      <c r="S67" s="450"/>
      <c r="T67" s="450"/>
      <c r="U67" s="451"/>
    </row>
    <row r="68" spans="2:22" ht="5.95" customHeight="1" x14ac:dyDescent="0.25">
      <c r="B68" s="430"/>
      <c r="C68" s="431"/>
      <c r="D68" s="431"/>
      <c r="E68" s="431"/>
      <c r="F68" s="431"/>
      <c r="G68" s="431"/>
      <c r="H68" s="459"/>
      <c r="I68" s="459"/>
      <c r="J68" s="459"/>
      <c r="K68" s="431"/>
      <c r="L68" s="431"/>
      <c r="M68" s="431"/>
      <c r="N68" s="431"/>
      <c r="O68" s="431"/>
      <c r="P68" s="431"/>
      <c r="Q68" s="431"/>
      <c r="R68" s="431"/>
      <c r="S68" s="431"/>
      <c r="T68" s="431"/>
      <c r="U68" s="432"/>
    </row>
    <row r="69" spans="2:22" ht="17.25" customHeight="1" x14ac:dyDescent="0.25">
      <c r="B69" s="430"/>
      <c r="C69" s="431" t="str">
        <f>HLOOKUP(LANGUAGE!$B$2,LANGUAGE!$C$14:$G$3008,1309)</f>
        <v>Irrecoverable losses acc. to CBD</v>
      </c>
      <c r="D69" s="431"/>
      <c r="E69" s="431"/>
      <c r="F69" s="431"/>
      <c r="G69" s="431"/>
      <c r="H69" s="459" t="s">
        <v>2282</v>
      </c>
      <c r="I69" s="2511"/>
      <c r="J69" s="2511"/>
      <c r="K69" s="460" t="s">
        <v>2283</v>
      </c>
      <c r="L69" s="2511"/>
      <c r="M69" s="2511"/>
      <c r="N69" s="431" t="s">
        <v>792</v>
      </c>
      <c r="O69" s="450" t="str">
        <f>HLOOKUP(LANGUAGE!$B$2,LANGUAGE!$C$14:$G$3008,1311)</f>
        <v>Information from purchasing</v>
      </c>
      <c r="P69" s="450"/>
      <c r="Q69" s="450"/>
      <c r="R69" s="450"/>
      <c r="S69" s="450"/>
      <c r="T69" s="450"/>
      <c r="U69" s="451"/>
      <c r="V69" s="661"/>
    </row>
    <row r="70" spans="2:22" ht="5.95" customHeight="1" x14ac:dyDescent="0.25">
      <c r="B70" s="430"/>
      <c r="C70" s="431"/>
      <c r="D70" s="431"/>
      <c r="E70" s="431"/>
      <c r="F70" s="431"/>
      <c r="G70" s="431"/>
      <c r="H70" s="459"/>
      <c r="I70" s="459"/>
      <c r="J70" s="459"/>
      <c r="K70" s="431"/>
      <c r="L70" s="431"/>
      <c r="M70" s="431"/>
      <c r="N70" s="431"/>
      <c r="O70" s="431"/>
      <c r="P70" s="431"/>
      <c r="Q70" s="431"/>
      <c r="R70" s="431"/>
      <c r="S70" s="431"/>
      <c r="T70" s="431"/>
      <c r="U70" s="432"/>
    </row>
    <row r="71" spans="2:22" ht="17.25" customHeight="1" x14ac:dyDescent="0.25">
      <c r="B71" s="430"/>
      <c r="C71" s="431" t="str">
        <f>HLOOKUP(LANGUAGE!$B$2,LANGUAGE!$C$14:$G$3008,1310)</f>
        <v>Calculation weight</v>
      </c>
      <c r="D71" s="431"/>
      <c r="E71" s="431"/>
      <c r="F71" s="431"/>
      <c r="G71" s="431"/>
      <c r="H71" s="459" t="s">
        <v>2282</v>
      </c>
      <c r="I71" s="2511"/>
      <c r="J71" s="2511"/>
      <c r="K71" s="460" t="s">
        <v>2283</v>
      </c>
      <c r="L71" s="2511"/>
      <c r="M71" s="2511"/>
      <c r="N71" s="431" t="s">
        <v>792</v>
      </c>
      <c r="O71" s="450" t="str">
        <f>HLOOKUP(LANGUAGE!$B$2,LANGUAGE!$C$14:$G$3008,1311)</f>
        <v>Information from purchasing</v>
      </c>
      <c r="P71" s="450"/>
      <c r="Q71" s="450"/>
      <c r="R71" s="450"/>
      <c r="S71" s="450"/>
      <c r="T71" s="450"/>
      <c r="U71" s="451"/>
    </row>
    <row r="72" spans="2:22" ht="5.95" customHeight="1" x14ac:dyDescent="0.25">
      <c r="B72" s="430"/>
      <c r="C72" s="431"/>
      <c r="D72" s="431"/>
      <c r="E72" s="431"/>
      <c r="F72" s="431"/>
      <c r="G72" s="431"/>
      <c r="H72" s="459"/>
      <c r="I72" s="459"/>
      <c r="J72" s="459"/>
      <c r="K72" s="431"/>
      <c r="L72" s="431"/>
      <c r="M72" s="431"/>
      <c r="N72" s="431"/>
      <c r="O72" s="431"/>
      <c r="P72" s="431"/>
      <c r="Q72" s="431"/>
      <c r="R72" s="431"/>
      <c r="S72" s="431"/>
      <c r="T72" s="431"/>
      <c r="U72" s="432"/>
    </row>
    <row r="73" spans="2:22" ht="17.7" customHeight="1" x14ac:dyDescent="0.25">
      <c r="B73" s="430"/>
      <c r="C73" s="433" t="str">
        <f>HLOOKUP(LANGUAGE!$B$2,LANGUAGE!$C$14:$G$3008,1436)</f>
        <v>Determine the operating weights of family molds yourself</v>
      </c>
      <c r="D73" s="431"/>
      <c r="E73" s="431"/>
      <c r="F73" s="431"/>
      <c r="G73" s="431"/>
      <c r="H73" s="459"/>
      <c r="I73" s="459"/>
      <c r="J73" s="459"/>
      <c r="K73" s="431"/>
      <c r="L73" s="431"/>
      <c r="M73" s="431"/>
      <c r="N73" s="431"/>
      <c r="O73" s="431"/>
      <c r="P73" s="431"/>
      <c r="Q73" s="431"/>
      <c r="R73" s="431"/>
      <c r="S73" s="431"/>
      <c r="T73" s="431"/>
      <c r="U73" s="432"/>
    </row>
    <row r="74" spans="2:22" ht="5.95" customHeight="1" thickBot="1" x14ac:dyDescent="0.3">
      <c r="B74" s="436"/>
      <c r="C74" s="437"/>
      <c r="D74" s="437"/>
      <c r="E74" s="437"/>
      <c r="F74" s="437"/>
      <c r="G74" s="437"/>
      <c r="H74" s="437"/>
      <c r="I74" s="437"/>
      <c r="J74" s="437"/>
      <c r="K74" s="437"/>
      <c r="L74" s="437"/>
      <c r="M74" s="437"/>
      <c r="N74" s="437"/>
      <c r="O74" s="437"/>
      <c r="P74" s="437"/>
      <c r="Q74" s="437"/>
      <c r="R74" s="437"/>
      <c r="S74" s="437"/>
      <c r="T74" s="437"/>
      <c r="U74" s="438"/>
    </row>
    <row r="75" spans="2:22" ht="17.7" customHeight="1" x14ac:dyDescent="0.25">
      <c r="B75" s="439"/>
      <c r="C75" s="461" t="str">
        <f>HLOOKUP(LANGUAGE!$B$2,LANGUAGE!$C$14:$G$3008,1448)</f>
        <v>Calculation partweight die casting parts (every part)</v>
      </c>
      <c r="D75" s="441"/>
      <c r="E75" s="441"/>
      <c r="F75" s="441"/>
      <c r="G75" s="441"/>
      <c r="H75" s="441"/>
      <c r="I75" s="441"/>
      <c r="J75" s="441"/>
      <c r="K75" s="441"/>
      <c r="L75" s="441"/>
      <c r="M75" s="441"/>
      <c r="N75" s="441"/>
      <c r="O75" s="441"/>
      <c r="P75" s="441"/>
      <c r="Q75" s="441"/>
      <c r="R75" s="441"/>
      <c r="S75" s="441"/>
      <c r="T75" s="441"/>
      <c r="U75" s="442"/>
    </row>
    <row r="76" spans="2:22" ht="5.95" customHeight="1" x14ac:dyDescent="0.25">
      <c r="B76" s="443"/>
      <c r="C76" s="444"/>
      <c r="D76" s="444"/>
      <c r="E76" s="444"/>
      <c r="F76" s="444"/>
      <c r="G76" s="444"/>
      <c r="H76" s="444"/>
      <c r="I76" s="444"/>
      <c r="J76" s="444"/>
      <c r="K76" s="444"/>
      <c r="L76" s="444"/>
      <c r="M76" s="444"/>
      <c r="N76" s="444"/>
      <c r="O76" s="444"/>
      <c r="P76" s="444"/>
      <c r="Q76" s="444"/>
      <c r="R76" s="444"/>
      <c r="S76" s="444"/>
      <c r="T76" s="444"/>
      <c r="U76" s="445"/>
    </row>
    <row r="77" spans="2:22" ht="17.7" customHeight="1" x14ac:dyDescent="0.25">
      <c r="B77" s="462"/>
      <c r="C77" s="463" t="str">
        <f>HLOOKUP(LANGUAGE!$B$2,LANGUAGE!$C$14:$G$3008,1449)</f>
        <v>shot weight of all cavities</v>
      </c>
      <c r="D77" s="463"/>
      <c r="E77" s="463"/>
      <c r="F77" s="463"/>
      <c r="G77" s="463"/>
      <c r="H77" s="2515"/>
      <c r="I77" s="2516"/>
      <c r="J77" s="2517"/>
      <c r="K77" s="463" t="s">
        <v>792</v>
      </c>
      <c r="L77" s="463" t="str">
        <f>HLOOKUP(LANGUAGE!$B$2,LANGUAGE!$C$14:$G$3008,1450)</f>
        <v>must be weighed, incl. overflows. Cavities:</v>
      </c>
      <c r="M77" s="463"/>
      <c r="N77" s="463"/>
      <c r="O77" s="463"/>
      <c r="P77" s="463"/>
      <c r="Q77" s="535"/>
      <c r="R77" s="536"/>
      <c r="S77" s="463"/>
      <c r="T77" s="463"/>
      <c r="U77" s="464"/>
    </row>
    <row r="78" spans="2:22" ht="5.95" customHeight="1" x14ac:dyDescent="0.25">
      <c r="B78" s="462"/>
      <c r="C78" s="463"/>
      <c r="D78" s="463"/>
      <c r="E78" s="463"/>
      <c r="F78" s="463"/>
      <c r="G78" s="463"/>
      <c r="H78" s="463"/>
      <c r="I78" s="463"/>
      <c r="J78" s="463"/>
      <c r="K78" s="463"/>
      <c r="L78" s="463"/>
      <c r="M78" s="463"/>
      <c r="N78" s="463"/>
      <c r="O78" s="463"/>
      <c r="P78" s="463"/>
      <c r="Q78" s="463"/>
      <c r="R78" s="463"/>
      <c r="S78" s="463"/>
      <c r="T78" s="463"/>
      <c r="U78" s="464"/>
    </row>
    <row r="79" spans="2:22" ht="17.7" customHeight="1" x14ac:dyDescent="0.25">
      <c r="B79" s="462"/>
      <c r="C79" s="463" t="str">
        <f>HLOOKUP(LANGUAGE!$B$2,LANGUAGE!$C$14:$G$3008,1451)</f>
        <v>insert parts/additional components</v>
      </c>
      <c r="D79" s="463"/>
      <c r="E79" s="463"/>
      <c r="F79" s="463"/>
      <c r="G79" s="463"/>
      <c r="H79" s="2515"/>
      <c r="I79" s="2516"/>
      <c r="J79" s="2517"/>
      <c r="K79" s="463" t="s">
        <v>792</v>
      </c>
      <c r="L79" s="463" t="str">
        <f>HLOOKUP(LANGUAGE!$B$2,LANGUAGE!$C$14:$G$3008,1452)</f>
        <v>must be weighed</v>
      </c>
      <c r="M79" s="463"/>
      <c r="N79" s="463"/>
      <c r="O79" s="463"/>
      <c r="P79" s="463"/>
      <c r="Q79" s="463"/>
      <c r="R79" s="463"/>
      <c r="S79" s="463"/>
      <c r="T79" s="463"/>
      <c r="U79" s="464"/>
    </row>
    <row r="80" spans="2:22" ht="5.95" customHeight="1" x14ac:dyDescent="0.25">
      <c r="B80" s="462"/>
      <c r="C80" s="463"/>
      <c r="D80" s="463"/>
      <c r="E80" s="463"/>
      <c r="F80" s="463"/>
      <c r="G80" s="463"/>
      <c r="H80" s="463"/>
      <c r="I80" s="463"/>
      <c r="J80" s="463"/>
      <c r="K80" s="463"/>
      <c r="L80" s="463"/>
      <c r="M80" s="463"/>
      <c r="N80" s="463"/>
      <c r="O80" s="463"/>
      <c r="P80" s="463"/>
      <c r="Q80" s="463"/>
      <c r="R80" s="463"/>
      <c r="S80" s="463"/>
      <c r="T80" s="463"/>
      <c r="U80" s="464"/>
    </row>
    <row r="81" spans="2:21" ht="17.7" customHeight="1" x14ac:dyDescent="0.25">
      <c r="B81" s="462"/>
      <c r="C81" s="463" t="str">
        <f>HLOOKUP(LANGUAGE!$B$2,LANGUAGE!$C$14:$G$3008,1453)</f>
        <v>scrap weight</v>
      </c>
      <c r="D81" s="463"/>
      <c r="E81" s="463"/>
      <c r="F81" s="463"/>
      <c r="G81" s="463"/>
      <c r="H81" s="2525">
        <f>(H83-H85)</f>
        <v>0</v>
      </c>
      <c r="I81" s="2526"/>
      <c r="J81" s="2527"/>
      <c r="K81" s="662" t="s">
        <v>792</v>
      </c>
      <c r="L81" s="463"/>
      <c r="M81" s="463"/>
      <c r="N81" s="463"/>
      <c r="O81" s="463"/>
      <c r="P81" s="463"/>
      <c r="Q81" s="463"/>
      <c r="R81" s="463"/>
      <c r="S81" s="463"/>
      <c r="T81" s="463"/>
      <c r="U81" s="464"/>
    </row>
    <row r="82" spans="2:21" ht="5.95" customHeight="1" x14ac:dyDescent="0.25">
      <c r="B82" s="462"/>
      <c r="C82" s="463"/>
      <c r="D82" s="463"/>
      <c r="E82" s="463"/>
      <c r="F82" s="463"/>
      <c r="G82" s="463"/>
      <c r="H82" s="463"/>
      <c r="I82" s="463"/>
      <c r="J82" s="463"/>
      <c r="K82" s="463"/>
      <c r="L82" s="463"/>
      <c r="M82" s="463"/>
      <c r="N82" s="463"/>
      <c r="O82" s="463"/>
      <c r="P82" s="463"/>
      <c r="Q82" s="463"/>
      <c r="R82" s="463"/>
      <c r="S82" s="463"/>
      <c r="T82" s="463"/>
      <c r="U82" s="464"/>
    </row>
    <row r="83" spans="2:21" ht="17.7" customHeight="1" x14ac:dyDescent="0.25">
      <c r="B83" s="462"/>
      <c r="C83" s="463" t="str">
        <f>HLOOKUP(LANGUAGE!$B$2,LANGUAGE!$C$14:$G$3008,1455)</f>
        <v>raw part weight</v>
      </c>
      <c r="D83" s="463"/>
      <c r="E83" s="463"/>
      <c r="F83" s="463"/>
      <c r="G83" s="463"/>
      <c r="H83" s="2515"/>
      <c r="I83" s="2516"/>
      <c r="J83" s="2517"/>
      <c r="K83" s="463" t="s">
        <v>792</v>
      </c>
      <c r="L83" s="463" t="str">
        <f>HLOOKUP(LANGUAGE!$B$2,LANGUAGE!$C$14:$G$3008,1454)</f>
        <v>weight; only alloy-weight, without insert parts/aditional components</v>
      </c>
      <c r="M83" s="463"/>
      <c r="N83" s="463"/>
      <c r="O83" s="463"/>
      <c r="P83" s="463"/>
      <c r="Q83" s="463"/>
      <c r="R83" s="463"/>
      <c r="S83" s="463"/>
      <c r="T83" s="463"/>
      <c r="U83" s="464"/>
    </row>
    <row r="84" spans="2:21" ht="5.95" customHeight="1" x14ac:dyDescent="0.25">
      <c r="B84" s="462"/>
      <c r="C84" s="463"/>
      <c r="D84" s="463"/>
      <c r="E84" s="463"/>
      <c r="F84" s="463"/>
      <c r="G84" s="463"/>
      <c r="H84" s="465"/>
      <c r="I84" s="465"/>
      <c r="J84" s="465"/>
      <c r="K84" s="463"/>
      <c r="L84" s="463"/>
      <c r="M84" s="463"/>
      <c r="N84" s="463"/>
      <c r="O84" s="463"/>
      <c r="P84" s="463"/>
      <c r="Q84" s="463"/>
      <c r="R84" s="463"/>
      <c r="S84" s="463"/>
      <c r="T84" s="463"/>
      <c r="U84" s="464"/>
    </row>
    <row r="85" spans="2:21" ht="17.7" customHeight="1" x14ac:dyDescent="0.25">
      <c r="B85" s="462"/>
      <c r="C85" s="463" t="str">
        <f>HLOOKUP(LANGUAGE!$B$2,LANGUAGE!$C$14:$G$3008,1456)</f>
        <v>finished part weight</v>
      </c>
      <c r="D85" s="463"/>
      <c r="E85" s="463"/>
      <c r="F85" s="463"/>
      <c r="G85" s="463"/>
      <c r="H85" s="2515"/>
      <c r="I85" s="2516"/>
      <c r="J85" s="2517"/>
      <c r="K85" s="463" t="s">
        <v>792</v>
      </c>
      <c r="L85" s="463" t="str">
        <f>HLOOKUP(LANGUAGE!$B$2,LANGUAGE!$C$14:$G$3008,1454)</f>
        <v>weight; only alloy-weight, without insert parts/aditional components</v>
      </c>
      <c r="M85" s="463"/>
      <c r="N85" s="463"/>
      <c r="O85" s="463"/>
      <c r="P85" s="463"/>
      <c r="Q85" s="463"/>
      <c r="R85" s="463"/>
      <c r="S85" s="463"/>
      <c r="T85" s="463"/>
      <c r="U85" s="464"/>
    </row>
    <row r="86" spans="2:21" ht="5.95" customHeight="1" x14ac:dyDescent="0.25">
      <c r="B86" s="462"/>
      <c r="C86" s="463"/>
      <c r="D86" s="463"/>
      <c r="E86" s="463"/>
      <c r="F86" s="463"/>
      <c r="G86" s="463"/>
      <c r="H86" s="466"/>
      <c r="I86" s="466"/>
      <c r="J86" s="466"/>
      <c r="K86" s="463"/>
      <c r="L86" s="463"/>
      <c r="M86" s="463"/>
      <c r="N86" s="463"/>
      <c r="O86" s="463"/>
      <c r="P86" s="463"/>
      <c r="Q86" s="463"/>
      <c r="R86" s="463"/>
      <c r="S86" s="463"/>
      <c r="T86" s="463"/>
      <c r="U86" s="464"/>
    </row>
    <row r="87" spans="2:21" ht="17.7" customHeight="1" x14ac:dyDescent="0.25">
      <c r="B87" s="462"/>
      <c r="C87" s="431" t="str">
        <f>HLOOKUP(LANGUAGE!$B$2,LANGUAGE!$C$14:$G$3008,1309)</f>
        <v>Irrecoverable losses acc. to CBD</v>
      </c>
      <c r="D87" s="463"/>
      <c r="E87" s="463"/>
      <c r="F87" s="463"/>
      <c r="G87" s="463"/>
      <c r="H87" s="2518"/>
      <c r="I87" s="2519"/>
      <c r="J87" s="2520"/>
      <c r="K87" s="662" t="s">
        <v>2284</v>
      </c>
      <c r="L87" s="431" t="str">
        <f>HLOOKUP(LANGUAGE!$B$2,LANGUAGE!$C$14:$G$3008,1311)</f>
        <v>Information from purchasing</v>
      </c>
      <c r="M87" s="463"/>
      <c r="N87" s="463"/>
      <c r="O87" s="463"/>
      <c r="P87" s="463"/>
      <c r="Q87" s="463"/>
      <c r="R87" s="463"/>
      <c r="S87" s="463"/>
      <c r="T87" s="463"/>
      <c r="U87" s="464"/>
    </row>
    <row r="88" spans="2:21" ht="5.95" customHeight="1" x14ac:dyDescent="0.25">
      <c r="B88" s="462"/>
      <c r="C88" s="431"/>
      <c r="D88" s="463"/>
      <c r="E88" s="463"/>
      <c r="F88" s="463"/>
      <c r="G88" s="463"/>
      <c r="H88" s="466"/>
      <c r="I88" s="466"/>
      <c r="J88" s="466"/>
      <c r="K88" s="463"/>
      <c r="L88" s="463"/>
      <c r="M88" s="463"/>
      <c r="N88" s="463"/>
      <c r="O88" s="463"/>
      <c r="P88" s="463"/>
      <c r="Q88" s="463"/>
      <c r="R88" s="463"/>
      <c r="S88" s="463"/>
      <c r="T88" s="463"/>
      <c r="U88" s="464"/>
    </row>
    <row r="89" spans="2:21" ht="17.7" customHeight="1" x14ac:dyDescent="0.25">
      <c r="B89" s="462"/>
      <c r="C89" s="431" t="str">
        <f>HLOOKUP(LANGUAGE!$B$2,LANGUAGE!$C$14:$G$3008,1310)</f>
        <v>Calculation weight</v>
      </c>
      <c r="D89" s="463"/>
      <c r="E89" s="463"/>
      <c r="F89" s="463"/>
      <c r="G89" s="463"/>
      <c r="H89" s="2521">
        <f>H85+(H85/100*H87)</f>
        <v>0</v>
      </c>
      <c r="I89" s="2522"/>
      <c r="J89" s="2523"/>
      <c r="K89" s="463" t="s">
        <v>792</v>
      </c>
      <c r="L89" s="431"/>
      <c r="M89" s="463"/>
      <c r="N89" s="463"/>
      <c r="O89" s="463"/>
      <c r="P89" s="463"/>
      <c r="Q89" s="463"/>
      <c r="R89" s="463"/>
      <c r="S89" s="463"/>
      <c r="T89" s="463"/>
      <c r="U89" s="464"/>
    </row>
    <row r="90" spans="2:21" ht="5.95" customHeight="1" thickBot="1" x14ac:dyDescent="0.3">
      <c r="B90" s="467"/>
      <c r="C90" s="468"/>
      <c r="D90" s="468"/>
      <c r="E90" s="468"/>
      <c r="F90" s="468"/>
      <c r="G90" s="468"/>
      <c r="H90" s="468"/>
      <c r="I90" s="468"/>
      <c r="J90" s="468"/>
      <c r="K90" s="468"/>
      <c r="L90" s="468"/>
      <c r="M90" s="468"/>
      <c r="N90" s="468"/>
      <c r="O90" s="468"/>
      <c r="P90" s="468"/>
      <c r="Q90" s="468"/>
      <c r="R90" s="468"/>
      <c r="S90" s="468"/>
      <c r="T90" s="468"/>
      <c r="U90" s="469"/>
    </row>
    <row r="91" spans="2:21" ht="17.7" customHeight="1" x14ac:dyDescent="0.25">
      <c r="B91" s="470"/>
      <c r="C91" s="471" t="str">
        <f>HLOOKUP(LANGUAGE!$B$2,LANGUAGE!$C$14:$G$3008,1459)</f>
        <v>Calculation partweight  sinteringparts</v>
      </c>
      <c r="D91" s="472"/>
      <c r="E91" s="472"/>
      <c r="F91" s="472"/>
      <c r="G91" s="472"/>
      <c r="H91" s="472"/>
      <c r="I91" s="472"/>
      <c r="J91" s="472"/>
      <c r="K91" s="472"/>
      <c r="L91" s="472"/>
      <c r="M91" s="472"/>
      <c r="N91" s="472"/>
      <c r="O91" s="472"/>
      <c r="P91" s="472"/>
      <c r="Q91" s="472"/>
      <c r="R91" s="472"/>
      <c r="S91" s="472"/>
      <c r="T91" s="472"/>
      <c r="U91" s="473"/>
    </row>
    <row r="92" spans="2:21" ht="5.95" customHeight="1" x14ac:dyDescent="0.25">
      <c r="B92" s="425"/>
      <c r="C92" s="474"/>
      <c r="D92" s="427"/>
      <c r="E92" s="427"/>
      <c r="F92" s="427"/>
      <c r="G92" s="427"/>
      <c r="H92" s="427"/>
      <c r="I92" s="427"/>
      <c r="J92" s="427"/>
      <c r="K92" s="427"/>
      <c r="L92" s="427"/>
      <c r="M92" s="427"/>
      <c r="N92" s="427"/>
      <c r="O92" s="427"/>
      <c r="P92" s="427"/>
      <c r="Q92" s="427"/>
      <c r="R92" s="427"/>
      <c r="S92" s="427"/>
      <c r="T92" s="427"/>
      <c r="U92" s="428"/>
    </row>
    <row r="93" spans="2:21" ht="15.05" customHeight="1" x14ac:dyDescent="0.25">
      <c r="B93" s="475"/>
      <c r="C93" s="476"/>
      <c r="D93" s="452"/>
      <c r="E93" s="452"/>
      <c r="F93" s="452"/>
      <c r="G93" s="452"/>
      <c r="H93" s="2524" t="str">
        <f>HLOOKUP(LANGUAGE!$B$2,LANGUAGE!$C$14:$G$3008,1470)</f>
        <v>cavity 1</v>
      </c>
      <c r="I93" s="2524"/>
      <c r="J93" s="477"/>
      <c r="K93" s="2524" t="str">
        <f>HLOOKUP(LANGUAGE!$B$2,LANGUAGE!$C$14:$G$3008,1471)</f>
        <v>cavity 2</v>
      </c>
      <c r="L93" s="2524"/>
      <c r="M93" s="452"/>
      <c r="P93" s="452"/>
      <c r="T93" s="452"/>
      <c r="U93" s="478"/>
    </row>
    <row r="94" spans="2:21" ht="17.25" customHeight="1" x14ac:dyDescent="0.25">
      <c r="B94" s="475"/>
      <c r="C94" s="476" t="str">
        <f>HLOOKUP(LANGUAGE!$B$2,LANGUAGE!$C$14:$G$3008,1461)</f>
        <v>piece weight part 1</v>
      </c>
      <c r="D94" s="452"/>
      <c r="E94" s="452"/>
      <c r="F94" s="452"/>
      <c r="G94" s="452"/>
      <c r="H94" s="2509"/>
      <c r="I94" s="2510"/>
      <c r="J94" s="421" t="s">
        <v>792</v>
      </c>
      <c r="K94" s="2509"/>
      <c r="L94" s="2510"/>
      <c r="M94" s="452" t="s">
        <v>792</v>
      </c>
      <c r="N94" s="477" t="str">
        <f>HLOOKUP(LANGUAGE!$B$2,LANGUAGE!$C$14:$G$3008,1473)</f>
        <v>must be weighed</v>
      </c>
      <c r="P94" s="452"/>
      <c r="T94" s="452"/>
      <c r="U94" s="478"/>
    </row>
    <row r="95" spans="2:21" ht="17.25" customHeight="1" x14ac:dyDescent="0.25">
      <c r="B95" s="475"/>
      <c r="C95" s="476" t="str">
        <f>HLOOKUP(LANGUAGE!$B$2,LANGUAGE!$C$14:$G$3008,1462)</f>
        <v>piece weight part 2</v>
      </c>
      <c r="D95" s="452"/>
      <c r="E95" s="452"/>
      <c r="F95" s="452"/>
      <c r="G95" s="452"/>
      <c r="H95" s="2509"/>
      <c r="I95" s="2510"/>
      <c r="J95" s="421" t="s">
        <v>792</v>
      </c>
      <c r="K95" s="2509"/>
      <c r="L95" s="2510"/>
      <c r="M95" s="452" t="s">
        <v>792</v>
      </c>
      <c r="N95" s="477" t="str">
        <f>HLOOKUP(LANGUAGE!$B$2,LANGUAGE!$C$14:$G$3008,1473)</f>
        <v>must be weighed</v>
      </c>
      <c r="P95" s="452"/>
      <c r="T95" s="452"/>
      <c r="U95" s="478"/>
    </row>
    <row r="96" spans="2:21" ht="17.25" customHeight="1" x14ac:dyDescent="0.25">
      <c r="B96" s="475"/>
      <c r="C96" s="476" t="str">
        <f>HLOOKUP(LANGUAGE!$B$2,LANGUAGE!$C$14:$G$3008,1463)</f>
        <v>piece wiehgt part 3</v>
      </c>
      <c r="D96" s="452"/>
      <c r="E96" s="452"/>
      <c r="F96" s="452"/>
      <c r="G96" s="452"/>
      <c r="H96" s="2509"/>
      <c r="I96" s="2510"/>
      <c r="J96" s="421" t="s">
        <v>792</v>
      </c>
      <c r="K96" s="2509"/>
      <c r="L96" s="2510"/>
      <c r="M96" s="452" t="s">
        <v>792</v>
      </c>
      <c r="N96" s="477" t="str">
        <f>HLOOKUP(LANGUAGE!$B$2,LANGUAGE!$C$14:$G$3008,1473)</f>
        <v>must be weighed</v>
      </c>
      <c r="P96" s="452"/>
      <c r="T96" s="452"/>
      <c r="U96" s="478"/>
    </row>
    <row r="97" spans="2:21" ht="17.25" customHeight="1" x14ac:dyDescent="0.25">
      <c r="B97" s="475"/>
      <c r="C97" s="476" t="str">
        <f>HLOOKUP(LANGUAGE!$B$2,LANGUAGE!$C$14:$G$3008,1464)</f>
        <v>piece wiehgt part 4</v>
      </c>
      <c r="D97" s="452"/>
      <c r="E97" s="452"/>
      <c r="F97" s="452"/>
      <c r="G97" s="452"/>
      <c r="H97" s="2509"/>
      <c r="I97" s="2510"/>
      <c r="J97" s="421" t="s">
        <v>792</v>
      </c>
      <c r="K97" s="2509"/>
      <c r="L97" s="2510"/>
      <c r="M97" s="452" t="s">
        <v>792</v>
      </c>
      <c r="N97" s="477" t="str">
        <f>HLOOKUP(LANGUAGE!$B$2,LANGUAGE!$C$14:$G$3008,1473)</f>
        <v>must be weighed</v>
      </c>
      <c r="P97" s="452"/>
      <c r="T97" s="452"/>
      <c r="U97" s="478"/>
    </row>
    <row r="98" spans="2:21" ht="17.25" customHeight="1" x14ac:dyDescent="0.25">
      <c r="B98" s="475"/>
      <c r="C98" s="476" t="str">
        <f>HLOOKUP(LANGUAGE!$B$2,LANGUAGE!$C$14:$G$3008,1465)</f>
        <v>piece wiehgt part 5</v>
      </c>
      <c r="D98" s="452"/>
      <c r="E98" s="452"/>
      <c r="F98" s="452"/>
      <c r="G98" s="452"/>
      <c r="H98" s="2509"/>
      <c r="I98" s="2510"/>
      <c r="J98" s="421" t="s">
        <v>792</v>
      </c>
      <c r="K98" s="2509"/>
      <c r="L98" s="2510"/>
      <c r="M98" s="452" t="s">
        <v>792</v>
      </c>
      <c r="N98" s="477" t="str">
        <f>HLOOKUP(LANGUAGE!$B$2,LANGUAGE!$C$14:$G$3008,1473)</f>
        <v>must be weighed</v>
      </c>
      <c r="P98" s="452"/>
      <c r="T98" s="452"/>
      <c r="U98" s="478"/>
    </row>
    <row r="99" spans="2:21" ht="5.95" customHeight="1" x14ac:dyDescent="0.25">
      <c r="B99" s="475"/>
      <c r="C99" s="476"/>
      <c r="D99" s="452"/>
      <c r="E99" s="452"/>
      <c r="F99" s="452"/>
      <c r="G99" s="452"/>
      <c r="H99" s="452"/>
      <c r="I99" s="452"/>
      <c r="J99" s="452"/>
      <c r="K99" s="452"/>
      <c r="L99" s="452"/>
      <c r="M99" s="452"/>
      <c r="N99" s="476"/>
      <c r="O99" s="452"/>
      <c r="P99" s="452"/>
      <c r="Q99" s="452"/>
      <c r="R99" s="452"/>
      <c r="S99" s="452"/>
      <c r="T99" s="452"/>
      <c r="U99" s="478"/>
    </row>
    <row r="100" spans="2:21" ht="17.25" customHeight="1" x14ac:dyDescent="0.25">
      <c r="B100" s="475"/>
      <c r="C100" s="476" t="str">
        <f>HLOOKUP(LANGUAGE!$B$2,LANGUAGE!$C$14:$G$3008,1467)</f>
        <v>run-off powder</v>
      </c>
      <c r="D100" s="452"/>
      <c r="E100" s="452"/>
      <c r="F100" s="452"/>
      <c r="G100" s="452"/>
      <c r="H100" s="2511"/>
      <c r="I100" s="2511"/>
      <c r="J100" s="2511"/>
      <c r="K100" s="479" t="s">
        <v>2284</v>
      </c>
      <c r="L100" s="452"/>
      <c r="N100" s="476" t="str">
        <f>HLOOKUP(LANGUAGE!$B$2,LANGUAGE!$C$14:$G$3008,1474)</f>
        <v>supplier information (standard value: 2%)</v>
      </c>
      <c r="O100" s="452"/>
      <c r="P100" s="452"/>
      <c r="Q100" s="452"/>
      <c r="R100" s="452"/>
      <c r="S100" s="452"/>
      <c r="T100" s="452"/>
      <c r="U100" s="478"/>
    </row>
    <row r="101" spans="2:21" ht="17.25" hidden="1" customHeight="1" x14ac:dyDescent="0.25">
      <c r="B101" s="475"/>
      <c r="C101" s="476"/>
      <c r="D101" s="452"/>
      <c r="E101" s="452"/>
      <c r="F101" s="452"/>
      <c r="G101" s="452"/>
      <c r="H101" s="2512" t="str">
        <f>IF(AND(H94="",H95="",H96="",H97="",H98=""),"",AVERAGE(H94:I98)*((100+$H$100)/100))</f>
        <v/>
      </c>
      <c r="I101" s="2512"/>
      <c r="J101" s="2513" t="str">
        <f>IF(AND(K94="",K95="",K96="",K97="",K98=""),"",AVERAGE(K94:L98)*((100+$H$100)/100))</f>
        <v/>
      </c>
      <c r="K101" s="2513"/>
      <c r="L101" s="452"/>
      <c r="N101" s="476"/>
      <c r="O101" s="452"/>
      <c r="P101" s="452"/>
      <c r="Q101" s="452"/>
      <c r="R101" s="452"/>
      <c r="S101" s="452"/>
      <c r="T101" s="452"/>
      <c r="U101" s="478"/>
    </row>
    <row r="102" spans="2:21" ht="5.95" customHeight="1" x14ac:dyDescent="0.25">
      <c r="B102" s="475"/>
      <c r="C102" s="476"/>
      <c r="D102" s="452"/>
      <c r="E102" s="452"/>
      <c r="F102" s="452"/>
      <c r="G102" s="452"/>
      <c r="H102" s="452"/>
      <c r="I102" s="452"/>
      <c r="J102" s="452"/>
      <c r="K102" s="452"/>
      <c r="L102" s="452"/>
      <c r="N102" s="476"/>
      <c r="O102" s="452"/>
      <c r="P102" s="452"/>
      <c r="Q102" s="452"/>
      <c r="R102" s="452"/>
      <c r="S102" s="452"/>
      <c r="T102" s="452"/>
      <c r="U102" s="478"/>
    </row>
    <row r="103" spans="2:21" ht="17.25" customHeight="1" x14ac:dyDescent="0.25">
      <c r="B103" s="475"/>
      <c r="C103" s="476" t="str">
        <f>HLOOKUP(LANGUAGE!$B$2,LANGUAGE!$C$14:$G$3008,1468)</f>
        <v>part weight with run-off</v>
      </c>
      <c r="D103" s="452"/>
      <c r="E103" s="452"/>
      <c r="F103" s="452"/>
      <c r="G103" s="452"/>
      <c r="H103" s="2514">
        <f>IF(AND(H101="",J101=""),0,AVERAGE(H101:K101))</f>
        <v>0</v>
      </c>
      <c r="I103" s="2514"/>
      <c r="J103" s="2514"/>
      <c r="K103" s="452" t="s">
        <v>792</v>
      </c>
      <c r="L103" s="452"/>
      <c r="N103" s="476" t="str">
        <f>HLOOKUP(LANGUAGE!$B$2,LANGUAGE!$C$14:$G$3008,1475)</f>
        <v>per part (average)</v>
      </c>
      <c r="O103" s="452"/>
      <c r="P103" s="452"/>
      <c r="Q103" s="452"/>
      <c r="R103" s="452"/>
      <c r="S103" s="452"/>
      <c r="T103" s="452"/>
      <c r="U103" s="478"/>
    </row>
    <row r="104" spans="2:21" ht="5.95" customHeight="1" x14ac:dyDescent="0.25">
      <c r="B104" s="475"/>
      <c r="C104" s="476"/>
      <c r="D104" s="452"/>
      <c r="E104" s="452"/>
      <c r="F104" s="452"/>
      <c r="G104" s="452"/>
      <c r="H104" s="480"/>
      <c r="I104" s="480"/>
      <c r="J104" s="480"/>
      <c r="K104" s="452"/>
      <c r="L104" s="452"/>
      <c r="N104" s="476"/>
      <c r="O104" s="452"/>
      <c r="P104" s="452"/>
      <c r="Q104" s="452"/>
      <c r="R104" s="452"/>
      <c r="S104" s="452"/>
      <c r="T104" s="452"/>
      <c r="U104" s="478"/>
    </row>
    <row r="105" spans="2:21" ht="17.25" customHeight="1" x14ac:dyDescent="0.25">
      <c r="B105" s="475"/>
      <c r="C105" s="431" t="str">
        <f>HLOOKUP(LANGUAGE!$B$2,LANGUAGE!$C$14:$G$3008,1309)</f>
        <v>Irrecoverable losses acc. to CBD</v>
      </c>
      <c r="D105" s="452"/>
      <c r="E105" s="452"/>
      <c r="F105" s="452"/>
      <c r="G105" s="452"/>
      <c r="H105" s="2506"/>
      <c r="I105" s="2507"/>
      <c r="J105" s="2508"/>
      <c r="K105" s="452" t="s">
        <v>792</v>
      </c>
      <c r="L105" s="452"/>
      <c r="N105" s="431" t="str">
        <f>HLOOKUP(LANGUAGE!$B$2,LANGUAGE!$C$14:$G$3008,1311)</f>
        <v>Information from purchasing</v>
      </c>
      <c r="O105" s="452"/>
      <c r="P105" s="452"/>
      <c r="Q105" s="452"/>
      <c r="R105" s="452"/>
      <c r="S105" s="452"/>
      <c r="T105" s="452"/>
      <c r="U105" s="478"/>
    </row>
    <row r="106" spans="2:21" ht="5.95" customHeight="1" x14ac:dyDescent="0.25">
      <c r="B106" s="475"/>
      <c r="C106" s="431"/>
      <c r="D106" s="452"/>
      <c r="E106" s="452"/>
      <c r="F106" s="452"/>
      <c r="G106" s="452"/>
      <c r="H106" s="480"/>
      <c r="I106" s="480"/>
      <c r="J106" s="480"/>
      <c r="K106" s="452"/>
      <c r="L106" s="452"/>
      <c r="N106" s="431"/>
      <c r="O106" s="452"/>
      <c r="P106" s="452"/>
      <c r="Q106" s="452"/>
      <c r="R106" s="452"/>
      <c r="S106" s="452"/>
      <c r="T106" s="452"/>
      <c r="U106" s="478"/>
    </row>
    <row r="107" spans="2:21" ht="17.25" customHeight="1" x14ac:dyDescent="0.25">
      <c r="B107" s="475"/>
      <c r="C107" s="431" t="str">
        <f>HLOOKUP(LANGUAGE!$B$2,LANGUAGE!$C$14:$G$3008,1310)</f>
        <v>Calculation weight</v>
      </c>
      <c r="D107" s="452"/>
      <c r="E107" s="452"/>
      <c r="F107" s="452"/>
      <c r="G107" s="452"/>
      <c r="H107" s="2506"/>
      <c r="I107" s="2507"/>
      <c r="J107" s="2508"/>
      <c r="K107" s="452" t="s">
        <v>792</v>
      </c>
      <c r="L107" s="452"/>
      <c r="N107" s="431" t="str">
        <f>HLOOKUP(LANGUAGE!$B$2,LANGUAGE!$C$14:$G$3008,1311)</f>
        <v>Information from purchasing</v>
      </c>
      <c r="O107" s="452"/>
      <c r="P107" s="452"/>
      <c r="Q107" s="452"/>
      <c r="R107" s="452"/>
      <c r="S107" s="452"/>
      <c r="T107" s="452"/>
      <c r="U107" s="478"/>
    </row>
    <row r="108" spans="2:21" ht="5.95" customHeight="1" thickBot="1" x14ac:dyDescent="0.3">
      <c r="B108" s="481"/>
      <c r="C108" s="482"/>
      <c r="D108" s="482"/>
      <c r="E108" s="482"/>
      <c r="F108" s="482"/>
      <c r="G108" s="482"/>
      <c r="H108" s="482"/>
      <c r="I108" s="482"/>
      <c r="J108" s="482"/>
      <c r="K108" s="482"/>
      <c r="L108" s="482"/>
      <c r="M108" s="482"/>
      <c r="N108" s="482"/>
      <c r="O108" s="482"/>
      <c r="P108" s="482"/>
      <c r="Q108" s="482"/>
      <c r="R108" s="482"/>
      <c r="S108" s="482"/>
      <c r="T108" s="482"/>
      <c r="U108" s="483"/>
    </row>
    <row r="109" spans="2:21" ht="17.25" customHeight="1" x14ac:dyDescent="0.25">
      <c r="B109" s="452"/>
      <c r="C109" s="452"/>
      <c r="D109" s="452"/>
      <c r="E109" s="452"/>
      <c r="F109" s="452"/>
      <c r="G109" s="452"/>
      <c r="H109" s="452"/>
      <c r="I109" s="452"/>
      <c r="J109" s="452"/>
      <c r="K109" s="452"/>
      <c r="L109" s="452"/>
      <c r="M109" s="452"/>
      <c r="N109" s="452"/>
      <c r="O109" s="452"/>
      <c r="P109" s="452"/>
      <c r="Q109" s="452"/>
      <c r="R109" s="452"/>
      <c r="S109" s="452"/>
      <c r="T109" s="452"/>
      <c r="U109" s="452"/>
    </row>
    <row r="110" spans="2:21" ht="17.25" customHeight="1" x14ac:dyDescent="0.25"/>
    <row r="111" spans="2:21" ht="17.25" customHeight="1" x14ac:dyDescent="0.25"/>
    <row r="112" spans="2:21" ht="17.25" customHeight="1" x14ac:dyDescent="0.25"/>
  </sheetData>
  <sheetProtection algorithmName="SHA-512" hashValue="jcpR9SVyiMsxLz0shq+sxv2kdEMy3mVSfFNpBD716XsB1p1P+ypSn64LXMuR2a+0JQMLVmbmTI70gf6lFUxMMw==" saltValue="IIXy7SJowU+VR3zr9SYJvA==" spinCount="100000" sheet="1" objects="1" scenarios="1" formatCells="0" formatRows="0"/>
  <mergeCells count="114">
    <mergeCell ref="A1:A2"/>
    <mergeCell ref="B1:F2"/>
    <mergeCell ref="G1:L1"/>
    <mergeCell ref="P1:U2"/>
    <mergeCell ref="V1:V2"/>
    <mergeCell ref="G2:L2"/>
    <mergeCell ref="B9:O9"/>
    <mergeCell ref="B10:F10"/>
    <mergeCell ref="G10:O10"/>
    <mergeCell ref="B11:F11"/>
    <mergeCell ref="G11:O11"/>
    <mergeCell ref="B13:O13"/>
    <mergeCell ref="B5:O5"/>
    <mergeCell ref="Q5:U5"/>
    <mergeCell ref="B6:F6"/>
    <mergeCell ref="G6:O6"/>
    <mergeCell ref="Q6:U7"/>
    <mergeCell ref="B7:F7"/>
    <mergeCell ref="G7:O7"/>
    <mergeCell ref="B16:E16"/>
    <mergeCell ref="F16:H16"/>
    <mergeCell ref="I16:L16"/>
    <mergeCell ref="M16:O16"/>
    <mergeCell ref="B17:E17"/>
    <mergeCell ref="F17:H17"/>
    <mergeCell ref="I17:L17"/>
    <mergeCell ref="M17:O17"/>
    <mergeCell ref="B14:E14"/>
    <mergeCell ref="F14:H14"/>
    <mergeCell ref="I14:L14"/>
    <mergeCell ref="M14:O14"/>
    <mergeCell ref="B15:E15"/>
    <mergeCell ref="F15:H15"/>
    <mergeCell ref="I15:L15"/>
    <mergeCell ref="M15:O15"/>
    <mergeCell ref="C21:P22"/>
    <mergeCell ref="H25:J25"/>
    <mergeCell ref="H27:J27"/>
    <mergeCell ref="H29:J29"/>
    <mergeCell ref="H31:J31"/>
    <mergeCell ref="H33:J33"/>
    <mergeCell ref="B18:E18"/>
    <mergeCell ref="F18:H18"/>
    <mergeCell ref="I18:L18"/>
    <mergeCell ref="M18:O18"/>
    <mergeCell ref="B19:E19"/>
    <mergeCell ref="F19:H19"/>
    <mergeCell ref="I19:L19"/>
    <mergeCell ref="M19:O19"/>
    <mergeCell ref="H51:J51"/>
    <mergeCell ref="H52:I52"/>
    <mergeCell ref="J52:K52"/>
    <mergeCell ref="L52:M52"/>
    <mergeCell ref="H53:I53"/>
    <mergeCell ref="J53:K53"/>
    <mergeCell ref="L53:M53"/>
    <mergeCell ref="H35:J35"/>
    <mergeCell ref="H37:J37"/>
    <mergeCell ref="H39:J39"/>
    <mergeCell ref="H41:J41"/>
    <mergeCell ref="H43:J43"/>
    <mergeCell ref="H45:J45"/>
    <mergeCell ref="O54:U56"/>
    <mergeCell ref="H55:I55"/>
    <mergeCell ref="J55:K55"/>
    <mergeCell ref="L55:M55"/>
    <mergeCell ref="B57:B59"/>
    <mergeCell ref="H57:I57"/>
    <mergeCell ref="J57:K57"/>
    <mergeCell ref="L57:M57"/>
    <mergeCell ref="O58:U60"/>
    <mergeCell ref="H59:I59"/>
    <mergeCell ref="H63:I63"/>
    <mergeCell ref="J63:K63"/>
    <mergeCell ref="L63:M63"/>
    <mergeCell ref="H65:J65"/>
    <mergeCell ref="H67:J67"/>
    <mergeCell ref="I69:J69"/>
    <mergeCell ref="L69:M69"/>
    <mergeCell ref="J59:K59"/>
    <mergeCell ref="L59:M59"/>
    <mergeCell ref="H61:I61"/>
    <mergeCell ref="J61:K61"/>
    <mergeCell ref="L61:M61"/>
    <mergeCell ref="H62:I62"/>
    <mergeCell ref="J62:K62"/>
    <mergeCell ref="L62:M62"/>
    <mergeCell ref="H85:J85"/>
    <mergeCell ref="H87:J87"/>
    <mergeCell ref="H89:J89"/>
    <mergeCell ref="H93:I93"/>
    <mergeCell ref="K93:L93"/>
    <mergeCell ref="H94:I94"/>
    <mergeCell ref="K94:L94"/>
    <mergeCell ref="I71:J71"/>
    <mergeCell ref="L71:M71"/>
    <mergeCell ref="H77:J77"/>
    <mergeCell ref="H79:J79"/>
    <mergeCell ref="H81:J81"/>
    <mergeCell ref="H83:J83"/>
    <mergeCell ref="H105:J105"/>
    <mergeCell ref="H107:J107"/>
    <mergeCell ref="H98:I98"/>
    <mergeCell ref="K98:L98"/>
    <mergeCell ref="H100:J100"/>
    <mergeCell ref="H101:I101"/>
    <mergeCell ref="J101:K101"/>
    <mergeCell ref="H103:J103"/>
    <mergeCell ref="H95:I95"/>
    <mergeCell ref="K95:L95"/>
    <mergeCell ref="H96:I96"/>
    <mergeCell ref="K96:L96"/>
    <mergeCell ref="H97:I97"/>
    <mergeCell ref="K97:L97"/>
  </mergeCells>
  <printOptions horizontalCentered="1"/>
  <pageMargins left="0.70866141732283472" right="0.55118110236220474" top="0.98425196850393704" bottom="0.9055118110236221" header="0.23622047244094491" footer="0.27559055118110237"/>
  <pageSetup paperSize="9" scale="71" fitToHeight="2" orientation="portrait"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1" manualBreakCount="1">
    <brk id="48" min="1" max="20" man="1"/>
  </rowBreaks>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88065" r:id="rId6" name="Drop Down 1">
              <controlPr defaultSize="0" autoLine="0" autoPict="0">
                <anchor moveWithCells="1">
                  <from>
                    <xdr:col>11</xdr:col>
                    <xdr:colOff>230588</xdr:colOff>
                    <xdr:row>0</xdr:row>
                    <xdr:rowOff>55659</xdr:rowOff>
                  </from>
                  <to>
                    <xdr:col>15</xdr:col>
                    <xdr:colOff>0</xdr:colOff>
                    <xdr:row>1</xdr:row>
                    <xdr:rowOff>143123</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5">
    <tabColor theme="6" tint="0.39997558519241921"/>
    <outlinePr summaryBelow="0"/>
    <pageSetUpPr fitToPage="1"/>
  </sheetPr>
  <dimension ref="A1:PT69"/>
  <sheetViews>
    <sheetView showWhiteSpace="0" topLeftCell="A23" zoomScale="98" zoomScaleNormal="98" zoomScaleSheetLayoutView="100" zoomScalePageLayoutView="110" workbookViewId="0">
      <selection activeCell="V44" sqref="V44"/>
    </sheetView>
  </sheetViews>
  <sheetFormatPr baseColWidth="10" defaultColWidth="9" defaultRowHeight="13.15" x14ac:dyDescent="0.25"/>
  <cols>
    <col min="1" max="1" width="5.3984375" style="32" customWidth="1"/>
    <col min="2" max="2" width="6.3984375" style="35" customWidth="1"/>
    <col min="3" max="3" width="16" style="32" customWidth="1"/>
    <col min="4" max="4" width="6.09765625" style="32" customWidth="1"/>
    <col min="5" max="5" width="3.3984375" style="32" customWidth="1"/>
    <col min="6" max="6" width="4.3984375" style="32" customWidth="1"/>
    <col min="7" max="84" width="2.3984375" style="32" customWidth="1"/>
    <col min="85" max="85" width="5.3984375" style="32" hidden="1" customWidth="1"/>
    <col min="86" max="86" width="11.09765625" style="32" customWidth="1"/>
    <col min="87" max="88" width="10.8984375" style="32" customWidth="1"/>
    <col min="89" max="90" width="9" style="32"/>
    <col min="91" max="92" width="0" style="32" hidden="1" customWidth="1"/>
    <col min="93" max="95" width="10.3984375" style="32" hidden="1" customWidth="1"/>
    <col min="96" max="97" width="0" style="32" hidden="1" customWidth="1"/>
    <col min="98" max="16384" width="9" style="32"/>
  </cols>
  <sheetData>
    <row r="1" spans="1:436" s="187" customFormat="1" ht="17.7" customHeight="1" x14ac:dyDescent="0.25">
      <c r="A1" s="283"/>
      <c r="B1" s="2610" t="str">
        <f>HLOOKUP(LANGUAGE!$B$2,LANGUAGE!$C$14:$G$1500,6)</f>
        <v>Timing plan</v>
      </c>
      <c r="C1" s="2610"/>
      <c r="D1" s="2610"/>
      <c r="E1" s="2610"/>
      <c r="F1" s="2610"/>
      <c r="G1" s="2610"/>
      <c r="H1" s="2610"/>
      <c r="I1" s="2610"/>
      <c r="J1" s="2610"/>
      <c r="K1" s="2610"/>
      <c r="L1" s="2610"/>
      <c r="M1" s="2609" t="s">
        <v>2</v>
      </c>
      <c r="N1" s="2609"/>
      <c r="O1" s="2609"/>
      <c r="P1" s="2609"/>
      <c r="Q1" s="2609"/>
      <c r="R1" s="2609"/>
      <c r="S1" s="266"/>
      <c r="T1" s="266"/>
      <c r="U1" s="334"/>
      <c r="V1" s="334"/>
      <c r="W1" s="334"/>
      <c r="X1" s="334"/>
      <c r="Y1" s="267"/>
      <c r="Z1" s="267"/>
      <c r="AA1" s="267"/>
      <c r="AB1" s="267"/>
      <c r="AC1" s="267"/>
      <c r="AD1" s="268"/>
      <c r="AE1" s="268"/>
      <c r="AF1" s="268"/>
      <c r="AG1" s="268"/>
      <c r="AH1" s="268"/>
      <c r="AI1" s="268"/>
      <c r="AJ1" s="268"/>
      <c r="AK1" s="268"/>
      <c r="AL1" s="268"/>
      <c r="AM1" s="268"/>
      <c r="AN1" s="268"/>
      <c r="AO1" s="268"/>
      <c r="AP1" s="268"/>
      <c r="AQ1" s="268"/>
      <c r="AR1" s="268"/>
      <c r="AS1" s="268"/>
      <c r="AT1" s="268"/>
      <c r="AU1" s="268"/>
      <c r="AV1" s="268"/>
      <c r="AW1" s="268"/>
      <c r="AX1" s="268"/>
      <c r="AY1" s="268"/>
      <c r="AZ1" s="268"/>
      <c r="BA1" s="268"/>
      <c r="BB1" s="268"/>
      <c r="BC1" s="268"/>
      <c r="BD1" s="268"/>
      <c r="BE1" s="268"/>
      <c r="BF1" s="268"/>
      <c r="BG1" s="268"/>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c r="IW1" s="32"/>
      <c r="IX1" s="32"/>
      <c r="IY1" s="32"/>
      <c r="IZ1" s="32"/>
      <c r="JA1" s="32"/>
      <c r="JB1" s="32"/>
      <c r="JC1" s="32"/>
      <c r="JD1" s="32"/>
      <c r="JE1" s="32"/>
      <c r="JF1" s="32"/>
      <c r="JG1" s="32"/>
      <c r="JH1" s="32"/>
      <c r="JI1" s="32"/>
      <c r="JJ1" s="32"/>
      <c r="JK1" s="32"/>
      <c r="JL1" s="32"/>
      <c r="JM1" s="32"/>
      <c r="JN1" s="32"/>
      <c r="JO1" s="32"/>
      <c r="JP1" s="32"/>
      <c r="JQ1" s="32"/>
      <c r="JR1" s="32"/>
      <c r="JS1" s="32"/>
      <c r="JT1" s="32"/>
      <c r="JU1" s="32"/>
      <c r="JV1" s="32"/>
      <c r="JW1" s="32"/>
      <c r="JX1" s="32"/>
      <c r="JY1" s="32"/>
      <c r="JZ1" s="32"/>
      <c r="KA1" s="32"/>
      <c r="KB1" s="32"/>
      <c r="KC1" s="32"/>
      <c r="KD1" s="32"/>
      <c r="KE1" s="32"/>
      <c r="KF1" s="32"/>
      <c r="KG1" s="32"/>
      <c r="KH1" s="32"/>
      <c r="KI1" s="32"/>
      <c r="KJ1" s="32"/>
      <c r="KK1" s="32"/>
      <c r="KL1" s="32"/>
      <c r="KM1" s="32"/>
      <c r="KN1" s="32"/>
      <c r="KO1" s="32"/>
      <c r="KP1" s="32"/>
      <c r="KQ1" s="32"/>
      <c r="KR1" s="32"/>
      <c r="KS1" s="32"/>
      <c r="KT1" s="32"/>
      <c r="KU1" s="32"/>
      <c r="KV1" s="32"/>
      <c r="KW1" s="32"/>
      <c r="KX1" s="32"/>
      <c r="KY1" s="32"/>
      <c r="KZ1" s="32"/>
      <c r="LA1" s="32"/>
      <c r="LB1" s="32"/>
      <c r="LC1" s="32"/>
      <c r="LD1" s="32"/>
      <c r="LE1" s="32"/>
      <c r="LF1" s="32"/>
      <c r="LG1" s="32"/>
      <c r="LH1" s="32"/>
      <c r="LI1" s="32"/>
      <c r="LJ1" s="32"/>
      <c r="LK1" s="32"/>
      <c r="LL1" s="32"/>
      <c r="LM1" s="32"/>
      <c r="LN1" s="32"/>
      <c r="LO1" s="32"/>
      <c r="LP1" s="32"/>
      <c r="LQ1" s="32"/>
      <c r="LR1" s="32"/>
      <c r="LS1" s="32"/>
      <c r="LT1" s="32"/>
      <c r="LU1" s="32"/>
      <c r="LV1" s="32"/>
      <c r="LW1" s="32"/>
      <c r="LX1" s="32"/>
      <c r="LY1" s="32"/>
      <c r="LZ1" s="32"/>
      <c r="MA1" s="32"/>
      <c r="MB1" s="32"/>
      <c r="MC1" s="32"/>
      <c r="MD1" s="32"/>
      <c r="ME1" s="32"/>
      <c r="MF1" s="32"/>
      <c r="MG1" s="32"/>
      <c r="MH1" s="32"/>
      <c r="MI1" s="32"/>
      <c r="MJ1" s="32"/>
      <c r="MK1" s="32"/>
      <c r="ML1" s="32"/>
      <c r="MM1" s="32"/>
      <c r="MN1" s="32"/>
      <c r="MO1" s="32"/>
      <c r="MP1" s="32"/>
      <c r="MQ1" s="32"/>
      <c r="MR1" s="32"/>
      <c r="MS1" s="32"/>
      <c r="MT1" s="32"/>
      <c r="MU1" s="32"/>
      <c r="MV1" s="32"/>
      <c r="MW1" s="32"/>
      <c r="MX1" s="32"/>
      <c r="MY1" s="32"/>
      <c r="MZ1" s="32"/>
      <c r="NA1" s="32"/>
      <c r="NB1" s="32"/>
      <c r="NC1" s="32"/>
      <c r="ND1" s="32"/>
      <c r="NE1" s="32"/>
      <c r="NF1" s="32"/>
      <c r="NG1" s="32"/>
      <c r="NH1" s="32"/>
      <c r="NI1" s="32"/>
      <c r="NJ1" s="32"/>
      <c r="NK1" s="32"/>
      <c r="NL1" s="32"/>
      <c r="NM1" s="32"/>
      <c r="NN1" s="32"/>
      <c r="NO1" s="32"/>
      <c r="NP1" s="32"/>
      <c r="NQ1" s="32"/>
      <c r="NR1" s="32"/>
      <c r="NS1" s="32"/>
      <c r="NT1" s="32"/>
      <c r="NU1" s="32"/>
      <c r="NV1" s="32"/>
      <c r="NW1" s="32"/>
      <c r="NX1" s="32"/>
      <c r="NY1" s="32"/>
      <c r="NZ1" s="32"/>
      <c r="OA1" s="32"/>
      <c r="OB1" s="32"/>
      <c r="OC1" s="32"/>
      <c r="OD1" s="32"/>
      <c r="OE1" s="32"/>
      <c r="OF1" s="32"/>
      <c r="OG1" s="32"/>
      <c r="OH1" s="32"/>
      <c r="OI1" s="32"/>
      <c r="OJ1" s="32"/>
      <c r="OK1" s="32"/>
      <c r="OL1" s="32"/>
      <c r="OM1" s="32"/>
      <c r="ON1" s="32"/>
      <c r="OO1" s="32"/>
      <c r="OP1" s="32"/>
      <c r="OQ1" s="32"/>
      <c r="OR1" s="32"/>
      <c r="OS1" s="32"/>
      <c r="OT1" s="32"/>
      <c r="OU1" s="32"/>
      <c r="OV1" s="32"/>
      <c r="OW1" s="32"/>
      <c r="OX1" s="32"/>
      <c r="OY1" s="32"/>
      <c r="OZ1" s="32"/>
      <c r="PA1" s="32"/>
      <c r="PB1" s="32"/>
      <c r="PC1" s="32"/>
      <c r="PD1" s="32"/>
      <c r="PE1" s="32"/>
      <c r="PF1" s="32"/>
      <c r="PG1" s="32"/>
      <c r="PH1" s="32"/>
      <c r="PI1" s="32"/>
      <c r="PJ1" s="32"/>
      <c r="PK1" s="32"/>
      <c r="PL1" s="32"/>
      <c r="PM1" s="32"/>
      <c r="PN1" s="32"/>
      <c r="PO1" s="32"/>
      <c r="PP1" s="32"/>
      <c r="PQ1" s="32"/>
      <c r="PR1" s="32"/>
      <c r="PS1" s="32"/>
      <c r="PT1" s="32"/>
    </row>
    <row r="2" spans="1:436" s="187" customFormat="1" ht="17.7" customHeight="1" x14ac:dyDescent="0.25">
      <c r="A2" s="283"/>
      <c r="B2" s="2610"/>
      <c r="C2" s="2610"/>
      <c r="D2" s="2610"/>
      <c r="E2" s="2610"/>
      <c r="F2" s="2610"/>
      <c r="G2" s="2610"/>
      <c r="H2" s="2610"/>
      <c r="I2" s="2610"/>
      <c r="J2" s="2610"/>
      <c r="K2" s="2610"/>
      <c r="L2" s="2610"/>
      <c r="M2" s="2609" t="s">
        <v>1774</v>
      </c>
      <c r="N2" s="2609"/>
      <c r="O2" s="2609"/>
      <c r="P2" s="2609"/>
      <c r="Q2" s="2609"/>
      <c r="R2" s="2609"/>
      <c r="S2" s="266"/>
      <c r="T2" s="266"/>
      <c r="U2" s="334"/>
      <c r="V2" s="334"/>
      <c r="W2" s="334"/>
      <c r="X2" s="334"/>
      <c r="Y2" s="267"/>
      <c r="Z2" s="267"/>
      <c r="AA2" s="267"/>
      <c r="AB2" s="267"/>
      <c r="AC2" s="267"/>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32"/>
      <c r="KJ2" s="32"/>
      <c r="KK2" s="32"/>
      <c r="KL2" s="32"/>
      <c r="KM2" s="32"/>
      <c r="KN2" s="32"/>
      <c r="KO2" s="32"/>
      <c r="KP2" s="32"/>
      <c r="KQ2" s="32"/>
      <c r="KR2" s="32"/>
      <c r="KS2" s="32"/>
      <c r="KT2" s="32"/>
      <c r="KU2" s="32"/>
      <c r="KV2" s="32"/>
      <c r="KW2" s="32"/>
      <c r="KX2" s="32"/>
      <c r="KY2" s="32"/>
      <c r="KZ2" s="32"/>
      <c r="LA2" s="32"/>
      <c r="LB2" s="32"/>
      <c r="LC2" s="32"/>
      <c r="LD2" s="32"/>
      <c r="LE2" s="32"/>
      <c r="LF2" s="32"/>
      <c r="LG2" s="32"/>
      <c r="LH2" s="32"/>
      <c r="LI2" s="32"/>
      <c r="LJ2" s="32"/>
      <c r="LK2" s="32"/>
      <c r="LL2" s="32"/>
      <c r="LM2" s="32"/>
      <c r="LN2" s="32"/>
      <c r="LO2" s="32"/>
      <c r="LP2" s="32"/>
      <c r="LQ2" s="32"/>
      <c r="LR2" s="32"/>
      <c r="LS2" s="32"/>
      <c r="LT2" s="32"/>
      <c r="LU2" s="32"/>
      <c r="LV2" s="32"/>
      <c r="LW2" s="32"/>
      <c r="LX2" s="32"/>
      <c r="LY2" s="32"/>
      <c r="LZ2" s="32"/>
      <c r="MA2" s="32"/>
      <c r="MB2" s="32"/>
      <c r="MC2" s="32"/>
      <c r="MD2" s="32"/>
      <c r="ME2" s="32"/>
      <c r="MF2" s="32"/>
      <c r="MG2" s="32"/>
      <c r="MH2" s="32"/>
      <c r="MI2" s="32"/>
      <c r="MJ2" s="32"/>
      <c r="MK2" s="32"/>
      <c r="ML2" s="32"/>
      <c r="MM2" s="32"/>
      <c r="MN2" s="32"/>
      <c r="MO2" s="32"/>
      <c r="MP2" s="32"/>
      <c r="MQ2" s="32"/>
      <c r="MR2" s="32"/>
      <c r="MS2" s="32"/>
      <c r="MT2" s="32"/>
      <c r="MU2" s="32"/>
      <c r="MV2" s="32"/>
      <c r="MW2" s="32"/>
      <c r="MX2" s="32"/>
      <c r="MY2" s="32"/>
      <c r="MZ2" s="32"/>
      <c r="NA2" s="32"/>
      <c r="NB2" s="32"/>
      <c r="NC2" s="32"/>
      <c r="ND2" s="32"/>
      <c r="NE2" s="32"/>
      <c r="NF2" s="32"/>
      <c r="NG2" s="32"/>
      <c r="NH2" s="32"/>
      <c r="NI2" s="32"/>
      <c r="NJ2" s="32"/>
      <c r="NK2" s="32"/>
      <c r="NL2" s="32"/>
      <c r="NM2" s="32"/>
      <c r="NN2" s="32"/>
      <c r="NO2" s="32"/>
      <c r="NP2" s="32"/>
      <c r="NQ2" s="32"/>
      <c r="NR2" s="32"/>
      <c r="NS2" s="32"/>
      <c r="NT2" s="32"/>
      <c r="NU2" s="32"/>
      <c r="NV2" s="32"/>
      <c r="NW2" s="32"/>
      <c r="NX2" s="32"/>
      <c r="NY2" s="32"/>
      <c r="NZ2" s="32"/>
      <c r="OA2" s="32"/>
      <c r="OB2" s="32"/>
      <c r="OC2" s="32"/>
      <c r="OD2" s="32"/>
      <c r="OE2" s="32"/>
      <c r="OF2" s="32"/>
      <c r="OG2" s="32"/>
      <c r="OH2" s="32"/>
      <c r="OI2" s="32"/>
      <c r="OJ2" s="32"/>
      <c r="OK2" s="32"/>
      <c r="OL2" s="32"/>
      <c r="OM2" s="32"/>
      <c r="ON2" s="32"/>
      <c r="OO2" s="32"/>
      <c r="OP2" s="32"/>
      <c r="OQ2" s="32"/>
      <c r="OR2" s="32"/>
      <c r="OS2" s="32"/>
      <c r="OT2" s="32"/>
      <c r="OU2" s="32"/>
      <c r="OV2" s="32"/>
      <c r="OW2" s="32"/>
      <c r="OX2" s="32"/>
      <c r="OY2" s="32"/>
      <c r="OZ2" s="32"/>
      <c r="PA2" s="32"/>
      <c r="PB2" s="32"/>
      <c r="PC2" s="32"/>
      <c r="PD2" s="32"/>
      <c r="PE2" s="32"/>
      <c r="PF2" s="32"/>
      <c r="PG2" s="32"/>
      <c r="PH2" s="32"/>
      <c r="PI2" s="32"/>
      <c r="PJ2" s="32"/>
      <c r="PK2" s="32"/>
      <c r="PL2" s="32"/>
      <c r="PM2" s="32"/>
      <c r="PN2" s="32"/>
      <c r="PO2" s="32"/>
      <c r="PP2" s="32"/>
      <c r="PQ2" s="32"/>
      <c r="PR2" s="32"/>
      <c r="PS2" s="32"/>
      <c r="PT2" s="32"/>
    </row>
    <row r="3" spans="1:436" ht="17.7" customHeight="1" x14ac:dyDescent="0.25">
      <c r="A3" s="269"/>
      <c r="B3" s="270"/>
      <c r="C3" s="269"/>
      <c r="D3" s="269"/>
      <c r="E3" s="269"/>
      <c r="F3" s="269"/>
      <c r="G3" s="269"/>
      <c r="H3" s="269"/>
      <c r="I3" s="269"/>
      <c r="J3" s="269"/>
      <c r="K3" s="269"/>
      <c r="L3" s="269"/>
      <c r="M3" s="271" t="str">
        <f>HLOOKUP(LANGUAGE!$B$2,LANGUAGE!$C$14:$G$1500,2)</f>
        <v>Attention!!!        Only yellow fields has to be filled</v>
      </c>
      <c r="N3" s="269"/>
      <c r="O3" s="269"/>
      <c r="P3" s="269"/>
      <c r="Q3" s="272"/>
      <c r="R3" s="269"/>
      <c r="S3" s="269"/>
      <c r="T3" s="273"/>
      <c r="U3" s="273"/>
      <c r="V3" s="273"/>
      <c r="W3" s="273"/>
      <c r="X3" s="273"/>
      <c r="Y3" s="273"/>
      <c r="Z3" s="273"/>
      <c r="AA3" s="273"/>
      <c r="AB3" s="273"/>
      <c r="AC3" s="273"/>
      <c r="AD3" s="273"/>
      <c r="AE3" s="273"/>
      <c r="AF3" s="273"/>
      <c r="AG3" s="274"/>
      <c r="AH3" s="275"/>
      <c r="AI3" s="275"/>
      <c r="AJ3" s="269"/>
      <c r="AK3" s="276"/>
      <c r="AL3" s="276"/>
      <c r="AM3" s="269"/>
      <c r="AN3" s="269"/>
      <c r="AO3" s="269"/>
      <c r="AP3" s="269"/>
      <c r="AQ3" s="269"/>
      <c r="AR3" s="269"/>
      <c r="AS3" s="269"/>
      <c r="AT3" s="269"/>
      <c r="AU3" s="269"/>
      <c r="AV3" s="269"/>
      <c r="AW3" s="269"/>
      <c r="AX3" s="269"/>
      <c r="AY3" s="269"/>
      <c r="AZ3" s="269"/>
      <c r="BA3" s="269"/>
      <c r="BB3" s="269"/>
      <c r="BC3" s="269"/>
      <c r="BD3" s="269"/>
      <c r="BE3" s="269"/>
      <c r="BF3" s="269"/>
      <c r="BG3" s="269"/>
    </row>
    <row r="4" spans="1:436" ht="17.7" customHeight="1" x14ac:dyDescent="0.25">
      <c r="A4" s="269"/>
      <c r="B4" s="270"/>
      <c r="C4" s="269"/>
      <c r="D4" s="269"/>
      <c r="E4" s="269"/>
      <c r="F4" s="269"/>
      <c r="G4" s="269"/>
      <c r="H4" s="269"/>
      <c r="I4" s="269"/>
      <c r="J4" s="269"/>
      <c r="K4" s="269"/>
      <c r="L4" s="269"/>
      <c r="M4" s="271"/>
      <c r="N4" s="269"/>
      <c r="O4" s="269"/>
      <c r="P4" s="269"/>
      <c r="Q4" s="272"/>
      <c r="R4" s="269"/>
      <c r="S4" s="269"/>
      <c r="T4" s="273"/>
      <c r="U4" s="273"/>
      <c r="V4" s="273"/>
      <c r="W4" s="273"/>
      <c r="X4" s="273"/>
      <c r="Y4" s="273"/>
      <c r="Z4" s="273"/>
      <c r="AA4" s="273"/>
      <c r="AB4" s="273"/>
      <c r="AC4" s="273"/>
      <c r="AD4" s="273"/>
      <c r="AE4" s="273"/>
      <c r="AF4" s="273"/>
      <c r="AG4" s="274"/>
      <c r="AH4" s="275"/>
      <c r="AI4" s="275"/>
      <c r="AJ4" s="269"/>
      <c r="AK4" s="276"/>
      <c r="AL4" s="276"/>
      <c r="AM4" s="269"/>
      <c r="AN4" s="269"/>
      <c r="AO4" s="269"/>
      <c r="AP4" s="269"/>
      <c r="AQ4" s="269"/>
      <c r="AR4" s="269"/>
      <c r="AS4" s="269"/>
      <c r="AT4" s="269"/>
      <c r="AU4" s="269"/>
      <c r="AV4" s="269"/>
      <c r="AW4" s="269"/>
      <c r="AX4" s="269"/>
      <c r="AY4" s="269"/>
      <c r="AZ4" s="269"/>
      <c r="BA4" s="269"/>
      <c r="BB4" s="269"/>
      <c r="BC4" s="269"/>
      <c r="BD4" s="269"/>
      <c r="BE4" s="269"/>
      <c r="BF4" s="269"/>
      <c r="BG4" s="269"/>
    </row>
    <row r="5" spans="1:436" ht="20.2" customHeight="1" x14ac:dyDescent="0.25">
      <c r="A5" s="269"/>
      <c r="C5" s="2611" t="str">
        <f>HLOOKUP(LANGUAGE!$B$2,LANGUAGE!$C$14:$G$1500,5)</f>
        <v>Timing plan (For information only - timing plan agreed with purchase is mendatory</v>
      </c>
      <c r="D5" s="2611"/>
      <c r="E5" s="2611"/>
      <c r="F5" s="2611"/>
      <c r="G5" s="2611"/>
      <c r="H5" s="2611"/>
      <c r="I5" s="2611"/>
      <c r="J5" s="2611"/>
      <c r="K5" s="2611"/>
      <c r="L5" s="2611"/>
      <c r="M5" s="2611"/>
      <c r="N5" s="2611"/>
      <c r="O5" s="2611"/>
      <c r="P5" s="2611"/>
      <c r="Q5" s="2611"/>
      <c r="R5" s="2611"/>
      <c r="S5" s="2611"/>
      <c r="T5" s="2611"/>
      <c r="U5" s="2611"/>
      <c r="V5" s="2611"/>
      <c r="W5" s="2611"/>
      <c r="X5" s="2611"/>
      <c r="Y5" s="2611"/>
      <c r="Z5" s="2611"/>
      <c r="AA5" s="2611"/>
      <c r="AB5" s="2611"/>
      <c r="AC5" s="2611"/>
      <c r="AD5" s="2611"/>
      <c r="AE5" s="2611"/>
      <c r="AF5" s="2611"/>
      <c r="AG5" s="2611"/>
      <c r="AH5" s="2611"/>
      <c r="AI5" s="2611"/>
      <c r="AJ5" s="2611"/>
      <c r="AK5" s="2611"/>
      <c r="AL5" s="2611"/>
      <c r="AM5" s="2611"/>
      <c r="AN5" s="2611"/>
      <c r="AO5" s="2611"/>
      <c r="AP5" s="277"/>
      <c r="AQ5" s="277"/>
      <c r="AR5" s="277"/>
      <c r="AS5" s="269"/>
      <c r="AT5" s="277"/>
      <c r="AU5" s="277"/>
      <c r="AV5" s="277"/>
      <c r="AW5" s="277"/>
      <c r="AX5" s="277"/>
      <c r="AY5" s="277"/>
      <c r="AZ5" s="277"/>
      <c r="BA5" s="277"/>
      <c r="BB5" s="277"/>
      <c r="BC5" s="277"/>
      <c r="BD5" s="277"/>
      <c r="BE5" s="277"/>
      <c r="BF5" s="277"/>
      <c r="BG5" s="277"/>
      <c r="BH5" s="34"/>
      <c r="BI5" s="34"/>
      <c r="BJ5" s="34"/>
      <c r="BK5" s="34"/>
      <c r="BL5" s="34"/>
      <c r="BM5" s="34"/>
    </row>
    <row r="6" spans="1:436" ht="4.25" customHeight="1" thickBot="1" x14ac:dyDescent="0.3">
      <c r="A6" s="269"/>
      <c r="B6" s="270"/>
      <c r="C6" s="269"/>
      <c r="D6" s="278"/>
      <c r="E6" s="278"/>
      <c r="F6" s="279"/>
      <c r="G6" s="278"/>
      <c r="H6" s="278"/>
      <c r="I6" s="278"/>
      <c r="J6" s="278"/>
      <c r="K6" s="278"/>
      <c r="L6" s="278"/>
      <c r="M6" s="278"/>
      <c r="N6" s="278"/>
      <c r="O6" s="278"/>
      <c r="P6" s="272"/>
      <c r="Q6" s="272"/>
      <c r="R6" s="269"/>
      <c r="S6" s="269"/>
      <c r="T6" s="273"/>
      <c r="U6" s="273"/>
      <c r="V6" s="273"/>
      <c r="W6" s="273"/>
      <c r="X6" s="273"/>
      <c r="Y6" s="273"/>
      <c r="Z6" s="273"/>
      <c r="AA6" s="273"/>
      <c r="AB6" s="273"/>
      <c r="AC6" s="273"/>
      <c r="AD6" s="273"/>
      <c r="AE6" s="273"/>
      <c r="AF6" s="273"/>
      <c r="AG6" s="274"/>
      <c r="AH6" s="275"/>
      <c r="AI6" s="275"/>
      <c r="AJ6" s="269"/>
      <c r="AK6" s="276"/>
      <c r="AL6" s="276"/>
      <c r="AM6" s="269"/>
      <c r="AN6" s="269"/>
      <c r="AO6" s="269"/>
      <c r="AP6" s="269"/>
      <c r="AQ6" s="269"/>
      <c r="AR6" s="269"/>
      <c r="AS6" s="269"/>
      <c r="AT6" s="269"/>
      <c r="AU6" s="269"/>
      <c r="AV6" s="269"/>
      <c r="AW6" s="269"/>
      <c r="AX6" s="269"/>
      <c r="AY6" s="269"/>
      <c r="AZ6" s="269"/>
      <c r="BA6" s="269"/>
      <c r="BB6" s="269"/>
      <c r="BC6" s="269"/>
      <c r="BD6" s="269"/>
      <c r="BE6" s="269"/>
      <c r="BF6" s="269"/>
      <c r="BG6" s="269"/>
    </row>
    <row r="7" spans="1:436" ht="15.05" customHeight="1" thickBot="1" x14ac:dyDescent="0.3">
      <c r="A7" s="269"/>
      <c r="C7" s="2642" t="str">
        <f>HLOOKUP(LANGUAGE!$B$2,LANGUAGE!$C$14:$G$1500,14)</f>
        <v>Part Name(s)</v>
      </c>
      <c r="D7" s="2643"/>
      <c r="E7" s="2643"/>
      <c r="F7" s="2643"/>
      <c r="G7" s="2644" t="str">
        <f>IF(Basic_Data!F8="","",Basic_Data!F8)</f>
        <v/>
      </c>
      <c r="H7" s="2644"/>
      <c r="I7" s="2644"/>
      <c r="J7" s="2644"/>
      <c r="K7" s="2644"/>
      <c r="L7" s="2644"/>
      <c r="M7" s="2644"/>
      <c r="N7" s="2644"/>
      <c r="O7" s="2644"/>
      <c r="P7" s="2644"/>
      <c r="Q7" s="2645"/>
      <c r="S7" s="2627" t="str">
        <f>HLOOKUP(LANGUAGE!$B$2,LANGUAGE!$C$14:$G$1500,220)</f>
        <v>Supplier name</v>
      </c>
      <c r="T7" s="2628"/>
      <c r="U7" s="2628"/>
      <c r="V7" s="2628"/>
      <c r="W7" s="2628"/>
      <c r="X7" s="2628"/>
      <c r="Y7" s="2628"/>
      <c r="Z7" s="2629"/>
      <c r="AA7" s="2624" t="str">
        <f>IF(Basic_Data!R6="","",Basic_Data!R6)</f>
        <v/>
      </c>
      <c r="AB7" s="2625"/>
      <c r="AC7" s="2625"/>
      <c r="AD7" s="2625"/>
      <c r="AE7" s="2625"/>
      <c r="AF7" s="2625"/>
      <c r="AG7" s="2625"/>
      <c r="AH7" s="2625"/>
      <c r="AI7" s="2625"/>
      <c r="AJ7" s="2625"/>
      <c r="AK7" s="2625"/>
      <c r="AL7" s="2625"/>
      <c r="AM7" s="2625"/>
      <c r="AN7" s="2625"/>
      <c r="AO7" s="2626"/>
      <c r="AQ7" s="2612" t="str">
        <f>HLOOKUP(LANGUAGE!$B$2,LANGUAGE!$C$14:$G$1500,102)</f>
        <v>Signature</v>
      </c>
      <c r="AR7" s="2613"/>
      <c r="AS7" s="2613"/>
      <c r="AT7" s="2613"/>
      <c r="AU7" s="2613"/>
      <c r="AV7" s="2613"/>
      <c r="AW7" s="2613"/>
      <c r="AX7" s="2613"/>
      <c r="AY7" s="2613"/>
      <c r="AZ7" s="2613"/>
      <c r="BA7" s="2613"/>
      <c r="BB7" s="2613"/>
      <c r="BC7" s="2613"/>
      <c r="BD7" s="2613"/>
      <c r="BE7" s="2613"/>
      <c r="BF7" s="2613"/>
      <c r="BG7" s="2614"/>
      <c r="BH7" s="34"/>
      <c r="BI7" s="34"/>
      <c r="BJ7" s="34"/>
      <c r="BT7" s="36"/>
      <c r="BU7" s="36"/>
      <c r="BV7" s="36"/>
      <c r="BW7" s="36"/>
      <c r="BX7" s="36"/>
      <c r="BY7" s="36"/>
      <c r="BZ7" s="36"/>
      <c r="CA7" s="36"/>
      <c r="CB7" s="36"/>
      <c r="CC7" s="36"/>
      <c r="CD7" s="36"/>
      <c r="CE7" s="36"/>
      <c r="CF7" s="36"/>
      <c r="CG7" s="36"/>
      <c r="CH7" s="36"/>
      <c r="CI7" s="36"/>
      <c r="CJ7" s="36"/>
    </row>
    <row r="8" spans="1:436" ht="3" customHeight="1" thickBot="1" x14ac:dyDescent="0.3">
      <c r="A8" s="269"/>
      <c r="C8" s="270"/>
      <c r="D8" s="269"/>
      <c r="E8" s="278"/>
      <c r="F8" s="278"/>
      <c r="G8" s="279"/>
      <c r="H8" s="278"/>
      <c r="I8" s="278"/>
      <c r="J8" s="278"/>
      <c r="K8" s="278"/>
      <c r="L8" s="278"/>
      <c r="M8" s="278"/>
      <c r="N8" s="278"/>
      <c r="O8" s="278"/>
      <c r="P8" s="278"/>
      <c r="Q8" s="295"/>
      <c r="S8" s="296"/>
      <c r="T8" s="296"/>
      <c r="U8" s="296"/>
      <c r="V8" s="296"/>
      <c r="W8" s="296"/>
      <c r="X8" s="296"/>
      <c r="Y8" s="296"/>
      <c r="Z8" s="296"/>
      <c r="AA8" s="269"/>
      <c r="AB8" s="269"/>
      <c r="AC8" s="269"/>
      <c r="AD8" s="269"/>
      <c r="AE8" s="269"/>
      <c r="AF8" s="269"/>
      <c r="AG8" s="269"/>
      <c r="AH8" s="269"/>
      <c r="AI8" s="269"/>
      <c r="AJ8" s="269"/>
      <c r="AK8" s="269"/>
      <c r="AL8" s="269"/>
      <c r="AM8" s="269"/>
      <c r="AN8" s="269"/>
      <c r="AO8" s="269"/>
      <c r="AQ8" s="2621"/>
      <c r="AR8" s="2622"/>
      <c r="AS8" s="2622"/>
      <c r="AT8" s="2622"/>
      <c r="AU8" s="2622"/>
      <c r="AV8" s="2622"/>
      <c r="AW8" s="2622"/>
      <c r="AX8" s="2622"/>
      <c r="AY8" s="2622"/>
      <c r="AZ8" s="2622"/>
      <c r="BA8" s="2622"/>
      <c r="BB8" s="2622"/>
      <c r="BC8" s="2622"/>
      <c r="BD8" s="2622"/>
      <c r="BE8" s="2622"/>
      <c r="BF8" s="2622"/>
      <c r="BG8" s="2623"/>
      <c r="BM8" s="35"/>
      <c r="BN8" s="33"/>
      <c r="BT8" s="36"/>
      <c r="BU8" s="36"/>
      <c r="BV8" s="36"/>
      <c r="BW8" s="36"/>
      <c r="BX8" s="36"/>
      <c r="BY8" s="36"/>
      <c r="BZ8" s="36"/>
      <c r="CA8" s="36"/>
      <c r="CB8" s="36"/>
      <c r="CC8" s="36"/>
      <c r="CD8" s="36"/>
      <c r="CE8" s="36"/>
      <c r="CF8" s="36"/>
      <c r="CG8" s="36"/>
      <c r="CH8" s="36"/>
      <c r="CI8" s="36"/>
      <c r="CJ8" s="36"/>
    </row>
    <row r="9" spans="1:436" ht="15.05" customHeight="1" x14ac:dyDescent="0.25">
      <c r="A9" s="269"/>
      <c r="C9" s="2601" t="str">
        <f>HLOOKUP(LANGUAGE!$B$2,LANGUAGE!$C$14:$G$1500,41)</f>
        <v>Brose Part No.</v>
      </c>
      <c r="D9" s="2600"/>
      <c r="E9" s="2599" t="str">
        <f>HLOOKUP(LANGUAGE!$B$2,LANGUAGE!$C$14:$G$1500,42)</f>
        <v>Index</v>
      </c>
      <c r="F9" s="2600"/>
      <c r="G9" s="2596" t="str">
        <f>HLOOKUP(LANGUAGE!$B$2,LANGUAGE!$C$14:$G$1500,43)</f>
        <v>Brose Drawing No.</v>
      </c>
      <c r="H9" s="2597"/>
      <c r="I9" s="2597"/>
      <c r="J9" s="2597"/>
      <c r="K9" s="2597"/>
      <c r="L9" s="2597"/>
      <c r="M9" s="2597"/>
      <c r="N9" s="2598"/>
      <c r="O9" s="2652" t="str">
        <f>HLOOKUP(LANGUAGE!$B$2,LANGUAGE!$C$14:$G$1500,42)</f>
        <v>Index</v>
      </c>
      <c r="P9" s="2653"/>
      <c r="Q9" s="2654"/>
      <c r="R9" s="298"/>
      <c r="S9" s="2633" t="str">
        <f>HLOOKUP(LANGUAGE!$B$2,LANGUAGE!$C$14:$G$1500,221)</f>
        <v>Supplier code</v>
      </c>
      <c r="T9" s="2634"/>
      <c r="U9" s="2634"/>
      <c r="V9" s="2634"/>
      <c r="W9" s="2634"/>
      <c r="X9" s="2634"/>
      <c r="Y9" s="2634"/>
      <c r="Z9" s="2635"/>
      <c r="AA9" s="2630" t="str">
        <f>IF(Basic_Data!R7="","",Basic_Data!R7)</f>
        <v/>
      </c>
      <c r="AB9" s="2631"/>
      <c r="AC9" s="2631"/>
      <c r="AD9" s="2631"/>
      <c r="AE9" s="2631"/>
      <c r="AF9" s="2631"/>
      <c r="AG9" s="2631"/>
      <c r="AH9" s="2631"/>
      <c r="AI9" s="2631"/>
      <c r="AJ9" s="2631"/>
      <c r="AK9" s="2631"/>
      <c r="AL9" s="2631"/>
      <c r="AM9" s="2631"/>
      <c r="AN9" s="2631"/>
      <c r="AO9" s="2632"/>
      <c r="AQ9" s="2615"/>
      <c r="AR9" s="2616"/>
      <c r="AS9" s="2616"/>
      <c r="AT9" s="2616"/>
      <c r="AU9" s="2616"/>
      <c r="AV9" s="2616"/>
      <c r="AW9" s="2616"/>
      <c r="AX9" s="2616"/>
      <c r="AY9" s="2616"/>
      <c r="AZ9" s="2616"/>
      <c r="BA9" s="2616"/>
      <c r="BB9" s="2616"/>
      <c r="BC9" s="2616"/>
      <c r="BD9" s="2616"/>
      <c r="BE9" s="2616"/>
      <c r="BF9" s="2616"/>
      <c r="BG9" s="2617"/>
      <c r="BH9" s="34"/>
      <c r="BI9" s="34"/>
      <c r="BJ9" s="34"/>
      <c r="BT9" s="36"/>
      <c r="BU9" s="36"/>
      <c r="BV9" s="36"/>
      <c r="BW9" s="36"/>
      <c r="BX9" s="36"/>
      <c r="BY9" s="36"/>
      <c r="BZ9" s="36"/>
      <c r="CA9" s="36"/>
      <c r="CB9" s="36"/>
      <c r="CC9" s="36"/>
      <c r="CD9" s="36"/>
      <c r="CE9" s="36"/>
      <c r="CF9" s="36"/>
      <c r="CG9" s="36"/>
      <c r="CH9" s="36"/>
      <c r="CI9" s="36"/>
      <c r="CJ9" s="36"/>
    </row>
    <row r="10" spans="1:436" ht="15.05" customHeight="1" thickBot="1" x14ac:dyDescent="0.3">
      <c r="A10" s="269"/>
      <c r="C10" s="2602"/>
      <c r="D10" s="2603"/>
      <c r="E10" s="2590"/>
      <c r="F10" s="2603"/>
      <c r="G10" s="2590"/>
      <c r="H10" s="2591"/>
      <c r="I10" s="2591"/>
      <c r="J10" s="2591"/>
      <c r="K10" s="2591"/>
      <c r="L10" s="2591"/>
      <c r="M10" s="2591"/>
      <c r="N10" s="2603"/>
      <c r="O10" s="2590"/>
      <c r="P10" s="2591"/>
      <c r="Q10" s="2592"/>
      <c r="R10" s="297"/>
      <c r="S10" s="2636" t="str">
        <f>HLOOKUP(LANGUAGE!$B$2,LANGUAGE!$C$14:$G$1500,3)</f>
        <v>Initial order from</v>
      </c>
      <c r="T10" s="2637"/>
      <c r="U10" s="2637"/>
      <c r="V10" s="2637"/>
      <c r="W10" s="2637"/>
      <c r="X10" s="2637"/>
      <c r="Y10" s="2637"/>
      <c r="Z10" s="2638"/>
      <c r="AA10" s="2639"/>
      <c r="AB10" s="2640"/>
      <c r="AC10" s="2640"/>
      <c r="AD10" s="2640"/>
      <c r="AE10" s="2640"/>
      <c r="AF10" s="2640"/>
      <c r="AG10" s="2640"/>
      <c r="AH10" s="2640"/>
      <c r="AI10" s="2640"/>
      <c r="AJ10" s="2640"/>
      <c r="AK10" s="2640"/>
      <c r="AL10" s="2640"/>
      <c r="AM10" s="2640"/>
      <c r="AN10" s="2640"/>
      <c r="AO10" s="2641"/>
      <c r="AQ10" s="2618"/>
      <c r="AR10" s="2619"/>
      <c r="AS10" s="2619"/>
      <c r="AT10" s="2619"/>
      <c r="AU10" s="2619"/>
      <c r="AV10" s="2619"/>
      <c r="AW10" s="2619"/>
      <c r="AX10" s="2619"/>
      <c r="AY10" s="2619"/>
      <c r="AZ10" s="2619"/>
      <c r="BA10" s="2619"/>
      <c r="BB10" s="2619"/>
      <c r="BC10" s="2619"/>
      <c r="BD10" s="2619"/>
      <c r="BE10" s="2619"/>
      <c r="BF10" s="2619"/>
      <c r="BG10" s="2620"/>
      <c r="BM10" s="35"/>
      <c r="BN10" s="33"/>
      <c r="BT10" s="36"/>
      <c r="BU10" s="36"/>
      <c r="BV10" s="36"/>
      <c r="BW10" s="36"/>
      <c r="BX10" s="36"/>
      <c r="BY10" s="36"/>
      <c r="BZ10" s="36"/>
      <c r="CA10" s="36"/>
      <c r="CB10" s="36"/>
      <c r="CC10" s="36"/>
      <c r="CD10" s="36"/>
      <c r="CE10" s="36"/>
      <c r="CF10" s="36"/>
      <c r="CG10" s="36"/>
      <c r="CH10" s="36"/>
      <c r="CI10" s="36"/>
      <c r="CJ10" s="36"/>
    </row>
    <row r="11" spans="1:436" ht="15.05" customHeight="1" thickBot="1" x14ac:dyDescent="0.3">
      <c r="A11" s="269"/>
      <c r="C11" s="2602"/>
      <c r="D11" s="2603"/>
      <c r="E11" s="2590"/>
      <c r="F11" s="2603"/>
      <c r="G11" s="2590"/>
      <c r="H11" s="2591"/>
      <c r="I11" s="2591"/>
      <c r="J11" s="2591"/>
      <c r="K11" s="2591"/>
      <c r="L11" s="2591"/>
      <c r="M11" s="2591"/>
      <c r="N11" s="2603"/>
      <c r="O11" s="2590"/>
      <c r="P11" s="2591"/>
      <c r="Q11" s="2592"/>
      <c r="R11" s="297"/>
      <c r="S11" s="2646" t="str">
        <f>HLOOKUP(LANGUAGE!$B$2,LANGUAGE!$C$14:$G$1500,4)</f>
        <v>Purchase order no.</v>
      </c>
      <c r="T11" s="2647"/>
      <c r="U11" s="2647"/>
      <c r="V11" s="2647"/>
      <c r="W11" s="2647"/>
      <c r="X11" s="2647"/>
      <c r="Y11" s="2647"/>
      <c r="Z11" s="2648"/>
      <c r="AA11" s="2593"/>
      <c r="AB11" s="2594"/>
      <c r="AC11" s="2594"/>
      <c r="AD11" s="2594"/>
      <c r="AE11" s="2594"/>
      <c r="AF11" s="2594"/>
      <c r="AG11" s="2594"/>
      <c r="AH11" s="2594"/>
      <c r="AI11" s="2594"/>
      <c r="AJ11" s="2594"/>
      <c r="AK11" s="2594"/>
      <c r="AL11" s="2594"/>
      <c r="AM11" s="2594"/>
      <c r="AN11" s="2594"/>
      <c r="AO11" s="2595"/>
      <c r="AQ11" s="277"/>
      <c r="AR11" s="277"/>
      <c r="AS11" s="270" t="s">
        <v>2242</v>
      </c>
      <c r="AT11" s="269"/>
      <c r="AU11" s="269" t="str">
        <f>HLOOKUP(LANGUAGE!$B$2,LANGUAGE!$C$14:$G$1500,1265)</f>
        <v xml:space="preserve">Target date </v>
      </c>
      <c r="AV11" s="269"/>
      <c r="AW11" s="269"/>
      <c r="AX11" s="269"/>
      <c r="AY11" s="280"/>
      <c r="AZ11" s="280"/>
      <c r="BA11" s="280"/>
      <c r="BB11" s="280"/>
      <c r="BC11" s="280"/>
      <c r="BD11" s="269"/>
      <c r="BE11" s="269"/>
      <c r="BF11" s="269"/>
      <c r="BG11" s="269"/>
      <c r="BH11" s="34"/>
      <c r="BI11" s="34"/>
      <c r="BJ11" s="34"/>
      <c r="BV11" s="36"/>
      <c r="BW11" s="36"/>
      <c r="BX11" s="36"/>
      <c r="BY11" s="36"/>
      <c r="BZ11" s="36"/>
      <c r="CA11" s="36"/>
      <c r="CB11" s="36"/>
      <c r="CC11" s="36"/>
      <c r="CD11" s="36"/>
      <c r="CE11" s="36"/>
      <c r="CF11" s="36"/>
      <c r="CG11" s="36"/>
      <c r="CH11" s="36"/>
      <c r="CI11" s="36"/>
      <c r="CJ11" s="36"/>
    </row>
    <row r="12" spans="1:436" ht="15.05" customHeight="1" thickBot="1" x14ac:dyDescent="0.3">
      <c r="A12" s="269"/>
      <c r="C12" s="2602"/>
      <c r="D12" s="2603"/>
      <c r="E12" s="2590"/>
      <c r="F12" s="2603"/>
      <c r="G12" s="2590"/>
      <c r="H12" s="2591"/>
      <c r="I12" s="2591"/>
      <c r="J12" s="2591"/>
      <c r="K12" s="2591"/>
      <c r="L12" s="2591"/>
      <c r="M12" s="2591"/>
      <c r="N12" s="2603"/>
      <c r="O12" s="2590"/>
      <c r="P12" s="2591"/>
      <c r="Q12" s="2592"/>
      <c r="S12" s="299"/>
      <c r="T12" s="296"/>
      <c r="U12" s="296"/>
      <c r="V12" s="296"/>
      <c r="W12" s="296"/>
      <c r="X12" s="296"/>
      <c r="Y12" s="296"/>
      <c r="Z12" s="296"/>
      <c r="AA12" s="269"/>
      <c r="AB12" s="269"/>
      <c r="AC12" s="269"/>
      <c r="AD12" s="269"/>
      <c r="AE12" s="269"/>
      <c r="AF12" s="269"/>
      <c r="AG12" s="269"/>
      <c r="AH12" s="269"/>
      <c r="AI12" s="269"/>
      <c r="AJ12" s="269"/>
      <c r="AK12" s="269"/>
      <c r="AL12" s="269"/>
      <c r="AM12" s="269"/>
      <c r="AN12" s="269"/>
      <c r="AO12" s="269"/>
      <c r="AQ12" s="277"/>
      <c r="AR12" s="277"/>
      <c r="AS12" s="270" t="s">
        <v>2242</v>
      </c>
      <c r="AT12" s="269"/>
      <c r="AU12" s="269" t="str">
        <f>HLOOKUP(LANGUAGE!$B$2,LANGUAGE!$C$14:$G$1500,1267)</f>
        <v xml:space="preserve">Actual date </v>
      </c>
      <c r="AV12" s="269"/>
      <c r="AW12" s="269"/>
      <c r="AX12" s="269"/>
      <c r="AY12" s="269"/>
      <c r="AZ12" s="269"/>
      <c r="BA12" s="269"/>
      <c r="BB12" s="269"/>
      <c r="BC12" s="269"/>
      <c r="BD12" s="269"/>
      <c r="BE12" s="269"/>
      <c r="BF12" s="269"/>
      <c r="BG12" s="269"/>
      <c r="BT12" s="36"/>
      <c r="BU12" s="36"/>
      <c r="BV12" s="36"/>
      <c r="BW12" s="36"/>
      <c r="BX12" s="36"/>
      <c r="BY12" s="36"/>
      <c r="BZ12" s="36"/>
      <c r="CA12" s="36"/>
      <c r="CB12" s="36"/>
      <c r="CC12" s="36"/>
      <c r="CD12" s="36"/>
      <c r="CE12" s="36"/>
      <c r="CF12" s="36"/>
      <c r="CG12" s="36"/>
      <c r="CH12" s="36"/>
      <c r="CI12" s="36"/>
      <c r="CJ12" s="36"/>
    </row>
    <row r="13" spans="1:436" ht="15.05" customHeight="1" thickBot="1" x14ac:dyDescent="0.3">
      <c r="A13" s="269"/>
      <c r="C13" s="2604"/>
      <c r="D13" s="2605"/>
      <c r="E13" s="2593"/>
      <c r="F13" s="2605"/>
      <c r="G13" s="2593"/>
      <c r="H13" s="2594"/>
      <c r="I13" s="2594"/>
      <c r="J13" s="2594"/>
      <c r="K13" s="2594"/>
      <c r="L13" s="2594"/>
      <c r="M13" s="2594"/>
      <c r="N13" s="2605"/>
      <c r="O13" s="2593"/>
      <c r="P13" s="2594"/>
      <c r="Q13" s="2595"/>
      <c r="R13" s="297"/>
      <c r="S13" s="2627" t="str">
        <f>HLOOKUP(LANGUAGE!$B$2,LANGUAGE!$C$14:$G$1500,21)</f>
        <v>Date</v>
      </c>
      <c r="T13" s="2628"/>
      <c r="U13" s="2628"/>
      <c r="V13" s="2628"/>
      <c r="W13" s="2628"/>
      <c r="X13" s="2628"/>
      <c r="Y13" s="2628"/>
      <c r="Z13" s="2629"/>
      <c r="AA13" s="2649"/>
      <c r="AB13" s="2650"/>
      <c r="AC13" s="2650"/>
      <c r="AD13" s="2650"/>
      <c r="AE13" s="2650"/>
      <c r="AF13" s="2650"/>
      <c r="AG13" s="2650"/>
      <c r="AH13" s="2650"/>
      <c r="AI13" s="2650"/>
      <c r="AJ13" s="2650"/>
      <c r="AK13" s="2650"/>
      <c r="AL13" s="2650"/>
      <c r="AM13" s="2650"/>
      <c r="AN13" s="2650"/>
      <c r="AO13" s="2651"/>
      <c r="AQ13" s="277"/>
      <c r="AR13" s="277"/>
      <c r="AS13" s="281" t="s">
        <v>2242</v>
      </c>
      <c r="AT13" s="269"/>
      <c r="AU13" s="269" t="str">
        <f>HLOOKUP(LANGUAGE!$B$2,LANGUAGE!$C$14:$G$1500,1269)</f>
        <v>Actual date (closed)</v>
      </c>
      <c r="AV13" s="269"/>
      <c r="AW13" s="269"/>
      <c r="AX13" s="269"/>
      <c r="AY13" s="269"/>
      <c r="AZ13" s="280"/>
      <c r="BA13" s="280"/>
      <c r="BB13" s="280"/>
      <c r="BC13" s="280"/>
      <c r="BD13" s="269"/>
      <c r="BE13" s="269"/>
      <c r="BF13" s="269"/>
      <c r="BG13" s="269"/>
      <c r="BT13" s="36"/>
      <c r="BU13" s="36"/>
      <c r="BV13" s="36"/>
      <c r="BW13" s="36"/>
      <c r="BX13" s="36"/>
      <c r="BY13" s="36"/>
      <c r="BZ13" s="36"/>
      <c r="CA13" s="36"/>
      <c r="CB13" s="36"/>
      <c r="CC13" s="36"/>
      <c r="CD13" s="36"/>
      <c r="CE13" s="36"/>
      <c r="CF13" s="36"/>
      <c r="CG13" s="36"/>
      <c r="CH13" s="36"/>
      <c r="CI13" s="36"/>
      <c r="CJ13" s="36"/>
    </row>
    <row r="14" spans="1:436" ht="4.25" customHeight="1" x14ac:dyDescent="0.25">
      <c r="A14" s="269"/>
      <c r="B14" s="270"/>
      <c r="C14" s="269"/>
      <c r="D14" s="278"/>
      <c r="E14" s="278"/>
      <c r="F14" s="279"/>
      <c r="G14" s="278"/>
      <c r="H14" s="278"/>
      <c r="I14" s="278"/>
      <c r="J14" s="278"/>
      <c r="K14" s="278"/>
      <c r="L14" s="278"/>
      <c r="M14" s="278"/>
      <c r="N14" s="278"/>
      <c r="O14" s="278"/>
      <c r="P14" s="272"/>
      <c r="Q14" s="272"/>
      <c r="R14" s="269"/>
      <c r="S14" s="269"/>
      <c r="T14" s="273"/>
      <c r="U14" s="273"/>
      <c r="V14" s="273"/>
      <c r="W14" s="273"/>
      <c r="X14" s="273"/>
      <c r="Y14" s="273"/>
      <c r="Z14" s="273"/>
      <c r="AA14" s="273"/>
      <c r="AB14" s="273"/>
      <c r="AC14" s="273"/>
      <c r="AD14" s="273"/>
      <c r="AE14" s="273"/>
      <c r="AF14" s="273"/>
      <c r="AG14" s="274"/>
      <c r="AH14" s="275"/>
      <c r="AI14" s="275"/>
      <c r="AJ14" s="269"/>
      <c r="AK14" s="276"/>
      <c r="AL14" s="276"/>
      <c r="AM14" s="269"/>
      <c r="AN14" s="269"/>
      <c r="AO14" s="269"/>
      <c r="AP14" s="269"/>
      <c r="AQ14" s="269"/>
      <c r="AR14" s="269"/>
      <c r="AS14" s="280"/>
      <c r="AT14" s="280"/>
      <c r="AU14" s="280"/>
      <c r="AV14" s="280"/>
      <c r="AW14" s="280"/>
      <c r="AX14" s="280"/>
      <c r="AY14" s="280"/>
      <c r="AZ14" s="280"/>
      <c r="BA14" s="280"/>
      <c r="BB14" s="280"/>
      <c r="BC14" s="269"/>
      <c r="BD14" s="269"/>
      <c r="BE14" s="269"/>
      <c r="BF14" s="269"/>
      <c r="BG14" s="269"/>
      <c r="BT14" s="36"/>
      <c r="BU14" s="209"/>
      <c r="BV14" s="209"/>
      <c r="BW14" s="209"/>
      <c r="BX14" s="209"/>
      <c r="BY14" s="209"/>
      <c r="BZ14" s="209"/>
      <c r="CA14" s="209"/>
      <c r="CB14" s="209"/>
      <c r="CG14" s="33"/>
      <c r="CH14" s="33"/>
      <c r="CI14" s="33"/>
      <c r="CJ14" s="33"/>
    </row>
    <row r="15" spans="1:436" x14ac:dyDescent="0.25">
      <c r="A15" s="269"/>
      <c r="B15" s="270"/>
      <c r="C15" s="269"/>
      <c r="D15" s="278"/>
      <c r="E15" s="278"/>
      <c r="F15" s="278"/>
      <c r="G15" s="278"/>
      <c r="H15" s="278"/>
      <c r="I15" s="278"/>
      <c r="J15" s="278"/>
      <c r="K15" s="278"/>
      <c r="L15" s="278"/>
      <c r="M15" s="278"/>
      <c r="N15" s="278"/>
      <c r="O15" s="278"/>
      <c r="P15" s="269"/>
      <c r="Q15" s="269"/>
      <c r="R15" s="269"/>
      <c r="S15" s="269"/>
      <c r="T15" s="272"/>
      <c r="U15" s="272"/>
      <c r="V15" s="282"/>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80"/>
      <c r="AT15" s="280"/>
      <c r="AU15" s="280"/>
      <c r="AV15" s="280"/>
      <c r="AW15" s="280"/>
      <c r="AX15" s="280"/>
      <c r="AY15" s="280"/>
      <c r="AZ15" s="280"/>
      <c r="BA15" s="280"/>
      <c r="BB15" s="280"/>
      <c r="BC15" s="269"/>
      <c r="BD15" s="269"/>
      <c r="BE15" s="269"/>
      <c r="BF15" s="269"/>
      <c r="BG15" s="269"/>
      <c r="BT15" s="36"/>
      <c r="BU15" s="209"/>
      <c r="BV15" s="209"/>
      <c r="BW15" s="209"/>
      <c r="BX15" s="209"/>
      <c r="BY15" s="209"/>
      <c r="BZ15" s="209"/>
      <c r="CA15" s="209"/>
      <c r="CB15" s="209"/>
    </row>
    <row r="16" spans="1:436" ht="4.55" customHeight="1" x14ac:dyDescent="0.25">
      <c r="D16" s="47"/>
      <c r="E16" s="47"/>
      <c r="F16" s="47"/>
      <c r="G16" s="48">
        <f t="shared" ref="G16:AL16" si="0">G17+2-WEEKDAY(G17)</f>
        <v>-5</v>
      </c>
      <c r="H16" s="48">
        <f t="shared" si="0"/>
        <v>2</v>
      </c>
      <c r="I16" s="48">
        <f t="shared" si="0"/>
        <v>9</v>
      </c>
      <c r="J16" s="48">
        <f t="shared" si="0"/>
        <v>16</v>
      </c>
      <c r="K16" s="48">
        <f t="shared" si="0"/>
        <v>23</v>
      </c>
      <c r="L16" s="48">
        <f t="shared" si="0"/>
        <v>30</v>
      </c>
      <c r="M16" s="48">
        <f t="shared" si="0"/>
        <v>37</v>
      </c>
      <c r="N16" s="48">
        <f t="shared" si="0"/>
        <v>44</v>
      </c>
      <c r="O16" s="48">
        <f t="shared" si="0"/>
        <v>51</v>
      </c>
      <c r="P16" s="48">
        <f t="shared" si="0"/>
        <v>58</v>
      </c>
      <c r="Q16" s="48">
        <f t="shared" si="0"/>
        <v>65</v>
      </c>
      <c r="R16" s="48">
        <f t="shared" si="0"/>
        <v>72</v>
      </c>
      <c r="S16" s="48">
        <f t="shared" si="0"/>
        <v>79</v>
      </c>
      <c r="T16" s="48">
        <f t="shared" si="0"/>
        <v>86</v>
      </c>
      <c r="U16" s="48">
        <f t="shared" si="0"/>
        <v>93</v>
      </c>
      <c r="V16" s="48">
        <f t="shared" si="0"/>
        <v>100</v>
      </c>
      <c r="W16" s="48">
        <f t="shared" si="0"/>
        <v>107</v>
      </c>
      <c r="X16" s="48">
        <f t="shared" si="0"/>
        <v>114</v>
      </c>
      <c r="Y16" s="48">
        <f t="shared" si="0"/>
        <v>121</v>
      </c>
      <c r="Z16" s="48">
        <f t="shared" si="0"/>
        <v>128</v>
      </c>
      <c r="AA16" s="48">
        <f t="shared" si="0"/>
        <v>135</v>
      </c>
      <c r="AB16" s="48">
        <f t="shared" si="0"/>
        <v>142</v>
      </c>
      <c r="AC16" s="48">
        <f t="shared" si="0"/>
        <v>149</v>
      </c>
      <c r="AD16" s="48">
        <f t="shared" si="0"/>
        <v>156</v>
      </c>
      <c r="AE16" s="48">
        <f t="shared" si="0"/>
        <v>163</v>
      </c>
      <c r="AF16" s="48">
        <f t="shared" si="0"/>
        <v>170</v>
      </c>
      <c r="AG16" s="48">
        <f t="shared" si="0"/>
        <v>177</v>
      </c>
      <c r="AH16" s="48">
        <f t="shared" si="0"/>
        <v>184</v>
      </c>
      <c r="AI16" s="48">
        <f t="shared" si="0"/>
        <v>191</v>
      </c>
      <c r="AJ16" s="48">
        <f t="shared" si="0"/>
        <v>198</v>
      </c>
      <c r="AK16" s="48">
        <f t="shared" si="0"/>
        <v>205</v>
      </c>
      <c r="AL16" s="48">
        <f t="shared" si="0"/>
        <v>212</v>
      </c>
      <c r="AM16" s="48">
        <f t="shared" ref="AM16:BR16" si="1">AM17+2-WEEKDAY(AM17)</f>
        <v>219</v>
      </c>
      <c r="AN16" s="48">
        <f t="shared" si="1"/>
        <v>226</v>
      </c>
      <c r="AO16" s="48">
        <f t="shared" si="1"/>
        <v>233</v>
      </c>
      <c r="AP16" s="48">
        <f t="shared" si="1"/>
        <v>240</v>
      </c>
      <c r="AQ16" s="48">
        <f t="shared" si="1"/>
        <v>247</v>
      </c>
      <c r="AR16" s="48">
        <f t="shared" si="1"/>
        <v>254</v>
      </c>
      <c r="AS16" s="48">
        <f t="shared" si="1"/>
        <v>261</v>
      </c>
      <c r="AT16" s="48">
        <f t="shared" si="1"/>
        <v>268</v>
      </c>
      <c r="AU16" s="48">
        <f t="shared" si="1"/>
        <v>275</v>
      </c>
      <c r="AV16" s="48">
        <f t="shared" si="1"/>
        <v>282</v>
      </c>
      <c r="AW16" s="48">
        <f t="shared" si="1"/>
        <v>289</v>
      </c>
      <c r="AX16" s="48">
        <f t="shared" si="1"/>
        <v>296</v>
      </c>
      <c r="AY16" s="48">
        <f t="shared" si="1"/>
        <v>303</v>
      </c>
      <c r="AZ16" s="48">
        <f t="shared" si="1"/>
        <v>310</v>
      </c>
      <c r="BA16" s="48">
        <f t="shared" si="1"/>
        <v>317</v>
      </c>
      <c r="BB16" s="48">
        <f t="shared" si="1"/>
        <v>324</v>
      </c>
      <c r="BC16" s="48">
        <f t="shared" si="1"/>
        <v>331</v>
      </c>
      <c r="BD16" s="48">
        <f t="shared" si="1"/>
        <v>338</v>
      </c>
      <c r="BE16" s="48">
        <f t="shared" si="1"/>
        <v>345</v>
      </c>
      <c r="BF16" s="48">
        <f t="shared" si="1"/>
        <v>352</v>
      </c>
      <c r="BG16" s="48">
        <f t="shared" si="1"/>
        <v>359</v>
      </c>
      <c r="BH16" s="48">
        <f t="shared" si="1"/>
        <v>366</v>
      </c>
      <c r="BI16" s="48">
        <f t="shared" si="1"/>
        <v>373</v>
      </c>
      <c r="BJ16" s="48">
        <f t="shared" si="1"/>
        <v>380</v>
      </c>
      <c r="BK16" s="48">
        <f t="shared" si="1"/>
        <v>387</v>
      </c>
      <c r="BL16" s="48">
        <f t="shared" si="1"/>
        <v>394</v>
      </c>
      <c r="BM16" s="48">
        <f t="shared" si="1"/>
        <v>401</v>
      </c>
      <c r="BN16" s="48">
        <f t="shared" si="1"/>
        <v>408</v>
      </c>
      <c r="BO16" s="48">
        <f t="shared" si="1"/>
        <v>415</v>
      </c>
      <c r="BP16" s="48">
        <f t="shared" si="1"/>
        <v>422</v>
      </c>
      <c r="BQ16" s="48">
        <f t="shared" si="1"/>
        <v>429</v>
      </c>
      <c r="BR16" s="48">
        <f t="shared" si="1"/>
        <v>436</v>
      </c>
      <c r="BS16" s="48">
        <f t="shared" ref="BS16" si="2">BS17+2-WEEKDAY(BS17)</f>
        <v>443</v>
      </c>
      <c r="BT16" s="36"/>
      <c r="BU16" s="209"/>
      <c r="BV16" s="209"/>
      <c r="BW16" s="209"/>
      <c r="BX16" s="209"/>
      <c r="BY16" s="209"/>
      <c r="BZ16" s="209"/>
      <c r="CA16" s="209"/>
      <c r="CB16" s="209"/>
      <c r="CC16" s="48">
        <f>CC17+2-WEEKDAY(CC17)</f>
        <v>513</v>
      </c>
      <c r="CD16" s="48">
        <f>CD17+2-WEEKDAY(CD17)</f>
        <v>520</v>
      </c>
      <c r="CE16" s="48">
        <f>CE17+2-WEEKDAY(CE17)</f>
        <v>527</v>
      </c>
      <c r="CF16" s="48">
        <f>CF17+2-WEEKDAY(CF17)</f>
        <v>534</v>
      </c>
    </row>
    <row r="17" spans="1:193" ht="4.55" customHeight="1" thickBot="1" x14ac:dyDescent="0.3">
      <c r="D17" s="47"/>
      <c r="E17" s="47"/>
      <c r="F17" s="47"/>
      <c r="G17" s="48">
        <f>AA10</f>
        <v>0</v>
      </c>
      <c r="H17" s="48">
        <f t="shared" ref="H17:AM17" si="3">$G$17+CP18</f>
        <v>7</v>
      </c>
      <c r="I17" s="48">
        <f t="shared" si="3"/>
        <v>14</v>
      </c>
      <c r="J17" s="48">
        <f t="shared" si="3"/>
        <v>21</v>
      </c>
      <c r="K17" s="48">
        <f t="shared" si="3"/>
        <v>28</v>
      </c>
      <c r="L17" s="48">
        <f t="shared" si="3"/>
        <v>35</v>
      </c>
      <c r="M17" s="48">
        <f t="shared" si="3"/>
        <v>42</v>
      </c>
      <c r="N17" s="48">
        <f t="shared" si="3"/>
        <v>49</v>
      </c>
      <c r="O17" s="48">
        <f t="shared" si="3"/>
        <v>56</v>
      </c>
      <c r="P17" s="48">
        <f t="shared" si="3"/>
        <v>63</v>
      </c>
      <c r="Q17" s="48">
        <f t="shared" si="3"/>
        <v>70</v>
      </c>
      <c r="R17" s="48">
        <f t="shared" si="3"/>
        <v>77</v>
      </c>
      <c r="S17" s="48">
        <f t="shared" si="3"/>
        <v>84</v>
      </c>
      <c r="T17" s="48">
        <f t="shared" si="3"/>
        <v>91</v>
      </c>
      <c r="U17" s="48">
        <f t="shared" si="3"/>
        <v>98</v>
      </c>
      <c r="V17" s="48">
        <f t="shared" si="3"/>
        <v>105</v>
      </c>
      <c r="W17" s="48">
        <f t="shared" si="3"/>
        <v>112</v>
      </c>
      <c r="X17" s="48">
        <f t="shared" si="3"/>
        <v>119</v>
      </c>
      <c r="Y17" s="48">
        <f t="shared" si="3"/>
        <v>126</v>
      </c>
      <c r="Z17" s="48">
        <f t="shared" si="3"/>
        <v>133</v>
      </c>
      <c r="AA17" s="48">
        <f t="shared" si="3"/>
        <v>140</v>
      </c>
      <c r="AB17" s="48">
        <f t="shared" si="3"/>
        <v>147</v>
      </c>
      <c r="AC17" s="48">
        <f t="shared" si="3"/>
        <v>154</v>
      </c>
      <c r="AD17" s="48">
        <f t="shared" si="3"/>
        <v>161</v>
      </c>
      <c r="AE17" s="48">
        <f t="shared" si="3"/>
        <v>168</v>
      </c>
      <c r="AF17" s="48">
        <f t="shared" si="3"/>
        <v>175</v>
      </c>
      <c r="AG17" s="48">
        <f t="shared" si="3"/>
        <v>182</v>
      </c>
      <c r="AH17" s="48">
        <f t="shared" si="3"/>
        <v>189</v>
      </c>
      <c r="AI17" s="48">
        <f t="shared" si="3"/>
        <v>196</v>
      </c>
      <c r="AJ17" s="48">
        <f t="shared" si="3"/>
        <v>203</v>
      </c>
      <c r="AK17" s="48">
        <f t="shared" si="3"/>
        <v>210</v>
      </c>
      <c r="AL17" s="48">
        <f t="shared" si="3"/>
        <v>217</v>
      </c>
      <c r="AM17" s="48">
        <f t="shared" si="3"/>
        <v>224</v>
      </c>
      <c r="AN17" s="48">
        <f t="shared" ref="AN17:BS17" si="4">$G$17+DV18</f>
        <v>231</v>
      </c>
      <c r="AO17" s="48">
        <f t="shared" si="4"/>
        <v>238</v>
      </c>
      <c r="AP17" s="48">
        <f t="shared" si="4"/>
        <v>245</v>
      </c>
      <c r="AQ17" s="48">
        <f t="shared" si="4"/>
        <v>252</v>
      </c>
      <c r="AR17" s="48">
        <f t="shared" si="4"/>
        <v>259</v>
      </c>
      <c r="AS17" s="48">
        <f t="shared" si="4"/>
        <v>266</v>
      </c>
      <c r="AT17" s="48">
        <f t="shared" si="4"/>
        <v>273</v>
      </c>
      <c r="AU17" s="48">
        <f t="shared" si="4"/>
        <v>280</v>
      </c>
      <c r="AV17" s="48">
        <f t="shared" si="4"/>
        <v>287</v>
      </c>
      <c r="AW17" s="48">
        <f t="shared" si="4"/>
        <v>294</v>
      </c>
      <c r="AX17" s="48">
        <f t="shared" si="4"/>
        <v>301</v>
      </c>
      <c r="AY17" s="48">
        <f t="shared" si="4"/>
        <v>308</v>
      </c>
      <c r="AZ17" s="48">
        <f t="shared" si="4"/>
        <v>315</v>
      </c>
      <c r="BA17" s="48">
        <f t="shared" si="4"/>
        <v>322</v>
      </c>
      <c r="BB17" s="48">
        <f t="shared" si="4"/>
        <v>329</v>
      </c>
      <c r="BC17" s="48">
        <f t="shared" si="4"/>
        <v>336</v>
      </c>
      <c r="BD17" s="48">
        <f t="shared" si="4"/>
        <v>343</v>
      </c>
      <c r="BE17" s="48">
        <f t="shared" si="4"/>
        <v>350</v>
      </c>
      <c r="BF17" s="48">
        <f t="shared" si="4"/>
        <v>357</v>
      </c>
      <c r="BG17" s="48">
        <f t="shared" si="4"/>
        <v>364</v>
      </c>
      <c r="BH17" s="48">
        <f t="shared" si="4"/>
        <v>371</v>
      </c>
      <c r="BI17" s="48">
        <f t="shared" si="4"/>
        <v>378</v>
      </c>
      <c r="BJ17" s="48">
        <f t="shared" si="4"/>
        <v>385</v>
      </c>
      <c r="BK17" s="48">
        <f t="shared" si="4"/>
        <v>392</v>
      </c>
      <c r="BL17" s="48">
        <f t="shared" si="4"/>
        <v>399</v>
      </c>
      <c r="BM17" s="48">
        <f t="shared" si="4"/>
        <v>406</v>
      </c>
      <c r="BN17" s="48">
        <f t="shared" si="4"/>
        <v>413</v>
      </c>
      <c r="BO17" s="48">
        <f t="shared" si="4"/>
        <v>420</v>
      </c>
      <c r="BP17" s="48">
        <f t="shared" si="4"/>
        <v>427</v>
      </c>
      <c r="BQ17" s="48">
        <f t="shared" si="4"/>
        <v>434</v>
      </c>
      <c r="BR17" s="48">
        <f t="shared" si="4"/>
        <v>441</v>
      </c>
      <c r="BS17" s="48">
        <f t="shared" si="4"/>
        <v>448</v>
      </c>
      <c r="BT17" s="48">
        <f t="shared" ref="BT17:CF17" si="5">$G$17+FB18</f>
        <v>455</v>
      </c>
      <c r="BU17" s="48">
        <f t="shared" si="5"/>
        <v>462</v>
      </c>
      <c r="BV17" s="48">
        <f t="shared" si="5"/>
        <v>469</v>
      </c>
      <c r="BW17" s="48">
        <f t="shared" si="5"/>
        <v>476</v>
      </c>
      <c r="BX17" s="48">
        <f t="shared" si="5"/>
        <v>483</v>
      </c>
      <c r="BY17" s="48">
        <f t="shared" si="5"/>
        <v>490</v>
      </c>
      <c r="BZ17" s="48">
        <f t="shared" si="5"/>
        <v>497</v>
      </c>
      <c r="CA17" s="48">
        <f t="shared" si="5"/>
        <v>504</v>
      </c>
      <c r="CB17" s="48">
        <f t="shared" si="5"/>
        <v>511</v>
      </c>
      <c r="CC17" s="48">
        <f t="shared" si="5"/>
        <v>518</v>
      </c>
      <c r="CD17" s="48">
        <f t="shared" si="5"/>
        <v>525</v>
      </c>
      <c r="CE17" s="48">
        <f t="shared" si="5"/>
        <v>532</v>
      </c>
      <c r="CF17" s="48">
        <f t="shared" si="5"/>
        <v>539</v>
      </c>
    </row>
    <row r="18" spans="1:193" ht="48.05" customHeight="1" thickBot="1" x14ac:dyDescent="0.3">
      <c r="F18" s="222" t="str">
        <f>HLOOKUP(LANGUAGE!$B$2,LANGUAGE!$C$14:$G$1500,1249)</f>
        <v>Week</v>
      </c>
      <c r="G18" s="214" t="e">
        <f>""&amp;WEEKNUM($AA$10,15)&amp;" / "&amp; YEAR(G16)&amp;""</f>
        <v>#NUM!</v>
      </c>
      <c r="H18" s="214" t="str">
        <f t="shared" ref="H18:AM18" si="6">""&amp;WEEKNUM(G17+7,15)&amp;" / "&amp; YEAR(H16)&amp;""</f>
        <v>2 / 1900</v>
      </c>
      <c r="I18" s="214" t="str">
        <f t="shared" si="6"/>
        <v>3 / 1900</v>
      </c>
      <c r="J18" s="214" t="str">
        <f t="shared" si="6"/>
        <v>4 / 1900</v>
      </c>
      <c r="K18" s="214" t="str">
        <f t="shared" si="6"/>
        <v>5 / 1900</v>
      </c>
      <c r="L18" s="214" t="str">
        <f t="shared" si="6"/>
        <v>6 / 1900</v>
      </c>
      <c r="M18" s="214" t="str">
        <f t="shared" si="6"/>
        <v>7 / 1900</v>
      </c>
      <c r="N18" s="214" t="str">
        <f t="shared" si="6"/>
        <v>8 / 1900</v>
      </c>
      <c r="O18" s="214" t="str">
        <f t="shared" si="6"/>
        <v>9 / 1900</v>
      </c>
      <c r="P18" s="214" t="str">
        <f t="shared" si="6"/>
        <v>10 / 1900</v>
      </c>
      <c r="Q18" s="214" t="str">
        <f t="shared" si="6"/>
        <v>11 / 1900</v>
      </c>
      <c r="R18" s="214" t="str">
        <f t="shared" si="6"/>
        <v>12 / 1900</v>
      </c>
      <c r="S18" s="214" t="str">
        <f t="shared" si="6"/>
        <v>13 / 1900</v>
      </c>
      <c r="T18" s="214" t="str">
        <f t="shared" si="6"/>
        <v>14 / 1900</v>
      </c>
      <c r="U18" s="214" t="str">
        <f t="shared" si="6"/>
        <v>15 / 1900</v>
      </c>
      <c r="V18" s="214" t="str">
        <f t="shared" si="6"/>
        <v>16 / 1900</v>
      </c>
      <c r="W18" s="214" t="str">
        <f t="shared" si="6"/>
        <v>17 / 1900</v>
      </c>
      <c r="X18" s="214" t="str">
        <f t="shared" si="6"/>
        <v>18 / 1900</v>
      </c>
      <c r="Y18" s="214" t="str">
        <f t="shared" si="6"/>
        <v>19 / 1900</v>
      </c>
      <c r="Z18" s="214" t="str">
        <f t="shared" si="6"/>
        <v>20 / 1900</v>
      </c>
      <c r="AA18" s="214" t="str">
        <f t="shared" si="6"/>
        <v>21 / 1900</v>
      </c>
      <c r="AB18" s="214" t="str">
        <f t="shared" si="6"/>
        <v>22 / 1900</v>
      </c>
      <c r="AC18" s="214" t="str">
        <f t="shared" si="6"/>
        <v>23 / 1900</v>
      </c>
      <c r="AD18" s="214" t="str">
        <f t="shared" si="6"/>
        <v>24 / 1900</v>
      </c>
      <c r="AE18" s="214" t="str">
        <f t="shared" si="6"/>
        <v>25 / 1900</v>
      </c>
      <c r="AF18" s="214" t="str">
        <f t="shared" si="6"/>
        <v>26 / 1900</v>
      </c>
      <c r="AG18" s="214" t="str">
        <f t="shared" si="6"/>
        <v>27 / 1900</v>
      </c>
      <c r="AH18" s="214" t="str">
        <f t="shared" si="6"/>
        <v>28 / 1900</v>
      </c>
      <c r="AI18" s="214" t="str">
        <f t="shared" si="6"/>
        <v>29 / 1900</v>
      </c>
      <c r="AJ18" s="214" t="str">
        <f t="shared" si="6"/>
        <v>30 / 1900</v>
      </c>
      <c r="AK18" s="214" t="str">
        <f t="shared" si="6"/>
        <v>31 / 1900</v>
      </c>
      <c r="AL18" s="214" t="str">
        <f t="shared" si="6"/>
        <v>32 / 1900</v>
      </c>
      <c r="AM18" s="214" t="str">
        <f t="shared" si="6"/>
        <v>33 / 1900</v>
      </c>
      <c r="AN18" s="214" t="str">
        <f t="shared" ref="AN18:BH18" si="7">""&amp;WEEKNUM(AM17+7,15)&amp;" / "&amp; YEAR(AN16)&amp;""</f>
        <v>34 / 1900</v>
      </c>
      <c r="AO18" s="214" t="str">
        <f t="shared" si="7"/>
        <v>35 / 1900</v>
      </c>
      <c r="AP18" s="214" t="str">
        <f t="shared" si="7"/>
        <v>36 / 1900</v>
      </c>
      <c r="AQ18" s="214" t="str">
        <f t="shared" si="7"/>
        <v>37 / 1900</v>
      </c>
      <c r="AR18" s="214" t="str">
        <f t="shared" si="7"/>
        <v>38 / 1900</v>
      </c>
      <c r="AS18" s="214" t="str">
        <f t="shared" si="7"/>
        <v>39 / 1900</v>
      </c>
      <c r="AT18" s="214" t="str">
        <f t="shared" si="7"/>
        <v>40 / 1900</v>
      </c>
      <c r="AU18" s="214" t="str">
        <f t="shared" si="7"/>
        <v>41 / 1900</v>
      </c>
      <c r="AV18" s="214" t="str">
        <f t="shared" si="7"/>
        <v>42 / 1900</v>
      </c>
      <c r="AW18" s="214" t="str">
        <f t="shared" si="7"/>
        <v>43 / 1900</v>
      </c>
      <c r="AX18" s="214" t="str">
        <f t="shared" si="7"/>
        <v>44 / 1900</v>
      </c>
      <c r="AY18" s="214" t="str">
        <f t="shared" si="7"/>
        <v>45 / 1900</v>
      </c>
      <c r="AZ18" s="214" t="str">
        <f t="shared" si="7"/>
        <v>46 / 1900</v>
      </c>
      <c r="BA18" s="214" t="str">
        <f t="shared" si="7"/>
        <v>47 / 1900</v>
      </c>
      <c r="BB18" s="214" t="str">
        <f t="shared" si="7"/>
        <v>48 / 1900</v>
      </c>
      <c r="BC18" s="214" t="str">
        <f t="shared" si="7"/>
        <v>49 / 1900</v>
      </c>
      <c r="BD18" s="214" t="str">
        <f t="shared" si="7"/>
        <v>50 / 1900</v>
      </c>
      <c r="BE18" s="214" t="str">
        <f t="shared" si="7"/>
        <v>51 / 1900</v>
      </c>
      <c r="BF18" s="214" t="str">
        <f t="shared" si="7"/>
        <v>52 / 1900</v>
      </c>
      <c r="BG18" s="214" t="str">
        <f t="shared" si="7"/>
        <v>53 / 1900</v>
      </c>
      <c r="BH18" s="214" t="str">
        <f t="shared" si="7"/>
        <v>2 / 1900</v>
      </c>
      <c r="BI18" s="214" t="str">
        <f t="shared" ref="BI18:BN18" si="8">""&amp;WEEKNUM(AS17+7,15)&amp;" / "&amp; YEAR(BI16)&amp;""</f>
        <v>40 / 1901</v>
      </c>
      <c r="BJ18" s="214" t="str">
        <f t="shared" si="8"/>
        <v>41 / 1901</v>
      </c>
      <c r="BK18" s="214" t="str">
        <f t="shared" si="8"/>
        <v>42 / 1901</v>
      </c>
      <c r="BL18" s="214" t="str">
        <f t="shared" si="8"/>
        <v>43 / 1901</v>
      </c>
      <c r="BM18" s="214" t="str">
        <f t="shared" si="8"/>
        <v>44 / 1901</v>
      </c>
      <c r="BN18" s="214" t="str">
        <f t="shared" si="8"/>
        <v>45 / 1901</v>
      </c>
      <c r="BO18" s="214" t="str">
        <f t="shared" ref="BO18:BZ18" si="9">""&amp;WEEKNUM(AW17+7,15)&amp;" / "&amp; YEAR(BO16)&amp;""</f>
        <v>44 / 1901</v>
      </c>
      <c r="BP18" s="214" t="str">
        <f t="shared" si="9"/>
        <v>45 / 1901</v>
      </c>
      <c r="BQ18" s="214" t="str">
        <f t="shared" si="9"/>
        <v>46 / 1901</v>
      </c>
      <c r="BR18" s="214" t="str">
        <f t="shared" si="9"/>
        <v>47 / 1901</v>
      </c>
      <c r="BS18" s="214" t="str">
        <f t="shared" si="9"/>
        <v>48 / 1901</v>
      </c>
      <c r="BT18" s="214" t="str">
        <f t="shared" si="9"/>
        <v>49 / 1900</v>
      </c>
      <c r="BU18" s="214" t="str">
        <f t="shared" si="9"/>
        <v>50 / 1900</v>
      </c>
      <c r="BV18" s="214" t="str">
        <f t="shared" si="9"/>
        <v>51 / 1900</v>
      </c>
      <c r="BW18" s="214" t="str">
        <f t="shared" si="9"/>
        <v>52 / 1900</v>
      </c>
      <c r="BX18" s="214" t="str">
        <f t="shared" si="9"/>
        <v>53 / 1900</v>
      </c>
      <c r="BY18" s="214" t="str">
        <f t="shared" si="9"/>
        <v>2 / 1900</v>
      </c>
      <c r="BZ18" s="214" t="str">
        <f t="shared" si="9"/>
        <v>3 / 1900</v>
      </c>
      <c r="CA18" s="214" t="str">
        <f t="shared" ref="CA18:CF18" si="10">""&amp;WEEKNUM(BZ17+7,15)&amp;" / "&amp; YEAR(CA16)&amp;""</f>
        <v>21 / 1900</v>
      </c>
      <c r="CB18" s="214" t="str">
        <f t="shared" si="10"/>
        <v>22 / 1900</v>
      </c>
      <c r="CC18" s="214" t="str">
        <f t="shared" si="10"/>
        <v>23 / 1901</v>
      </c>
      <c r="CD18" s="214" t="str">
        <f t="shared" si="10"/>
        <v>24 / 1901</v>
      </c>
      <c r="CE18" s="214" t="str">
        <f t="shared" si="10"/>
        <v>25 / 1901</v>
      </c>
      <c r="CF18" s="214" t="str">
        <f t="shared" si="10"/>
        <v>26 / 1901</v>
      </c>
      <c r="CG18" s="232"/>
      <c r="CH18" s="215" t="str">
        <f>HLOOKUP(LANGUAGE!$B$2,LANGUAGE!$C$14:$G$1500,1263)</f>
        <v>Current date/ week</v>
      </c>
      <c r="CI18" s="216" t="str">
        <f ca="1">""&amp;WEEKNUM(CJ18,21)&amp;" / "&amp;YEAR(CJ18)&amp;""</f>
        <v>32 / 2026</v>
      </c>
      <c r="CJ18" s="217">
        <f ca="1">TODAY()</f>
        <v>46238</v>
      </c>
      <c r="CP18" s="56">
        <v>7</v>
      </c>
      <c r="CQ18" s="56">
        <v>14</v>
      </c>
      <c r="CR18" s="56">
        <v>21</v>
      </c>
      <c r="CS18" s="56">
        <v>28</v>
      </c>
      <c r="CT18" s="56">
        <v>35</v>
      </c>
      <c r="CU18" s="56">
        <v>42</v>
      </c>
      <c r="CV18" s="56">
        <v>49</v>
      </c>
      <c r="CW18" s="56">
        <v>56</v>
      </c>
      <c r="CX18" s="56">
        <v>63</v>
      </c>
      <c r="CY18" s="56">
        <v>70</v>
      </c>
      <c r="CZ18" s="56">
        <v>77</v>
      </c>
      <c r="DA18" s="56">
        <v>84</v>
      </c>
      <c r="DB18" s="56">
        <v>91</v>
      </c>
      <c r="DC18" s="56">
        <v>98</v>
      </c>
      <c r="DD18" s="56">
        <v>105</v>
      </c>
      <c r="DE18" s="56">
        <v>112</v>
      </c>
      <c r="DF18" s="56">
        <v>119</v>
      </c>
      <c r="DG18" s="56">
        <v>126</v>
      </c>
      <c r="DH18" s="56">
        <v>133</v>
      </c>
      <c r="DI18" s="56">
        <v>140</v>
      </c>
      <c r="DJ18" s="56">
        <v>147</v>
      </c>
      <c r="DK18" s="56">
        <v>154</v>
      </c>
      <c r="DL18" s="56">
        <v>161</v>
      </c>
      <c r="DM18" s="56">
        <v>168</v>
      </c>
      <c r="DN18" s="56">
        <v>175</v>
      </c>
      <c r="DO18" s="56">
        <v>182</v>
      </c>
      <c r="DP18" s="56">
        <v>189</v>
      </c>
      <c r="DQ18" s="56">
        <v>196</v>
      </c>
      <c r="DR18" s="56">
        <v>203</v>
      </c>
      <c r="DS18" s="56">
        <v>210</v>
      </c>
      <c r="DT18" s="56">
        <v>217</v>
      </c>
      <c r="DU18" s="56">
        <v>224</v>
      </c>
      <c r="DV18" s="56">
        <v>231</v>
      </c>
      <c r="DW18" s="56">
        <v>238</v>
      </c>
      <c r="DX18" s="56">
        <v>245</v>
      </c>
      <c r="DY18" s="56">
        <v>252</v>
      </c>
      <c r="DZ18" s="56">
        <v>259</v>
      </c>
      <c r="EA18" s="56">
        <v>266</v>
      </c>
      <c r="EB18" s="56">
        <v>273</v>
      </c>
      <c r="EC18" s="56">
        <v>280</v>
      </c>
      <c r="ED18" s="56">
        <v>287</v>
      </c>
      <c r="EE18" s="56">
        <v>294</v>
      </c>
      <c r="EF18" s="56">
        <v>301</v>
      </c>
      <c r="EG18" s="56">
        <v>308</v>
      </c>
      <c r="EH18" s="56">
        <v>315</v>
      </c>
      <c r="EI18" s="56">
        <v>322</v>
      </c>
      <c r="EJ18" s="56">
        <v>329</v>
      </c>
      <c r="EK18" s="56">
        <v>336</v>
      </c>
      <c r="EL18" s="56">
        <v>343</v>
      </c>
      <c r="EM18" s="56">
        <v>350</v>
      </c>
      <c r="EN18" s="56">
        <v>357</v>
      </c>
      <c r="EO18" s="56">
        <v>364</v>
      </c>
      <c r="EP18" s="56">
        <v>371</v>
      </c>
      <c r="EQ18" s="56">
        <v>378</v>
      </c>
      <c r="ER18" s="56">
        <v>385</v>
      </c>
      <c r="ES18" s="56">
        <v>392</v>
      </c>
      <c r="ET18" s="56">
        <v>399</v>
      </c>
      <c r="EU18" s="56">
        <v>406</v>
      </c>
      <c r="EV18" s="56">
        <v>413</v>
      </c>
      <c r="EW18" s="56">
        <v>420</v>
      </c>
      <c r="EX18" s="56">
        <v>427</v>
      </c>
      <c r="EY18" s="56">
        <v>434</v>
      </c>
      <c r="EZ18" s="56">
        <v>441</v>
      </c>
      <c r="FA18" s="56">
        <v>448</v>
      </c>
      <c r="FB18" s="56">
        <v>455</v>
      </c>
      <c r="FC18" s="56">
        <v>462</v>
      </c>
      <c r="FD18" s="56">
        <v>469</v>
      </c>
      <c r="FE18" s="56">
        <v>476</v>
      </c>
      <c r="FF18" s="56">
        <v>483</v>
      </c>
      <c r="FG18" s="56">
        <v>490</v>
      </c>
      <c r="FH18" s="56">
        <v>497</v>
      </c>
      <c r="FI18" s="56">
        <v>504</v>
      </c>
      <c r="FJ18" s="56">
        <v>511</v>
      </c>
      <c r="FK18" s="56">
        <v>518</v>
      </c>
      <c r="FL18" s="56">
        <v>525</v>
      </c>
      <c r="FM18" s="56">
        <v>532</v>
      </c>
      <c r="FN18" s="56">
        <v>539</v>
      </c>
      <c r="FO18" s="56">
        <v>546</v>
      </c>
      <c r="FP18" s="56">
        <v>553</v>
      </c>
      <c r="FQ18" s="56">
        <v>560</v>
      </c>
      <c r="FR18" s="56">
        <v>567</v>
      </c>
      <c r="FS18" s="56">
        <v>574</v>
      </c>
      <c r="FT18" s="56">
        <v>581</v>
      </c>
      <c r="FU18" s="56">
        <v>588</v>
      </c>
      <c r="FV18" s="56">
        <v>595</v>
      </c>
      <c r="FW18" s="56">
        <v>602</v>
      </c>
      <c r="FX18" s="56">
        <v>609</v>
      </c>
      <c r="FY18" s="56">
        <v>616</v>
      </c>
      <c r="FZ18" s="56">
        <v>623</v>
      </c>
      <c r="GA18" s="56">
        <v>630</v>
      </c>
      <c r="GB18" s="56">
        <v>637</v>
      </c>
      <c r="GC18" s="56">
        <v>644</v>
      </c>
      <c r="GD18" s="56">
        <v>651</v>
      </c>
      <c r="GE18" s="56">
        <v>658</v>
      </c>
      <c r="GF18" s="56">
        <v>665</v>
      </c>
      <c r="GG18" s="56">
        <v>672</v>
      </c>
      <c r="GH18" s="56">
        <v>679</v>
      </c>
      <c r="GI18" s="56">
        <v>686</v>
      </c>
      <c r="GJ18" s="56">
        <v>693</v>
      </c>
      <c r="GK18" s="56">
        <v>700</v>
      </c>
    </row>
    <row r="19" spans="1:193" ht="9.6999999999999993" customHeight="1" x14ac:dyDescent="0.25">
      <c r="A19" s="2693" t="s">
        <v>1179</v>
      </c>
      <c r="B19" s="2694"/>
      <c r="C19" s="2699" t="str">
        <f>HLOOKUP(LANGUAGE!$B$2,LANGUAGE!$C$14:$G$1500,1247)</f>
        <v>Action</v>
      </c>
      <c r="D19" s="2700"/>
      <c r="E19" s="212"/>
      <c r="F19" s="2705" t="str">
        <f>HLOOKUP(LANGUAGE!$B$2,LANGUAGE!$C$14:$G$1500,1251)</f>
        <v>CW</v>
      </c>
      <c r="G19" s="2708">
        <v>1</v>
      </c>
      <c r="H19" s="2606">
        <v>2</v>
      </c>
      <c r="I19" s="2606">
        <v>3</v>
      </c>
      <c r="J19" s="2606">
        <v>4</v>
      </c>
      <c r="K19" s="2606">
        <v>5</v>
      </c>
      <c r="L19" s="2606">
        <v>6</v>
      </c>
      <c r="M19" s="2606">
        <v>7</v>
      </c>
      <c r="N19" s="2606">
        <v>8</v>
      </c>
      <c r="O19" s="2606">
        <v>9</v>
      </c>
      <c r="P19" s="2606">
        <v>10</v>
      </c>
      <c r="Q19" s="2606">
        <v>11</v>
      </c>
      <c r="R19" s="2606">
        <v>12</v>
      </c>
      <c r="S19" s="2606">
        <v>13</v>
      </c>
      <c r="T19" s="2606">
        <v>14</v>
      </c>
      <c r="U19" s="2606">
        <v>15</v>
      </c>
      <c r="V19" s="2606">
        <v>16</v>
      </c>
      <c r="W19" s="2606">
        <v>17</v>
      </c>
      <c r="X19" s="2606">
        <v>18</v>
      </c>
      <c r="Y19" s="2606">
        <v>19</v>
      </c>
      <c r="Z19" s="2606">
        <v>20</v>
      </c>
      <c r="AA19" s="2606">
        <v>21</v>
      </c>
      <c r="AB19" s="2606">
        <v>22</v>
      </c>
      <c r="AC19" s="2606">
        <v>23</v>
      </c>
      <c r="AD19" s="2606">
        <v>24</v>
      </c>
      <c r="AE19" s="2606">
        <v>25</v>
      </c>
      <c r="AF19" s="2606">
        <v>26</v>
      </c>
      <c r="AG19" s="2606">
        <v>27</v>
      </c>
      <c r="AH19" s="2606">
        <v>28</v>
      </c>
      <c r="AI19" s="2606">
        <v>29</v>
      </c>
      <c r="AJ19" s="2606">
        <v>30</v>
      </c>
      <c r="AK19" s="2606">
        <v>31</v>
      </c>
      <c r="AL19" s="2606">
        <v>32</v>
      </c>
      <c r="AM19" s="2606">
        <v>33</v>
      </c>
      <c r="AN19" s="2606">
        <v>34</v>
      </c>
      <c r="AO19" s="2606">
        <v>35</v>
      </c>
      <c r="AP19" s="2606">
        <v>36</v>
      </c>
      <c r="AQ19" s="2606">
        <v>37</v>
      </c>
      <c r="AR19" s="2606">
        <v>38</v>
      </c>
      <c r="AS19" s="2606">
        <v>39</v>
      </c>
      <c r="AT19" s="2606">
        <v>40</v>
      </c>
      <c r="AU19" s="2606">
        <v>41</v>
      </c>
      <c r="AV19" s="2606">
        <v>42</v>
      </c>
      <c r="AW19" s="2606">
        <v>43</v>
      </c>
      <c r="AX19" s="2606">
        <v>44</v>
      </c>
      <c r="AY19" s="2606">
        <v>45</v>
      </c>
      <c r="AZ19" s="2606">
        <v>46</v>
      </c>
      <c r="BA19" s="2606">
        <v>47</v>
      </c>
      <c r="BB19" s="2606">
        <v>48</v>
      </c>
      <c r="BC19" s="2606">
        <v>49</v>
      </c>
      <c r="BD19" s="2606">
        <v>50</v>
      </c>
      <c r="BE19" s="2606">
        <v>51</v>
      </c>
      <c r="BF19" s="2606">
        <v>52</v>
      </c>
      <c r="BG19" s="2606">
        <v>53</v>
      </c>
      <c r="BH19" s="2606">
        <v>54</v>
      </c>
      <c r="BI19" s="2606">
        <v>55</v>
      </c>
      <c r="BJ19" s="2606">
        <v>56</v>
      </c>
      <c r="BK19" s="2606">
        <v>57</v>
      </c>
      <c r="BL19" s="2606">
        <v>58</v>
      </c>
      <c r="BM19" s="2606">
        <v>59</v>
      </c>
      <c r="BN19" s="2606">
        <v>60</v>
      </c>
      <c r="BO19" s="2606">
        <v>61</v>
      </c>
      <c r="BP19" s="2606">
        <v>62</v>
      </c>
      <c r="BQ19" s="2606">
        <v>63</v>
      </c>
      <c r="BR19" s="2606">
        <v>64</v>
      </c>
      <c r="BS19" s="2606">
        <v>65</v>
      </c>
      <c r="BT19" s="2606">
        <v>66</v>
      </c>
      <c r="BU19" s="2606">
        <v>67</v>
      </c>
      <c r="BV19" s="2606">
        <v>68</v>
      </c>
      <c r="BW19" s="2606">
        <v>69</v>
      </c>
      <c r="BX19" s="2606">
        <v>70</v>
      </c>
      <c r="BY19" s="2606">
        <v>71</v>
      </c>
      <c r="BZ19" s="2606">
        <v>72</v>
      </c>
      <c r="CA19" s="2606">
        <v>73</v>
      </c>
      <c r="CB19" s="2606">
        <v>74</v>
      </c>
      <c r="CC19" s="2606">
        <v>75</v>
      </c>
      <c r="CD19" s="2606">
        <v>76</v>
      </c>
      <c r="CE19" s="2606">
        <v>77</v>
      </c>
      <c r="CF19" s="2606">
        <v>78</v>
      </c>
      <c r="CG19" s="233" t="s">
        <v>2251</v>
      </c>
      <c r="CH19" s="2655" t="str">
        <f>HLOOKUP(LANGUAGE!$B$2,LANGUAGE!$C$14:$G$1500,1257)</f>
        <v>Start date</v>
      </c>
      <c r="CI19" s="2655" t="str">
        <f>HLOOKUP(LANGUAGE!$B$2,LANGUAGE!$C$14:$G$1500,1259)</f>
        <v>End date</v>
      </c>
      <c r="CJ19" s="2670" t="str">
        <f>HLOOKUP(LANGUAGE!$B$2,LANGUAGE!$C$14:$G$1500,1261)</f>
        <v>Status date</v>
      </c>
    </row>
    <row r="20" spans="1:193" ht="9.6999999999999993" customHeight="1" x14ac:dyDescent="0.25">
      <c r="A20" s="2695"/>
      <c r="B20" s="2696"/>
      <c r="C20" s="2701"/>
      <c r="D20" s="2702"/>
      <c r="E20" s="210"/>
      <c r="F20" s="2706"/>
      <c r="G20" s="2709"/>
      <c r="H20" s="2607"/>
      <c r="I20" s="2607"/>
      <c r="J20" s="2607"/>
      <c r="K20" s="2607"/>
      <c r="L20" s="2607"/>
      <c r="M20" s="2607"/>
      <c r="N20" s="2607"/>
      <c r="O20" s="2607"/>
      <c r="P20" s="2607"/>
      <c r="Q20" s="2607"/>
      <c r="R20" s="2607"/>
      <c r="S20" s="2607"/>
      <c r="T20" s="2607"/>
      <c r="U20" s="2607"/>
      <c r="V20" s="2607"/>
      <c r="W20" s="2607"/>
      <c r="X20" s="2607"/>
      <c r="Y20" s="2607"/>
      <c r="Z20" s="2607"/>
      <c r="AA20" s="2607"/>
      <c r="AB20" s="2607"/>
      <c r="AC20" s="2607"/>
      <c r="AD20" s="2607"/>
      <c r="AE20" s="2607"/>
      <c r="AF20" s="2607"/>
      <c r="AG20" s="2607"/>
      <c r="AH20" s="2607"/>
      <c r="AI20" s="2607"/>
      <c r="AJ20" s="2607"/>
      <c r="AK20" s="2607"/>
      <c r="AL20" s="2607"/>
      <c r="AM20" s="2607"/>
      <c r="AN20" s="2607"/>
      <c r="AO20" s="2607"/>
      <c r="AP20" s="2607"/>
      <c r="AQ20" s="2607"/>
      <c r="AR20" s="2607"/>
      <c r="AS20" s="2607"/>
      <c r="AT20" s="2607"/>
      <c r="AU20" s="2607"/>
      <c r="AV20" s="2607"/>
      <c r="AW20" s="2607"/>
      <c r="AX20" s="2607"/>
      <c r="AY20" s="2607"/>
      <c r="AZ20" s="2607"/>
      <c r="BA20" s="2607"/>
      <c r="BB20" s="2607"/>
      <c r="BC20" s="2607"/>
      <c r="BD20" s="2607"/>
      <c r="BE20" s="2607"/>
      <c r="BF20" s="2607"/>
      <c r="BG20" s="2607"/>
      <c r="BH20" s="2607"/>
      <c r="BI20" s="2607"/>
      <c r="BJ20" s="2607"/>
      <c r="BK20" s="2607"/>
      <c r="BL20" s="2607"/>
      <c r="BM20" s="2607"/>
      <c r="BN20" s="2607"/>
      <c r="BO20" s="2607"/>
      <c r="BP20" s="2607"/>
      <c r="BQ20" s="2607"/>
      <c r="BR20" s="2607"/>
      <c r="BS20" s="2607"/>
      <c r="BT20" s="2607"/>
      <c r="BU20" s="2607"/>
      <c r="BV20" s="2607"/>
      <c r="BW20" s="2607"/>
      <c r="BX20" s="2607"/>
      <c r="BY20" s="2607"/>
      <c r="BZ20" s="2607"/>
      <c r="CA20" s="2607"/>
      <c r="CB20" s="2607"/>
      <c r="CC20" s="2607"/>
      <c r="CD20" s="2607"/>
      <c r="CE20" s="2607"/>
      <c r="CF20" s="2607"/>
      <c r="CG20" s="234" t="s">
        <v>2254</v>
      </c>
      <c r="CH20" s="2656"/>
      <c r="CI20" s="2656"/>
      <c r="CJ20" s="2671"/>
      <c r="CK20" s="56"/>
      <c r="CL20" s="56"/>
      <c r="CM20" s="56"/>
      <c r="CN20" s="56"/>
      <c r="CO20" s="56"/>
      <c r="CP20" s="56"/>
      <c r="CQ20" s="56"/>
    </row>
    <row r="21" spans="1:193" ht="9.6999999999999993" customHeight="1" thickBot="1" x14ac:dyDescent="0.3">
      <c r="A21" s="2697"/>
      <c r="B21" s="2698"/>
      <c r="C21" s="2703"/>
      <c r="D21" s="2704"/>
      <c r="E21" s="213"/>
      <c r="F21" s="2707"/>
      <c r="G21" s="2710"/>
      <c r="H21" s="2608"/>
      <c r="I21" s="2608"/>
      <c r="J21" s="2608"/>
      <c r="K21" s="2608"/>
      <c r="L21" s="2608"/>
      <c r="M21" s="2608"/>
      <c r="N21" s="2608"/>
      <c r="O21" s="2608"/>
      <c r="P21" s="2608"/>
      <c r="Q21" s="2608"/>
      <c r="R21" s="2608"/>
      <c r="S21" s="2608"/>
      <c r="T21" s="2608"/>
      <c r="U21" s="2608"/>
      <c r="V21" s="2608"/>
      <c r="W21" s="2608"/>
      <c r="X21" s="2608"/>
      <c r="Y21" s="2608"/>
      <c r="Z21" s="2608"/>
      <c r="AA21" s="2608"/>
      <c r="AB21" s="2608"/>
      <c r="AC21" s="2608"/>
      <c r="AD21" s="2608"/>
      <c r="AE21" s="2608"/>
      <c r="AF21" s="2608"/>
      <c r="AG21" s="2608"/>
      <c r="AH21" s="2608"/>
      <c r="AI21" s="2608"/>
      <c r="AJ21" s="2608"/>
      <c r="AK21" s="2608"/>
      <c r="AL21" s="2608"/>
      <c r="AM21" s="2608"/>
      <c r="AN21" s="2608"/>
      <c r="AO21" s="2608"/>
      <c r="AP21" s="2608"/>
      <c r="AQ21" s="2608"/>
      <c r="AR21" s="2608"/>
      <c r="AS21" s="2608"/>
      <c r="AT21" s="2608"/>
      <c r="AU21" s="2608"/>
      <c r="AV21" s="2608"/>
      <c r="AW21" s="2608"/>
      <c r="AX21" s="2608"/>
      <c r="AY21" s="2608"/>
      <c r="AZ21" s="2608"/>
      <c r="BA21" s="2608"/>
      <c r="BB21" s="2608"/>
      <c r="BC21" s="2608"/>
      <c r="BD21" s="2608"/>
      <c r="BE21" s="2608"/>
      <c r="BF21" s="2608"/>
      <c r="BG21" s="2608"/>
      <c r="BH21" s="2608"/>
      <c r="BI21" s="2608"/>
      <c r="BJ21" s="2608"/>
      <c r="BK21" s="2608"/>
      <c r="BL21" s="2608"/>
      <c r="BM21" s="2608"/>
      <c r="BN21" s="2608"/>
      <c r="BO21" s="2608"/>
      <c r="BP21" s="2608"/>
      <c r="BQ21" s="2608"/>
      <c r="BR21" s="2608"/>
      <c r="BS21" s="2608"/>
      <c r="BT21" s="2608"/>
      <c r="BU21" s="2608"/>
      <c r="BV21" s="2608"/>
      <c r="BW21" s="2608"/>
      <c r="BX21" s="2608"/>
      <c r="BY21" s="2608"/>
      <c r="BZ21" s="2608"/>
      <c r="CA21" s="2608"/>
      <c r="CB21" s="2608"/>
      <c r="CC21" s="2608"/>
      <c r="CD21" s="2608"/>
      <c r="CE21" s="2608"/>
      <c r="CF21" s="2608"/>
      <c r="CG21" s="235" t="s">
        <v>2255</v>
      </c>
      <c r="CH21" s="2657"/>
      <c r="CI21" s="2657"/>
      <c r="CJ21" s="2672"/>
      <c r="CK21" s="56" t="s">
        <v>754</v>
      </c>
      <c r="CL21" s="56" t="s">
        <v>756</v>
      </c>
      <c r="CM21" s="56" t="s">
        <v>2256</v>
      </c>
      <c r="CN21" s="56" t="s">
        <v>2257</v>
      </c>
      <c r="CO21" s="56" t="s">
        <v>754</v>
      </c>
      <c r="CP21" s="56" t="s">
        <v>756</v>
      </c>
      <c r="CQ21" s="56" t="s">
        <v>2257</v>
      </c>
    </row>
    <row r="22" spans="1:193" ht="18" customHeight="1" x14ac:dyDescent="0.25">
      <c r="A22" s="2673" t="s">
        <v>2258</v>
      </c>
      <c r="B22" s="2674"/>
      <c r="C22" s="2675" t="str">
        <f>HLOOKUP(LANGUAGE!$B$2,LANGUAGE!$C$14:$G$1500,1210)</f>
        <v>Preparation for machining and equipment</v>
      </c>
      <c r="D22" s="2676"/>
      <c r="E22" s="2677"/>
      <c r="F22" s="223" t="str">
        <f>HLOOKUP(LANGUAGE!$B$2,LANGUAGE!$C$14:$G$1500,1253)</f>
        <v>Target</v>
      </c>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356"/>
      <c r="BF22" s="356"/>
      <c r="BG22" s="356"/>
      <c r="BH22" s="356"/>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44" t="e">
        <f ca="1">CN23/CM22</f>
        <v>#VALUE!</v>
      </c>
      <c r="CH22" s="345"/>
      <c r="CI22" s="346"/>
      <c r="CJ22" s="347"/>
      <c r="CK22" s="56">
        <f t="shared" ref="CK22:CK63" si="11">WEEKNUM(CH22,2)</f>
        <v>1</v>
      </c>
      <c r="CL22" s="56">
        <f t="shared" ref="CL22:CL63" si="12">WEEKNUM(CI22,2)</f>
        <v>1</v>
      </c>
      <c r="CM22" s="56">
        <f t="shared" ref="CM22:CM63" si="13">CL22-CK22</f>
        <v>0</v>
      </c>
      <c r="CN22" s="56"/>
      <c r="CO22" s="59">
        <f t="shared" ref="CO22:CO63" si="14">CH22+2-WEEKDAY(CH22)</f>
        <v>-5</v>
      </c>
      <c r="CP22" s="59">
        <f t="shared" ref="CP22:CP63" si="15">CI22+2-WEEKDAY(CI22)</f>
        <v>-5</v>
      </c>
      <c r="CQ22" s="56"/>
    </row>
    <row r="23" spans="1:193" ht="18" customHeight="1" x14ac:dyDescent="0.25">
      <c r="A23" s="2661"/>
      <c r="B23" s="2663"/>
      <c r="C23" s="2667"/>
      <c r="D23" s="2668"/>
      <c r="E23" s="2669"/>
      <c r="F23" s="792" t="str">
        <f>HLOOKUP(LANGUAGE!$B$2,LANGUAGE!$C$14:$G$1500,1255)</f>
        <v>Is</v>
      </c>
      <c r="G23" s="516"/>
      <c r="H23" s="516"/>
      <c r="I23" s="516"/>
      <c r="J23" s="516"/>
      <c r="K23" s="516"/>
      <c r="L23" s="516"/>
      <c r="M23" s="516"/>
      <c r="N23" s="516"/>
      <c r="O23" s="516"/>
      <c r="P23" s="516"/>
      <c r="Q23" s="516"/>
      <c r="R23" s="516"/>
      <c r="S23" s="516"/>
      <c r="T23" s="516"/>
      <c r="U23" s="516"/>
      <c r="V23" s="516"/>
      <c r="W23" s="516"/>
      <c r="X23" s="516"/>
      <c r="Y23" s="516"/>
      <c r="Z23" s="516"/>
      <c r="AA23" s="516"/>
      <c r="AB23" s="516"/>
      <c r="AC23" s="516"/>
      <c r="AD23" s="516"/>
      <c r="AE23" s="516"/>
      <c r="AF23" s="516"/>
      <c r="AG23" s="516"/>
      <c r="AH23" s="516"/>
      <c r="AI23" s="516"/>
      <c r="AJ23" s="516"/>
      <c r="AK23" s="516"/>
      <c r="AL23" s="516"/>
      <c r="AM23" s="516"/>
      <c r="AN23" s="516"/>
      <c r="AO23" s="516"/>
      <c r="AP23" s="516"/>
      <c r="AQ23" s="516"/>
      <c r="AR23" s="516"/>
      <c r="AS23" s="516"/>
      <c r="AT23" s="516"/>
      <c r="AU23" s="516"/>
      <c r="AV23" s="516"/>
      <c r="AW23" s="516"/>
      <c r="AX23" s="516"/>
      <c r="AY23" s="516"/>
      <c r="AZ23" s="516"/>
      <c r="BA23" s="516"/>
      <c r="BB23" s="516"/>
      <c r="BC23" s="516"/>
      <c r="BD23" s="516"/>
      <c r="BE23" s="516"/>
      <c r="BF23" s="516"/>
      <c r="BG23" s="516"/>
      <c r="BH23" s="516"/>
      <c r="BI23" s="516"/>
      <c r="BJ23" s="516"/>
      <c r="BK23" s="516"/>
      <c r="BL23" s="516"/>
      <c r="BM23" s="516"/>
      <c r="BN23" s="516"/>
      <c r="BO23" s="516"/>
      <c r="BP23" s="516"/>
      <c r="BQ23" s="516"/>
      <c r="BR23" s="516"/>
      <c r="BS23" s="516"/>
      <c r="BT23" s="516"/>
      <c r="BU23" s="516"/>
      <c r="BV23" s="516"/>
      <c r="BW23" s="516"/>
      <c r="BX23" s="516"/>
      <c r="BY23" s="516"/>
      <c r="BZ23" s="516"/>
      <c r="CA23" s="516"/>
      <c r="CB23" s="516"/>
      <c r="CC23" s="516"/>
      <c r="CD23" s="516"/>
      <c r="CE23" s="516"/>
      <c r="CF23" s="516"/>
      <c r="CG23" s="348">
        <v>0.2</v>
      </c>
      <c r="CH23" s="793"/>
      <c r="CI23" s="349"/>
      <c r="CJ23" s="794"/>
      <c r="CK23" s="56">
        <f t="shared" si="11"/>
        <v>1</v>
      </c>
      <c r="CL23" s="56">
        <f t="shared" si="12"/>
        <v>1</v>
      </c>
      <c r="CM23" s="56">
        <f t="shared" si="13"/>
        <v>0</v>
      </c>
      <c r="CN23" s="56" t="e">
        <f t="shared" ref="CN23:CN63" ca="1" si="16">$CI$18-CK23</f>
        <v>#VALUE!</v>
      </c>
      <c r="CO23" s="59">
        <f t="shared" si="14"/>
        <v>-5</v>
      </c>
      <c r="CP23" s="59">
        <f t="shared" si="15"/>
        <v>-5</v>
      </c>
      <c r="CQ23" s="59">
        <f t="shared" ref="CQ23:CQ63" si="17">CJ23+2-WEEKDAY(CJ23)</f>
        <v>-5</v>
      </c>
    </row>
    <row r="24" spans="1:193" ht="18" customHeight="1" x14ac:dyDescent="0.25">
      <c r="A24" s="2660" t="s">
        <v>2259</v>
      </c>
      <c r="B24" s="2662"/>
      <c r="C24" s="2664" t="str">
        <f>HLOOKUP(LANGUAGE!$B$2,LANGUAGE!$C$14:$G$1500,1211)</f>
        <v>Planing sub-supplier managment</v>
      </c>
      <c r="D24" s="2665"/>
      <c r="E24" s="2665"/>
      <c r="F24" s="792" t="str">
        <f>HLOOKUP(LANGUAGE!$B$2,LANGUAGE!$C$14:$G$1500,1253)</f>
        <v>Target</v>
      </c>
      <c r="G24" s="780"/>
      <c r="H24" s="780"/>
      <c r="I24" s="780"/>
      <c r="J24" s="780"/>
      <c r="K24" s="780"/>
      <c r="L24" s="780"/>
      <c r="M24" s="780"/>
      <c r="N24" s="780"/>
      <c r="O24" s="780"/>
      <c r="P24" s="780"/>
      <c r="Q24" s="780"/>
      <c r="R24" s="780"/>
      <c r="S24" s="780"/>
      <c r="T24" s="780"/>
      <c r="U24" s="780"/>
      <c r="V24" s="780"/>
      <c r="W24" s="780"/>
      <c r="X24" s="780"/>
      <c r="Y24" s="780"/>
      <c r="Z24" s="780"/>
      <c r="AA24" s="780"/>
      <c r="AB24" s="780"/>
      <c r="AC24" s="780"/>
      <c r="AD24" s="780"/>
      <c r="AE24" s="780"/>
      <c r="AF24" s="780"/>
      <c r="AG24" s="780"/>
      <c r="AH24" s="780"/>
      <c r="AI24" s="780"/>
      <c r="AJ24" s="780"/>
      <c r="AK24" s="780"/>
      <c r="AL24" s="780"/>
      <c r="AM24" s="780"/>
      <c r="AN24" s="780"/>
      <c r="AO24" s="780"/>
      <c r="AP24" s="780"/>
      <c r="AQ24" s="780"/>
      <c r="AR24" s="780"/>
      <c r="AS24" s="780"/>
      <c r="AT24" s="780"/>
      <c r="AU24" s="780"/>
      <c r="AV24" s="780"/>
      <c r="AW24" s="780"/>
      <c r="AX24" s="780"/>
      <c r="AY24" s="780"/>
      <c r="AZ24" s="780"/>
      <c r="BA24" s="780"/>
      <c r="BB24" s="780"/>
      <c r="BC24" s="780"/>
      <c r="BD24" s="780"/>
      <c r="BE24" s="780"/>
      <c r="BF24" s="780"/>
      <c r="BG24" s="780"/>
      <c r="BH24" s="780"/>
      <c r="BI24" s="780"/>
      <c r="BJ24" s="780"/>
      <c r="BK24" s="780"/>
      <c r="BL24" s="780"/>
      <c r="BM24" s="780"/>
      <c r="BN24" s="780"/>
      <c r="BO24" s="780"/>
      <c r="BP24" s="780"/>
      <c r="BQ24" s="780"/>
      <c r="BR24" s="780"/>
      <c r="BS24" s="780"/>
      <c r="BT24" s="780"/>
      <c r="BU24" s="780"/>
      <c r="BV24" s="780"/>
      <c r="BW24" s="780"/>
      <c r="BX24" s="780"/>
      <c r="BY24" s="780"/>
      <c r="BZ24" s="780"/>
      <c r="CA24" s="780"/>
      <c r="CB24" s="780"/>
      <c r="CC24" s="780"/>
      <c r="CD24" s="780"/>
      <c r="CE24" s="780"/>
      <c r="CF24" s="780"/>
      <c r="CG24" s="2658">
        <v>0</v>
      </c>
      <c r="CH24" s="350"/>
      <c r="CI24" s="349"/>
      <c r="CJ24" s="351"/>
      <c r="CK24" s="56">
        <f t="shared" si="11"/>
        <v>1</v>
      </c>
      <c r="CL24" s="56">
        <f t="shared" si="12"/>
        <v>1</v>
      </c>
      <c r="CM24" s="56">
        <f t="shared" si="13"/>
        <v>0</v>
      </c>
      <c r="CN24" s="56" t="e">
        <f t="shared" ca="1" si="16"/>
        <v>#VALUE!</v>
      </c>
      <c r="CO24" s="59">
        <f t="shared" si="14"/>
        <v>-5</v>
      </c>
      <c r="CP24" s="59">
        <f t="shared" si="15"/>
        <v>-5</v>
      </c>
      <c r="CQ24" s="59">
        <f t="shared" si="17"/>
        <v>-5</v>
      </c>
    </row>
    <row r="25" spans="1:193" ht="18" customHeight="1" x14ac:dyDescent="0.25">
      <c r="A25" s="2661"/>
      <c r="B25" s="2663"/>
      <c r="C25" s="2667"/>
      <c r="D25" s="2668"/>
      <c r="E25" s="2668"/>
      <c r="F25" s="792" t="str">
        <f>HLOOKUP(LANGUAGE!$B$2,LANGUAGE!$C$14:$G$1500,1255)</f>
        <v>Is</v>
      </c>
      <c r="G25" s="516"/>
      <c r="H25" s="516"/>
      <c r="I25" s="516"/>
      <c r="J25" s="516"/>
      <c r="K25" s="516"/>
      <c r="L25" s="516"/>
      <c r="M25" s="516"/>
      <c r="N25" s="516"/>
      <c r="O25" s="516"/>
      <c r="P25" s="516"/>
      <c r="Q25" s="516"/>
      <c r="R25" s="516"/>
      <c r="S25" s="516"/>
      <c r="T25" s="516"/>
      <c r="U25" s="516"/>
      <c r="V25" s="516"/>
      <c r="W25" s="516"/>
      <c r="X25" s="516"/>
      <c r="Y25" s="516"/>
      <c r="Z25" s="516"/>
      <c r="AA25" s="516"/>
      <c r="AB25" s="516"/>
      <c r="AC25" s="516"/>
      <c r="AD25" s="516"/>
      <c r="AE25" s="516"/>
      <c r="AF25" s="516"/>
      <c r="AG25" s="516"/>
      <c r="AH25" s="516"/>
      <c r="AI25" s="516"/>
      <c r="AJ25" s="516"/>
      <c r="AK25" s="516"/>
      <c r="AL25" s="516"/>
      <c r="AM25" s="516"/>
      <c r="AN25" s="516"/>
      <c r="AO25" s="516"/>
      <c r="AP25" s="516"/>
      <c r="AQ25" s="516"/>
      <c r="AR25" s="516"/>
      <c r="AS25" s="516"/>
      <c r="AT25" s="516"/>
      <c r="AU25" s="516"/>
      <c r="AV25" s="516"/>
      <c r="AW25" s="516"/>
      <c r="AX25" s="516"/>
      <c r="AY25" s="516"/>
      <c r="AZ25" s="516"/>
      <c r="BA25" s="516"/>
      <c r="BB25" s="516"/>
      <c r="BC25" s="516"/>
      <c r="BD25" s="516"/>
      <c r="BE25" s="516"/>
      <c r="BF25" s="516"/>
      <c r="BG25" s="516"/>
      <c r="BH25" s="516"/>
      <c r="BI25" s="516"/>
      <c r="BJ25" s="516"/>
      <c r="BK25" s="516"/>
      <c r="BL25" s="516"/>
      <c r="BM25" s="516"/>
      <c r="BN25" s="516"/>
      <c r="BO25" s="516"/>
      <c r="BP25" s="516"/>
      <c r="BQ25" s="516"/>
      <c r="BR25" s="516"/>
      <c r="BS25" s="516"/>
      <c r="BT25" s="516"/>
      <c r="BU25" s="516"/>
      <c r="BV25" s="516"/>
      <c r="BW25" s="516"/>
      <c r="BX25" s="516"/>
      <c r="BY25" s="516"/>
      <c r="BZ25" s="516"/>
      <c r="CA25" s="516"/>
      <c r="CB25" s="516"/>
      <c r="CC25" s="516"/>
      <c r="CD25" s="516"/>
      <c r="CE25" s="516"/>
      <c r="CF25" s="516"/>
      <c r="CG25" s="2659"/>
      <c r="CH25" s="350"/>
      <c r="CI25" s="349"/>
      <c r="CJ25" s="352"/>
      <c r="CK25" s="56">
        <f t="shared" si="11"/>
        <v>1</v>
      </c>
      <c r="CL25" s="56">
        <f t="shared" si="12"/>
        <v>1</v>
      </c>
      <c r="CM25" s="56">
        <f t="shared" si="13"/>
        <v>0</v>
      </c>
      <c r="CN25" s="56" t="e">
        <f t="shared" ca="1" si="16"/>
        <v>#VALUE!</v>
      </c>
      <c r="CO25" s="59">
        <f t="shared" si="14"/>
        <v>-5</v>
      </c>
      <c r="CP25" s="59">
        <f t="shared" si="15"/>
        <v>-5</v>
      </c>
      <c r="CQ25" s="59">
        <f t="shared" si="17"/>
        <v>-5</v>
      </c>
    </row>
    <row r="26" spans="1:193" ht="18" customHeight="1" x14ac:dyDescent="0.25">
      <c r="A26" s="2660" t="s">
        <v>2260</v>
      </c>
      <c r="B26" s="2464"/>
      <c r="C26" s="2466" t="str">
        <f>HLOOKUP(LANGUAGE!$B$2,LANGUAGE!$C$14:$G$1500,1212)</f>
        <v>SQG 1
(max. 4 Weeks after assignment)</v>
      </c>
      <c r="D26" s="2467"/>
      <c r="E26" s="2468"/>
      <c r="F26" s="795" t="str">
        <f>HLOOKUP(LANGUAGE!$B$2,LANGUAGE!$C$14:$G$1500,1253)</f>
        <v>Target</v>
      </c>
      <c r="G26" s="784"/>
      <c r="H26" s="784"/>
      <c r="I26" s="784"/>
      <c r="J26" s="784"/>
      <c r="K26" s="784"/>
      <c r="L26" s="784"/>
      <c r="M26" s="784"/>
      <c r="N26" s="784"/>
      <c r="O26" s="784"/>
      <c r="P26" s="784"/>
      <c r="Q26" s="784"/>
      <c r="R26" s="784"/>
      <c r="S26" s="784"/>
      <c r="T26" s="784"/>
      <c r="U26" s="784"/>
      <c r="V26" s="784"/>
      <c r="W26" s="784"/>
      <c r="X26" s="784"/>
      <c r="Y26" s="784"/>
      <c r="Z26" s="784"/>
      <c r="AA26" s="784"/>
      <c r="AB26" s="784"/>
      <c r="AC26" s="784"/>
      <c r="AD26" s="784"/>
      <c r="AE26" s="784"/>
      <c r="AF26" s="784"/>
      <c r="AG26" s="784"/>
      <c r="AH26" s="784"/>
      <c r="AI26" s="784"/>
      <c r="AJ26" s="784"/>
      <c r="AK26" s="784"/>
      <c r="AL26" s="784"/>
      <c r="AM26" s="784"/>
      <c r="AN26" s="784"/>
      <c r="AO26" s="784"/>
      <c r="AP26" s="784"/>
      <c r="AQ26" s="784"/>
      <c r="AR26" s="784"/>
      <c r="AS26" s="784"/>
      <c r="AT26" s="784"/>
      <c r="AU26" s="784"/>
      <c r="AV26" s="784"/>
      <c r="AW26" s="784"/>
      <c r="AX26" s="784"/>
      <c r="AY26" s="784"/>
      <c r="AZ26" s="784"/>
      <c r="BA26" s="784"/>
      <c r="BB26" s="784"/>
      <c r="BC26" s="784"/>
      <c r="BD26" s="784"/>
      <c r="BE26" s="784"/>
      <c r="BF26" s="784"/>
      <c r="BG26" s="784"/>
      <c r="BH26" s="784"/>
      <c r="BI26" s="784"/>
      <c r="BJ26" s="784"/>
      <c r="BK26" s="784"/>
      <c r="BL26" s="784"/>
      <c r="BM26" s="784"/>
      <c r="BN26" s="784"/>
      <c r="BO26" s="784"/>
      <c r="BP26" s="784"/>
      <c r="BQ26" s="784"/>
      <c r="BR26" s="784"/>
      <c r="BS26" s="784"/>
      <c r="BT26" s="784"/>
      <c r="BU26" s="784"/>
      <c r="BV26" s="784"/>
      <c r="BW26" s="784"/>
      <c r="BX26" s="784"/>
      <c r="BY26" s="784"/>
      <c r="BZ26" s="784"/>
      <c r="CA26" s="784"/>
      <c r="CB26" s="784"/>
      <c r="CC26" s="784"/>
      <c r="CD26" s="784"/>
      <c r="CE26" s="784"/>
      <c r="CF26" s="784"/>
      <c r="CG26" s="2658">
        <v>0</v>
      </c>
      <c r="CH26" s="350"/>
      <c r="CI26" s="349"/>
      <c r="CJ26" s="351"/>
      <c r="CK26" s="56">
        <f t="shared" si="11"/>
        <v>1</v>
      </c>
      <c r="CL26" s="56">
        <f t="shared" si="12"/>
        <v>1</v>
      </c>
      <c r="CM26" s="56">
        <f t="shared" si="13"/>
        <v>0</v>
      </c>
      <c r="CN26" s="56" t="e">
        <f t="shared" ca="1" si="16"/>
        <v>#VALUE!</v>
      </c>
      <c r="CO26" s="59">
        <f t="shared" si="14"/>
        <v>-5</v>
      </c>
      <c r="CP26" s="59">
        <f t="shared" si="15"/>
        <v>-5</v>
      </c>
      <c r="CQ26" s="59">
        <f t="shared" si="17"/>
        <v>-5</v>
      </c>
    </row>
    <row r="27" spans="1:193" ht="18" customHeight="1" x14ac:dyDescent="0.25">
      <c r="A27" s="2661"/>
      <c r="B27" s="2465"/>
      <c r="C27" s="834"/>
      <c r="D27" s="835"/>
      <c r="E27" s="836"/>
      <c r="F27" s="795" t="str">
        <f>HLOOKUP(LANGUAGE!$B$2,LANGUAGE!$C$14:$G$1500,1255)</f>
        <v>Is</v>
      </c>
      <c r="G27" s="784"/>
      <c r="H27" s="784"/>
      <c r="I27" s="784"/>
      <c r="J27" s="784"/>
      <c r="K27" s="784"/>
      <c r="L27" s="784"/>
      <c r="M27" s="784"/>
      <c r="N27" s="784"/>
      <c r="O27" s="784"/>
      <c r="P27" s="784"/>
      <c r="Q27" s="784"/>
      <c r="R27" s="784"/>
      <c r="S27" s="784"/>
      <c r="T27" s="784"/>
      <c r="U27" s="784"/>
      <c r="V27" s="784"/>
      <c r="W27" s="784"/>
      <c r="X27" s="784"/>
      <c r="Y27" s="784"/>
      <c r="Z27" s="784"/>
      <c r="AA27" s="784"/>
      <c r="AB27" s="784"/>
      <c r="AC27" s="784"/>
      <c r="AD27" s="784"/>
      <c r="AE27" s="784"/>
      <c r="AF27" s="784"/>
      <c r="AG27" s="784"/>
      <c r="AH27" s="784"/>
      <c r="AI27" s="784"/>
      <c r="AJ27" s="784"/>
      <c r="AK27" s="784"/>
      <c r="AL27" s="784"/>
      <c r="AM27" s="784"/>
      <c r="AN27" s="784"/>
      <c r="AO27" s="784"/>
      <c r="AP27" s="784"/>
      <c r="AQ27" s="784"/>
      <c r="AR27" s="784"/>
      <c r="AS27" s="784"/>
      <c r="AT27" s="784"/>
      <c r="AU27" s="784"/>
      <c r="AV27" s="784"/>
      <c r="AW27" s="784"/>
      <c r="AX27" s="784"/>
      <c r="AY27" s="784"/>
      <c r="AZ27" s="784"/>
      <c r="BA27" s="784"/>
      <c r="BB27" s="784"/>
      <c r="BC27" s="784"/>
      <c r="BD27" s="784"/>
      <c r="BE27" s="784"/>
      <c r="BF27" s="784"/>
      <c r="BG27" s="784"/>
      <c r="BH27" s="784"/>
      <c r="BI27" s="784"/>
      <c r="BJ27" s="784"/>
      <c r="BK27" s="784"/>
      <c r="BL27" s="784"/>
      <c r="BM27" s="784"/>
      <c r="BN27" s="784"/>
      <c r="BO27" s="784"/>
      <c r="BP27" s="784"/>
      <c r="BQ27" s="784"/>
      <c r="BR27" s="784"/>
      <c r="BS27" s="784"/>
      <c r="BT27" s="784"/>
      <c r="BU27" s="784"/>
      <c r="BV27" s="784"/>
      <c r="BW27" s="784"/>
      <c r="BX27" s="784"/>
      <c r="BY27" s="784"/>
      <c r="BZ27" s="784"/>
      <c r="CA27" s="784"/>
      <c r="CB27" s="784"/>
      <c r="CC27" s="784"/>
      <c r="CD27" s="784"/>
      <c r="CE27" s="784"/>
      <c r="CF27" s="784"/>
      <c r="CG27" s="2659"/>
      <c r="CH27" s="350"/>
      <c r="CI27" s="349"/>
      <c r="CJ27" s="352"/>
      <c r="CK27" s="56">
        <f t="shared" si="11"/>
        <v>1</v>
      </c>
      <c r="CL27" s="56">
        <f t="shared" si="12"/>
        <v>1</v>
      </c>
      <c r="CM27" s="56">
        <f t="shared" si="13"/>
        <v>0</v>
      </c>
      <c r="CN27" s="56" t="e">
        <f t="shared" ca="1" si="16"/>
        <v>#VALUE!</v>
      </c>
      <c r="CO27" s="59">
        <f t="shared" si="14"/>
        <v>-5</v>
      </c>
      <c r="CP27" s="59">
        <f t="shared" si="15"/>
        <v>-5</v>
      </c>
      <c r="CQ27" s="59">
        <f t="shared" si="17"/>
        <v>-5</v>
      </c>
    </row>
    <row r="28" spans="1:193" ht="18" customHeight="1" x14ac:dyDescent="0.25">
      <c r="A28" s="2660" t="s">
        <v>2261</v>
      </c>
      <c r="B28" s="2662"/>
      <c r="C28" s="2664" t="str">
        <f>HLOOKUP(LANGUAGE!$B$2,LANGUAGE!$C$14:$G$1500,1213)</f>
        <v>Material order for production</v>
      </c>
      <c r="D28" s="2665"/>
      <c r="E28" s="2666"/>
      <c r="F28" s="792" t="str">
        <f>HLOOKUP(LANGUAGE!$B$2,LANGUAGE!$C$14:$G$1500,1253)</f>
        <v>Target</v>
      </c>
      <c r="G28" s="780"/>
      <c r="H28" s="780"/>
      <c r="I28" s="780"/>
      <c r="J28" s="780"/>
      <c r="K28" s="780"/>
      <c r="L28" s="780"/>
      <c r="M28" s="780"/>
      <c r="N28" s="780"/>
      <c r="O28" s="780"/>
      <c r="P28" s="780"/>
      <c r="Q28" s="780"/>
      <c r="R28" s="780"/>
      <c r="S28" s="780"/>
      <c r="T28" s="780"/>
      <c r="U28" s="780"/>
      <c r="V28" s="780"/>
      <c r="W28" s="780"/>
      <c r="X28" s="780"/>
      <c r="Y28" s="780"/>
      <c r="Z28" s="780"/>
      <c r="AA28" s="780"/>
      <c r="AB28" s="780"/>
      <c r="AC28" s="780"/>
      <c r="AD28" s="780"/>
      <c r="AE28" s="780"/>
      <c r="AF28" s="780"/>
      <c r="AG28" s="780"/>
      <c r="AH28" s="780"/>
      <c r="AI28" s="780"/>
      <c r="AJ28" s="780"/>
      <c r="AK28" s="780"/>
      <c r="AL28" s="780"/>
      <c r="AM28" s="780"/>
      <c r="AN28" s="780"/>
      <c r="AO28" s="780"/>
      <c r="AP28" s="780"/>
      <c r="AQ28" s="780"/>
      <c r="AR28" s="780"/>
      <c r="AS28" s="780"/>
      <c r="AT28" s="780"/>
      <c r="AU28" s="780"/>
      <c r="AV28" s="780"/>
      <c r="AW28" s="780"/>
      <c r="AX28" s="780"/>
      <c r="AY28" s="780"/>
      <c r="AZ28" s="780"/>
      <c r="BA28" s="780"/>
      <c r="BB28" s="780"/>
      <c r="BC28" s="780"/>
      <c r="BD28" s="780"/>
      <c r="BE28" s="780"/>
      <c r="BF28" s="780"/>
      <c r="BG28" s="780"/>
      <c r="BH28" s="780"/>
      <c r="BI28" s="780"/>
      <c r="BJ28" s="780"/>
      <c r="BK28" s="780"/>
      <c r="BL28" s="780"/>
      <c r="BM28" s="780"/>
      <c r="BN28" s="780"/>
      <c r="BO28" s="780"/>
      <c r="BP28" s="780"/>
      <c r="BQ28" s="780"/>
      <c r="BR28" s="780"/>
      <c r="BS28" s="780"/>
      <c r="BT28" s="780"/>
      <c r="BU28" s="780"/>
      <c r="BV28" s="780"/>
      <c r="BW28" s="780"/>
      <c r="BX28" s="780"/>
      <c r="BY28" s="780"/>
      <c r="BZ28" s="780"/>
      <c r="CA28" s="780"/>
      <c r="CB28" s="780"/>
      <c r="CC28" s="780"/>
      <c r="CD28" s="780"/>
      <c r="CE28" s="780"/>
      <c r="CF28" s="780"/>
      <c r="CG28" s="2658">
        <v>0</v>
      </c>
      <c r="CH28" s="350"/>
      <c r="CI28" s="349"/>
      <c r="CJ28" s="351"/>
      <c r="CK28" s="56">
        <f t="shared" si="11"/>
        <v>1</v>
      </c>
      <c r="CL28" s="56">
        <f t="shared" si="12"/>
        <v>1</v>
      </c>
      <c r="CM28" s="56">
        <f t="shared" si="13"/>
        <v>0</v>
      </c>
      <c r="CN28" s="56" t="e">
        <f t="shared" ca="1" si="16"/>
        <v>#VALUE!</v>
      </c>
      <c r="CO28" s="59">
        <f t="shared" si="14"/>
        <v>-5</v>
      </c>
      <c r="CP28" s="59">
        <f t="shared" si="15"/>
        <v>-5</v>
      </c>
      <c r="CQ28" s="59">
        <f t="shared" si="17"/>
        <v>-5</v>
      </c>
    </row>
    <row r="29" spans="1:193" ht="18" customHeight="1" x14ac:dyDescent="0.25">
      <c r="A29" s="2661"/>
      <c r="B29" s="2663"/>
      <c r="C29" s="2667"/>
      <c r="D29" s="2668"/>
      <c r="E29" s="2669"/>
      <c r="F29" s="792" t="str">
        <f>HLOOKUP(LANGUAGE!$B$2,LANGUAGE!$C$14:$G$1500,1255)</f>
        <v>Is</v>
      </c>
      <c r="G29" s="516"/>
      <c r="H29" s="516"/>
      <c r="I29" s="516"/>
      <c r="J29" s="516"/>
      <c r="K29" s="516"/>
      <c r="L29" s="516"/>
      <c r="M29" s="516"/>
      <c r="N29" s="516"/>
      <c r="O29" s="516"/>
      <c r="P29" s="516"/>
      <c r="Q29" s="516"/>
      <c r="R29" s="516"/>
      <c r="S29" s="516"/>
      <c r="T29" s="516"/>
      <c r="U29" s="516"/>
      <c r="V29" s="516"/>
      <c r="W29" s="516"/>
      <c r="X29" s="516"/>
      <c r="Y29" s="516"/>
      <c r="Z29" s="516"/>
      <c r="AA29" s="516"/>
      <c r="AB29" s="516"/>
      <c r="AC29" s="516"/>
      <c r="AD29" s="516"/>
      <c r="AE29" s="516"/>
      <c r="AF29" s="516"/>
      <c r="AG29" s="516"/>
      <c r="AH29" s="516"/>
      <c r="AI29" s="516"/>
      <c r="AJ29" s="516"/>
      <c r="AK29" s="516"/>
      <c r="AL29" s="516"/>
      <c r="AM29" s="516"/>
      <c r="AN29" s="516"/>
      <c r="AO29" s="516"/>
      <c r="AP29" s="516"/>
      <c r="AQ29" s="516"/>
      <c r="AR29" s="516"/>
      <c r="AS29" s="516"/>
      <c r="AT29" s="516"/>
      <c r="AU29" s="516"/>
      <c r="AV29" s="516"/>
      <c r="AW29" s="516"/>
      <c r="AX29" s="516"/>
      <c r="AY29" s="516"/>
      <c r="AZ29" s="516"/>
      <c r="BA29" s="516"/>
      <c r="BB29" s="516"/>
      <c r="BC29" s="516"/>
      <c r="BD29" s="516"/>
      <c r="BE29" s="516"/>
      <c r="BF29" s="516"/>
      <c r="BG29" s="516"/>
      <c r="BH29" s="516"/>
      <c r="BI29" s="516"/>
      <c r="BJ29" s="516"/>
      <c r="BK29" s="516"/>
      <c r="BL29" s="516"/>
      <c r="BM29" s="516"/>
      <c r="BN29" s="516"/>
      <c r="BO29" s="516"/>
      <c r="BP29" s="516"/>
      <c r="BQ29" s="516"/>
      <c r="BR29" s="516"/>
      <c r="BS29" s="516"/>
      <c r="BT29" s="516"/>
      <c r="BU29" s="516"/>
      <c r="BV29" s="516"/>
      <c r="BW29" s="516"/>
      <c r="BX29" s="516"/>
      <c r="BY29" s="516"/>
      <c r="BZ29" s="516"/>
      <c r="CA29" s="516"/>
      <c r="CB29" s="516"/>
      <c r="CC29" s="516"/>
      <c r="CD29" s="516"/>
      <c r="CE29" s="516"/>
      <c r="CF29" s="516"/>
      <c r="CG29" s="2659"/>
      <c r="CH29" s="350"/>
      <c r="CI29" s="349"/>
      <c r="CJ29" s="352"/>
      <c r="CK29" s="56">
        <f t="shared" si="11"/>
        <v>1</v>
      </c>
      <c r="CL29" s="56">
        <f t="shared" si="12"/>
        <v>1</v>
      </c>
      <c r="CM29" s="56">
        <f t="shared" si="13"/>
        <v>0</v>
      </c>
      <c r="CN29" s="56" t="e">
        <f t="shared" ca="1" si="16"/>
        <v>#VALUE!</v>
      </c>
      <c r="CO29" s="59">
        <f t="shared" si="14"/>
        <v>-5</v>
      </c>
      <c r="CP29" s="59">
        <f t="shared" si="15"/>
        <v>-5</v>
      </c>
      <c r="CQ29" s="59">
        <f t="shared" si="17"/>
        <v>-5</v>
      </c>
    </row>
    <row r="30" spans="1:193" ht="18" customHeight="1" x14ac:dyDescent="0.25">
      <c r="A30" s="2678" t="s">
        <v>2262</v>
      </c>
      <c r="B30" s="2662"/>
      <c r="C30" s="2664" t="str">
        <f>HLOOKUP(LANGUAGE!$B$2,LANGUAGE!$C$14:$G$1500,1214)</f>
        <v>Tool order (part of SQG 2)</v>
      </c>
      <c r="D30" s="2665"/>
      <c r="E30" s="2666"/>
      <c r="F30" s="792" t="str">
        <f>HLOOKUP(LANGUAGE!$B$2,LANGUAGE!$C$14:$G$1500,1253)</f>
        <v>Target</v>
      </c>
      <c r="G30" s="780"/>
      <c r="H30" s="780"/>
      <c r="I30" s="780"/>
      <c r="J30" s="780"/>
      <c r="K30" s="780"/>
      <c r="L30" s="780"/>
      <c r="M30" s="780"/>
      <c r="N30" s="780"/>
      <c r="O30" s="780"/>
      <c r="P30" s="780"/>
      <c r="Q30" s="780"/>
      <c r="R30" s="780"/>
      <c r="S30" s="780"/>
      <c r="T30" s="780"/>
      <c r="U30" s="780"/>
      <c r="V30" s="780"/>
      <c r="W30" s="780"/>
      <c r="X30" s="780"/>
      <c r="Y30" s="780"/>
      <c r="Z30" s="780"/>
      <c r="AA30" s="780"/>
      <c r="AB30" s="780"/>
      <c r="AC30" s="780"/>
      <c r="AD30" s="780"/>
      <c r="AE30" s="780"/>
      <c r="AF30" s="780"/>
      <c r="AG30" s="780"/>
      <c r="AH30" s="780"/>
      <c r="AI30" s="780"/>
      <c r="AJ30" s="780"/>
      <c r="AK30" s="780"/>
      <c r="AL30" s="780"/>
      <c r="AM30" s="780"/>
      <c r="AN30" s="780"/>
      <c r="AO30" s="780"/>
      <c r="AP30" s="780"/>
      <c r="AQ30" s="780"/>
      <c r="AR30" s="780"/>
      <c r="AS30" s="780"/>
      <c r="AT30" s="780"/>
      <c r="AU30" s="780"/>
      <c r="AV30" s="780"/>
      <c r="AW30" s="780"/>
      <c r="AX30" s="780"/>
      <c r="AY30" s="780"/>
      <c r="AZ30" s="780"/>
      <c r="BA30" s="780"/>
      <c r="BB30" s="780"/>
      <c r="BC30" s="780"/>
      <c r="BD30" s="780"/>
      <c r="BE30" s="780"/>
      <c r="BF30" s="780"/>
      <c r="BG30" s="780"/>
      <c r="BH30" s="780"/>
      <c r="BI30" s="780"/>
      <c r="BJ30" s="780"/>
      <c r="BK30" s="780"/>
      <c r="BL30" s="780"/>
      <c r="BM30" s="780"/>
      <c r="BN30" s="780"/>
      <c r="BO30" s="780"/>
      <c r="BP30" s="780"/>
      <c r="BQ30" s="780"/>
      <c r="BR30" s="780"/>
      <c r="BS30" s="780"/>
      <c r="BT30" s="780"/>
      <c r="BU30" s="780"/>
      <c r="BV30" s="780"/>
      <c r="BW30" s="780"/>
      <c r="BX30" s="780"/>
      <c r="BY30" s="780"/>
      <c r="BZ30" s="780"/>
      <c r="CA30" s="780"/>
      <c r="CB30" s="780"/>
      <c r="CC30" s="780"/>
      <c r="CD30" s="780"/>
      <c r="CE30" s="780"/>
      <c r="CF30" s="780"/>
      <c r="CG30" s="2658">
        <v>0</v>
      </c>
      <c r="CH30" s="350"/>
      <c r="CI30" s="349"/>
      <c r="CJ30" s="351"/>
      <c r="CK30" s="56">
        <f t="shared" si="11"/>
        <v>1</v>
      </c>
      <c r="CL30" s="56">
        <f t="shared" si="12"/>
        <v>1</v>
      </c>
      <c r="CM30" s="56">
        <f t="shared" si="13"/>
        <v>0</v>
      </c>
      <c r="CN30" s="56" t="e">
        <f t="shared" ca="1" si="16"/>
        <v>#VALUE!</v>
      </c>
      <c r="CO30" s="59">
        <f t="shared" si="14"/>
        <v>-5</v>
      </c>
      <c r="CP30" s="59">
        <f t="shared" si="15"/>
        <v>-5</v>
      </c>
      <c r="CQ30" s="59">
        <f t="shared" si="17"/>
        <v>-5</v>
      </c>
    </row>
    <row r="31" spans="1:193" ht="18" customHeight="1" x14ac:dyDescent="0.25">
      <c r="A31" s="2679"/>
      <c r="B31" s="2663"/>
      <c r="C31" s="2667"/>
      <c r="D31" s="2668"/>
      <c r="E31" s="2669"/>
      <c r="F31" s="792" t="str">
        <f>HLOOKUP(LANGUAGE!$B$2,LANGUAGE!$C$14:$G$1500,1255)</f>
        <v>Is</v>
      </c>
      <c r="G31" s="516"/>
      <c r="H31" s="516"/>
      <c r="I31" s="516"/>
      <c r="J31" s="516"/>
      <c r="K31" s="516"/>
      <c r="L31" s="516"/>
      <c r="M31" s="516"/>
      <c r="N31" s="516"/>
      <c r="O31" s="516"/>
      <c r="P31" s="516"/>
      <c r="Q31" s="516"/>
      <c r="R31" s="516"/>
      <c r="S31" s="516"/>
      <c r="T31" s="516"/>
      <c r="U31" s="516"/>
      <c r="V31" s="516"/>
      <c r="W31" s="516"/>
      <c r="X31" s="516"/>
      <c r="Y31" s="516"/>
      <c r="Z31" s="516"/>
      <c r="AA31" s="516"/>
      <c r="AB31" s="516"/>
      <c r="AC31" s="516"/>
      <c r="AD31" s="516"/>
      <c r="AE31" s="516"/>
      <c r="AF31" s="516"/>
      <c r="AG31" s="516"/>
      <c r="AH31" s="516"/>
      <c r="AI31" s="516"/>
      <c r="AJ31" s="516"/>
      <c r="AK31" s="516"/>
      <c r="AL31" s="516"/>
      <c r="AM31" s="516"/>
      <c r="AN31" s="516"/>
      <c r="AO31" s="516"/>
      <c r="AP31" s="516"/>
      <c r="AQ31" s="516"/>
      <c r="AR31" s="516"/>
      <c r="AS31" s="516"/>
      <c r="AT31" s="516"/>
      <c r="AU31" s="516"/>
      <c r="AV31" s="516"/>
      <c r="AW31" s="516"/>
      <c r="AX31" s="516"/>
      <c r="AY31" s="516"/>
      <c r="AZ31" s="516"/>
      <c r="BA31" s="516"/>
      <c r="BB31" s="516"/>
      <c r="BC31" s="516"/>
      <c r="BD31" s="516"/>
      <c r="BE31" s="516"/>
      <c r="BF31" s="516"/>
      <c r="BG31" s="516"/>
      <c r="BH31" s="516"/>
      <c r="BI31" s="516"/>
      <c r="BJ31" s="516"/>
      <c r="BK31" s="516"/>
      <c r="BL31" s="516"/>
      <c r="BM31" s="516"/>
      <c r="BN31" s="516"/>
      <c r="BO31" s="516"/>
      <c r="BP31" s="516"/>
      <c r="BQ31" s="516"/>
      <c r="BR31" s="516"/>
      <c r="BS31" s="516"/>
      <c r="BT31" s="516"/>
      <c r="BU31" s="516"/>
      <c r="BV31" s="516"/>
      <c r="BW31" s="516"/>
      <c r="BX31" s="516"/>
      <c r="BY31" s="516"/>
      <c r="BZ31" s="516"/>
      <c r="CA31" s="516"/>
      <c r="CB31" s="516"/>
      <c r="CC31" s="516"/>
      <c r="CD31" s="516"/>
      <c r="CE31" s="516"/>
      <c r="CF31" s="516"/>
      <c r="CG31" s="2659"/>
      <c r="CH31" s="350"/>
      <c r="CI31" s="349"/>
      <c r="CJ31" s="352"/>
      <c r="CK31" s="56">
        <f t="shared" si="11"/>
        <v>1</v>
      </c>
      <c r="CL31" s="56">
        <f t="shared" si="12"/>
        <v>1</v>
      </c>
      <c r="CM31" s="56">
        <f t="shared" si="13"/>
        <v>0</v>
      </c>
      <c r="CN31" s="56" t="e">
        <f t="shared" ca="1" si="16"/>
        <v>#VALUE!</v>
      </c>
      <c r="CO31" s="59">
        <f t="shared" si="14"/>
        <v>-5</v>
      </c>
      <c r="CP31" s="59">
        <f t="shared" si="15"/>
        <v>-5</v>
      </c>
      <c r="CQ31" s="59">
        <f t="shared" si="17"/>
        <v>-5</v>
      </c>
    </row>
    <row r="32" spans="1:193" ht="18" customHeight="1" x14ac:dyDescent="0.25">
      <c r="A32" s="2679"/>
      <c r="B32" s="2662" t="s">
        <v>2263</v>
      </c>
      <c r="C32" s="2664" t="str">
        <f>HLOOKUP(LANGUAGE!$B$2,LANGUAGE!$C$14:$G$1500,1215)</f>
        <v>Tooling design</v>
      </c>
      <c r="D32" s="2665"/>
      <c r="E32" s="2666"/>
      <c r="F32" s="792" t="str">
        <f>HLOOKUP(LANGUAGE!$B$2,LANGUAGE!$C$14:$G$1500,1253)</f>
        <v>Target</v>
      </c>
      <c r="G32" s="780"/>
      <c r="H32" s="780"/>
      <c r="I32" s="780"/>
      <c r="J32" s="780"/>
      <c r="K32" s="780"/>
      <c r="L32" s="780"/>
      <c r="M32" s="780"/>
      <c r="N32" s="780"/>
      <c r="O32" s="780"/>
      <c r="P32" s="780"/>
      <c r="Q32" s="780"/>
      <c r="R32" s="780"/>
      <c r="S32" s="780"/>
      <c r="T32" s="780"/>
      <c r="U32" s="780"/>
      <c r="V32" s="780"/>
      <c r="W32" s="780"/>
      <c r="X32" s="780"/>
      <c r="Y32" s="780"/>
      <c r="Z32" s="780"/>
      <c r="AA32" s="780"/>
      <c r="AB32" s="780"/>
      <c r="AC32" s="780"/>
      <c r="AD32" s="780"/>
      <c r="AE32" s="780"/>
      <c r="AF32" s="780"/>
      <c r="AG32" s="780"/>
      <c r="AH32" s="780"/>
      <c r="AI32" s="780"/>
      <c r="AJ32" s="780"/>
      <c r="AK32" s="780"/>
      <c r="AL32" s="780"/>
      <c r="AM32" s="780"/>
      <c r="AN32" s="780"/>
      <c r="AO32" s="780"/>
      <c r="AP32" s="780"/>
      <c r="AQ32" s="780"/>
      <c r="AR32" s="780"/>
      <c r="AS32" s="780"/>
      <c r="AT32" s="780"/>
      <c r="AU32" s="780"/>
      <c r="AV32" s="780"/>
      <c r="AW32" s="780"/>
      <c r="AX32" s="780"/>
      <c r="AY32" s="780"/>
      <c r="AZ32" s="780"/>
      <c r="BA32" s="780"/>
      <c r="BB32" s="780"/>
      <c r="BC32" s="780"/>
      <c r="BD32" s="780"/>
      <c r="BE32" s="780"/>
      <c r="BF32" s="780"/>
      <c r="BG32" s="780"/>
      <c r="BH32" s="780"/>
      <c r="BI32" s="780"/>
      <c r="BJ32" s="780"/>
      <c r="BK32" s="780"/>
      <c r="BL32" s="780"/>
      <c r="BM32" s="780"/>
      <c r="BN32" s="780"/>
      <c r="BO32" s="780"/>
      <c r="BP32" s="780"/>
      <c r="BQ32" s="780"/>
      <c r="BR32" s="780"/>
      <c r="BS32" s="780"/>
      <c r="BT32" s="780"/>
      <c r="BU32" s="780"/>
      <c r="BV32" s="780"/>
      <c r="BW32" s="780"/>
      <c r="BX32" s="780"/>
      <c r="BY32" s="780"/>
      <c r="BZ32" s="780"/>
      <c r="CA32" s="780"/>
      <c r="CB32" s="780"/>
      <c r="CC32" s="780"/>
      <c r="CD32" s="780"/>
      <c r="CE32" s="780"/>
      <c r="CF32" s="780"/>
      <c r="CG32" s="2658">
        <v>0</v>
      </c>
      <c r="CH32" s="350"/>
      <c r="CI32" s="349"/>
      <c r="CJ32" s="351"/>
      <c r="CK32" s="56">
        <f t="shared" si="11"/>
        <v>1</v>
      </c>
      <c r="CL32" s="56">
        <f t="shared" si="12"/>
        <v>1</v>
      </c>
      <c r="CM32" s="56">
        <f t="shared" si="13"/>
        <v>0</v>
      </c>
      <c r="CN32" s="56" t="e">
        <f t="shared" ca="1" si="16"/>
        <v>#VALUE!</v>
      </c>
      <c r="CO32" s="59">
        <f t="shared" si="14"/>
        <v>-5</v>
      </c>
      <c r="CP32" s="59">
        <f t="shared" si="15"/>
        <v>-5</v>
      </c>
      <c r="CQ32" s="59">
        <f t="shared" si="17"/>
        <v>-5</v>
      </c>
    </row>
    <row r="33" spans="1:95" ht="18" customHeight="1" x14ac:dyDescent="0.25">
      <c r="A33" s="2679"/>
      <c r="B33" s="2663"/>
      <c r="C33" s="2667"/>
      <c r="D33" s="2668"/>
      <c r="E33" s="2669"/>
      <c r="F33" s="792" t="str">
        <f>HLOOKUP(LANGUAGE!$B$2,LANGUAGE!$C$14:$G$1500,1255)</f>
        <v>Is</v>
      </c>
      <c r="G33" s="516"/>
      <c r="H33" s="516"/>
      <c r="I33" s="516"/>
      <c r="J33" s="516"/>
      <c r="K33" s="516"/>
      <c r="L33" s="516"/>
      <c r="M33" s="516"/>
      <c r="N33" s="516"/>
      <c r="O33" s="516"/>
      <c r="P33" s="516"/>
      <c r="Q33" s="516"/>
      <c r="R33" s="516"/>
      <c r="S33" s="516"/>
      <c r="T33" s="516"/>
      <c r="U33" s="516"/>
      <c r="V33" s="516"/>
      <c r="W33" s="516"/>
      <c r="X33" s="516"/>
      <c r="Y33" s="516"/>
      <c r="Z33" s="516"/>
      <c r="AA33" s="516"/>
      <c r="AB33" s="516"/>
      <c r="AC33" s="516"/>
      <c r="AD33" s="516"/>
      <c r="AE33" s="516"/>
      <c r="AF33" s="516"/>
      <c r="AG33" s="516"/>
      <c r="AH33" s="516"/>
      <c r="AI33" s="516"/>
      <c r="AJ33" s="516"/>
      <c r="AK33" s="516"/>
      <c r="AL33" s="516"/>
      <c r="AM33" s="516"/>
      <c r="AN33" s="516"/>
      <c r="AO33" s="516"/>
      <c r="AP33" s="516"/>
      <c r="AQ33" s="516"/>
      <c r="AR33" s="516"/>
      <c r="AS33" s="516"/>
      <c r="AT33" s="516"/>
      <c r="AU33" s="516"/>
      <c r="AV33" s="516"/>
      <c r="AW33" s="516"/>
      <c r="AX33" s="516"/>
      <c r="AY33" s="516"/>
      <c r="AZ33" s="516"/>
      <c r="BA33" s="516"/>
      <c r="BB33" s="516"/>
      <c r="BC33" s="516"/>
      <c r="BD33" s="516"/>
      <c r="BE33" s="516"/>
      <c r="BF33" s="516"/>
      <c r="BG33" s="516"/>
      <c r="BH33" s="516"/>
      <c r="BI33" s="516"/>
      <c r="BJ33" s="516"/>
      <c r="BK33" s="516"/>
      <c r="BL33" s="516"/>
      <c r="BM33" s="516"/>
      <c r="BN33" s="516"/>
      <c r="BO33" s="516"/>
      <c r="BP33" s="516"/>
      <c r="BQ33" s="516"/>
      <c r="BR33" s="516"/>
      <c r="BS33" s="516"/>
      <c r="BT33" s="516"/>
      <c r="BU33" s="516"/>
      <c r="BV33" s="516"/>
      <c r="BW33" s="516"/>
      <c r="BX33" s="516"/>
      <c r="BY33" s="516"/>
      <c r="BZ33" s="516"/>
      <c r="CA33" s="516"/>
      <c r="CB33" s="516"/>
      <c r="CC33" s="516"/>
      <c r="CD33" s="516"/>
      <c r="CE33" s="516"/>
      <c r="CF33" s="516"/>
      <c r="CG33" s="2659"/>
      <c r="CH33" s="350"/>
      <c r="CI33" s="349"/>
      <c r="CJ33" s="352"/>
      <c r="CK33" s="56">
        <f t="shared" si="11"/>
        <v>1</v>
      </c>
      <c r="CL33" s="56">
        <f t="shared" si="12"/>
        <v>1</v>
      </c>
      <c r="CM33" s="56">
        <f t="shared" si="13"/>
        <v>0</v>
      </c>
      <c r="CN33" s="56" t="e">
        <f t="shared" ca="1" si="16"/>
        <v>#VALUE!</v>
      </c>
      <c r="CO33" s="59">
        <f t="shared" si="14"/>
        <v>-5</v>
      </c>
      <c r="CP33" s="59">
        <f t="shared" si="15"/>
        <v>-5</v>
      </c>
      <c r="CQ33" s="59">
        <f t="shared" si="17"/>
        <v>-5</v>
      </c>
    </row>
    <row r="34" spans="1:95" ht="18" customHeight="1" x14ac:dyDescent="0.25">
      <c r="A34" s="2679"/>
      <c r="B34" s="2464" t="s">
        <v>2264</v>
      </c>
      <c r="C34" s="2466" t="str">
        <f>HLOOKUP(LANGUAGE!$B$2,LANGUAGE!$C$14:$G$1500,1217)</f>
        <v>SQG 2
(after finishing of tool design)</v>
      </c>
      <c r="D34" s="2467"/>
      <c r="E34" s="2468"/>
      <c r="F34" s="795" t="str">
        <f>HLOOKUP(LANGUAGE!$B$2,LANGUAGE!$C$14:$G$1500,1253)</f>
        <v>Target</v>
      </c>
      <c r="G34" s="784"/>
      <c r="H34" s="784"/>
      <c r="I34" s="784"/>
      <c r="J34" s="784"/>
      <c r="K34" s="784"/>
      <c r="L34" s="784"/>
      <c r="M34" s="784"/>
      <c r="N34" s="784"/>
      <c r="O34" s="784"/>
      <c r="P34" s="784"/>
      <c r="Q34" s="784"/>
      <c r="R34" s="784"/>
      <c r="S34" s="784"/>
      <c r="T34" s="784"/>
      <c r="U34" s="784"/>
      <c r="V34" s="784"/>
      <c r="W34" s="784"/>
      <c r="X34" s="784"/>
      <c r="Y34" s="784"/>
      <c r="Z34" s="784"/>
      <c r="AA34" s="784"/>
      <c r="AB34" s="784"/>
      <c r="AC34" s="784"/>
      <c r="AD34" s="784"/>
      <c r="AE34" s="784"/>
      <c r="AF34" s="784"/>
      <c r="AG34" s="784"/>
      <c r="AH34" s="784"/>
      <c r="AI34" s="784"/>
      <c r="AJ34" s="784"/>
      <c r="AK34" s="784"/>
      <c r="AL34" s="784"/>
      <c r="AM34" s="784"/>
      <c r="AN34" s="784"/>
      <c r="AO34" s="784"/>
      <c r="AP34" s="784"/>
      <c r="AQ34" s="784"/>
      <c r="AR34" s="784"/>
      <c r="AS34" s="784"/>
      <c r="AT34" s="784"/>
      <c r="AU34" s="784"/>
      <c r="AV34" s="784"/>
      <c r="AW34" s="784"/>
      <c r="AX34" s="784"/>
      <c r="AY34" s="784"/>
      <c r="AZ34" s="784"/>
      <c r="BA34" s="784"/>
      <c r="BB34" s="784"/>
      <c r="BC34" s="784"/>
      <c r="BD34" s="784"/>
      <c r="BE34" s="784"/>
      <c r="BF34" s="784"/>
      <c r="BG34" s="784"/>
      <c r="BH34" s="784"/>
      <c r="BI34" s="784"/>
      <c r="BJ34" s="784"/>
      <c r="BK34" s="784"/>
      <c r="BL34" s="784"/>
      <c r="BM34" s="784"/>
      <c r="BN34" s="784"/>
      <c r="BO34" s="784"/>
      <c r="BP34" s="784"/>
      <c r="BQ34" s="784"/>
      <c r="BR34" s="784"/>
      <c r="BS34" s="784"/>
      <c r="BT34" s="784"/>
      <c r="BU34" s="784"/>
      <c r="BV34" s="784"/>
      <c r="BW34" s="784"/>
      <c r="BX34" s="784"/>
      <c r="BY34" s="784"/>
      <c r="BZ34" s="784"/>
      <c r="CA34" s="784"/>
      <c r="CB34" s="784"/>
      <c r="CC34" s="784"/>
      <c r="CD34" s="784"/>
      <c r="CE34" s="784"/>
      <c r="CF34" s="784"/>
      <c r="CG34" s="2658">
        <v>0</v>
      </c>
      <c r="CH34" s="350"/>
      <c r="CI34" s="349"/>
      <c r="CJ34" s="351"/>
      <c r="CK34" s="56">
        <f t="shared" si="11"/>
        <v>1</v>
      </c>
      <c r="CL34" s="56">
        <f t="shared" si="12"/>
        <v>1</v>
      </c>
      <c r="CM34" s="56">
        <f t="shared" si="13"/>
        <v>0</v>
      </c>
      <c r="CN34" s="56" t="e">
        <f t="shared" ca="1" si="16"/>
        <v>#VALUE!</v>
      </c>
      <c r="CO34" s="59">
        <f t="shared" si="14"/>
        <v>-5</v>
      </c>
      <c r="CP34" s="59">
        <f t="shared" si="15"/>
        <v>-5</v>
      </c>
      <c r="CQ34" s="59">
        <f t="shared" si="17"/>
        <v>-5</v>
      </c>
    </row>
    <row r="35" spans="1:95" ht="18" customHeight="1" x14ac:dyDescent="0.25">
      <c r="A35" s="2679"/>
      <c r="B35" s="2465"/>
      <c r="C35" s="834"/>
      <c r="D35" s="835"/>
      <c r="E35" s="836"/>
      <c r="F35" s="795" t="str">
        <f>HLOOKUP(LANGUAGE!$B$2,LANGUAGE!$C$14:$G$1500,1255)</f>
        <v>Is</v>
      </c>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17"/>
      <c r="AJ35" s="517"/>
      <c r="AK35" s="517"/>
      <c r="AL35" s="517"/>
      <c r="AM35" s="517"/>
      <c r="AN35" s="517"/>
      <c r="AO35" s="517"/>
      <c r="AP35" s="517"/>
      <c r="AQ35" s="517"/>
      <c r="AR35" s="517"/>
      <c r="AS35" s="517"/>
      <c r="AT35" s="517"/>
      <c r="AU35" s="517"/>
      <c r="AV35" s="517"/>
      <c r="AW35" s="517"/>
      <c r="AX35" s="517"/>
      <c r="AY35" s="517"/>
      <c r="AZ35" s="517"/>
      <c r="BA35" s="517"/>
      <c r="BB35" s="517"/>
      <c r="BC35" s="517"/>
      <c r="BD35" s="517"/>
      <c r="BE35" s="517"/>
      <c r="BF35" s="517"/>
      <c r="BG35" s="517"/>
      <c r="BH35" s="517"/>
      <c r="BI35" s="517"/>
      <c r="BJ35" s="517"/>
      <c r="BK35" s="517"/>
      <c r="BL35" s="517"/>
      <c r="BM35" s="517"/>
      <c r="BN35" s="517"/>
      <c r="BO35" s="517"/>
      <c r="BP35" s="517"/>
      <c r="BQ35" s="517"/>
      <c r="BR35" s="517"/>
      <c r="BS35" s="517"/>
      <c r="BT35" s="517"/>
      <c r="BU35" s="517"/>
      <c r="BV35" s="517"/>
      <c r="BW35" s="517"/>
      <c r="BX35" s="517"/>
      <c r="BY35" s="517"/>
      <c r="BZ35" s="517"/>
      <c r="CA35" s="517"/>
      <c r="CB35" s="517"/>
      <c r="CC35" s="517"/>
      <c r="CD35" s="517"/>
      <c r="CE35" s="517"/>
      <c r="CF35" s="517"/>
      <c r="CG35" s="2659"/>
      <c r="CH35" s="350"/>
      <c r="CI35" s="349"/>
      <c r="CJ35" s="352"/>
      <c r="CK35" s="56">
        <f t="shared" si="11"/>
        <v>1</v>
      </c>
      <c r="CL35" s="56">
        <f t="shared" si="12"/>
        <v>1</v>
      </c>
      <c r="CM35" s="56">
        <f t="shared" si="13"/>
        <v>0</v>
      </c>
      <c r="CN35" s="56" t="e">
        <f t="shared" ca="1" si="16"/>
        <v>#VALUE!</v>
      </c>
      <c r="CO35" s="59">
        <f t="shared" si="14"/>
        <v>-5</v>
      </c>
      <c r="CP35" s="59">
        <f t="shared" si="15"/>
        <v>-5</v>
      </c>
      <c r="CQ35" s="59">
        <f t="shared" si="17"/>
        <v>-5</v>
      </c>
    </row>
    <row r="36" spans="1:95" ht="18" customHeight="1" x14ac:dyDescent="0.25">
      <c r="A36" s="2679"/>
      <c r="B36" s="2662" t="s">
        <v>2265</v>
      </c>
      <c r="C36" s="2664" t="str">
        <f>HLOOKUP(LANGUAGE!$B$2,LANGUAGE!$C$14:$G$1500,1219)</f>
        <v>Material order for tooling</v>
      </c>
      <c r="D36" s="2665"/>
      <c r="E36" s="2666"/>
      <c r="F36" s="796" t="str">
        <f>HLOOKUP(LANGUAGE!$B$2,LANGUAGE!$C$14:$G$1500,1253)</f>
        <v>Target</v>
      </c>
      <c r="G36" s="780"/>
      <c r="H36" s="780"/>
      <c r="I36" s="780"/>
      <c r="J36" s="780"/>
      <c r="K36" s="780"/>
      <c r="L36" s="780"/>
      <c r="M36" s="780"/>
      <c r="N36" s="780"/>
      <c r="O36" s="780"/>
      <c r="P36" s="780"/>
      <c r="Q36" s="780"/>
      <c r="R36" s="780"/>
      <c r="S36" s="780"/>
      <c r="T36" s="780"/>
      <c r="U36" s="780"/>
      <c r="V36" s="780"/>
      <c r="W36" s="780"/>
      <c r="X36" s="780"/>
      <c r="Y36" s="780"/>
      <c r="Z36" s="780"/>
      <c r="AA36" s="780"/>
      <c r="AB36" s="780"/>
      <c r="AC36" s="780"/>
      <c r="AD36" s="780"/>
      <c r="AE36" s="780"/>
      <c r="AF36" s="780"/>
      <c r="AG36" s="780"/>
      <c r="AH36" s="780"/>
      <c r="AI36" s="780"/>
      <c r="AJ36" s="780"/>
      <c r="AK36" s="780"/>
      <c r="AL36" s="780"/>
      <c r="AM36" s="780"/>
      <c r="AN36" s="780"/>
      <c r="AO36" s="780"/>
      <c r="AP36" s="780"/>
      <c r="AQ36" s="780"/>
      <c r="AR36" s="780"/>
      <c r="AS36" s="780"/>
      <c r="AT36" s="780"/>
      <c r="AU36" s="780"/>
      <c r="AV36" s="780"/>
      <c r="AW36" s="780"/>
      <c r="AX36" s="780"/>
      <c r="AY36" s="780"/>
      <c r="AZ36" s="780"/>
      <c r="BA36" s="780"/>
      <c r="BB36" s="780"/>
      <c r="BC36" s="780"/>
      <c r="BD36" s="780"/>
      <c r="BE36" s="780"/>
      <c r="BF36" s="780"/>
      <c r="BG36" s="780"/>
      <c r="BH36" s="780"/>
      <c r="BI36" s="780"/>
      <c r="BJ36" s="780"/>
      <c r="BK36" s="780"/>
      <c r="BL36" s="780"/>
      <c r="BM36" s="780"/>
      <c r="BN36" s="780"/>
      <c r="BO36" s="780"/>
      <c r="BP36" s="780"/>
      <c r="BQ36" s="780"/>
      <c r="BR36" s="780"/>
      <c r="BS36" s="780"/>
      <c r="BT36" s="780"/>
      <c r="BU36" s="780"/>
      <c r="BV36" s="780"/>
      <c r="BW36" s="780"/>
      <c r="BX36" s="780"/>
      <c r="BY36" s="780"/>
      <c r="BZ36" s="780"/>
      <c r="CA36" s="780"/>
      <c r="CB36" s="780"/>
      <c r="CC36" s="780"/>
      <c r="CD36" s="780"/>
      <c r="CE36" s="780"/>
      <c r="CF36" s="780"/>
      <c r="CG36" s="2658">
        <v>0</v>
      </c>
      <c r="CH36" s="350"/>
      <c r="CI36" s="349"/>
      <c r="CJ36" s="351"/>
      <c r="CK36" s="56">
        <f t="shared" si="11"/>
        <v>1</v>
      </c>
      <c r="CL36" s="56">
        <f t="shared" si="12"/>
        <v>1</v>
      </c>
      <c r="CM36" s="56">
        <f t="shared" si="13"/>
        <v>0</v>
      </c>
      <c r="CN36" s="56" t="e">
        <f t="shared" ca="1" si="16"/>
        <v>#VALUE!</v>
      </c>
      <c r="CO36" s="59">
        <f t="shared" si="14"/>
        <v>-5</v>
      </c>
      <c r="CP36" s="59">
        <f t="shared" si="15"/>
        <v>-5</v>
      </c>
      <c r="CQ36" s="59">
        <f t="shared" si="17"/>
        <v>-5</v>
      </c>
    </row>
    <row r="37" spans="1:95" ht="18" customHeight="1" x14ac:dyDescent="0.25">
      <c r="A37" s="2679"/>
      <c r="B37" s="2663"/>
      <c r="C37" s="2667"/>
      <c r="D37" s="2668"/>
      <c r="E37" s="2669"/>
      <c r="F37" s="796" t="str">
        <f>HLOOKUP(LANGUAGE!$B$2,LANGUAGE!$C$14:$G$1500,1255)</f>
        <v>Is</v>
      </c>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2659"/>
      <c r="CH37" s="350"/>
      <c r="CI37" s="349"/>
      <c r="CJ37" s="352"/>
      <c r="CK37" s="56">
        <f t="shared" si="11"/>
        <v>1</v>
      </c>
      <c r="CL37" s="56">
        <f t="shared" si="12"/>
        <v>1</v>
      </c>
      <c r="CM37" s="56">
        <f t="shared" si="13"/>
        <v>0</v>
      </c>
      <c r="CN37" s="56" t="e">
        <f t="shared" ca="1" si="16"/>
        <v>#VALUE!</v>
      </c>
      <c r="CO37" s="59">
        <f t="shared" si="14"/>
        <v>-5</v>
      </c>
      <c r="CP37" s="59">
        <f t="shared" si="15"/>
        <v>-5</v>
      </c>
      <c r="CQ37" s="59">
        <f t="shared" si="17"/>
        <v>-5</v>
      </c>
    </row>
    <row r="38" spans="1:95" ht="18" customHeight="1" x14ac:dyDescent="0.25">
      <c r="A38" s="2679"/>
      <c r="B38" s="2662" t="s">
        <v>2266</v>
      </c>
      <c r="C38" s="2664" t="str">
        <f>HLOOKUP(LANGUAGE!$B$2,LANGUAGE!$C$14:$G$1500,1221)</f>
        <v>Tooling manufacturing</v>
      </c>
      <c r="D38" s="2665"/>
      <c r="E38" s="2666"/>
      <c r="F38" s="796" t="str">
        <f>HLOOKUP(LANGUAGE!$B$2,LANGUAGE!$C$14:$G$1500,1253)</f>
        <v>Target</v>
      </c>
      <c r="G38" s="780"/>
      <c r="H38" s="780"/>
      <c r="I38" s="780"/>
      <c r="J38" s="780"/>
      <c r="K38" s="780"/>
      <c r="L38" s="780"/>
      <c r="M38" s="780"/>
      <c r="N38" s="780"/>
      <c r="O38" s="780"/>
      <c r="P38" s="780"/>
      <c r="Q38" s="780"/>
      <c r="R38" s="780"/>
      <c r="S38" s="780"/>
      <c r="T38" s="780"/>
      <c r="U38" s="780"/>
      <c r="V38" s="780"/>
      <c r="W38" s="780"/>
      <c r="X38" s="780"/>
      <c r="Y38" s="780"/>
      <c r="Z38" s="780"/>
      <c r="AA38" s="780"/>
      <c r="AB38" s="780"/>
      <c r="AC38" s="780"/>
      <c r="AD38" s="780"/>
      <c r="AE38" s="780"/>
      <c r="AF38" s="780"/>
      <c r="AG38" s="780"/>
      <c r="AH38" s="780"/>
      <c r="AI38" s="780"/>
      <c r="AJ38" s="780"/>
      <c r="AK38" s="780"/>
      <c r="AL38" s="780"/>
      <c r="AM38" s="780"/>
      <c r="AN38" s="780"/>
      <c r="AO38" s="780"/>
      <c r="AP38" s="780"/>
      <c r="AQ38" s="780"/>
      <c r="AR38" s="780"/>
      <c r="AS38" s="780"/>
      <c r="AT38" s="780"/>
      <c r="AU38" s="780"/>
      <c r="AV38" s="780"/>
      <c r="AW38" s="780"/>
      <c r="AX38" s="780"/>
      <c r="AY38" s="780"/>
      <c r="AZ38" s="780"/>
      <c r="BA38" s="780"/>
      <c r="BB38" s="780"/>
      <c r="BC38" s="780"/>
      <c r="BD38" s="780"/>
      <c r="BE38" s="780"/>
      <c r="BF38" s="780"/>
      <c r="BG38" s="780"/>
      <c r="BH38" s="780"/>
      <c r="BI38" s="780"/>
      <c r="BJ38" s="780"/>
      <c r="BK38" s="780"/>
      <c r="BL38" s="780"/>
      <c r="BM38" s="780"/>
      <c r="BN38" s="780"/>
      <c r="BO38" s="780"/>
      <c r="BP38" s="780"/>
      <c r="BQ38" s="780"/>
      <c r="BR38" s="780"/>
      <c r="BS38" s="780"/>
      <c r="BT38" s="780"/>
      <c r="BU38" s="780"/>
      <c r="BV38" s="780"/>
      <c r="BW38" s="780"/>
      <c r="BX38" s="780"/>
      <c r="BY38" s="780"/>
      <c r="BZ38" s="780"/>
      <c r="CA38" s="780"/>
      <c r="CB38" s="780"/>
      <c r="CC38" s="780"/>
      <c r="CD38" s="780"/>
      <c r="CE38" s="780"/>
      <c r="CF38" s="780"/>
      <c r="CG38" s="2658">
        <v>0</v>
      </c>
      <c r="CH38" s="350"/>
      <c r="CI38" s="349"/>
      <c r="CJ38" s="351"/>
      <c r="CK38" s="56">
        <f t="shared" si="11"/>
        <v>1</v>
      </c>
      <c r="CL38" s="56">
        <f t="shared" si="12"/>
        <v>1</v>
      </c>
      <c r="CM38" s="56">
        <f t="shared" si="13"/>
        <v>0</v>
      </c>
      <c r="CN38" s="56" t="e">
        <f t="shared" ca="1" si="16"/>
        <v>#VALUE!</v>
      </c>
      <c r="CO38" s="59">
        <f t="shared" si="14"/>
        <v>-5</v>
      </c>
      <c r="CP38" s="59">
        <f t="shared" si="15"/>
        <v>-5</v>
      </c>
      <c r="CQ38" s="59">
        <f t="shared" si="17"/>
        <v>-5</v>
      </c>
    </row>
    <row r="39" spans="1:95" ht="18" customHeight="1" x14ac:dyDescent="0.25">
      <c r="A39" s="2679"/>
      <c r="B39" s="2663"/>
      <c r="C39" s="2667"/>
      <c r="D39" s="2668"/>
      <c r="E39" s="2669"/>
      <c r="F39" s="796" t="str">
        <f>HLOOKUP(LANGUAGE!$B$2,LANGUAGE!$C$14:$G$1500,1255)</f>
        <v>Is</v>
      </c>
      <c r="G39" s="516"/>
      <c r="H39" s="516"/>
      <c r="I39" s="516"/>
      <c r="J39" s="516"/>
      <c r="K39" s="516"/>
      <c r="L39" s="516"/>
      <c r="M39" s="516"/>
      <c r="N39" s="516"/>
      <c r="O39" s="516"/>
      <c r="P39" s="516"/>
      <c r="Q39" s="516"/>
      <c r="R39" s="516"/>
      <c r="S39" s="516"/>
      <c r="T39" s="516"/>
      <c r="U39" s="516"/>
      <c r="V39" s="516"/>
      <c r="W39" s="516"/>
      <c r="X39" s="516"/>
      <c r="Y39" s="516"/>
      <c r="Z39" s="516"/>
      <c r="AA39" s="516"/>
      <c r="AB39" s="516"/>
      <c r="AC39" s="516"/>
      <c r="AD39" s="516"/>
      <c r="AE39" s="516"/>
      <c r="AF39" s="516"/>
      <c r="AG39" s="516"/>
      <c r="AH39" s="516"/>
      <c r="AI39" s="516"/>
      <c r="AJ39" s="516"/>
      <c r="AK39" s="516"/>
      <c r="AL39" s="516"/>
      <c r="AM39" s="516"/>
      <c r="AN39" s="516"/>
      <c r="AO39" s="516"/>
      <c r="AP39" s="516"/>
      <c r="AQ39" s="516"/>
      <c r="AR39" s="516"/>
      <c r="AS39" s="516"/>
      <c r="AT39" s="516"/>
      <c r="AU39" s="516"/>
      <c r="AV39" s="516"/>
      <c r="AW39" s="516"/>
      <c r="AX39" s="516"/>
      <c r="AY39" s="516"/>
      <c r="AZ39" s="516"/>
      <c r="BA39" s="516"/>
      <c r="BB39" s="516"/>
      <c r="BC39" s="516"/>
      <c r="BD39" s="516"/>
      <c r="BE39" s="516"/>
      <c r="BF39" s="516"/>
      <c r="BG39" s="516"/>
      <c r="BH39" s="516"/>
      <c r="BI39" s="516"/>
      <c r="BJ39" s="516"/>
      <c r="BK39" s="516"/>
      <c r="BL39" s="516"/>
      <c r="BM39" s="516"/>
      <c r="BN39" s="516"/>
      <c r="BO39" s="516"/>
      <c r="BP39" s="516"/>
      <c r="BQ39" s="516"/>
      <c r="BR39" s="516"/>
      <c r="BS39" s="516"/>
      <c r="BT39" s="516"/>
      <c r="BU39" s="516"/>
      <c r="BV39" s="516"/>
      <c r="BW39" s="516"/>
      <c r="BX39" s="516"/>
      <c r="BY39" s="516"/>
      <c r="BZ39" s="516"/>
      <c r="CA39" s="516"/>
      <c r="CB39" s="516"/>
      <c r="CC39" s="516"/>
      <c r="CD39" s="516"/>
      <c r="CE39" s="516"/>
      <c r="CF39" s="516"/>
      <c r="CG39" s="2659"/>
      <c r="CH39" s="350"/>
      <c r="CI39" s="349"/>
      <c r="CJ39" s="352"/>
      <c r="CK39" s="56">
        <f t="shared" si="11"/>
        <v>1</v>
      </c>
      <c r="CL39" s="56">
        <f t="shared" si="12"/>
        <v>1</v>
      </c>
      <c r="CM39" s="56">
        <f t="shared" si="13"/>
        <v>0</v>
      </c>
      <c r="CN39" s="56" t="e">
        <f t="shared" ca="1" si="16"/>
        <v>#VALUE!</v>
      </c>
      <c r="CO39" s="59">
        <f t="shared" si="14"/>
        <v>-5</v>
      </c>
      <c r="CP39" s="59">
        <f t="shared" si="15"/>
        <v>-5</v>
      </c>
      <c r="CQ39" s="59">
        <f t="shared" si="17"/>
        <v>-5</v>
      </c>
    </row>
    <row r="40" spans="1:95" ht="18" customHeight="1" x14ac:dyDescent="0.25">
      <c r="A40" s="2679"/>
      <c r="B40" s="2662" t="s">
        <v>2267</v>
      </c>
      <c r="C40" s="2664" t="str">
        <f>HLOOKUP(LANGUAGE!$B$2,LANGUAGE!$C$14:$G$1500,1223)</f>
        <v>Tooling assembly</v>
      </c>
      <c r="D40" s="2665"/>
      <c r="E40" s="2666"/>
      <c r="F40" s="796" t="str">
        <f>HLOOKUP(LANGUAGE!$B$2,LANGUAGE!$C$14:$G$1500,1253)</f>
        <v>Target</v>
      </c>
      <c r="G40" s="780"/>
      <c r="H40" s="780"/>
      <c r="I40" s="780"/>
      <c r="J40" s="780"/>
      <c r="K40" s="780"/>
      <c r="L40" s="780"/>
      <c r="M40" s="780"/>
      <c r="N40" s="780"/>
      <c r="O40" s="780"/>
      <c r="P40" s="780"/>
      <c r="Q40" s="780"/>
      <c r="R40" s="780"/>
      <c r="S40" s="780"/>
      <c r="T40" s="780"/>
      <c r="U40" s="780"/>
      <c r="V40" s="780"/>
      <c r="W40" s="780"/>
      <c r="X40" s="780"/>
      <c r="Y40" s="780"/>
      <c r="Z40" s="780"/>
      <c r="AA40" s="780"/>
      <c r="AB40" s="780"/>
      <c r="AC40" s="780"/>
      <c r="AD40" s="780"/>
      <c r="AE40" s="780"/>
      <c r="AF40" s="780"/>
      <c r="AG40" s="780"/>
      <c r="AH40" s="780"/>
      <c r="AI40" s="780"/>
      <c r="AJ40" s="780"/>
      <c r="AK40" s="780"/>
      <c r="AL40" s="780"/>
      <c r="AM40" s="780"/>
      <c r="AN40" s="780"/>
      <c r="AO40" s="780"/>
      <c r="AP40" s="780"/>
      <c r="AQ40" s="780"/>
      <c r="AR40" s="780"/>
      <c r="AS40" s="780"/>
      <c r="AT40" s="780"/>
      <c r="AU40" s="780"/>
      <c r="AV40" s="780"/>
      <c r="AW40" s="780"/>
      <c r="AX40" s="780"/>
      <c r="AY40" s="780"/>
      <c r="AZ40" s="780"/>
      <c r="BA40" s="780"/>
      <c r="BB40" s="780"/>
      <c r="BC40" s="780"/>
      <c r="BD40" s="780"/>
      <c r="BE40" s="780"/>
      <c r="BF40" s="780"/>
      <c r="BG40" s="780"/>
      <c r="BH40" s="780"/>
      <c r="BI40" s="780"/>
      <c r="BJ40" s="780"/>
      <c r="BK40" s="780"/>
      <c r="BL40" s="780"/>
      <c r="BM40" s="780"/>
      <c r="BN40" s="780"/>
      <c r="BO40" s="780"/>
      <c r="BP40" s="780"/>
      <c r="BQ40" s="780"/>
      <c r="BR40" s="780"/>
      <c r="BS40" s="780"/>
      <c r="BT40" s="780"/>
      <c r="BU40" s="780"/>
      <c r="BV40" s="780"/>
      <c r="BW40" s="780"/>
      <c r="BX40" s="780"/>
      <c r="BY40" s="780"/>
      <c r="BZ40" s="780"/>
      <c r="CA40" s="780"/>
      <c r="CB40" s="780"/>
      <c r="CC40" s="780"/>
      <c r="CD40" s="780"/>
      <c r="CE40" s="780"/>
      <c r="CF40" s="780"/>
      <c r="CG40" s="2658">
        <v>0</v>
      </c>
      <c r="CH40" s="350"/>
      <c r="CI40" s="349"/>
      <c r="CJ40" s="351"/>
      <c r="CK40" s="56">
        <f t="shared" si="11"/>
        <v>1</v>
      </c>
      <c r="CL40" s="56">
        <f t="shared" si="12"/>
        <v>1</v>
      </c>
      <c r="CM40" s="56">
        <f t="shared" si="13"/>
        <v>0</v>
      </c>
      <c r="CN40" s="56" t="e">
        <f t="shared" ca="1" si="16"/>
        <v>#VALUE!</v>
      </c>
      <c r="CO40" s="59">
        <f t="shared" si="14"/>
        <v>-5</v>
      </c>
      <c r="CP40" s="59">
        <f t="shared" si="15"/>
        <v>-5</v>
      </c>
      <c r="CQ40" s="59">
        <f t="shared" si="17"/>
        <v>-5</v>
      </c>
    </row>
    <row r="41" spans="1:95" ht="18" customHeight="1" x14ac:dyDescent="0.25">
      <c r="A41" s="2679"/>
      <c r="B41" s="2663"/>
      <c r="C41" s="2667"/>
      <c r="D41" s="2668"/>
      <c r="E41" s="2669"/>
      <c r="F41" s="796" t="str">
        <f>HLOOKUP(LANGUAGE!$B$2,LANGUAGE!$C$14:$G$1500,1255)</f>
        <v>Is</v>
      </c>
      <c r="G41" s="516"/>
      <c r="H41" s="516"/>
      <c r="I41" s="516"/>
      <c r="J41" s="516"/>
      <c r="K41" s="516"/>
      <c r="L41" s="516"/>
      <c r="M41" s="516"/>
      <c r="N41" s="516"/>
      <c r="O41" s="516"/>
      <c r="P41" s="516"/>
      <c r="Q41" s="516"/>
      <c r="R41" s="516"/>
      <c r="S41" s="516"/>
      <c r="T41" s="516"/>
      <c r="U41" s="516"/>
      <c r="V41" s="516"/>
      <c r="W41" s="516"/>
      <c r="X41" s="516"/>
      <c r="Y41" s="516"/>
      <c r="Z41" s="516"/>
      <c r="AA41" s="516"/>
      <c r="AB41" s="516"/>
      <c r="AC41" s="516"/>
      <c r="AD41" s="516"/>
      <c r="AE41" s="516"/>
      <c r="AF41" s="516"/>
      <c r="AG41" s="516"/>
      <c r="AH41" s="516"/>
      <c r="AI41" s="516"/>
      <c r="AJ41" s="516"/>
      <c r="AK41" s="516"/>
      <c r="AL41" s="516"/>
      <c r="AM41" s="516"/>
      <c r="AN41" s="516"/>
      <c r="AO41" s="516"/>
      <c r="AP41" s="516"/>
      <c r="AQ41" s="516"/>
      <c r="AR41" s="516"/>
      <c r="AS41" s="516"/>
      <c r="AT41" s="516"/>
      <c r="AU41" s="516"/>
      <c r="AV41" s="516"/>
      <c r="AW41" s="516"/>
      <c r="AX41" s="516"/>
      <c r="AY41" s="516"/>
      <c r="AZ41" s="516"/>
      <c r="BA41" s="516"/>
      <c r="BB41" s="516"/>
      <c r="BC41" s="516"/>
      <c r="BD41" s="516"/>
      <c r="BE41" s="516"/>
      <c r="BF41" s="516"/>
      <c r="BG41" s="516"/>
      <c r="BH41" s="516"/>
      <c r="BI41" s="516"/>
      <c r="BJ41" s="516"/>
      <c r="BK41" s="516"/>
      <c r="BL41" s="516"/>
      <c r="BM41" s="516"/>
      <c r="BN41" s="516"/>
      <c r="BO41" s="516"/>
      <c r="BP41" s="516"/>
      <c r="BQ41" s="516"/>
      <c r="BR41" s="516"/>
      <c r="BS41" s="516"/>
      <c r="BT41" s="516"/>
      <c r="BU41" s="516"/>
      <c r="BV41" s="516"/>
      <c r="BW41" s="516"/>
      <c r="BX41" s="516"/>
      <c r="BY41" s="516"/>
      <c r="BZ41" s="516"/>
      <c r="CA41" s="516"/>
      <c r="CB41" s="516"/>
      <c r="CC41" s="516"/>
      <c r="CD41" s="516"/>
      <c r="CE41" s="516"/>
      <c r="CF41" s="516"/>
      <c r="CG41" s="2659"/>
      <c r="CH41" s="350"/>
      <c r="CI41" s="349"/>
      <c r="CJ41" s="352"/>
      <c r="CK41" s="56">
        <f t="shared" si="11"/>
        <v>1</v>
      </c>
      <c r="CL41" s="56">
        <f t="shared" si="12"/>
        <v>1</v>
      </c>
      <c r="CM41" s="56">
        <f t="shared" si="13"/>
        <v>0</v>
      </c>
      <c r="CN41" s="56" t="e">
        <f t="shared" ca="1" si="16"/>
        <v>#VALUE!</v>
      </c>
      <c r="CO41" s="59">
        <f t="shared" si="14"/>
        <v>-5</v>
      </c>
      <c r="CP41" s="59">
        <f t="shared" si="15"/>
        <v>-5</v>
      </c>
      <c r="CQ41" s="59">
        <f t="shared" si="17"/>
        <v>-5</v>
      </c>
    </row>
    <row r="42" spans="1:95" ht="18" customHeight="1" x14ac:dyDescent="0.25">
      <c r="A42" s="2660" t="s">
        <v>2268</v>
      </c>
      <c r="B42" s="2662"/>
      <c r="C42" s="2664" t="str">
        <f>HLOOKUP(LANGUAGE!$B$2,LANGUAGE!$C$14:$G$1500,1225)</f>
        <v>Tooling adjustment,  first trail, functional test</v>
      </c>
      <c r="D42" s="2665"/>
      <c r="E42" s="2666"/>
      <c r="F42" s="796" t="str">
        <f>HLOOKUP(LANGUAGE!$B$2,LANGUAGE!$C$14:$G$1500,1253)</f>
        <v>Target</v>
      </c>
      <c r="G42" s="780"/>
      <c r="H42" s="780"/>
      <c r="I42" s="780"/>
      <c r="J42" s="780"/>
      <c r="K42" s="780"/>
      <c r="L42" s="780"/>
      <c r="M42" s="780"/>
      <c r="N42" s="780"/>
      <c r="O42" s="780"/>
      <c r="P42" s="780"/>
      <c r="Q42" s="780"/>
      <c r="R42" s="780"/>
      <c r="S42" s="780"/>
      <c r="T42" s="780"/>
      <c r="U42" s="780"/>
      <c r="V42" s="780"/>
      <c r="W42" s="780"/>
      <c r="X42" s="780"/>
      <c r="Y42" s="780"/>
      <c r="Z42" s="780"/>
      <c r="AA42" s="780"/>
      <c r="AB42" s="780"/>
      <c r="AC42" s="780"/>
      <c r="AD42" s="780"/>
      <c r="AE42" s="780"/>
      <c r="AF42" s="780"/>
      <c r="AG42" s="780"/>
      <c r="AH42" s="780"/>
      <c r="AI42" s="780"/>
      <c r="AJ42" s="780"/>
      <c r="AK42" s="780"/>
      <c r="AL42" s="780"/>
      <c r="AM42" s="780"/>
      <c r="AN42" s="780"/>
      <c r="AO42" s="780"/>
      <c r="AP42" s="780"/>
      <c r="AQ42" s="780"/>
      <c r="AR42" s="780"/>
      <c r="AS42" s="780"/>
      <c r="AT42" s="780"/>
      <c r="AU42" s="780"/>
      <c r="AV42" s="780"/>
      <c r="AW42" s="780"/>
      <c r="AX42" s="780"/>
      <c r="AY42" s="780"/>
      <c r="AZ42" s="780"/>
      <c r="BA42" s="780"/>
      <c r="BB42" s="780"/>
      <c r="BC42" s="780"/>
      <c r="BD42" s="780"/>
      <c r="BE42" s="780"/>
      <c r="BF42" s="780"/>
      <c r="BG42" s="780"/>
      <c r="BH42" s="780"/>
      <c r="BI42" s="780"/>
      <c r="BJ42" s="780"/>
      <c r="BK42" s="780"/>
      <c r="BL42" s="780"/>
      <c r="BM42" s="780"/>
      <c r="BN42" s="780"/>
      <c r="BO42" s="780"/>
      <c r="BP42" s="780"/>
      <c r="BQ42" s="780"/>
      <c r="BR42" s="780"/>
      <c r="BS42" s="780"/>
      <c r="BT42" s="780"/>
      <c r="BU42" s="780"/>
      <c r="BV42" s="780"/>
      <c r="BW42" s="780"/>
      <c r="BX42" s="780"/>
      <c r="BY42" s="780"/>
      <c r="BZ42" s="780"/>
      <c r="CA42" s="780"/>
      <c r="CB42" s="780"/>
      <c r="CC42" s="780"/>
      <c r="CD42" s="780"/>
      <c r="CE42" s="780"/>
      <c r="CF42" s="780"/>
      <c r="CG42" s="2658">
        <v>0</v>
      </c>
      <c r="CH42" s="350"/>
      <c r="CI42" s="349"/>
      <c r="CJ42" s="351"/>
      <c r="CK42" s="56">
        <f t="shared" si="11"/>
        <v>1</v>
      </c>
      <c r="CL42" s="56">
        <f t="shared" si="12"/>
        <v>1</v>
      </c>
      <c r="CM42" s="56">
        <f t="shared" si="13"/>
        <v>0</v>
      </c>
      <c r="CN42" s="56" t="e">
        <f t="shared" ca="1" si="16"/>
        <v>#VALUE!</v>
      </c>
      <c r="CO42" s="59">
        <f t="shared" si="14"/>
        <v>-5</v>
      </c>
      <c r="CP42" s="59">
        <f t="shared" si="15"/>
        <v>-5</v>
      </c>
      <c r="CQ42" s="59">
        <f t="shared" si="17"/>
        <v>-5</v>
      </c>
    </row>
    <row r="43" spans="1:95" ht="18" customHeight="1" x14ac:dyDescent="0.25">
      <c r="A43" s="2661"/>
      <c r="B43" s="2663"/>
      <c r="C43" s="2667"/>
      <c r="D43" s="2668"/>
      <c r="E43" s="2669"/>
      <c r="F43" s="796" t="str">
        <f>HLOOKUP(LANGUAGE!$B$2,LANGUAGE!$C$14:$G$1500,1255)</f>
        <v>Is</v>
      </c>
      <c r="G43" s="516"/>
      <c r="H43" s="516"/>
      <c r="I43" s="516"/>
      <c r="J43" s="516"/>
      <c r="K43" s="516"/>
      <c r="L43" s="516"/>
      <c r="M43" s="516"/>
      <c r="N43" s="516"/>
      <c r="O43" s="516"/>
      <c r="P43" s="516"/>
      <c r="Q43" s="516"/>
      <c r="R43" s="516"/>
      <c r="S43" s="516"/>
      <c r="T43" s="516"/>
      <c r="U43" s="516"/>
      <c r="V43" s="516"/>
      <c r="W43" s="516"/>
      <c r="X43" s="516"/>
      <c r="Y43" s="516"/>
      <c r="Z43" s="516"/>
      <c r="AA43" s="516"/>
      <c r="AB43" s="516"/>
      <c r="AC43" s="516"/>
      <c r="AD43" s="516"/>
      <c r="AE43" s="516"/>
      <c r="AF43" s="516"/>
      <c r="AG43" s="516"/>
      <c r="AH43" s="516"/>
      <c r="AI43" s="516"/>
      <c r="AJ43" s="516"/>
      <c r="AK43" s="516"/>
      <c r="AL43" s="516"/>
      <c r="AM43" s="516"/>
      <c r="AN43" s="516"/>
      <c r="AO43" s="516"/>
      <c r="AP43" s="516"/>
      <c r="AQ43" s="516"/>
      <c r="AR43" s="516"/>
      <c r="AS43" s="516"/>
      <c r="AT43" s="516"/>
      <c r="AU43" s="516"/>
      <c r="AV43" s="516"/>
      <c r="AW43" s="516"/>
      <c r="AX43" s="516"/>
      <c r="AY43" s="516"/>
      <c r="AZ43" s="516"/>
      <c r="BA43" s="516"/>
      <c r="BB43" s="516"/>
      <c r="BC43" s="516"/>
      <c r="BD43" s="516"/>
      <c r="BE43" s="516"/>
      <c r="BF43" s="516"/>
      <c r="BG43" s="516"/>
      <c r="BH43" s="516"/>
      <c r="BI43" s="516"/>
      <c r="BJ43" s="516"/>
      <c r="BK43" s="516"/>
      <c r="BL43" s="516"/>
      <c r="BM43" s="516"/>
      <c r="BN43" s="516"/>
      <c r="BO43" s="516"/>
      <c r="BP43" s="516"/>
      <c r="BQ43" s="516"/>
      <c r="BR43" s="516"/>
      <c r="BS43" s="516"/>
      <c r="BT43" s="516"/>
      <c r="BU43" s="516"/>
      <c r="BV43" s="516"/>
      <c r="BW43" s="516"/>
      <c r="BX43" s="516"/>
      <c r="BY43" s="516"/>
      <c r="BZ43" s="516"/>
      <c r="CA43" s="516"/>
      <c r="CB43" s="516"/>
      <c r="CC43" s="516"/>
      <c r="CD43" s="516"/>
      <c r="CE43" s="516"/>
      <c r="CF43" s="516"/>
      <c r="CG43" s="2659"/>
      <c r="CH43" s="350"/>
      <c r="CI43" s="349"/>
      <c r="CJ43" s="352"/>
      <c r="CK43" s="56">
        <f t="shared" si="11"/>
        <v>1</v>
      </c>
      <c r="CL43" s="56">
        <f t="shared" si="12"/>
        <v>1</v>
      </c>
      <c r="CM43" s="56">
        <f t="shared" si="13"/>
        <v>0</v>
      </c>
      <c r="CN43" s="56" t="e">
        <f t="shared" ca="1" si="16"/>
        <v>#VALUE!</v>
      </c>
      <c r="CO43" s="59">
        <f t="shared" si="14"/>
        <v>-5</v>
      </c>
      <c r="CP43" s="59">
        <f t="shared" si="15"/>
        <v>-5</v>
      </c>
      <c r="CQ43" s="59">
        <f t="shared" si="17"/>
        <v>-5</v>
      </c>
    </row>
    <row r="44" spans="1:95" ht="18" customHeight="1" x14ac:dyDescent="0.25">
      <c r="A44" s="2660" t="s">
        <v>2269</v>
      </c>
      <c r="B44" s="2662"/>
      <c r="C44" s="2664" t="str">
        <f>HLOOKUP(LANGUAGE!$B$2,LANGUAGE!$C$14:$G$1500,1227)</f>
        <v>Tooling transfer to production site</v>
      </c>
      <c r="D44" s="2665"/>
      <c r="E44" s="2666"/>
      <c r="F44" s="796" t="str">
        <f>HLOOKUP(LANGUAGE!$B$2,LANGUAGE!$C$14:$G$1500,1253)</f>
        <v>Target</v>
      </c>
      <c r="G44" s="780"/>
      <c r="H44" s="780"/>
      <c r="I44" s="780"/>
      <c r="J44" s="780"/>
      <c r="K44" s="780"/>
      <c r="L44" s="780"/>
      <c r="M44" s="780"/>
      <c r="N44" s="780"/>
      <c r="O44" s="780"/>
      <c r="P44" s="780"/>
      <c r="Q44" s="780"/>
      <c r="R44" s="780"/>
      <c r="S44" s="780"/>
      <c r="T44" s="780"/>
      <c r="U44" s="780"/>
      <c r="V44" s="780"/>
      <c r="W44" s="780"/>
      <c r="X44" s="780"/>
      <c r="Y44" s="780"/>
      <c r="Z44" s="780"/>
      <c r="AA44" s="780"/>
      <c r="AB44" s="780"/>
      <c r="AC44" s="780"/>
      <c r="AD44" s="780"/>
      <c r="AE44" s="780"/>
      <c r="AF44" s="780"/>
      <c r="AG44" s="780"/>
      <c r="AH44" s="780"/>
      <c r="AI44" s="780"/>
      <c r="AJ44" s="780"/>
      <c r="AK44" s="780"/>
      <c r="AL44" s="780"/>
      <c r="AM44" s="780"/>
      <c r="AN44" s="780"/>
      <c r="AO44" s="780"/>
      <c r="AP44" s="780"/>
      <c r="AQ44" s="780"/>
      <c r="AR44" s="780"/>
      <c r="AS44" s="780"/>
      <c r="AT44" s="780"/>
      <c r="AU44" s="780"/>
      <c r="AV44" s="780"/>
      <c r="AW44" s="780"/>
      <c r="AX44" s="780"/>
      <c r="AY44" s="780"/>
      <c r="AZ44" s="780"/>
      <c r="BA44" s="780"/>
      <c r="BB44" s="780"/>
      <c r="BC44" s="780"/>
      <c r="BD44" s="780"/>
      <c r="BE44" s="780"/>
      <c r="BF44" s="780"/>
      <c r="BG44" s="780"/>
      <c r="BH44" s="780"/>
      <c r="BI44" s="780"/>
      <c r="BJ44" s="780"/>
      <c r="BK44" s="780"/>
      <c r="BL44" s="780"/>
      <c r="BM44" s="780"/>
      <c r="BN44" s="780"/>
      <c r="BO44" s="780"/>
      <c r="BP44" s="780"/>
      <c r="BQ44" s="780"/>
      <c r="BR44" s="780"/>
      <c r="BS44" s="780"/>
      <c r="BT44" s="780"/>
      <c r="BU44" s="780"/>
      <c r="BV44" s="780"/>
      <c r="BW44" s="780"/>
      <c r="BX44" s="780"/>
      <c r="BY44" s="780"/>
      <c r="BZ44" s="780"/>
      <c r="CA44" s="780"/>
      <c r="CB44" s="780"/>
      <c r="CC44" s="780"/>
      <c r="CD44" s="780"/>
      <c r="CE44" s="780"/>
      <c r="CF44" s="780"/>
      <c r="CG44" s="2658">
        <v>0</v>
      </c>
      <c r="CH44" s="350"/>
      <c r="CI44" s="349"/>
      <c r="CJ44" s="351"/>
      <c r="CK44" s="56">
        <f t="shared" si="11"/>
        <v>1</v>
      </c>
      <c r="CL44" s="56">
        <f t="shared" si="12"/>
        <v>1</v>
      </c>
      <c r="CM44" s="56">
        <f t="shared" si="13"/>
        <v>0</v>
      </c>
      <c r="CN44" s="56" t="e">
        <f t="shared" ca="1" si="16"/>
        <v>#VALUE!</v>
      </c>
      <c r="CO44" s="59">
        <f t="shared" si="14"/>
        <v>-5</v>
      </c>
      <c r="CP44" s="59">
        <f t="shared" si="15"/>
        <v>-5</v>
      </c>
      <c r="CQ44" s="59">
        <f t="shared" si="17"/>
        <v>-5</v>
      </c>
    </row>
    <row r="45" spans="1:95" ht="18" customHeight="1" x14ac:dyDescent="0.25">
      <c r="A45" s="2661"/>
      <c r="B45" s="2663"/>
      <c r="C45" s="2667"/>
      <c r="D45" s="2668"/>
      <c r="E45" s="2669"/>
      <c r="F45" s="796" t="str">
        <f>HLOOKUP(LANGUAGE!$B$2,LANGUAGE!$C$14:$G$1500,1255)</f>
        <v>Is</v>
      </c>
      <c r="G45" s="516"/>
      <c r="H45" s="516"/>
      <c r="I45" s="516"/>
      <c r="J45" s="516"/>
      <c r="K45" s="516"/>
      <c r="L45" s="516"/>
      <c r="M45" s="516"/>
      <c r="N45" s="516"/>
      <c r="O45" s="516"/>
      <c r="P45" s="516"/>
      <c r="Q45" s="516"/>
      <c r="R45" s="516"/>
      <c r="S45" s="516"/>
      <c r="T45" s="516"/>
      <c r="U45" s="516"/>
      <c r="V45" s="516"/>
      <c r="W45" s="516"/>
      <c r="X45" s="516"/>
      <c r="Y45" s="516"/>
      <c r="Z45" s="516"/>
      <c r="AA45" s="516"/>
      <c r="AB45" s="516"/>
      <c r="AC45" s="516"/>
      <c r="AD45" s="516"/>
      <c r="AE45" s="516"/>
      <c r="AF45" s="516"/>
      <c r="AG45" s="516"/>
      <c r="AH45" s="516"/>
      <c r="AI45" s="516"/>
      <c r="AJ45" s="516"/>
      <c r="AK45" s="516"/>
      <c r="AL45" s="516"/>
      <c r="AM45" s="516"/>
      <c r="AN45" s="516"/>
      <c r="AO45" s="516"/>
      <c r="AP45" s="516"/>
      <c r="AQ45" s="516"/>
      <c r="AR45" s="516"/>
      <c r="AS45" s="516"/>
      <c r="AT45" s="516"/>
      <c r="AU45" s="516"/>
      <c r="AV45" s="516"/>
      <c r="AW45" s="516"/>
      <c r="AX45" s="516"/>
      <c r="AY45" s="516"/>
      <c r="AZ45" s="516"/>
      <c r="BA45" s="516"/>
      <c r="BB45" s="516"/>
      <c r="BC45" s="516"/>
      <c r="BD45" s="516"/>
      <c r="BE45" s="516"/>
      <c r="BF45" s="516"/>
      <c r="BG45" s="516"/>
      <c r="BH45" s="516"/>
      <c r="BI45" s="516"/>
      <c r="BJ45" s="516"/>
      <c r="BK45" s="516"/>
      <c r="BL45" s="516"/>
      <c r="BM45" s="516"/>
      <c r="BN45" s="516"/>
      <c r="BO45" s="516"/>
      <c r="BP45" s="516"/>
      <c r="BQ45" s="516"/>
      <c r="BR45" s="516"/>
      <c r="BS45" s="516"/>
      <c r="BT45" s="516"/>
      <c r="BU45" s="516"/>
      <c r="BV45" s="516"/>
      <c r="BW45" s="516"/>
      <c r="BX45" s="516"/>
      <c r="BY45" s="516"/>
      <c r="BZ45" s="516"/>
      <c r="CA45" s="516"/>
      <c r="CB45" s="516"/>
      <c r="CC45" s="516"/>
      <c r="CD45" s="516"/>
      <c r="CE45" s="516"/>
      <c r="CF45" s="516"/>
      <c r="CG45" s="2659"/>
      <c r="CH45" s="350"/>
      <c r="CI45" s="349"/>
      <c r="CJ45" s="352"/>
      <c r="CK45" s="56">
        <f t="shared" si="11"/>
        <v>1</v>
      </c>
      <c r="CL45" s="56">
        <f t="shared" si="12"/>
        <v>1</v>
      </c>
      <c r="CM45" s="56">
        <f t="shared" si="13"/>
        <v>0</v>
      </c>
      <c r="CN45" s="56" t="e">
        <f t="shared" ca="1" si="16"/>
        <v>#VALUE!</v>
      </c>
      <c r="CO45" s="59">
        <f t="shared" si="14"/>
        <v>-5</v>
      </c>
      <c r="CP45" s="59">
        <f t="shared" si="15"/>
        <v>-5</v>
      </c>
      <c r="CQ45" s="59">
        <f t="shared" si="17"/>
        <v>-5</v>
      </c>
    </row>
    <row r="46" spans="1:95" ht="18" customHeight="1" x14ac:dyDescent="0.25">
      <c r="A46" s="2660" t="s">
        <v>2271</v>
      </c>
      <c r="B46" s="2464"/>
      <c r="C46" s="2466" t="str">
        <f>HLOOKUP(LANGUAGE!$B$2,LANGUAGE!$C$14:$G$1500,1229)</f>
        <v>First off tool parts  incl. measurement report</v>
      </c>
      <c r="D46" s="2467"/>
      <c r="E46" s="2468"/>
      <c r="F46" s="795" t="str">
        <f>HLOOKUP(LANGUAGE!$B$2,LANGUAGE!$C$14:$G$1500,1253)</f>
        <v>Target</v>
      </c>
      <c r="G46" s="784"/>
      <c r="H46" s="784"/>
      <c r="I46" s="784"/>
      <c r="J46" s="784"/>
      <c r="K46" s="784"/>
      <c r="L46" s="784"/>
      <c r="M46" s="784"/>
      <c r="N46" s="784"/>
      <c r="O46" s="784"/>
      <c r="P46" s="784"/>
      <c r="Q46" s="784"/>
      <c r="R46" s="784"/>
      <c r="S46" s="784"/>
      <c r="T46" s="784"/>
      <c r="U46" s="784"/>
      <c r="V46" s="784"/>
      <c r="W46" s="784"/>
      <c r="X46" s="784"/>
      <c r="Y46" s="784"/>
      <c r="Z46" s="784"/>
      <c r="AA46" s="784"/>
      <c r="AB46" s="784"/>
      <c r="AC46" s="784"/>
      <c r="AD46" s="784"/>
      <c r="AE46" s="784"/>
      <c r="AF46" s="784"/>
      <c r="AG46" s="784"/>
      <c r="AH46" s="784"/>
      <c r="AI46" s="784"/>
      <c r="AJ46" s="784"/>
      <c r="AK46" s="784"/>
      <c r="AL46" s="784"/>
      <c r="AM46" s="784"/>
      <c r="AN46" s="784"/>
      <c r="AO46" s="784"/>
      <c r="AP46" s="784"/>
      <c r="AQ46" s="784"/>
      <c r="AR46" s="784"/>
      <c r="AS46" s="784"/>
      <c r="AT46" s="784"/>
      <c r="AU46" s="784"/>
      <c r="AV46" s="784"/>
      <c r="AW46" s="784"/>
      <c r="AX46" s="784"/>
      <c r="AY46" s="784"/>
      <c r="AZ46" s="784"/>
      <c r="BA46" s="784"/>
      <c r="BB46" s="784"/>
      <c r="BC46" s="784"/>
      <c r="BD46" s="784"/>
      <c r="BE46" s="784"/>
      <c r="BF46" s="784"/>
      <c r="BG46" s="784"/>
      <c r="BH46" s="784"/>
      <c r="BI46" s="784"/>
      <c r="BJ46" s="784"/>
      <c r="BK46" s="784"/>
      <c r="BL46" s="784"/>
      <c r="BM46" s="784"/>
      <c r="BN46" s="784"/>
      <c r="BO46" s="784"/>
      <c r="BP46" s="784"/>
      <c r="BQ46" s="784"/>
      <c r="BR46" s="784"/>
      <c r="BS46" s="784"/>
      <c r="BT46" s="784"/>
      <c r="BU46" s="784"/>
      <c r="BV46" s="784"/>
      <c r="BW46" s="784"/>
      <c r="BX46" s="784"/>
      <c r="BY46" s="784"/>
      <c r="BZ46" s="784"/>
      <c r="CA46" s="784"/>
      <c r="CB46" s="784"/>
      <c r="CC46" s="784"/>
      <c r="CD46" s="784"/>
      <c r="CE46" s="784"/>
      <c r="CF46" s="784"/>
      <c r="CG46" s="2658">
        <v>0</v>
      </c>
      <c r="CH46" s="350"/>
      <c r="CI46" s="349"/>
      <c r="CJ46" s="351"/>
      <c r="CK46" s="56">
        <f t="shared" si="11"/>
        <v>1</v>
      </c>
      <c r="CL46" s="56">
        <f t="shared" si="12"/>
        <v>1</v>
      </c>
      <c r="CM46" s="56">
        <f t="shared" si="13"/>
        <v>0</v>
      </c>
      <c r="CN46" s="56" t="e">
        <f t="shared" ca="1" si="16"/>
        <v>#VALUE!</v>
      </c>
      <c r="CO46" s="59">
        <f t="shared" si="14"/>
        <v>-5</v>
      </c>
      <c r="CP46" s="59">
        <f t="shared" si="15"/>
        <v>-5</v>
      </c>
      <c r="CQ46" s="59">
        <f t="shared" si="17"/>
        <v>-5</v>
      </c>
    </row>
    <row r="47" spans="1:95" ht="18" customHeight="1" x14ac:dyDescent="0.25">
      <c r="A47" s="2661"/>
      <c r="B47" s="2465"/>
      <c r="C47" s="834"/>
      <c r="D47" s="835"/>
      <c r="E47" s="836"/>
      <c r="F47" s="795" t="str">
        <f>HLOOKUP(LANGUAGE!$B$2,LANGUAGE!$C$14:$G$1500,1255)</f>
        <v>Is</v>
      </c>
      <c r="G47" s="517"/>
      <c r="H47" s="517"/>
      <c r="I47" s="517"/>
      <c r="J47" s="517"/>
      <c r="K47" s="517"/>
      <c r="L47" s="517"/>
      <c r="M47" s="517"/>
      <c r="N47" s="517"/>
      <c r="O47" s="517"/>
      <c r="P47" s="517"/>
      <c r="Q47" s="517"/>
      <c r="R47" s="517"/>
      <c r="S47" s="517"/>
      <c r="T47" s="517"/>
      <c r="U47" s="517"/>
      <c r="V47" s="517"/>
      <c r="W47" s="517"/>
      <c r="X47" s="517"/>
      <c r="Y47" s="517"/>
      <c r="Z47" s="517"/>
      <c r="AA47" s="517"/>
      <c r="AB47" s="517"/>
      <c r="AC47" s="517"/>
      <c r="AD47" s="517"/>
      <c r="AE47" s="517"/>
      <c r="AF47" s="517"/>
      <c r="AG47" s="517"/>
      <c r="AH47" s="517"/>
      <c r="AI47" s="517"/>
      <c r="AJ47" s="517"/>
      <c r="AK47" s="517"/>
      <c r="AL47" s="517"/>
      <c r="AM47" s="517"/>
      <c r="AN47" s="517"/>
      <c r="AO47" s="517"/>
      <c r="AP47" s="517"/>
      <c r="AQ47" s="517"/>
      <c r="AR47" s="517"/>
      <c r="AS47" s="517"/>
      <c r="AT47" s="517"/>
      <c r="AU47" s="517"/>
      <c r="AV47" s="517"/>
      <c r="AW47" s="517"/>
      <c r="AX47" s="517"/>
      <c r="AY47" s="517"/>
      <c r="AZ47" s="517"/>
      <c r="BA47" s="517"/>
      <c r="BB47" s="517"/>
      <c r="BC47" s="517"/>
      <c r="BD47" s="517"/>
      <c r="BE47" s="517"/>
      <c r="BF47" s="517"/>
      <c r="BG47" s="517"/>
      <c r="BH47" s="517"/>
      <c r="BI47" s="517"/>
      <c r="BJ47" s="517"/>
      <c r="BK47" s="517"/>
      <c r="BL47" s="517"/>
      <c r="BM47" s="517"/>
      <c r="BN47" s="517"/>
      <c r="BO47" s="517"/>
      <c r="BP47" s="517"/>
      <c r="BQ47" s="517"/>
      <c r="BR47" s="517"/>
      <c r="BS47" s="517"/>
      <c r="BT47" s="517"/>
      <c r="BU47" s="517"/>
      <c r="BV47" s="517"/>
      <c r="BW47" s="517"/>
      <c r="BX47" s="517"/>
      <c r="BY47" s="517"/>
      <c r="BZ47" s="517"/>
      <c r="CA47" s="517"/>
      <c r="CB47" s="517"/>
      <c r="CC47" s="517"/>
      <c r="CD47" s="517"/>
      <c r="CE47" s="517"/>
      <c r="CF47" s="517"/>
      <c r="CG47" s="2659"/>
      <c r="CH47" s="350"/>
      <c r="CI47" s="349"/>
      <c r="CJ47" s="352"/>
      <c r="CK47" s="56">
        <f t="shared" si="11"/>
        <v>1</v>
      </c>
      <c r="CL47" s="56">
        <f t="shared" si="12"/>
        <v>1</v>
      </c>
      <c r="CM47" s="56">
        <f t="shared" si="13"/>
        <v>0</v>
      </c>
      <c r="CN47" s="56" t="e">
        <f t="shared" ca="1" si="16"/>
        <v>#VALUE!</v>
      </c>
      <c r="CO47" s="59">
        <f t="shared" si="14"/>
        <v>-5</v>
      </c>
      <c r="CP47" s="59">
        <f t="shared" si="15"/>
        <v>-5</v>
      </c>
      <c r="CQ47" s="59">
        <f t="shared" si="17"/>
        <v>-5</v>
      </c>
    </row>
    <row r="48" spans="1:95" ht="18" customHeight="1" x14ac:dyDescent="0.25">
      <c r="A48" s="2660" t="s">
        <v>2272</v>
      </c>
      <c r="B48" s="2662"/>
      <c r="C48" s="2664" t="str">
        <f>HLOOKUP(LANGUAGE!$B$2,LANGUAGE!$C$14:$G$1500,1231)</f>
        <v>1 st Correction loop incl. measurement report</v>
      </c>
      <c r="D48" s="2665"/>
      <c r="E48" s="2666"/>
      <c r="F48" s="796" t="str">
        <f>HLOOKUP(LANGUAGE!$B$2,LANGUAGE!$C$14:$G$1500,1253)</f>
        <v>Target</v>
      </c>
      <c r="G48" s="780"/>
      <c r="H48" s="780"/>
      <c r="I48" s="780"/>
      <c r="J48" s="780"/>
      <c r="K48" s="780"/>
      <c r="L48" s="780"/>
      <c r="M48" s="780"/>
      <c r="N48" s="780"/>
      <c r="O48" s="780"/>
      <c r="P48" s="780"/>
      <c r="Q48" s="780"/>
      <c r="R48" s="780"/>
      <c r="S48" s="780"/>
      <c r="T48" s="780"/>
      <c r="U48" s="780"/>
      <c r="V48" s="780"/>
      <c r="W48" s="780"/>
      <c r="X48" s="780"/>
      <c r="Y48" s="780"/>
      <c r="Z48" s="780"/>
      <c r="AA48" s="780"/>
      <c r="AB48" s="780"/>
      <c r="AC48" s="780"/>
      <c r="AD48" s="780"/>
      <c r="AE48" s="780"/>
      <c r="AF48" s="780"/>
      <c r="AG48" s="780"/>
      <c r="AH48" s="780"/>
      <c r="AI48" s="780"/>
      <c r="AJ48" s="780"/>
      <c r="AK48" s="780"/>
      <c r="AL48" s="780"/>
      <c r="AM48" s="780"/>
      <c r="AN48" s="780"/>
      <c r="AO48" s="780"/>
      <c r="AP48" s="780"/>
      <c r="AQ48" s="780"/>
      <c r="AR48" s="780"/>
      <c r="AS48" s="780"/>
      <c r="AT48" s="780"/>
      <c r="AU48" s="780"/>
      <c r="AV48" s="780"/>
      <c r="AW48" s="780"/>
      <c r="AX48" s="780"/>
      <c r="AY48" s="780"/>
      <c r="AZ48" s="780"/>
      <c r="BA48" s="780"/>
      <c r="BB48" s="780"/>
      <c r="BC48" s="780"/>
      <c r="BD48" s="780"/>
      <c r="BE48" s="780"/>
      <c r="BF48" s="780"/>
      <c r="BG48" s="780"/>
      <c r="BH48" s="780"/>
      <c r="BI48" s="780"/>
      <c r="BJ48" s="780"/>
      <c r="BK48" s="780"/>
      <c r="BL48" s="780"/>
      <c r="BM48" s="780"/>
      <c r="BN48" s="780"/>
      <c r="BO48" s="780"/>
      <c r="BP48" s="780"/>
      <c r="BQ48" s="780"/>
      <c r="BR48" s="780"/>
      <c r="BS48" s="780"/>
      <c r="BT48" s="780"/>
      <c r="BU48" s="780"/>
      <c r="BV48" s="780"/>
      <c r="BW48" s="780"/>
      <c r="BX48" s="780"/>
      <c r="BY48" s="780"/>
      <c r="BZ48" s="780"/>
      <c r="CA48" s="780"/>
      <c r="CB48" s="780"/>
      <c r="CC48" s="780"/>
      <c r="CD48" s="780"/>
      <c r="CE48" s="780"/>
      <c r="CF48" s="780"/>
      <c r="CG48" s="2658">
        <v>0</v>
      </c>
      <c r="CH48" s="350"/>
      <c r="CI48" s="349"/>
      <c r="CJ48" s="351"/>
      <c r="CK48" s="56">
        <f t="shared" si="11"/>
        <v>1</v>
      </c>
      <c r="CL48" s="56">
        <f t="shared" si="12"/>
        <v>1</v>
      </c>
      <c r="CM48" s="56">
        <f t="shared" si="13"/>
        <v>0</v>
      </c>
      <c r="CN48" s="56" t="e">
        <f t="shared" ca="1" si="16"/>
        <v>#VALUE!</v>
      </c>
      <c r="CO48" s="59">
        <f t="shared" si="14"/>
        <v>-5</v>
      </c>
      <c r="CP48" s="59">
        <f t="shared" si="15"/>
        <v>-5</v>
      </c>
      <c r="CQ48" s="59">
        <f t="shared" si="17"/>
        <v>-5</v>
      </c>
    </row>
    <row r="49" spans="1:95" ht="18" customHeight="1" x14ac:dyDescent="0.25">
      <c r="A49" s="2661"/>
      <c r="B49" s="2663"/>
      <c r="C49" s="2667"/>
      <c r="D49" s="2668"/>
      <c r="E49" s="2669"/>
      <c r="F49" s="796" t="str">
        <f>HLOOKUP(LANGUAGE!$B$2,LANGUAGE!$C$14:$G$1500,1255)</f>
        <v>Is</v>
      </c>
      <c r="G49" s="516"/>
      <c r="H49" s="516"/>
      <c r="I49" s="516"/>
      <c r="J49" s="516"/>
      <c r="K49" s="516"/>
      <c r="L49" s="516"/>
      <c r="M49" s="516"/>
      <c r="N49" s="516"/>
      <c r="O49" s="516"/>
      <c r="P49" s="516"/>
      <c r="Q49" s="516"/>
      <c r="R49" s="516"/>
      <c r="S49" s="516"/>
      <c r="T49" s="516"/>
      <c r="U49" s="516"/>
      <c r="V49" s="516"/>
      <c r="W49" s="516"/>
      <c r="X49" s="516"/>
      <c r="Y49" s="516"/>
      <c r="Z49" s="516"/>
      <c r="AA49" s="516"/>
      <c r="AB49" s="516"/>
      <c r="AC49" s="516"/>
      <c r="AD49" s="516"/>
      <c r="AE49" s="516"/>
      <c r="AF49" s="516"/>
      <c r="AG49" s="516"/>
      <c r="AH49" s="516"/>
      <c r="AI49" s="516"/>
      <c r="AJ49" s="516"/>
      <c r="AK49" s="516"/>
      <c r="AL49" s="516"/>
      <c r="AM49" s="516"/>
      <c r="AN49" s="516"/>
      <c r="AO49" s="516"/>
      <c r="AP49" s="516"/>
      <c r="AQ49" s="516"/>
      <c r="AR49" s="516"/>
      <c r="AS49" s="516"/>
      <c r="AT49" s="516"/>
      <c r="AU49" s="516"/>
      <c r="AV49" s="516"/>
      <c r="AW49" s="516"/>
      <c r="AX49" s="516"/>
      <c r="AY49" s="516"/>
      <c r="AZ49" s="516"/>
      <c r="BA49" s="516"/>
      <c r="BB49" s="516"/>
      <c r="BC49" s="516"/>
      <c r="BD49" s="516"/>
      <c r="BE49" s="516"/>
      <c r="BF49" s="516"/>
      <c r="BG49" s="516"/>
      <c r="BH49" s="516"/>
      <c r="BI49" s="516"/>
      <c r="BJ49" s="516"/>
      <c r="BK49" s="516"/>
      <c r="BL49" s="516"/>
      <c r="BM49" s="516"/>
      <c r="BN49" s="516"/>
      <c r="BO49" s="516"/>
      <c r="BP49" s="516"/>
      <c r="BQ49" s="516"/>
      <c r="BR49" s="516"/>
      <c r="BS49" s="516"/>
      <c r="BT49" s="516"/>
      <c r="BU49" s="516"/>
      <c r="BV49" s="516"/>
      <c r="BW49" s="516"/>
      <c r="BX49" s="516"/>
      <c r="BY49" s="516"/>
      <c r="BZ49" s="516"/>
      <c r="CA49" s="516"/>
      <c r="CB49" s="516"/>
      <c r="CC49" s="516"/>
      <c r="CD49" s="516"/>
      <c r="CE49" s="516"/>
      <c r="CF49" s="516"/>
      <c r="CG49" s="2659"/>
      <c r="CH49" s="350"/>
      <c r="CI49" s="349"/>
      <c r="CJ49" s="352"/>
      <c r="CK49" s="56">
        <f t="shared" si="11"/>
        <v>1</v>
      </c>
      <c r="CL49" s="56">
        <f t="shared" si="12"/>
        <v>1</v>
      </c>
      <c r="CM49" s="56">
        <f t="shared" si="13"/>
        <v>0</v>
      </c>
      <c r="CN49" s="56" t="e">
        <f t="shared" ca="1" si="16"/>
        <v>#VALUE!</v>
      </c>
      <c r="CO49" s="59">
        <f t="shared" si="14"/>
        <v>-5</v>
      </c>
      <c r="CP49" s="59">
        <f t="shared" si="15"/>
        <v>-5</v>
      </c>
      <c r="CQ49" s="59">
        <f t="shared" si="17"/>
        <v>-5</v>
      </c>
    </row>
    <row r="50" spans="1:95" ht="18" customHeight="1" x14ac:dyDescent="0.25">
      <c r="A50" s="2660" t="s">
        <v>2273</v>
      </c>
      <c r="B50" s="2464"/>
      <c r="C50" s="2466" t="str">
        <f>HLOOKUP(LANGUAGE!$B$2,LANGUAGE!$C$14:$G$1500,1233)</f>
        <v>Main dimension O.K.</v>
      </c>
      <c r="D50" s="2467"/>
      <c r="E50" s="2468"/>
      <c r="F50" s="795" t="str">
        <f>HLOOKUP(LANGUAGE!$B$2,LANGUAGE!$C$14:$G$1500,1253)</f>
        <v>Target</v>
      </c>
      <c r="G50" s="784"/>
      <c r="H50" s="784"/>
      <c r="I50" s="784"/>
      <c r="J50" s="784"/>
      <c r="K50" s="784"/>
      <c r="L50" s="784"/>
      <c r="M50" s="784"/>
      <c r="N50" s="784"/>
      <c r="O50" s="784"/>
      <c r="P50" s="784"/>
      <c r="Q50" s="784"/>
      <c r="R50" s="784"/>
      <c r="S50" s="784"/>
      <c r="T50" s="784"/>
      <c r="U50" s="784"/>
      <c r="V50" s="784"/>
      <c r="W50" s="784"/>
      <c r="X50" s="784"/>
      <c r="Y50" s="784"/>
      <c r="Z50" s="784"/>
      <c r="AA50" s="784"/>
      <c r="AB50" s="784"/>
      <c r="AC50" s="784"/>
      <c r="AD50" s="784"/>
      <c r="AE50" s="784"/>
      <c r="AF50" s="784"/>
      <c r="AG50" s="784"/>
      <c r="AH50" s="784"/>
      <c r="AI50" s="784"/>
      <c r="AJ50" s="784"/>
      <c r="AK50" s="784"/>
      <c r="AL50" s="784"/>
      <c r="AM50" s="784"/>
      <c r="AN50" s="784"/>
      <c r="AO50" s="784"/>
      <c r="AP50" s="784"/>
      <c r="AQ50" s="784"/>
      <c r="AR50" s="784"/>
      <c r="AS50" s="784"/>
      <c r="AT50" s="784"/>
      <c r="AU50" s="784"/>
      <c r="AV50" s="784"/>
      <c r="AW50" s="784"/>
      <c r="AX50" s="784"/>
      <c r="AY50" s="784"/>
      <c r="AZ50" s="784"/>
      <c r="BA50" s="784"/>
      <c r="BB50" s="784"/>
      <c r="BC50" s="784"/>
      <c r="BD50" s="784"/>
      <c r="BE50" s="784"/>
      <c r="BF50" s="784"/>
      <c r="BG50" s="784"/>
      <c r="BH50" s="784"/>
      <c r="BI50" s="784"/>
      <c r="BJ50" s="784"/>
      <c r="BK50" s="784"/>
      <c r="BL50" s="784"/>
      <c r="BM50" s="784"/>
      <c r="BN50" s="784"/>
      <c r="BO50" s="784"/>
      <c r="BP50" s="784"/>
      <c r="BQ50" s="784"/>
      <c r="BR50" s="784"/>
      <c r="BS50" s="784"/>
      <c r="BT50" s="784"/>
      <c r="BU50" s="784"/>
      <c r="BV50" s="784"/>
      <c r="BW50" s="784"/>
      <c r="BX50" s="784"/>
      <c r="BY50" s="784"/>
      <c r="BZ50" s="784"/>
      <c r="CA50" s="784"/>
      <c r="CB50" s="784"/>
      <c r="CC50" s="784"/>
      <c r="CD50" s="784"/>
      <c r="CE50" s="784"/>
      <c r="CF50" s="784"/>
      <c r="CG50" s="2658">
        <v>0</v>
      </c>
      <c r="CH50" s="350"/>
      <c r="CI50" s="349"/>
      <c r="CJ50" s="351"/>
      <c r="CK50" s="56">
        <f t="shared" si="11"/>
        <v>1</v>
      </c>
      <c r="CL50" s="56">
        <f t="shared" si="12"/>
        <v>1</v>
      </c>
      <c r="CM50" s="56">
        <f t="shared" si="13"/>
        <v>0</v>
      </c>
      <c r="CN50" s="56" t="e">
        <f t="shared" ca="1" si="16"/>
        <v>#VALUE!</v>
      </c>
      <c r="CO50" s="59">
        <f t="shared" si="14"/>
        <v>-5</v>
      </c>
      <c r="CP50" s="59">
        <f t="shared" si="15"/>
        <v>-5</v>
      </c>
      <c r="CQ50" s="59">
        <f t="shared" si="17"/>
        <v>-5</v>
      </c>
    </row>
    <row r="51" spans="1:95" ht="18" customHeight="1" x14ac:dyDescent="0.25">
      <c r="A51" s="2661"/>
      <c r="B51" s="2465"/>
      <c r="C51" s="834"/>
      <c r="D51" s="835"/>
      <c r="E51" s="836"/>
      <c r="F51" s="795" t="str">
        <f>HLOOKUP(LANGUAGE!$B$2,LANGUAGE!$C$14:$G$1500,1255)</f>
        <v>Is</v>
      </c>
      <c r="G51" s="517"/>
      <c r="H51" s="517"/>
      <c r="I51" s="517"/>
      <c r="J51" s="517"/>
      <c r="K51" s="517"/>
      <c r="L51" s="517"/>
      <c r="M51" s="517"/>
      <c r="N51" s="517"/>
      <c r="O51" s="517"/>
      <c r="P51" s="517"/>
      <c r="Q51" s="517"/>
      <c r="R51" s="517"/>
      <c r="S51" s="517"/>
      <c r="T51" s="517"/>
      <c r="U51" s="517"/>
      <c r="V51" s="517"/>
      <c r="W51" s="517"/>
      <c r="X51" s="517"/>
      <c r="Y51" s="517"/>
      <c r="Z51" s="517"/>
      <c r="AA51" s="517"/>
      <c r="AB51" s="517"/>
      <c r="AC51" s="517"/>
      <c r="AD51" s="517"/>
      <c r="AE51" s="517"/>
      <c r="AF51" s="517"/>
      <c r="AG51" s="517"/>
      <c r="AH51" s="517"/>
      <c r="AI51" s="517"/>
      <c r="AJ51" s="517"/>
      <c r="AK51" s="517"/>
      <c r="AL51" s="517"/>
      <c r="AM51" s="517"/>
      <c r="AN51" s="517"/>
      <c r="AO51" s="517"/>
      <c r="AP51" s="517"/>
      <c r="AQ51" s="517"/>
      <c r="AR51" s="517"/>
      <c r="AS51" s="517"/>
      <c r="AT51" s="517"/>
      <c r="AU51" s="517"/>
      <c r="AV51" s="517"/>
      <c r="AW51" s="517"/>
      <c r="AX51" s="517"/>
      <c r="AY51" s="517"/>
      <c r="AZ51" s="517"/>
      <c r="BA51" s="517"/>
      <c r="BB51" s="517"/>
      <c r="BC51" s="517"/>
      <c r="BD51" s="517"/>
      <c r="BE51" s="517"/>
      <c r="BF51" s="517"/>
      <c r="BG51" s="517"/>
      <c r="BH51" s="517"/>
      <c r="BI51" s="517"/>
      <c r="BJ51" s="517"/>
      <c r="BK51" s="517"/>
      <c r="BL51" s="517"/>
      <c r="BM51" s="517"/>
      <c r="BN51" s="517"/>
      <c r="BO51" s="517"/>
      <c r="BP51" s="517"/>
      <c r="BQ51" s="517"/>
      <c r="BR51" s="517"/>
      <c r="BS51" s="517"/>
      <c r="BT51" s="517"/>
      <c r="BU51" s="517"/>
      <c r="BV51" s="517"/>
      <c r="BW51" s="517"/>
      <c r="BX51" s="517"/>
      <c r="BY51" s="517"/>
      <c r="BZ51" s="517"/>
      <c r="CA51" s="517"/>
      <c r="CB51" s="517"/>
      <c r="CC51" s="517"/>
      <c r="CD51" s="517"/>
      <c r="CE51" s="517"/>
      <c r="CF51" s="517"/>
      <c r="CG51" s="2659"/>
      <c r="CH51" s="350"/>
      <c r="CI51" s="349"/>
      <c r="CJ51" s="352"/>
      <c r="CK51" s="56">
        <f t="shared" si="11"/>
        <v>1</v>
      </c>
      <c r="CL51" s="56">
        <f t="shared" si="12"/>
        <v>1</v>
      </c>
      <c r="CM51" s="56">
        <f t="shared" si="13"/>
        <v>0</v>
      </c>
      <c r="CN51" s="56" t="e">
        <f t="shared" ca="1" si="16"/>
        <v>#VALUE!</v>
      </c>
      <c r="CO51" s="59">
        <f t="shared" si="14"/>
        <v>-5</v>
      </c>
      <c r="CP51" s="59">
        <f t="shared" si="15"/>
        <v>-5</v>
      </c>
      <c r="CQ51" s="59">
        <f t="shared" si="17"/>
        <v>-5</v>
      </c>
    </row>
    <row r="52" spans="1:95" ht="18" customHeight="1" x14ac:dyDescent="0.25">
      <c r="A52" s="2680" t="s">
        <v>2274</v>
      </c>
      <c r="B52" s="2662"/>
      <c r="C52" s="2664" t="str">
        <f>HLOOKUP(LANGUAGE!$B$2,LANGUAGE!$C$14:$G$1500,1235)</f>
        <v>2nd Correction loop incl. Measurement report</v>
      </c>
      <c r="D52" s="2665"/>
      <c r="E52" s="2666"/>
      <c r="F52" s="796" t="str">
        <f>HLOOKUP(LANGUAGE!$B$2,LANGUAGE!$C$14:$G$1500,1253)</f>
        <v>Target</v>
      </c>
      <c r="G52" s="780"/>
      <c r="H52" s="780"/>
      <c r="I52" s="780"/>
      <c r="J52" s="780"/>
      <c r="K52" s="780"/>
      <c r="L52" s="780"/>
      <c r="M52" s="780"/>
      <c r="N52" s="780"/>
      <c r="O52" s="780"/>
      <c r="P52" s="780"/>
      <c r="Q52" s="780"/>
      <c r="R52" s="780"/>
      <c r="S52" s="780"/>
      <c r="T52" s="780"/>
      <c r="U52" s="780"/>
      <c r="V52" s="780"/>
      <c r="W52" s="780"/>
      <c r="X52" s="780"/>
      <c r="Y52" s="780"/>
      <c r="Z52" s="780"/>
      <c r="AA52" s="780"/>
      <c r="AB52" s="780"/>
      <c r="AC52" s="780"/>
      <c r="AD52" s="780"/>
      <c r="AE52" s="780"/>
      <c r="AF52" s="780"/>
      <c r="AG52" s="780"/>
      <c r="AH52" s="780"/>
      <c r="AI52" s="780"/>
      <c r="AJ52" s="780"/>
      <c r="AK52" s="780"/>
      <c r="AL52" s="780"/>
      <c r="AM52" s="780"/>
      <c r="AN52" s="780"/>
      <c r="AO52" s="780"/>
      <c r="AP52" s="780"/>
      <c r="AQ52" s="780"/>
      <c r="AR52" s="780"/>
      <c r="AS52" s="780"/>
      <c r="AT52" s="780"/>
      <c r="AU52" s="780"/>
      <c r="AV52" s="780"/>
      <c r="AW52" s="780"/>
      <c r="AX52" s="780"/>
      <c r="AY52" s="780"/>
      <c r="AZ52" s="780"/>
      <c r="BA52" s="780"/>
      <c r="BB52" s="780"/>
      <c r="BC52" s="780"/>
      <c r="BD52" s="780"/>
      <c r="BE52" s="780"/>
      <c r="BF52" s="780"/>
      <c r="BG52" s="780"/>
      <c r="BH52" s="780"/>
      <c r="BI52" s="780"/>
      <c r="BJ52" s="780"/>
      <c r="BK52" s="780"/>
      <c r="BL52" s="780"/>
      <c r="BM52" s="780"/>
      <c r="BN52" s="780"/>
      <c r="BO52" s="780"/>
      <c r="BP52" s="780"/>
      <c r="BQ52" s="780"/>
      <c r="BR52" s="780"/>
      <c r="BS52" s="780"/>
      <c r="BT52" s="780"/>
      <c r="BU52" s="780"/>
      <c r="BV52" s="780"/>
      <c r="BW52" s="780"/>
      <c r="BX52" s="780"/>
      <c r="BY52" s="780"/>
      <c r="BZ52" s="780"/>
      <c r="CA52" s="780"/>
      <c r="CB52" s="780"/>
      <c r="CC52" s="780"/>
      <c r="CD52" s="780"/>
      <c r="CE52" s="780"/>
      <c r="CF52" s="780"/>
      <c r="CG52" s="2658">
        <v>0</v>
      </c>
      <c r="CH52" s="350"/>
      <c r="CI52" s="349"/>
      <c r="CJ52" s="351"/>
      <c r="CK52" s="56">
        <f t="shared" si="11"/>
        <v>1</v>
      </c>
      <c r="CL52" s="56">
        <f t="shared" si="12"/>
        <v>1</v>
      </c>
      <c r="CM52" s="56">
        <f t="shared" si="13"/>
        <v>0</v>
      </c>
      <c r="CN52" s="56" t="e">
        <f t="shared" ca="1" si="16"/>
        <v>#VALUE!</v>
      </c>
      <c r="CO52" s="59">
        <f t="shared" si="14"/>
        <v>-5</v>
      </c>
      <c r="CP52" s="59">
        <f t="shared" si="15"/>
        <v>-5</v>
      </c>
      <c r="CQ52" s="59">
        <f t="shared" si="17"/>
        <v>-5</v>
      </c>
    </row>
    <row r="53" spans="1:95" ht="18" customHeight="1" x14ac:dyDescent="0.25">
      <c r="A53" s="2661"/>
      <c r="B53" s="2663"/>
      <c r="C53" s="2667"/>
      <c r="D53" s="2668"/>
      <c r="E53" s="2669"/>
      <c r="F53" s="796" t="str">
        <f>HLOOKUP(LANGUAGE!$B$2,LANGUAGE!$C$14:$G$1500,1255)</f>
        <v>Is</v>
      </c>
      <c r="G53" s="516"/>
      <c r="H53" s="516"/>
      <c r="I53" s="516"/>
      <c r="J53" s="516"/>
      <c r="K53" s="516"/>
      <c r="L53" s="516"/>
      <c r="M53" s="516"/>
      <c r="N53" s="516"/>
      <c r="O53" s="516"/>
      <c r="P53" s="516"/>
      <c r="Q53" s="516"/>
      <c r="R53" s="516"/>
      <c r="S53" s="516"/>
      <c r="T53" s="516"/>
      <c r="U53" s="516"/>
      <c r="V53" s="516"/>
      <c r="W53" s="516"/>
      <c r="X53" s="516"/>
      <c r="Y53" s="516"/>
      <c r="Z53" s="516"/>
      <c r="AA53" s="516"/>
      <c r="AB53" s="516"/>
      <c r="AC53" s="516"/>
      <c r="AD53" s="516"/>
      <c r="AE53" s="516"/>
      <c r="AF53" s="516"/>
      <c r="AG53" s="516"/>
      <c r="AH53" s="516"/>
      <c r="AI53" s="516"/>
      <c r="AJ53" s="516"/>
      <c r="AK53" s="516"/>
      <c r="AL53" s="516"/>
      <c r="AM53" s="516"/>
      <c r="AN53" s="516"/>
      <c r="AO53" s="516"/>
      <c r="AP53" s="516"/>
      <c r="AQ53" s="516"/>
      <c r="AR53" s="516"/>
      <c r="AS53" s="516"/>
      <c r="AT53" s="516"/>
      <c r="AU53" s="516"/>
      <c r="AV53" s="516"/>
      <c r="AW53" s="516"/>
      <c r="AX53" s="516"/>
      <c r="AY53" s="516"/>
      <c r="AZ53" s="516"/>
      <c r="BA53" s="516"/>
      <c r="BB53" s="516"/>
      <c r="BC53" s="516"/>
      <c r="BD53" s="516"/>
      <c r="BE53" s="516"/>
      <c r="BF53" s="516"/>
      <c r="BG53" s="516"/>
      <c r="BH53" s="516"/>
      <c r="BI53" s="516"/>
      <c r="BJ53" s="516"/>
      <c r="BK53" s="516"/>
      <c r="BL53" s="516"/>
      <c r="BM53" s="516"/>
      <c r="BN53" s="516"/>
      <c r="BO53" s="516"/>
      <c r="BP53" s="516"/>
      <c r="BQ53" s="516"/>
      <c r="BR53" s="516"/>
      <c r="BS53" s="516"/>
      <c r="BT53" s="516"/>
      <c r="BU53" s="516"/>
      <c r="BV53" s="516"/>
      <c r="BW53" s="516"/>
      <c r="BX53" s="516"/>
      <c r="BY53" s="516"/>
      <c r="BZ53" s="516"/>
      <c r="CA53" s="516"/>
      <c r="CB53" s="516"/>
      <c r="CC53" s="516"/>
      <c r="CD53" s="516"/>
      <c r="CE53" s="516"/>
      <c r="CF53" s="516"/>
      <c r="CG53" s="2659"/>
      <c r="CH53" s="350"/>
      <c r="CI53" s="349"/>
      <c r="CJ53" s="352"/>
      <c r="CK53" s="56">
        <f t="shared" si="11"/>
        <v>1</v>
      </c>
      <c r="CL53" s="56">
        <f t="shared" si="12"/>
        <v>1</v>
      </c>
      <c r="CM53" s="56">
        <f t="shared" si="13"/>
        <v>0</v>
      </c>
      <c r="CN53" s="56" t="e">
        <f t="shared" ca="1" si="16"/>
        <v>#VALUE!</v>
      </c>
      <c r="CO53" s="59">
        <f t="shared" si="14"/>
        <v>-5</v>
      </c>
      <c r="CP53" s="59">
        <f t="shared" si="15"/>
        <v>-5</v>
      </c>
      <c r="CQ53" s="59">
        <f t="shared" si="17"/>
        <v>-5</v>
      </c>
    </row>
    <row r="54" spans="1:95" ht="18" customHeight="1" x14ac:dyDescent="0.25">
      <c r="A54" s="2680" t="s">
        <v>2275</v>
      </c>
      <c r="B54" s="211"/>
      <c r="C54" s="2681" t="str">
        <f>HLOOKUP(LANGUAGE!$B$2,LANGUAGE!$C$14:$G$1500,1237)</f>
        <v>Quality documentation in place
(P-FEMA, CP, Process flow chart, MSA, GR&amp;R, …)</v>
      </c>
      <c r="D54" s="2682"/>
      <c r="E54" s="2683"/>
      <c r="F54" s="796" t="str">
        <f>HLOOKUP(LANGUAGE!$B$2,LANGUAGE!$C$14:$G$1500,1253)</f>
        <v>Target</v>
      </c>
      <c r="G54" s="780"/>
      <c r="H54" s="780"/>
      <c r="I54" s="780"/>
      <c r="J54" s="780"/>
      <c r="K54" s="780"/>
      <c r="L54" s="780"/>
      <c r="M54" s="780"/>
      <c r="N54" s="780"/>
      <c r="O54" s="780"/>
      <c r="P54" s="780"/>
      <c r="Q54" s="780"/>
      <c r="R54" s="780"/>
      <c r="S54" s="780"/>
      <c r="T54" s="780"/>
      <c r="U54" s="780"/>
      <c r="V54" s="780"/>
      <c r="W54" s="780"/>
      <c r="X54" s="780"/>
      <c r="Y54" s="780"/>
      <c r="Z54" s="780"/>
      <c r="AA54" s="780"/>
      <c r="AB54" s="780"/>
      <c r="AC54" s="780"/>
      <c r="AD54" s="780"/>
      <c r="AE54" s="780"/>
      <c r="AF54" s="780"/>
      <c r="AG54" s="780"/>
      <c r="AH54" s="780"/>
      <c r="AI54" s="780"/>
      <c r="AJ54" s="780"/>
      <c r="AK54" s="780"/>
      <c r="AL54" s="780"/>
      <c r="AM54" s="780"/>
      <c r="AN54" s="780"/>
      <c r="AO54" s="780"/>
      <c r="AP54" s="780"/>
      <c r="AQ54" s="780"/>
      <c r="AR54" s="780"/>
      <c r="AS54" s="780"/>
      <c r="AT54" s="780"/>
      <c r="AU54" s="780"/>
      <c r="AV54" s="780"/>
      <c r="AW54" s="780"/>
      <c r="AX54" s="780"/>
      <c r="AY54" s="780"/>
      <c r="AZ54" s="780"/>
      <c r="BA54" s="780"/>
      <c r="BB54" s="780"/>
      <c r="BC54" s="780"/>
      <c r="BD54" s="780"/>
      <c r="BE54" s="780"/>
      <c r="BF54" s="780"/>
      <c r="BG54" s="780"/>
      <c r="BH54" s="780"/>
      <c r="BI54" s="780"/>
      <c r="BJ54" s="780"/>
      <c r="BK54" s="780"/>
      <c r="BL54" s="780"/>
      <c r="BM54" s="780"/>
      <c r="BN54" s="780"/>
      <c r="BO54" s="780"/>
      <c r="BP54" s="780"/>
      <c r="BQ54" s="780"/>
      <c r="BR54" s="780"/>
      <c r="BS54" s="780"/>
      <c r="BT54" s="780"/>
      <c r="BU54" s="780"/>
      <c r="BV54" s="780"/>
      <c r="BW54" s="780"/>
      <c r="BX54" s="780"/>
      <c r="BY54" s="780"/>
      <c r="BZ54" s="780"/>
      <c r="CA54" s="780"/>
      <c r="CB54" s="780"/>
      <c r="CC54" s="780"/>
      <c r="CD54" s="780"/>
      <c r="CE54" s="780"/>
      <c r="CF54" s="780"/>
      <c r="CG54" s="2658">
        <v>0</v>
      </c>
      <c r="CH54" s="350"/>
      <c r="CI54" s="349"/>
      <c r="CJ54" s="351"/>
      <c r="CK54" s="56">
        <f t="shared" si="11"/>
        <v>1</v>
      </c>
      <c r="CL54" s="56">
        <f t="shared" si="12"/>
        <v>1</v>
      </c>
      <c r="CM54" s="56">
        <f t="shared" si="13"/>
        <v>0</v>
      </c>
      <c r="CN54" s="56" t="e">
        <f t="shared" ca="1" si="16"/>
        <v>#VALUE!</v>
      </c>
      <c r="CO54" s="59">
        <f t="shared" si="14"/>
        <v>-5</v>
      </c>
      <c r="CP54" s="59">
        <f t="shared" si="15"/>
        <v>-5</v>
      </c>
      <c r="CQ54" s="59">
        <f t="shared" si="17"/>
        <v>-5</v>
      </c>
    </row>
    <row r="55" spans="1:95" ht="18" customHeight="1" x14ac:dyDescent="0.25">
      <c r="A55" s="2661"/>
      <c r="B55" s="211"/>
      <c r="C55" s="2684"/>
      <c r="D55" s="2685"/>
      <c r="E55" s="2686"/>
      <c r="F55" s="796" t="str">
        <f>HLOOKUP(LANGUAGE!$B$2,LANGUAGE!$C$14:$G$1500,1255)</f>
        <v>Is</v>
      </c>
      <c r="G55" s="516"/>
      <c r="H55" s="516"/>
      <c r="I55" s="516"/>
      <c r="J55" s="516"/>
      <c r="K55" s="516"/>
      <c r="L55" s="516"/>
      <c r="M55" s="516"/>
      <c r="N55" s="516"/>
      <c r="O55" s="516"/>
      <c r="P55" s="516"/>
      <c r="Q55" s="516"/>
      <c r="R55" s="516"/>
      <c r="S55" s="516"/>
      <c r="T55" s="516"/>
      <c r="U55" s="516"/>
      <c r="V55" s="516"/>
      <c r="W55" s="516"/>
      <c r="X55" s="516"/>
      <c r="Y55" s="516"/>
      <c r="Z55" s="516"/>
      <c r="AA55" s="516"/>
      <c r="AB55" s="516"/>
      <c r="AC55" s="516"/>
      <c r="AD55" s="516"/>
      <c r="AE55" s="516"/>
      <c r="AF55" s="516"/>
      <c r="AG55" s="516"/>
      <c r="AH55" s="516"/>
      <c r="AI55" s="516"/>
      <c r="AJ55" s="516"/>
      <c r="AK55" s="516"/>
      <c r="AL55" s="516"/>
      <c r="AM55" s="516"/>
      <c r="AN55" s="516"/>
      <c r="AO55" s="516"/>
      <c r="AP55" s="516"/>
      <c r="AQ55" s="516"/>
      <c r="AR55" s="516"/>
      <c r="AS55" s="516"/>
      <c r="AT55" s="516"/>
      <c r="AU55" s="516"/>
      <c r="AV55" s="516"/>
      <c r="AW55" s="516"/>
      <c r="AX55" s="516"/>
      <c r="AY55" s="516"/>
      <c r="AZ55" s="516"/>
      <c r="BA55" s="516"/>
      <c r="BB55" s="516"/>
      <c r="BC55" s="516"/>
      <c r="BD55" s="516"/>
      <c r="BE55" s="516"/>
      <c r="BF55" s="516"/>
      <c r="BG55" s="516"/>
      <c r="BH55" s="516"/>
      <c r="BI55" s="516"/>
      <c r="BJ55" s="516"/>
      <c r="BK55" s="516"/>
      <c r="BL55" s="516"/>
      <c r="BM55" s="516"/>
      <c r="BN55" s="516"/>
      <c r="BO55" s="516"/>
      <c r="BP55" s="516"/>
      <c r="BQ55" s="516"/>
      <c r="BR55" s="516"/>
      <c r="BS55" s="516"/>
      <c r="BT55" s="516"/>
      <c r="BU55" s="516"/>
      <c r="BV55" s="516"/>
      <c r="BW55" s="516"/>
      <c r="BX55" s="516"/>
      <c r="BY55" s="516"/>
      <c r="BZ55" s="516"/>
      <c r="CA55" s="516"/>
      <c r="CB55" s="516"/>
      <c r="CC55" s="516"/>
      <c r="CD55" s="516"/>
      <c r="CE55" s="516"/>
      <c r="CF55" s="516"/>
      <c r="CG55" s="2659"/>
      <c r="CH55" s="350"/>
      <c r="CI55" s="349"/>
      <c r="CJ55" s="352"/>
      <c r="CK55" s="56">
        <f t="shared" si="11"/>
        <v>1</v>
      </c>
      <c r="CL55" s="56">
        <f t="shared" si="12"/>
        <v>1</v>
      </c>
      <c r="CM55" s="56">
        <f t="shared" si="13"/>
        <v>0</v>
      </c>
      <c r="CN55" s="56" t="e">
        <f t="shared" ca="1" si="16"/>
        <v>#VALUE!</v>
      </c>
      <c r="CO55" s="59">
        <f t="shared" si="14"/>
        <v>-5</v>
      </c>
      <c r="CP55" s="59">
        <f t="shared" si="15"/>
        <v>-5</v>
      </c>
      <c r="CQ55" s="59">
        <f t="shared" si="17"/>
        <v>-5</v>
      </c>
    </row>
    <row r="56" spans="1:95" ht="18" customHeight="1" x14ac:dyDescent="0.25">
      <c r="A56" s="2660" t="s">
        <v>2276</v>
      </c>
      <c r="B56" s="2464"/>
      <c r="C56" s="2466" t="str">
        <f>HLOOKUP(LANGUAGE!$B$2,LANGUAGE!$C$14:$G$1500,1239)</f>
        <v>SQG3
(6-8 weeks prior initial sampling)</v>
      </c>
      <c r="D56" s="2467"/>
      <c r="E56" s="2468"/>
      <c r="F56" s="795" t="str">
        <f>HLOOKUP(LANGUAGE!$B$2,LANGUAGE!$C$14:$G$1500,1253)</f>
        <v>Target</v>
      </c>
      <c r="G56" s="784"/>
      <c r="H56" s="784"/>
      <c r="I56" s="784"/>
      <c r="J56" s="784"/>
      <c r="K56" s="784"/>
      <c r="L56" s="784"/>
      <c r="M56" s="784"/>
      <c r="N56" s="784"/>
      <c r="O56" s="784"/>
      <c r="P56" s="784"/>
      <c r="Q56" s="784"/>
      <c r="R56" s="784"/>
      <c r="S56" s="784"/>
      <c r="T56" s="784"/>
      <c r="U56" s="784"/>
      <c r="V56" s="784"/>
      <c r="W56" s="784"/>
      <c r="X56" s="784"/>
      <c r="Y56" s="784"/>
      <c r="Z56" s="784"/>
      <c r="AA56" s="784"/>
      <c r="AB56" s="784"/>
      <c r="AC56" s="784"/>
      <c r="AD56" s="784"/>
      <c r="AE56" s="784"/>
      <c r="AF56" s="784"/>
      <c r="AG56" s="784"/>
      <c r="AH56" s="784"/>
      <c r="AI56" s="784"/>
      <c r="AJ56" s="784"/>
      <c r="AK56" s="784"/>
      <c r="AL56" s="784"/>
      <c r="AM56" s="784"/>
      <c r="AN56" s="784"/>
      <c r="AO56" s="784"/>
      <c r="AP56" s="784"/>
      <c r="AQ56" s="784"/>
      <c r="AR56" s="784"/>
      <c r="AS56" s="784"/>
      <c r="AT56" s="784"/>
      <c r="AU56" s="784"/>
      <c r="AV56" s="784"/>
      <c r="AW56" s="784"/>
      <c r="AX56" s="784"/>
      <c r="AY56" s="784"/>
      <c r="AZ56" s="784"/>
      <c r="BA56" s="784"/>
      <c r="BB56" s="784"/>
      <c r="BC56" s="784"/>
      <c r="BD56" s="784"/>
      <c r="BE56" s="784"/>
      <c r="BF56" s="784"/>
      <c r="BG56" s="784"/>
      <c r="BH56" s="784"/>
      <c r="BI56" s="784"/>
      <c r="BJ56" s="784"/>
      <c r="BK56" s="784"/>
      <c r="BL56" s="784"/>
      <c r="BM56" s="784"/>
      <c r="BN56" s="784"/>
      <c r="BO56" s="784"/>
      <c r="BP56" s="784"/>
      <c r="BQ56" s="784"/>
      <c r="BR56" s="784"/>
      <c r="BS56" s="784"/>
      <c r="BT56" s="784"/>
      <c r="BU56" s="784"/>
      <c r="BV56" s="784"/>
      <c r="BW56" s="784"/>
      <c r="BX56" s="784"/>
      <c r="BY56" s="784"/>
      <c r="BZ56" s="784"/>
      <c r="CA56" s="784"/>
      <c r="CB56" s="784"/>
      <c r="CC56" s="784"/>
      <c r="CD56" s="784"/>
      <c r="CE56" s="784"/>
      <c r="CF56" s="784"/>
      <c r="CG56" s="2658">
        <v>0</v>
      </c>
      <c r="CH56" s="350"/>
      <c r="CI56" s="349"/>
      <c r="CJ56" s="351"/>
      <c r="CK56" s="56">
        <f t="shared" si="11"/>
        <v>1</v>
      </c>
      <c r="CL56" s="56">
        <f t="shared" si="12"/>
        <v>1</v>
      </c>
      <c r="CM56" s="56">
        <f t="shared" si="13"/>
        <v>0</v>
      </c>
      <c r="CN56" s="56" t="e">
        <f t="shared" ca="1" si="16"/>
        <v>#VALUE!</v>
      </c>
      <c r="CO56" s="59">
        <f t="shared" si="14"/>
        <v>-5</v>
      </c>
      <c r="CP56" s="59">
        <f t="shared" si="15"/>
        <v>-5</v>
      </c>
      <c r="CQ56" s="59">
        <f t="shared" si="17"/>
        <v>-5</v>
      </c>
    </row>
    <row r="57" spans="1:95" ht="18" customHeight="1" x14ac:dyDescent="0.25">
      <c r="A57" s="2661"/>
      <c r="B57" s="2465"/>
      <c r="C57" s="834"/>
      <c r="D57" s="835"/>
      <c r="E57" s="836"/>
      <c r="F57" s="795" t="str">
        <f>HLOOKUP(LANGUAGE!$B$2,LANGUAGE!$C$14:$G$1500,1255)</f>
        <v>Is</v>
      </c>
      <c r="G57" s="517"/>
      <c r="H57" s="517"/>
      <c r="I57" s="517"/>
      <c r="J57" s="517"/>
      <c r="K57" s="517"/>
      <c r="L57" s="517"/>
      <c r="M57" s="517"/>
      <c r="N57" s="517"/>
      <c r="O57" s="517"/>
      <c r="P57" s="517"/>
      <c r="Q57" s="517"/>
      <c r="R57" s="517"/>
      <c r="S57" s="517"/>
      <c r="T57" s="517"/>
      <c r="U57" s="517"/>
      <c r="V57" s="517"/>
      <c r="W57" s="517"/>
      <c r="X57" s="517"/>
      <c r="Y57" s="517"/>
      <c r="Z57" s="517"/>
      <c r="AA57" s="517"/>
      <c r="AB57" s="517"/>
      <c r="AC57" s="517"/>
      <c r="AD57" s="517"/>
      <c r="AE57" s="517"/>
      <c r="AF57" s="517"/>
      <c r="AG57" s="517"/>
      <c r="AH57" s="517"/>
      <c r="AI57" s="517"/>
      <c r="AJ57" s="517"/>
      <c r="AK57" s="517"/>
      <c r="AL57" s="517"/>
      <c r="AM57" s="517"/>
      <c r="AN57" s="517"/>
      <c r="AO57" s="517"/>
      <c r="AP57" s="517"/>
      <c r="AQ57" s="517"/>
      <c r="AR57" s="517"/>
      <c r="AS57" s="517"/>
      <c r="AT57" s="517"/>
      <c r="AU57" s="517"/>
      <c r="AV57" s="517"/>
      <c r="AW57" s="517"/>
      <c r="AX57" s="517"/>
      <c r="AY57" s="517"/>
      <c r="AZ57" s="517"/>
      <c r="BA57" s="517"/>
      <c r="BB57" s="517"/>
      <c r="BC57" s="517"/>
      <c r="BD57" s="517"/>
      <c r="BE57" s="517"/>
      <c r="BF57" s="517"/>
      <c r="BG57" s="517"/>
      <c r="BH57" s="517"/>
      <c r="BI57" s="517"/>
      <c r="BJ57" s="517"/>
      <c r="BK57" s="517"/>
      <c r="BL57" s="517"/>
      <c r="BM57" s="517"/>
      <c r="BN57" s="517"/>
      <c r="BO57" s="517"/>
      <c r="BP57" s="517"/>
      <c r="BQ57" s="517"/>
      <c r="BR57" s="517"/>
      <c r="BS57" s="517"/>
      <c r="BT57" s="517"/>
      <c r="BU57" s="517"/>
      <c r="BV57" s="517"/>
      <c r="BW57" s="517"/>
      <c r="BX57" s="517"/>
      <c r="BY57" s="517"/>
      <c r="BZ57" s="517"/>
      <c r="CA57" s="517"/>
      <c r="CB57" s="517"/>
      <c r="CC57" s="517"/>
      <c r="CD57" s="517"/>
      <c r="CE57" s="517"/>
      <c r="CF57" s="517"/>
      <c r="CG57" s="2659"/>
      <c r="CH57" s="350"/>
      <c r="CI57" s="349"/>
      <c r="CJ57" s="352"/>
      <c r="CK57" s="56">
        <f t="shared" si="11"/>
        <v>1</v>
      </c>
      <c r="CL57" s="56">
        <f t="shared" si="12"/>
        <v>1</v>
      </c>
      <c r="CM57" s="56">
        <f t="shared" si="13"/>
        <v>0</v>
      </c>
      <c r="CN57" s="56" t="e">
        <f t="shared" ca="1" si="16"/>
        <v>#VALUE!</v>
      </c>
      <c r="CO57" s="59">
        <f t="shared" si="14"/>
        <v>-5</v>
      </c>
      <c r="CP57" s="59">
        <f t="shared" si="15"/>
        <v>-5</v>
      </c>
      <c r="CQ57" s="59">
        <f t="shared" si="17"/>
        <v>-5</v>
      </c>
    </row>
    <row r="58" spans="1:95" ht="18" customHeight="1" x14ac:dyDescent="0.25">
      <c r="A58" s="2660" t="s">
        <v>2277</v>
      </c>
      <c r="B58" s="2662"/>
      <c r="C58" s="2664" t="str">
        <f>HLOOKUP(LANGUAGE!$B$2,LANGUAGE!$C$14:$G$1500,1241)</f>
        <v>Internal R@R</v>
      </c>
      <c r="D58" s="2665"/>
      <c r="E58" s="2666"/>
      <c r="F58" s="796" t="str">
        <f>HLOOKUP(LANGUAGE!$B$2,LANGUAGE!$C$14:$G$1500,1253)</f>
        <v>Target</v>
      </c>
      <c r="G58" s="780"/>
      <c r="H58" s="780"/>
      <c r="I58" s="780"/>
      <c r="J58" s="780"/>
      <c r="K58" s="780"/>
      <c r="L58" s="780"/>
      <c r="M58" s="780"/>
      <c r="N58" s="780"/>
      <c r="O58" s="780"/>
      <c r="P58" s="780"/>
      <c r="Q58" s="780"/>
      <c r="R58" s="780"/>
      <c r="S58" s="780"/>
      <c r="T58" s="780"/>
      <c r="U58" s="780"/>
      <c r="V58" s="780"/>
      <c r="W58" s="780"/>
      <c r="X58" s="780"/>
      <c r="Y58" s="780"/>
      <c r="Z58" s="780"/>
      <c r="AA58" s="780"/>
      <c r="AB58" s="780"/>
      <c r="AC58" s="780"/>
      <c r="AD58" s="780"/>
      <c r="AE58" s="780"/>
      <c r="AF58" s="780"/>
      <c r="AG58" s="780"/>
      <c r="AH58" s="780"/>
      <c r="AI58" s="780"/>
      <c r="AJ58" s="780"/>
      <c r="AK58" s="780"/>
      <c r="AL58" s="780"/>
      <c r="AM58" s="780"/>
      <c r="AN58" s="780"/>
      <c r="AO58" s="780"/>
      <c r="AP58" s="780"/>
      <c r="AQ58" s="780"/>
      <c r="AR58" s="780"/>
      <c r="AS58" s="780"/>
      <c r="AT58" s="780"/>
      <c r="AU58" s="780"/>
      <c r="AV58" s="780"/>
      <c r="AW58" s="780"/>
      <c r="AX58" s="780"/>
      <c r="AY58" s="780"/>
      <c r="AZ58" s="780"/>
      <c r="BA58" s="780"/>
      <c r="BB58" s="780"/>
      <c r="BC58" s="780"/>
      <c r="BD58" s="780"/>
      <c r="BE58" s="780"/>
      <c r="BF58" s="780"/>
      <c r="BG58" s="780"/>
      <c r="BH58" s="780"/>
      <c r="BI58" s="780"/>
      <c r="BJ58" s="780"/>
      <c r="BK58" s="780"/>
      <c r="BL58" s="780"/>
      <c r="BM58" s="780"/>
      <c r="BN58" s="780"/>
      <c r="BO58" s="780"/>
      <c r="BP58" s="780"/>
      <c r="BQ58" s="780"/>
      <c r="BR58" s="780"/>
      <c r="BS58" s="780"/>
      <c r="BT58" s="780"/>
      <c r="BU58" s="780"/>
      <c r="BV58" s="780"/>
      <c r="BW58" s="780"/>
      <c r="BX58" s="780"/>
      <c r="BY58" s="780"/>
      <c r="BZ58" s="780"/>
      <c r="CA58" s="780"/>
      <c r="CB58" s="780"/>
      <c r="CC58" s="780"/>
      <c r="CD58" s="780"/>
      <c r="CE58" s="780"/>
      <c r="CF58" s="780"/>
      <c r="CG58" s="2658">
        <v>0</v>
      </c>
      <c r="CH58" s="350"/>
      <c r="CI58" s="349"/>
      <c r="CJ58" s="351"/>
      <c r="CK58" s="56">
        <f t="shared" si="11"/>
        <v>1</v>
      </c>
      <c r="CL58" s="56">
        <f t="shared" si="12"/>
        <v>1</v>
      </c>
      <c r="CM58" s="56">
        <f t="shared" si="13"/>
        <v>0</v>
      </c>
      <c r="CN58" s="56" t="e">
        <f t="shared" ca="1" si="16"/>
        <v>#VALUE!</v>
      </c>
      <c r="CO58" s="59">
        <f t="shared" si="14"/>
        <v>-5</v>
      </c>
      <c r="CP58" s="59">
        <f t="shared" si="15"/>
        <v>-5</v>
      </c>
      <c r="CQ58" s="59">
        <f t="shared" si="17"/>
        <v>-5</v>
      </c>
    </row>
    <row r="59" spans="1:95" ht="18" customHeight="1" x14ac:dyDescent="0.25">
      <c r="A59" s="2661"/>
      <c r="B59" s="2663"/>
      <c r="C59" s="2667"/>
      <c r="D59" s="2668"/>
      <c r="E59" s="2669"/>
      <c r="F59" s="796" t="str">
        <f>HLOOKUP(LANGUAGE!$B$2,LANGUAGE!$C$14:$G$1500,1255)</f>
        <v>Is</v>
      </c>
      <c r="G59" s="516"/>
      <c r="H59" s="516"/>
      <c r="I59" s="516"/>
      <c r="J59" s="516"/>
      <c r="K59" s="516"/>
      <c r="L59" s="516"/>
      <c r="M59" s="516"/>
      <c r="N59" s="516"/>
      <c r="O59" s="516"/>
      <c r="P59" s="516"/>
      <c r="Q59" s="516"/>
      <c r="R59" s="516"/>
      <c r="S59" s="516"/>
      <c r="T59" s="516"/>
      <c r="U59" s="516"/>
      <c r="V59" s="516"/>
      <c r="W59" s="516"/>
      <c r="X59" s="516"/>
      <c r="Y59" s="516"/>
      <c r="Z59" s="516"/>
      <c r="AA59" s="516"/>
      <c r="AB59" s="516"/>
      <c r="AC59" s="516"/>
      <c r="AD59" s="516"/>
      <c r="AE59" s="516"/>
      <c r="AF59" s="516"/>
      <c r="AG59" s="516"/>
      <c r="AH59" s="516"/>
      <c r="AI59" s="516"/>
      <c r="AJ59" s="516"/>
      <c r="AK59" s="516"/>
      <c r="AL59" s="516"/>
      <c r="AM59" s="516"/>
      <c r="AN59" s="516"/>
      <c r="AO59" s="516"/>
      <c r="AP59" s="516"/>
      <c r="AQ59" s="516"/>
      <c r="AR59" s="516"/>
      <c r="AS59" s="516"/>
      <c r="AT59" s="516"/>
      <c r="AU59" s="516"/>
      <c r="AV59" s="516"/>
      <c r="AW59" s="516"/>
      <c r="AX59" s="516"/>
      <c r="AY59" s="516"/>
      <c r="AZ59" s="516"/>
      <c r="BA59" s="516"/>
      <c r="BB59" s="516"/>
      <c r="BC59" s="516"/>
      <c r="BD59" s="516"/>
      <c r="BE59" s="516"/>
      <c r="BF59" s="516"/>
      <c r="BG59" s="516"/>
      <c r="BH59" s="516"/>
      <c r="BI59" s="516"/>
      <c r="BJ59" s="516"/>
      <c r="BK59" s="516"/>
      <c r="BL59" s="516"/>
      <c r="BM59" s="516"/>
      <c r="BN59" s="516"/>
      <c r="BO59" s="516"/>
      <c r="BP59" s="516"/>
      <c r="BQ59" s="516"/>
      <c r="BR59" s="516"/>
      <c r="BS59" s="516"/>
      <c r="BT59" s="516"/>
      <c r="BU59" s="516"/>
      <c r="BV59" s="516"/>
      <c r="BW59" s="516"/>
      <c r="BX59" s="516"/>
      <c r="BY59" s="516"/>
      <c r="BZ59" s="516"/>
      <c r="CA59" s="516"/>
      <c r="CB59" s="516"/>
      <c r="CC59" s="516"/>
      <c r="CD59" s="516"/>
      <c r="CE59" s="516"/>
      <c r="CF59" s="516"/>
      <c r="CG59" s="2659"/>
      <c r="CH59" s="350"/>
      <c r="CI59" s="349"/>
      <c r="CJ59" s="352"/>
      <c r="CK59" s="56">
        <f t="shared" si="11"/>
        <v>1</v>
      </c>
      <c r="CL59" s="56">
        <f t="shared" si="12"/>
        <v>1</v>
      </c>
      <c r="CM59" s="56">
        <f t="shared" si="13"/>
        <v>0</v>
      </c>
      <c r="CN59" s="56" t="e">
        <f t="shared" ca="1" si="16"/>
        <v>#VALUE!</v>
      </c>
      <c r="CO59" s="59">
        <f t="shared" si="14"/>
        <v>-5</v>
      </c>
      <c r="CP59" s="59">
        <f t="shared" si="15"/>
        <v>-5</v>
      </c>
      <c r="CQ59" s="59">
        <f t="shared" si="17"/>
        <v>-5</v>
      </c>
    </row>
    <row r="60" spans="1:95" ht="18" customHeight="1" x14ac:dyDescent="0.25">
      <c r="A60" s="2660" t="s">
        <v>2278</v>
      </c>
      <c r="B60" s="2464"/>
      <c r="C60" s="2466" t="str">
        <f>HLOOKUP(LANGUAGE!$B$2,LANGUAGE!$C$14:$G$1500,1243)</f>
        <v>R@R with Brose</v>
      </c>
      <c r="D60" s="2467"/>
      <c r="E60" s="2468"/>
      <c r="F60" s="795" t="str">
        <f>HLOOKUP(LANGUAGE!$B$2,LANGUAGE!$C$14:$G$1500,1253)</f>
        <v>Target</v>
      </c>
      <c r="G60" s="784"/>
      <c r="H60" s="784"/>
      <c r="I60" s="784"/>
      <c r="J60" s="784"/>
      <c r="K60" s="784"/>
      <c r="L60" s="784"/>
      <c r="M60" s="784"/>
      <c r="N60" s="784"/>
      <c r="O60" s="784"/>
      <c r="P60" s="784"/>
      <c r="Q60" s="784"/>
      <c r="R60" s="784"/>
      <c r="S60" s="784"/>
      <c r="T60" s="784"/>
      <c r="U60" s="784"/>
      <c r="V60" s="784"/>
      <c r="W60" s="784"/>
      <c r="X60" s="784"/>
      <c r="Y60" s="784"/>
      <c r="Z60" s="784"/>
      <c r="AA60" s="784"/>
      <c r="AB60" s="784"/>
      <c r="AC60" s="784"/>
      <c r="AD60" s="784"/>
      <c r="AE60" s="784"/>
      <c r="AF60" s="784"/>
      <c r="AG60" s="784"/>
      <c r="AH60" s="784"/>
      <c r="AI60" s="784"/>
      <c r="AJ60" s="784"/>
      <c r="AK60" s="784"/>
      <c r="AL60" s="784"/>
      <c r="AM60" s="784"/>
      <c r="AN60" s="784"/>
      <c r="AO60" s="784"/>
      <c r="AP60" s="784"/>
      <c r="AQ60" s="784"/>
      <c r="AR60" s="784"/>
      <c r="AS60" s="784"/>
      <c r="AT60" s="784"/>
      <c r="AU60" s="784"/>
      <c r="AV60" s="784"/>
      <c r="AW60" s="784"/>
      <c r="AX60" s="784"/>
      <c r="AY60" s="784"/>
      <c r="AZ60" s="784"/>
      <c r="BA60" s="784"/>
      <c r="BB60" s="784"/>
      <c r="BC60" s="784"/>
      <c r="BD60" s="784"/>
      <c r="BE60" s="784"/>
      <c r="BF60" s="784"/>
      <c r="BG60" s="784"/>
      <c r="BH60" s="784"/>
      <c r="BI60" s="784"/>
      <c r="BJ60" s="784"/>
      <c r="BK60" s="784"/>
      <c r="BL60" s="784"/>
      <c r="BM60" s="784"/>
      <c r="BN60" s="784"/>
      <c r="BO60" s="784"/>
      <c r="BP60" s="784"/>
      <c r="BQ60" s="784"/>
      <c r="BR60" s="784"/>
      <c r="BS60" s="784"/>
      <c r="BT60" s="784"/>
      <c r="BU60" s="784"/>
      <c r="BV60" s="784"/>
      <c r="BW60" s="784"/>
      <c r="BX60" s="784"/>
      <c r="BY60" s="784"/>
      <c r="BZ60" s="784"/>
      <c r="CA60" s="784"/>
      <c r="CB60" s="784"/>
      <c r="CC60" s="784"/>
      <c r="CD60" s="784"/>
      <c r="CE60" s="784"/>
      <c r="CF60" s="784"/>
      <c r="CG60" s="2658">
        <v>0</v>
      </c>
      <c r="CH60" s="350"/>
      <c r="CI60" s="349"/>
      <c r="CJ60" s="351"/>
      <c r="CK60" s="56">
        <f t="shared" si="11"/>
        <v>1</v>
      </c>
      <c r="CL60" s="56">
        <f t="shared" si="12"/>
        <v>1</v>
      </c>
      <c r="CM60" s="56">
        <f t="shared" si="13"/>
        <v>0</v>
      </c>
      <c r="CN60" s="56" t="e">
        <f t="shared" ca="1" si="16"/>
        <v>#VALUE!</v>
      </c>
      <c r="CO60" s="59">
        <f t="shared" si="14"/>
        <v>-5</v>
      </c>
      <c r="CP60" s="59">
        <f t="shared" si="15"/>
        <v>-5</v>
      </c>
      <c r="CQ60" s="59">
        <f t="shared" si="17"/>
        <v>-5</v>
      </c>
    </row>
    <row r="61" spans="1:95" ht="18" customHeight="1" x14ac:dyDescent="0.25">
      <c r="A61" s="2661"/>
      <c r="B61" s="2465"/>
      <c r="C61" s="834"/>
      <c r="D61" s="835"/>
      <c r="E61" s="836"/>
      <c r="F61" s="795" t="str">
        <f>HLOOKUP(LANGUAGE!$B$2,LANGUAGE!$C$14:$G$1500,1255)</f>
        <v>Is</v>
      </c>
      <c r="G61" s="517"/>
      <c r="H61" s="517"/>
      <c r="I61" s="517"/>
      <c r="J61" s="517"/>
      <c r="K61" s="517"/>
      <c r="L61" s="517"/>
      <c r="M61" s="517"/>
      <c r="N61" s="517"/>
      <c r="O61" s="517"/>
      <c r="P61" s="517"/>
      <c r="Q61" s="517"/>
      <c r="R61" s="517"/>
      <c r="S61" s="517"/>
      <c r="T61" s="517"/>
      <c r="U61" s="517"/>
      <c r="V61" s="517"/>
      <c r="W61" s="517"/>
      <c r="X61" s="517"/>
      <c r="Y61" s="517"/>
      <c r="Z61" s="517"/>
      <c r="AA61" s="517"/>
      <c r="AB61" s="517"/>
      <c r="AC61" s="517"/>
      <c r="AD61" s="517"/>
      <c r="AE61" s="517"/>
      <c r="AF61" s="517"/>
      <c r="AG61" s="517"/>
      <c r="AH61" s="517"/>
      <c r="AI61" s="517"/>
      <c r="AJ61" s="517"/>
      <c r="AK61" s="517"/>
      <c r="AL61" s="517"/>
      <c r="AM61" s="517"/>
      <c r="AN61" s="517"/>
      <c r="AO61" s="517"/>
      <c r="AP61" s="517"/>
      <c r="AQ61" s="517"/>
      <c r="AR61" s="517"/>
      <c r="AS61" s="517"/>
      <c r="AT61" s="517"/>
      <c r="AU61" s="517"/>
      <c r="AV61" s="517"/>
      <c r="AW61" s="517"/>
      <c r="AX61" s="517"/>
      <c r="AY61" s="517"/>
      <c r="AZ61" s="517"/>
      <c r="BA61" s="517"/>
      <c r="BB61" s="517"/>
      <c r="BC61" s="517"/>
      <c r="BD61" s="517"/>
      <c r="BE61" s="517"/>
      <c r="BF61" s="517"/>
      <c r="BG61" s="517"/>
      <c r="BH61" s="517"/>
      <c r="BI61" s="517"/>
      <c r="BJ61" s="517"/>
      <c r="BK61" s="517"/>
      <c r="BL61" s="517"/>
      <c r="BM61" s="517"/>
      <c r="BN61" s="517"/>
      <c r="BO61" s="517"/>
      <c r="BP61" s="517"/>
      <c r="BQ61" s="517"/>
      <c r="BR61" s="517"/>
      <c r="BS61" s="517"/>
      <c r="BT61" s="517"/>
      <c r="BU61" s="517"/>
      <c r="BV61" s="517"/>
      <c r="BW61" s="517"/>
      <c r="BX61" s="517"/>
      <c r="BY61" s="517"/>
      <c r="BZ61" s="517"/>
      <c r="CA61" s="517"/>
      <c r="CB61" s="517"/>
      <c r="CC61" s="517"/>
      <c r="CD61" s="517"/>
      <c r="CE61" s="517"/>
      <c r="CF61" s="517"/>
      <c r="CG61" s="2659"/>
      <c r="CH61" s="350"/>
      <c r="CI61" s="349"/>
      <c r="CJ61" s="352"/>
      <c r="CK61" s="56">
        <f t="shared" si="11"/>
        <v>1</v>
      </c>
      <c r="CL61" s="56">
        <f t="shared" si="12"/>
        <v>1</v>
      </c>
      <c r="CM61" s="56">
        <f t="shared" si="13"/>
        <v>0</v>
      </c>
      <c r="CN61" s="56" t="e">
        <f t="shared" ca="1" si="16"/>
        <v>#VALUE!</v>
      </c>
      <c r="CO61" s="59">
        <f t="shared" si="14"/>
        <v>-5</v>
      </c>
      <c r="CP61" s="59">
        <f t="shared" si="15"/>
        <v>-5</v>
      </c>
      <c r="CQ61" s="59">
        <f t="shared" si="17"/>
        <v>-5</v>
      </c>
    </row>
    <row r="62" spans="1:95" ht="18" customHeight="1" x14ac:dyDescent="0.25">
      <c r="A62" s="2660" t="s">
        <v>2279</v>
      </c>
      <c r="B62" s="2464"/>
      <c r="C62" s="2466" t="str">
        <f>HLOOKUP(LANGUAGE!$B$2,LANGUAGE!$C$14:$G$1500,1245)</f>
        <v>O.K. Initial sampling (Full PPAP)</v>
      </c>
      <c r="D62" s="2467"/>
      <c r="E62" s="2468"/>
      <c r="F62" s="795" t="str">
        <f>HLOOKUP(LANGUAGE!$B$2,LANGUAGE!$C$14:$G$1500,1253)</f>
        <v>Target</v>
      </c>
      <c r="G62" s="784"/>
      <c r="H62" s="784"/>
      <c r="I62" s="784"/>
      <c r="J62" s="784"/>
      <c r="K62" s="784"/>
      <c r="L62" s="784"/>
      <c r="M62" s="784"/>
      <c r="N62" s="784"/>
      <c r="O62" s="784"/>
      <c r="P62" s="784"/>
      <c r="Q62" s="784"/>
      <c r="R62" s="784"/>
      <c r="S62" s="784"/>
      <c r="T62" s="784"/>
      <c r="U62" s="784"/>
      <c r="V62" s="784"/>
      <c r="W62" s="784"/>
      <c r="X62" s="784"/>
      <c r="Y62" s="784"/>
      <c r="Z62" s="784"/>
      <c r="AA62" s="784"/>
      <c r="AB62" s="784"/>
      <c r="AC62" s="784"/>
      <c r="AD62" s="784"/>
      <c r="AE62" s="784"/>
      <c r="AF62" s="784"/>
      <c r="AG62" s="784"/>
      <c r="AH62" s="784"/>
      <c r="AI62" s="784"/>
      <c r="AJ62" s="784"/>
      <c r="AK62" s="784"/>
      <c r="AL62" s="784"/>
      <c r="AM62" s="784"/>
      <c r="AN62" s="784"/>
      <c r="AO62" s="784"/>
      <c r="AP62" s="784"/>
      <c r="AQ62" s="784"/>
      <c r="AR62" s="784"/>
      <c r="AS62" s="784"/>
      <c r="AT62" s="784"/>
      <c r="AU62" s="784"/>
      <c r="AV62" s="784"/>
      <c r="AW62" s="784"/>
      <c r="AX62" s="784"/>
      <c r="AY62" s="784"/>
      <c r="AZ62" s="784"/>
      <c r="BA62" s="784"/>
      <c r="BB62" s="784"/>
      <c r="BC62" s="784"/>
      <c r="BD62" s="784"/>
      <c r="BE62" s="784"/>
      <c r="BF62" s="784"/>
      <c r="BG62" s="784"/>
      <c r="BH62" s="784"/>
      <c r="BI62" s="784"/>
      <c r="BJ62" s="784"/>
      <c r="BK62" s="784"/>
      <c r="BL62" s="784"/>
      <c r="BM62" s="784"/>
      <c r="BN62" s="784"/>
      <c r="BO62" s="784"/>
      <c r="BP62" s="784"/>
      <c r="BQ62" s="784"/>
      <c r="BR62" s="784"/>
      <c r="BS62" s="784"/>
      <c r="BT62" s="784"/>
      <c r="BU62" s="784"/>
      <c r="BV62" s="784"/>
      <c r="BW62" s="784"/>
      <c r="BX62" s="784"/>
      <c r="BY62" s="784"/>
      <c r="BZ62" s="784"/>
      <c r="CA62" s="784"/>
      <c r="CB62" s="784"/>
      <c r="CC62" s="784"/>
      <c r="CD62" s="784"/>
      <c r="CE62" s="784"/>
      <c r="CF62" s="784"/>
      <c r="CG62" s="2658">
        <v>0</v>
      </c>
      <c r="CH62" s="793"/>
      <c r="CI62" s="797"/>
      <c r="CJ62" s="798"/>
      <c r="CK62" s="56">
        <f t="shared" si="11"/>
        <v>1</v>
      </c>
      <c r="CL62" s="56">
        <f t="shared" si="12"/>
        <v>1</v>
      </c>
      <c r="CM62" s="56">
        <f t="shared" si="13"/>
        <v>0</v>
      </c>
      <c r="CN62" s="56" t="e">
        <f t="shared" ca="1" si="16"/>
        <v>#VALUE!</v>
      </c>
      <c r="CO62" s="59">
        <f t="shared" si="14"/>
        <v>-5</v>
      </c>
      <c r="CP62" s="59">
        <f t="shared" si="15"/>
        <v>-5</v>
      </c>
      <c r="CQ62" s="59">
        <f t="shared" si="17"/>
        <v>-5</v>
      </c>
    </row>
    <row r="63" spans="1:95" ht="18" customHeight="1" thickBot="1" x14ac:dyDescent="0.3">
      <c r="A63" s="2688"/>
      <c r="B63" s="2689"/>
      <c r="C63" s="2690"/>
      <c r="D63" s="2691"/>
      <c r="E63" s="2692"/>
      <c r="F63" s="799" t="str">
        <f>HLOOKUP(LANGUAGE!$B$2,LANGUAGE!$C$14:$G$1500,1255)</f>
        <v>Is</v>
      </c>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2687"/>
      <c r="CH63" s="353"/>
      <c r="CI63" s="354"/>
      <c r="CJ63" s="355"/>
      <c r="CK63" s="56">
        <f t="shared" si="11"/>
        <v>1</v>
      </c>
      <c r="CL63" s="56">
        <f t="shared" si="12"/>
        <v>1</v>
      </c>
      <c r="CM63" s="56">
        <f t="shared" si="13"/>
        <v>0</v>
      </c>
      <c r="CN63" s="56" t="e">
        <f t="shared" ca="1" si="16"/>
        <v>#VALUE!</v>
      </c>
      <c r="CO63" s="59">
        <f t="shared" si="14"/>
        <v>-5</v>
      </c>
      <c r="CP63" s="59">
        <f t="shared" si="15"/>
        <v>-5</v>
      </c>
      <c r="CQ63" s="59">
        <f t="shared" si="17"/>
        <v>-5</v>
      </c>
    </row>
    <row r="64" spans="1:95" x14ac:dyDescent="0.25">
      <c r="B64" s="2483"/>
      <c r="C64" s="2484"/>
      <c r="D64" s="2484"/>
      <c r="E64" s="2484"/>
      <c r="F64" s="61"/>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62"/>
      <c r="CH64" s="63"/>
      <c r="CI64" s="63"/>
      <c r="CJ64" s="63"/>
      <c r="CK64" s="36"/>
    </row>
    <row r="65" spans="2:89" x14ac:dyDescent="0.25">
      <c r="B65" s="2483"/>
      <c r="C65" s="2484"/>
      <c r="D65" s="2484"/>
      <c r="E65" s="2484"/>
      <c r="F65" s="61"/>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62"/>
      <c r="CH65" s="63"/>
      <c r="CI65" s="63"/>
      <c r="CJ65" s="63"/>
      <c r="CK65" s="36"/>
    </row>
    <row r="66" spans="2:89" x14ac:dyDescent="0.25">
      <c r="B66" s="2483"/>
      <c r="C66" s="2484"/>
      <c r="D66" s="2484"/>
      <c r="E66" s="2484"/>
      <c r="F66" s="61"/>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62"/>
      <c r="CH66" s="63"/>
      <c r="CI66" s="63"/>
      <c r="CJ66" s="63"/>
      <c r="CK66" s="36"/>
    </row>
    <row r="67" spans="2:89" x14ac:dyDescent="0.25">
      <c r="B67" s="2483"/>
      <c r="C67" s="2484"/>
      <c r="D67" s="2484"/>
      <c r="E67" s="2484"/>
      <c r="F67" s="61"/>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62"/>
      <c r="CH67" s="63"/>
      <c r="CI67" s="63"/>
      <c r="CJ67" s="63"/>
      <c r="CK67" s="36"/>
    </row>
    <row r="68" spans="2:89" x14ac:dyDescent="0.25">
      <c r="B68" s="64"/>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row>
    <row r="69" spans="2:89" x14ac:dyDescent="0.25">
      <c r="B69" s="64"/>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row>
  </sheetData>
  <sheetProtection algorithmName="SHA-512" hashValue="jRn5Bc5H8JLS8oBISPModGaNOdiAm2woPOXYWfGjnRZfL7iFGdLZQRJDlPvG+dz9q2yrbWPk8NnSNNZrU32ySw==" saltValue="lZ9cXDwupnjUI40hbOvegA==" spinCount="100000" sheet="1" objects="1" scenarios="1" formatCells="0" formatRows="0"/>
  <mergeCells count="204">
    <mergeCell ref="B66:B67"/>
    <mergeCell ref="C66:E67"/>
    <mergeCell ref="B40:B41"/>
    <mergeCell ref="C40:E41"/>
    <mergeCell ref="AK19:AK21"/>
    <mergeCell ref="AT19:AT21"/>
    <mergeCell ref="AU19:AU21"/>
    <mergeCell ref="AW19:AW21"/>
    <mergeCell ref="AX19:AX21"/>
    <mergeCell ref="AF19:AF21"/>
    <mergeCell ref="AG19:AG21"/>
    <mergeCell ref="AH19:AH21"/>
    <mergeCell ref="AI19:AI21"/>
    <mergeCell ref="AJ19:AJ21"/>
    <mergeCell ref="AV19:AV21"/>
    <mergeCell ref="V19:V21"/>
    <mergeCell ref="W19:W21"/>
    <mergeCell ref="X19:X21"/>
    <mergeCell ref="S19:S21"/>
    <mergeCell ref="T19:T21"/>
    <mergeCell ref="U19:U21"/>
    <mergeCell ref="J19:J21"/>
    <mergeCell ref="K19:K21"/>
    <mergeCell ref="L19:L21"/>
    <mergeCell ref="A26:A27"/>
    <mergeCell ref="B26:B27"/>
    <mergeCell ref="C26:E27"/>
    <mergeCell ref="AQ19:AQ21"/>
    <mergeCell ref="AR19:AR21"/>
    <mergeCell ref="AS19:AS21"/>
    <mergeCell ref="AY19:AY21"/>
    <mergeCell ref="AZ19:AZ21"/>
    <mergeCell ref="Y19:Y21"/>
    <mergeCell ref="Z19:Z21"/>
    <mergeCell ref="AA19:AA21"/>
    <mergeCell ref="AB19:AB21"/>
    <mergeCell ref="AC19:AC21"/>
    <mergeCell ref="AD19:AD21"/>
    <mergeCell ref="M19:M21"/>
    <mergeCell ref="N19:N21"/>
    <mergeCell ref="O19:O21"/>
    <mergeCell ref="P19:P21"/>
    <mergeCell ref="Q19:Q21"/>
    <mergeCell ref="R19:R21"/>
    <mergeCell ref="A19:B21"/>
    <mergeCell ref="C19:D21"/>
    <mergeCell ref="F19:F21"/>
    <mergeCell ref="G19:G21"/>
    <mergeCell ref="A62:A63"/>
    <mergeCell ref="B62:B63"/>
    <mergeCell ref="C62:E63"/>
    <mergeCell ref="A56:A57"/>
    <mergeCell ref="A58:A59"/>
    <mergeCell ref="A60:A61"/>
    <mergeCell ref="A44:A45"/>
    <mergeCell ref="B44:B45"/>
    <mergeCell ref="C44:E45"/>
    <mergeCell ref="CG62:CG63"/>
    <mergeCell ref="BR19:BR21"/>
    <mergeCell ref="BO19:BO21"/>
    <mergeCell ref="BP19:BP21"/>
    <mergeCell ref="B64:B65"/>
    <mergeCell ref="C64:E65"/>
    <mergeCell ref="BN19:BN21"/>
    <mergeCell ref="BQ19:BQ21"/>
    <mergeCell ref="BZ19:BZ21"/>
    <mergeCell ref="BY19:BY21"/>
    <mergeCell ref="BW19:BW21"/>
    <mergeCell ref="BX19:BX21"/>
    <mergeCell ref="BS19:BS21"/>
    <mergeCell ref="BT19:BT21"/>
    <mergeCell ref="BU19:BU21"/>
    <mergeCell ref="BV19:BV21"/>
    <mergeCell ref="B56:B57"/>
    <mergeCell ref="C56:E57"/>
    <mergeCell ref="CG56:CG57"/>
    <mergeCell ref="B58:B59"/>
    <mergeCell ref="C58:E59"/>
    <mergeCell ref="CG58:CG59"/>
    <mergeCell ref="B60:B61"/>
    <mergeCell ref="C60:E61"/>
    <mergeCell ref="CG60:CG61"/>
    <mergeCell ref="A50:A51"/>
    <mergeCell ref="B50:B51"/>
    <mergeCell ref="C50:E51"/>
    <mergeCell ref="CG50:CG51"/>
    <mergeCell ref="A52:A53"/>
    <mergeCell ref="B52:B53"/>
    <mergeCell ref="C52:E53"/>
    <mergeCell ref="CG52:CG53"/>
    <mergeCell ref="A54:A55"/>
    <mergeCell ref="C54:E55"/>
    <mergeCell ref="CG54:CG55"/>
    <mergeCell ref="CG44:CG45"/>
    <mergeCell ref="A46:A47"/>
    <mergeCell ref="B46:B47"/>
    <mergeCell ref="C46:E47"/>
    <mergeCell ref="CG46:CG47"/>
    <mergeCell ref="A48:A49"/>
    <mergeCell ref="B48:B49"/>
    <mergeCell ref="C48:E49"/>
    <mergeCell ref="CG48:CG49"/>
    <mergeCell ref="CG42:CG43"/>
    <mergeCell ref="B36:B37"/>
    <mergeCell ref="C36:E37"/>
    <mergeCell ref="CG36:CG37"/>
    <mergeCell ref="B38:B39"/>
    <mergeCell ref="C38:E39"/>
    <mergeCell ref="CG38:CG39"/>
    <mergeCell ref="A30:A41"/>
    <mergeCell ref="B30:B31"/>
    <mergeCell ref="C30:E31"/>
    <mergeCell ref="CG30:CG31"/>
    <mergeCell ref="B32:B33"/>
    <mergeCell ref="C32:E33"/>
    <mergeCell ref="CG32:CG33"/>
    <mergeCell ref="B34:B35"/>
    <mergeCell ref="C34:E35"/>
    <mergeCell ref="CG40:CG41"/>
    <mergeCell ref="CG34:CG35"/>
    <mergeCell ref="A42:A43"/>
    <mergeCell ref="B42:B43"/>
    <mergeCell ref="C42:E43"/>
    <mergeCell ref="CG26:CG27"/>
    <mergeCell ref="A28:A29"/>
    <mergeCell ref="B28:B29"/>
    <mergeCell ref="C28:E29"/>
    <mergeCell ref="CG28:CG29"/>
    <mergeCell ref="CJ19:CJ21"/>
    <mergeCell ref="A22:A23"/>
    <mergeCell ref="B22:B23"/>
    <mergeCell ref="C22:E23"/>
    <mergeCell ref="A24:A25"/>
    <mergeCell ref="B24:B25"/>
    <mergeCell ref="C24:E25"/>
    <mergeCell ref="CG24:CG25"/>
    <mergeCell ref="CB19:CB21"/>
    <mergeCell ref="CC19:CC21"/>
    <mergeCell ref="AL19:AL21"/>
    <mergeCell ref="AM19:AM21"/>
    <mergeCell ref="AN19:AN21"/>
    <mergeCell ref="AO19:AO21"/>
    <mergeCell ref="AP19:AP21"/>
    <mergeCell ref="AE19:AE21"/>
    <mergeCell ref="CI19:CI21"/>
    <mergeCell ref="BA19:BA21"/>
    <mergeCell ref="BB19:BB21"/>
    <mergeCell ref="CE19:CE21"/>
    <mergeCell ref="CF19:CF21"/>
    <mergeCell ref="CH19:CH21"/>
    <mergeCell ref="BC19:BC21"/>
    <mergeCell ref="BD19:BD21"/>
    <mergeCell ref="BE19:BE21"/>
    <mergeCell ref="BF19:BF21"/>
    <mergeCell ref="BG19:BG21"/>
    <mergeCell ref="CA19:CA21"/>
    <mergeCell ref="CD19:CD21"/>
    <mergeCell ref="BJ19:BJ21"/>
    <mergeCell ref="BK19:BK21"/>
    <mergeCell ref="BL19:BL21"/>
    <mergeCell ref="BM19:BM21"/>
    <mergeCell ref="BH19:BH21"/>
    <mergeCell ref="BI19:BI21"/>
    <mergeCell ref="H19:H21"/>
    <mergeCell ref="I19:I21"/>
    <mergeCell ref="M2:R2"/>
    <mergeCell ref="M1:R1"/>
    <mergeCell ref="B1:L2"/>
    <mergeCell ref="C5:AO5"/>
    <mergeCell ref="AQ7:BG7"/>
    <mergeCell ref="AQ9:BG10"/>
    <mergeCell ref="AQ8:BG8"/>
    <mergeCell ref="AA7:AO7"/>
    <mergeCell ref="S7:Z7"/>
    <mergeCell ref="AA9:AO9"/>
    <mergeCell ref="S9:Z9"/>
    <mergeCell ref="S10:Z10"/>
    <mergeCell ref="AA10:AO10"/>
    <mergeCell ref="C7:F7"/>
    <mergeCell ref="G7:Q7"/>
    <mergeCell ref="AA11:AO11"/>
    <mergeCell ref="S11:Z11"/>
    <mergeCell ref="S13:Z13"/>
    <mergeCell ref="AA13:AO13"/>
    <mergeCell ref="O9:Q9"/>
    <mergeCell ref="O10:Q10"/>
    <mergeCell ref="O11:Q11"/>
    <mergeCell ref="O12:Q12"/>
    <mergeCell ref="O13:Q13"/>
    <mergeCell ref="G9:N9"/>
    <mergeCell ref="E9:F9"/>
    <mergeCell ref="C9:D9"/>
    <mergeCell ref="C10:D10"/>
    <mergeCell ref="C11:D11"/>
    <mergeCell ref="C12:D12"/>
    <mergeCell ref="C13:D13"/>
    <mergeCell ref="E10:F10"/>
    <mergeCell ref="E11:F11"/>
    <mergeCell ref="E12:F12"/>
    <mergeCell ref="E13:F13"/>
    <mergeCell ref="G10:N10"/>
    <mergeCell ref="G11:N11"/>
    <mergeCell ref="G12:N12"/>
    <mergeCell ref="G13:N13"/>
  </mergeCells>
  <conditionalFormatting sqref="G18:G63">
    <cfRule type="expression" dxfId="134" priority="79">
      <formula>$G$18=$CI$18</formula>
    </cfRule>
  </conditionalFormatting>
  <conditionalFormatting sqref="G23:R23 G25:CF25 G29:CF29 G31:CF31 G33:CF33 G37:CF37 G39:CF39 G41:CF41 G43:CF43 G45:CF45 G47:CF47 G49:CF49 G51:CF51 G53:CF53 G55:CF55 G57:CF57 G59:BN59 BQ59:CF59 G61:BH61 BZ61:CF61 G63:BG63 CA63:CF63">
    <cfRule type="expression" dxfId="133" priority="618" stopIfTrue="1">
      <formula>AND(G$16&gt;=$CO23,G$16&lt;=$CQ23,$CI23="")</formula>
    </cfRule>
  </conditionalFormatting>
  <conditionalFormatting sqref="G35:U35">
    <cfRule type="expression" dxfId="132" priority="327" stopIfTrue="1">
      <formula>AND(G$16&gt;=$CO35,G$16&lt;=$CQ35,$CI35="")</formula>
    </cfRule>
    <cfRule type="expression" dxfId="131" priority="326" stopIfTrue="1">
      <formula>AND(G$16&gt;=$CO35,G$16&lt;=$CP35)</formula>
    </cfRule>
  </conditionalFormatting>
  <conditionalFormatting sqref="G27:BN27 BQ27:CF27">
    <cfRule type="expression" dxfId="130" priority="80" stopIfTrue="1">
      <formula>AND(G$16&gt;=$CO27,G$16&lt;=$CP27)</formula>
    </cfRule>
  </conditionalFormatting>
  <conditionalFormatting sqref="G18:CF18">
    <cfRule type="cellIs" dxfId="129" priority="82" operator="equal">
      <formula>$CI$18</formula>
    </cfRule>
  </conditionalFormatting>
  <conditionalFormatting sqref="G36:CF36 G38:CF38 G40:CF40 G42:CF42 G44:CF44 G46:CF46 G48:CF48 G50:CF50 G52:CF52 G54:CF54 G56:CF56 G58:BN58 G60:BH60 G62:BG62 G24:CF24 G26:CF26 G28:CF28 G30:CF30 G32:CF32 G34:CF34 BQ58:CF58 BZ60:CF60 CA62:CF62 G22:W22">
    <cfRule type="expression" dxfId="128" priority="619" stopIfTrue="1">
      <formula>AND(G$16&gt;=$CO22,G$16&lt;=$CP22)</formula>
    </cfRule>
  </conditionalFormatting>
  <conditionalFormatting sqref="G37:CF37 G39:CF39 G41:CF41 G43:CF43 G45:CF45 G47:CF47 G49:CF49 G51:CF51 G53:CF53 G55:CF55 G57:CF57 G59:BN59 G61:BH61 G63:BG63 G25:CF25 G29:CF29 G31:CF31 G33:CF33 BQ59:CF59 BZ61:CF61 CA63:CF63 G23:R23">
    <cfRule type="expression" dxfId="127" priority="617" stopIfTrue="1">
      <formula>AND(G$16&gt;=$CO23,G$16&lt;=$CP23)</formula>
    </cfRule>
  </conditionalFormatting>
  <conditionalFormatting sqref="H18:H63">
    <cfRule type="expression" dxfId="126" priority="78">
      <formula>$H$18=$CI$18</formula>
    </cfRule>
  </conditionalFormatting>
  <conditionalFormatting sqref="I18:I63">
    <cfRule type="expression" dxfId="125" priority="77">
      <formula>$I$18=$CI$18</formula>
    </cfRule>
  </conditionalFormatting>
  <conditionalFormatting sqref="J18:J63">
    <cfRule type="expression" dxfId="124" priority="75">
      <formula>$J$18=$CI$18</formula>
    </cfRule>
  </conditionalFormatting>
  <conditionalFormatting sqref="K18:K63">
    <cfRule type="expression" dxfId="123" priority="74">
      <formula>$K$18=$CI$18</formula>
    </cfRule>
  </conditionalFormatting>
  <conditionalFormatting sqref="L18:L63">
    <cfRule type="expression" dxfId="122" priority="73">
      <formula>$L$18=$CI$18</formula>
    </cfRule>
  </conditionalFormatting>
  <conditionalFormatting sqref="M18:M63">
    <cfRule type="expression" dxfId="121" priority="72">
      <formula>$M$18=$CI$18</formula>
    </cfRule>
  </conditionalFormatting>
  <conditionalFormatting sqref="N18:N63">
    <cfRule type="expression" dxfId="120" priority="71">
      <formula>$N$18=$CI$18</formula>
    </cfRule>
  </conditionalFormatting>
  <conditionalFormatting sqref="O18:O64">
    <cfRule type="expression" dxfId="119" priority="70">
      <formula>$O$18=$CI$18</formula>
    </cfRule>
  </conditionalFormatting>
  <conditionalFormatting sqref="P18:P63">
    <cfRule type="expression" dxfId="118" priority="76">
      <formula>$P$18=$CI$18</formula>
    </cfRule>
  </conditionalFormatting>
  <conditionalFormatting sqref="Q18:Q63">
    <cfRule type="expression" dxfId="117" priority="69">
      <formula>$Q$18=$CI$18</formula>
    </cfRule>
  </conditionalFormatting>
  <conditionalFormatting sqref="R18:R63">
    <cfRule type="expression" dxfId="116" priority="68">
      <formula>$R$18=$CI$18</formula>
    </cfRule>
  </conditionalFormatting>
  <conditionalFormatting sqref="S18:S63">
    <cfRule type="expression" dxfId="115" priority="67">
      <formula>$S$18=$CI$18</formula>
    </cfRule>
  </conditionalFormatting>
  <conditionalFormatting sqref="S23:BZ23">
    <cfRule type="expression" dxfId="114" priority="86" stopIfTrue="1">
      <formula>AND(S$16&gt;=$CO$23,S$16&lt;=$CQ$23,$CI$23="")</formula>
    </cfRule>
    <cfRule type="expression" dxfId="113" priority="85" stopIfTrue="1">
      <formula>AND(S$16&gt;=$CO$23,S$16&lt;=$CP$23)</formula>
    </cfRule>
  </conditionalFormatting>
  <conditionalFormatting sqref="T18:T34">
    <cfRule type="expression" dxfId="112" priority="66">
      <formula>$T$18=$CI$18</formula>
    </cfRule>
  </conditionalFormatting>
  <conditionalFormatting sqref="T36:T63">
    <cfRule type="expression" dxfId="111" priority="376">
      <formula>$T$18=$CI$18</formula>
    </cfRule>
  </conditionalFormatting>
  <conditionalFormatting sqref="T35:U35">
    <cfRule type="expression" dxfId="110" priority="325">
      <formula>$T$18=$CI$18</formula>
    </cfRule>
  </conditionalFormatting>
  <conditionalFormatting sqref="U18:U34">
    <cfRule type="expression" dxfId="109" priority="65">
      <formula>$U$18=$CI$18</formula>
    </cfRule>
  </conditionalFormatting>
  <conditionalFormatting sqref="U36:U63">
    <cfRule type="expression" dxfId="108" priority="375">
      <formula>$U$18=$CI$18</formula>
    </cfRule>
  </conditionalFormatting>
  <conditionalFormatting sqref="V18:V63">
    <cfRule type="expression" dxfId="107" priority="64">
      <formula>$V$18=$CI$18</formula>
    </cfRule>
  </conditionalFormatting>
  <conditionalFormatting sqref="V35:BZ35">
    <cfRule type="expression" dxfId="106" priority="84" stopIfTrue="1">
      <formula>AND(V$16&gt;=$CO$23,V$16&lt;=$CQ$23,$CI$23="")</formula>
    </cfRule>
    <cfRule type="expression" dxfId="105" priority="83" stopIfTrue="1">
      <formula>AND(V$16&gt;=$CO$23,V$16&lt;=$CP$23)</formula>
    </cfRule>
  </conditionalFormatting>
  <conditionalFormatting sqref="W18:W63">
    <cfRule type="expression" dxfId="104" priority="63">
      <formula>$W$18=$CI$18</formula>
    </cfRule>
  </conditionalFormatting>
  <conditionalFormatting sqref="X18:X63">
    <cfRule type="expression" dxfId="103" priority="62">
      <formula>$X$18=$CI$18</formula>
    </cfRule>
  </conditionalFormatting>
  <conditionalFormatting sqref="X22:BZ22">
    <cfRule type="expression" dxfId="102" priority="87" stopIfTrue="1">
      <formula>AND(X$16&gt;=$CO$22,X$16&lt;=$CP$22)</formula>
    </cfRule>
  </conditionalFormatting>
  <conditionalFormatting sqref="Y18:Y63">
    <cfRule type="expression" dxfId="101" priority="61">
      <formula>$Y$18=$CI$18</formula>
    </cfRule>
  </conditionalFormatting>
  <conditionalFormatting sqref="Z18:Z63">
    <cfRule type="expression" dxfId="100" priority="60">
      <formula>$Z$18=$CI$18</formula>
    </cfRule>
  </conditionalFormatting>
  <conditionalFormatting sqref="AA18:AA63">
    <cfRule type="expression" dxfId="99" priority="59">
      <formula>$AA$18=$CI$18</formula>
    </cfRule>
  </conditionalFormatting>
  <conditionalFormatting sqref="AB18:AB63">
    <cfRule type="expression" dxfId="98" priority="58">
      <formula>$AB$18=$CI$18</formula>
    </cfRule>
  </conditionalFormatting>
  <conditionalFormatting sqref="AC18:AC63">
    <cfRule type="expression" dxfId="97" priority="57">
      <formula>$AC$18=$CI$18</formula>
    </cfRule>
  </conditionalFormatting>
  <conditionalFormatting sqref="AD18:AD63">
    <cfRule type="expression" dxfId="96" priority="56">
      <formula>$AD$18=$CI$18</formula>
    </cfRule>
  </conditionalFormatting>
  <conditionalFormatting sqref="AE18:AE63">
    <cfRule type="expression" dxfId="95" priority="55">
      <formula>$AE$18=$CI$18</formula>
    </cfRule>
  </conditionalFormatting>
  <conditionalFormatting sqref="AF18:AF63">
    <cfRule type="expression" dxfId="94" priority="54">
      <formula>$AF$18=$CI$18</formula>
    </cfRule>
  </conditionalFormatting>
  <conditionalFormatting sqref="AG18:AG63">
    <cfRule type="expression" dxfId="93" priority="53">
      <formula>$AG$18=$CI$18</formula>
    </cfRule>
  </conditionalFormatting>
  <conditionalFormatting sqref="AH18:AH63">
    <cfRule type="expression" dxfId="92" priority="52">
      <formula>$AH$18=$CI$18</formula>
    </cfRule>
  </conditionalFormatting>
  <conditionalFormatting sqref="AI18:AI63">
    <cfRule type="expression" dxfId="91" priority="51">
      <formula>$AI$18=$CI$18</formula>
    </cfRule>
  </conditionalFormatting>
  <conditionalFormatting sqref="AJ18:AJ63">
    <cfRule type="expression" dxfId="90" priority="50">
      <formula>$AJ$18=$CI$18</formula>
    </cfRule>
  </conditionalFormatting>
  <conditionalFormatting sqref="AK18:AK63">
    <cfRule type="expression" dxfId="89" priority="49">
      <formula>$AK$18=$CI$18</formula>
    </cfRule>
  </conditionalFormatting>
  <conditionalFormatting sqref="AL18:AL63">
    <cfRule type="expression" dxfId="88" priority="48">
      <formula>$AL$18=$CI$18</formula>
    </cfRule>
  </conditionalFormatting>
  <conditionalFormatting sqref="AM18:AM63">
    <cfRule type="expression" dxfId="87" priority="47">
      <formula>$AM$18=$CI$18</formula>
    </cfRule>
  </conditionalFormatting>
  <conditionalFormatting sqref="AN18:AN63">
    <cfRule type="expression" dxfId="86" priority="46">
      <formula>$AN$18=$CI$18</formula>
    </cfRule>
  </conditionalFormatting>
  <conditionalFormatting sqref="AO18:AO63">
    <cfRule type="expression" dxfId="85" priority="45">
      <formula>$AO$18=$CI$18</formula>
    </cfRule>
  </conditionalFormatting>
  <conditionalFormatting sqref="AP18:AP63">
    <cfRule type="expression" dxfId="84" priority="44">
      <formula>$AP$18=$CI$18</formula>
    </cfRule>
  </conditionalFormatting>
  <conditionalFormatting sqref="AQ18:AQ63">
    <cfRule type="expression" dxfId="83" priority="43">
      <formula>$AQ$18=$CI$18</formula>
    </cfRule>
  </conditionalFormatting>
  <conditionalFormatting sqref="AR18:AR63">
    <cfRule type="expression" dxfId="82" priority="42">
      <formula>$AR$18=$CI$18</formula>
    </cfRule>
  </conditionalFormatting>
  <conditionalFormatting sqref="AS18:AS63">
    <cfRule type="expression" dxfId="81" priority="41">
      <formula>$AS$18=$CI$18</formula>
    </cfRule>
  </conditionalFormatting>
  <conditionalFormatting sqref="AT18:AT63">
    <cfRule type="expression" dxfId="80" priority="40">
      <formula>$AT$18=$CI$18</formula>
    </cfRule>
  </conditionalFormatting>
  <conditionalFormatting sqref="AU18:AU63">
    <cfRule type="expression" dxfId="79" priority="39">
      <formula>$AU$18=$CI$18</formula>
    </cfRule>
  </conditionalFormatting>
  <conditionalFormatting sqref="AV18:AV63">
    <cfRule type="expression" dxfId="78" priority="38">
      <formula>$AV$18=$CI$18</formula>
    </cfRule>
  </conditionalFormatting>
  <conditionalFormatting sqref="AW18:AW63">
    <cfRule type="expression" dxfId="77" priority="37">
      <formula>$AW$18=$CI$18</formula>
    </cfRule>
  </conditionalFormatting>
  <conditionalFormatting sqref="AX18:AX63">
    <cfRule type="expression" dxfId="76" priority="36">
      <formula>$AX$18=$CI$18</formula>
    </cfRule>
  </conditionalFormatting>
  <conditionalFormatting sqref="AY18:AY63">
    <cfRule type="expression" dxfId="75" priority="35">
      <formula>$AY$18=$CI$18</formula>
    </cfRule>
  </conditionalFormatting>
  <conditionalFormatting sqref="AZ18:AZ63">
    <cfRule type="expression" dxfId="74" priority="34">
      <formula>$AZ$18=$CI$18</formula>
    </cfRule>
  </conditionalFormatting>
  <conditionalFormatting sqref="BA18:BA63">
    <cfRule type="expression" dxfId="73" priority="33">
      <formula>$BA$18=$CI$18</formula>
    </cfRule>
  </conditionalFormatting>
  <conditionalFormatting sqref="BB18:BB63">
    <cfRule type="expression" dxfId="72" priority="32">
      <formula>$BB$18=$CI$18</formula>
    </cfRule>
  </conditionalFormatting>
  <conditionalFormatting sqref="BC18:BC63">
    <cfRule type="expression" dxfId="71" priority="31">
      <formula>$BC$18=$CI$18</formula>
    </cfRule>
  </conditionalFormatting>
  <conditionalFormatting sqref="BD18:BD63">
    <cfRule type="expression" dxfId="70" priority="30">
      <formula>$BD$18=$CI$18</formula>
    </cfRule>
  </conditionalFormatting>
  <conditionalFormatting sqref="BE18:BE63">
    <cfRule type="expression" dxfId="69" priority="29">
      <formula>$BE$18=$CI$18</formula>
    </cfRule>
  </conditionalFormatting>
  <conditionalFormatting sqref="BF18:BF63">
    <cfRule type="expression" dxfId="68" priority="28">
      <formula>$BF$18=$CI$18</formula>
    </cfRule>
  </conditionalFormatting>
  <conditionalFormatting sqref="BG18">
    <cfRule type="expression" dxfId="67" priority="337">
      <formula>$BG$18=$CI$18</formula>
    </cfRule>
  </conditionalFormatting>
  <conditionalFormatting sqref="BG19:BG21 BJ19:BJ21 BM19:BM21 BP19:BP21 BS19:BS21 BV19:BV21 BY19:BY21 CB19:CB21 CE19:CE21">
    <cfRule type="expression" dxfId="66" priority="340">
      <formula>$BD$18=$CI$18</formula>
    </cfRule>
  </conditionalFormatting>
  <conditionalFormatting sqref="BG22:BG63">
    <cfRule type="expression" dxfId="65" priority="27">
      <formula>$BG$18=$CI$18</formula>
    </cfRule>
  </conditionalFormatting>
  <conditionalFormatting sqref="BH19:BH21 BK19:BK21 BN19:BN21 BQ19:BQ21 BT19:BT21 BW19:BW21 BZ19:BZ21 CC19:CC21 CF19:CF21">
    <cfRule type="expression" dxfId="64" priority="339">
      <formula>$BE$18=$CI$18</formula>
    </cfRule>
  </conditionalFormatting>
  <conditionalFormatting sqref="BH62:BZ62">
    <cfRule type="expression" dxfId="63" priority="90" stopIfTrue="1">
      <formula>AND(BH$16&gt;=$CO62,BH$16&lt;=$CP62)</formula>
    </cfRule>
  </conditionalFormatting>
  <conditionalFormatting sqref="BH63:BZ63">
    <cfRule type="expression" dxfId="62" priority="88" stopIfTrue="1">
      <formula>AND(BH$16&gt;=$CO63,BH$16&lt;=$CP63)</formula>
    </cfRule>
    <cfRule type="expression" dxfId="61" priority="89" stopIfTrue="1">
      <formula>AND(BH$16&gt;=$CO63,BH$16&lt;=$CQ63,$CI63="")</formula>
    </cfRule>
  </conditionalFormatting>
  <conditionalFormatting sqref="BH18:CA18">
    <cfRule type="expression" dxfId="60" priority="81">
      <formula>$CA$18=$CI$18</formula>
    </cfRule>
  </conditionalFormatting>
  <conditionalFormatting sqref="BH27:CA27">
    <cfRule type="expression" dxfId="59" priority="1">
      <formula>$CA$18=$CI$18</formula>
    </cfRule>
  </conditionalFormatting>
  <conditionalFormatting sqref="BH28:CA63 BH22:CA26">
    <cfRule type="expression" dxfId="58" priority="336">
      <formula>$CA$18=$CI$18</formula>
    </cfRule>
  </conditionalFormatting>
  <conditionalFormatting sqref="BI19:BI21 BL19:BL21 BO19:BO21 BR19:BR21 BU19:BU21 BX19:BX21 CA19:CA21 CD19:CD21">
    <cfRule type="expression" dxfId="57" priority="338">
      <formula>$BF$18=$CI$18</formula>
    </cfRule>
  </conditionalFormatting>
  <conditionalFormatting sqref="BI60:BY60">
    <cfRule type="expression" dxfId="56" priority="93" stopIfTrue="1">
      <formula>AND(BI$16&gt;=$CO60,BI$16&lt;=$CP60)</formula>
    </cfRule>
  </conditionalFormatting>
  <conditionalFormatting sqref="BI61:BY61">
    <cfRule type="expression" dxfId="55" priority="91" stopIfTrue="1">
      <formula>AND(BI$16&gt;=$CO61,BI$16&lt;=$CP61)</formula>
    </cfRule>
    <cfRule type="expression" dxfId="54" priority="92" stopIfTrue="1">
      <formula>AND(BI$16&gt;=$CO61,BI$16&lt;=$CQ61,$CI61="")</formula>
    </cfRule>
  </conditionalFormatting>
  <conditionalFormatting sqref="BO27:BP27">
    <cfRule type="expression" dxfId="53" priority="3" stopIfTrue="1">
      <formula>AND(BO$16&gt;=$CO27,BO$16&lt;=$CP27)</formula>
    </cfRule>
  </conditionalFormatting>
  <conditionalFormatting sqref="BO58:BP58">
    <cfRule type="expression" dxfId="52" priority="109" stopIfTrue="1">
      <formula>AND(BO$16&gt;=$CO58,BO$16&lt;=$CP58)</formula>
    </cfRule>
  </conditionalFormatting>
  <conditionalFormatting sqref="BO59:BP59">
    <cfRule type="expression" dxfId="51" priority="107" stopIfTrue="1">
      <formula>AND(BO$16&gt;=$CO59,BO$16&lt;=$CP59)</formula>
    </cfRule>
    <cfRule type="expression" dxfId="50" priority="108" stopIfTrue="1">
      <formula>AND(BO$16&gt;=$CO59,BO$16&lt;=$CQ59,$CI59="")</formula>
    </cfRule>
  </conditionalFormatting>
  <conditionalFormatting sqref="CA22:CF22">
    <cfRule type="expression" dxfId="49" priority="575" stopIfTrue="1">
      <formula>AND(CA$16&gt;=$CO$22,CA$16&lt;=$CP$22)</formula>
    </cfRule>
  </conditionalFormatting>
  <conditionalFormatting sqref="CA23:CF23">
    <cfRule type="expression" dxfId="48" priority="481" stopIfTrue="1">
      <formula>AND(CA$16&gt;=$CO$23,CA$16&lt;=$CP$23)</formula>
    </cfRule>
    <cfRule type="expression" dxfId="47" priority="482" stopIfTrue="1">
      <formula>AND(CA$16&gt;=$CO$23,CA$16&lt;=$CQ$23,$CI$23="")</formula>
    </cfRule>
  </conditionalFormatting>
  <conditionalFormatting sqref="CA35:CF35">
    <cfRule type="expression" dxfId="46" priority="391" stopIfTrue="1">
      <formula>AND(CA$16&gt;=$CO$23,CA$16&lt;=$CP$23)</formula>
    </cfRule>
    <cfRule type="expression" dxfId="45" priority="392" stopIfTrue="1">
      <formula>AND(CA$16&gt;=$CO$23,CA$16&lt;=$CQ$23,$CI$23="")</formula>
    </cfRule>
  </conditionalFormatting>
  <conditionalFormatting sqref="CB18">
    <cfRule type="expression" dxfId="44" priority="335">
      <formula>$CB$18=$CI$18</formula>
    </cfRule>
  </conditionalFormatting>
  <conditionalFormatting sqref="CB22:CB63">
    <cfRule type="expression" dxfId="43" priority="25">
      <formula>$CB$18=$CI$18</formula>
    </cfRule>
  </conditionalFormatting>
  <conditionalFormatting sqref="CC18">
    <cfRule type="expression" dxfId="42" priority="334">
      <formula>$CC$18=$CI$18</formula>
    </cfRule>
  </conditionalFormatting>
  <conditionalFormatting sqref="CC22:CC63">
    <cfRule type="expression" dxfId="41" priority="24">
      <formula>$CC$18=$CI$18</formula>
    </cfRule>
  </conditionalFormatting>
  <conditionalFormatting sqref="CD18">
    <cfRule type="expression" dxfId="40" priority="333">
      <formula>$CD$18=$CI$18</formula>
    </cfRule>
  </conditionalFormatting>
  <conditionalFormatting sqref="CD22:CD63">
    <cfRule type="expression" dxfId="39" priority="23">
      <formula>$CD$18=$CI$18</formula>
    </cfRule>
  </conditionalFormatting>
  <conditionalFormatting sqref="CE18">
    <cfRule type="expression" dxfId="38" priority="332">
      <formula>$CE$18=$CI$18</formula>
    </cfRule>
  </conditionalFormatting>
  <conditionalFormatting sqref="CE22:CE63">
    <cfRule type="expression" dxfId="37" priority="22">
      <formula>$CE$18=$CI$18</formula>
    </cfRule>
  </conditionalFormatting>
  <conditionalFormatting sqref="CF18">
    <cfRule type="expression" dxfId="36" priority="331">
      <formula>$CF$18=$CI$18</formula>
    </cfRule>
  </conditionalFormatting>
  <conditionalFormatting sqref="CF22:CF63">
    <cfRule type="expression" dxfId="35" priority="21">
      <formula>$CF$18=$CI$18</formula>
    </cfRule>
  </conditionalFormatting>
  <conditionalFormatting sqref="CG22 CG24 CG26 CG28 CG30 CG32 CG34">
    <cfRule type="cellIs" dxfId="34" priority="622" stopIfTrue="1" operator="lessThan">
      <formula>1</formula>
    </cfRule>
    <cfRule type="cellIs" dxfId="33" priority="623" stopIfTrue="1" operator="equal">
      <formula>1</formula>
    </cfRule>
  </conditionalFormatting>
  <conditionalFormatting sqref="CG36 CG38 CG40">
    <cfRule type="cellIs" dxfId="32" priority="624" stopIfTrue="1" operator="lessThan">
      <formula>1</formula>
    </cfRule>
    <cfRule type="cellIs" dxfId="31" priority="625" stopIfTrue="1" operator="equal">
      <formula>1</formula>
    </cfRule>
  </conditionalFormatting>
  <conditionalFormatting sqref="CG42 CG44 CG46">
    <cfRule type="cellIs" dxfId="30" priority="626" stopIfTrue="1" operator="lessThan">
      <formula>1</formula>
    </cfRule>
    <cfRule type="cellIs" dxfId="29" priority="627" stopIfTrue="1" operator="equal">
      <formula>1</formula>
    </cfRule>
  </conditionalFormatting>
  <conditionalFormatting sqref="CG48 CG50 CG52">
    <cfRule type="cellIs" dxfId="28" priority="628" stopIfTrue="1" operator="lessThan">
      <formula>1</formula>
    </cfRule>
    <cfRule type="cellIs" dxfId="27" priority="629" stopIfTrue="1" operator="equal">
      <formula>1</formula>
    </cfRule>
  </conditionalFormatting>
  <conditionalFormatting sqref="CG54">
    <cfRule type="cellIs" dxfId="26" priority="620" stopIfTrue="1" operator="lessThan">
      <formula>1</formula>
    </cfRule>
    <cfRule type="cellIs" dxfId="25" priority="621" stopIfTrue="1" operator="equal">
      <formula>1</formula>
    </cfRule>
  </conditionalFormatting>
  <conditionalFormatting sqref="CG56 CG58">
    <cfRule type="cellIs" dxfId="24" priority="630" stopIfTrue="1" operator="lessThan">
      <formula>1</formula>
    </cfRule>
    <cfRule type="cellIs" dxfId="23" priority="631" stopIfTrue="1" operator="equal">
      <formula>1</formula>
    </cfRule>
  </conditionalFormatting>
  <conditionalFormatting sqref="CG60">
    <cfRule type="cellIs" dxfId="22" priority="634" stopIfTrue="1" operator="lessThan">
      <formula>1</formula>
    </cfRule>
    <cfRule type="cellIs" dxfId="21" priority="635" stopIfTrue="1" operator="equal">
      <formula>1</formula>
    </cfRule>
  </conditionalFormatting>
  <conditionalFormatting sqref="CG62">
    <cfRule type="cellIs" dxfId="20" priority="632" stopIfTrue="1" operator="lessThan">
      <formula>1</formula>
    </cfRule>
    <cfRule type="cellIs" dxfId="19" priority="633" stopIfTrue="1" operator="equal">
      <formula>1</formula>
    </cfRule>
  </conditionalFormatting>
  <printOptions horizontalCentered="1"/>
  <pageMargins left="0.35433070866141736" right="0.35433070866141736" top="0.98425196850393704" bottom="0.51181102362204722" header="0.23622047244094491" footer="0.27559055118110237"/>
  <pageSetup paperSize="8" scale="66"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56321" r:id="rId6" name="Drop Down 1">
              <controlPr defaultSize="0" autoLine="0" autoPict="0">
                <anchor moveWithCells="1">
                  <from>
                    <xdr:col>20</xdr:col>
                    <xdr:colOff>79513</xdr:colOff>
                    <xdr:row>0</xdr:row>
                    <xdr:rowOff>63610</xdr:rowOff>
                  </from>
                  <to>
                    <xdr:col>28</xdr:col>
                    <xdr:colOff>15903</xdr:colOff>
                    <xdr:row>1</xdr:row>
                    <xdr:rowOff>143123</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7">
    <tabColor theme="6" tint="0.39997558519241921"/>
    <pageSetUpPr fitToPage="1"/>
  </sheetPr>
  <dimension ref="A1:PT114"/>
  <sheetViews>
    <sheetView showGridLines="0" zoomScaleNormal="100" zoomScaleSheetLayoutView="70" workbookViewId="0">
      <selection activeCell="V44" sqref="V44"/>
    </sheetView>
  </sheetViews>
  <sheetFormatPr baseColWidth="10" defaultColWidth="5.3984375" defaultRowHeight="10.199999999999999" customHeight="1" x14ac:dyDescent="0.25"/>
  <cols>
    <col min="1" max="45" width="5.3984375" style="239"/>
    <col min="46" max="74" width="5.3984375" style="239" customWidth="1"/>
    <col min="75" max="76" width="5.3984375" style="239" hidden="1" customWidth="1"/>
    <col min="77" max="107" width="0" style="239" hidden="1" customWidth="1"/>
    <col min="108" max="16384" width="5.3984375" style="239"/>
  </cols>
  <sheetData>
    <row r="1" spans="1:436" s="187" customFormat="1" ht="17.7" customHeight="1" x14ac:dyDescent="0.25">
      <c r="A1" s="186"/>
      <c r="B1" s="2766" t="str">
        <f>HLOOKUP(LANGUAGE!$B$2,LANGUAGE!$C$14:$G$3008,1479)</f>
        <v>Checklist For Mixed Parts Audit</v>
      </c>
      <c r="C1" s="2766"/>
      <c r="D1" s="2766"/>
      <c r="E1" s="2766"/>
      <c r="F1" s="2766"/>
      <c r="G1" s="2766"/>
      <c r="H1" s="2766"/>
      <c r="I1" s="2766"/>
      <c r="J1" s="2766"/>
      <c r="K1" s="2766"/>
      <c r="L1" s="2766"/>
      <c r="M1" s="134"/>
      <c r="N1" s="134"/>
      <c r="O1" s="359"/>
      <c r="P1" s="1595" t="s">
        <v>2</v>
      </c>
      <c r="Q1" s="1595"/>
      <c r="R1" s="1595"/>
      <c r="S1" s="134"/>
      <c r="T1" s="134"/>
      <c r="U1" s="134"/>
      <c r="V1" s="134"/>
      <c r="W1" s="134"/>
      <c r="X1" s="134"/>
      <c r="Y1" s="185"/>
      <c r="Z1" s="185"/>
      <c r="AA1" s="185"/>
      <c r="AB1" s="185"/>
      <c r="AC1" s="185"/>
      <c r="AD1" s="186"/>
      <c r="AE1" s="186"/>
      <c r="AF1" s="186"/>
      <c r="AG1" s="186"/>
      <c r="AH1" s="186"/>
      <c r="AI1" s="186"/>
      <c r="AJ1" s="186"/>
      <c r="AK1" s="186"/>
      <c r="AL1" s="186"/>
      <c r="AM1" s="186"/>
      <c r="AN1" s="186"/>
      <c r="AO1" s="186"/>
      <c r="AP1" s="186"/>
      <c r="AQ1" s="186"/>
      <c r="AR1" s="186"/>
      <c r="AS1" s="186"/>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c r="IW1" s="32"/>
      <c r="IX1" s="32"/>
      <c r="IY1" s="32"/>
      <c r="IZ1" s="32"/>
      <c r="JA1" s="32"/>
      <c r="JB1" s="32"/>
      <c r="JC1" s="32"/>
      <c r="JD1" s="32"/>
      <c r="JE1" s="32"/>
      <c r="JF1" s="32"/>
      <c r="JG1" s="32"/>
      <c r="JH1" s="32"/>
      <c r="JI1" s="32"/>
      <c r="JJ1" s="32"/>
      <c r="JK1" s="32"/>
      <c r="JL1" s="32"/>
      <c r="JM1" s="32"/>
      <c r="JN1" s="32"/>
      <c r="JO1" s="32"/>
      <c r="JP1" s="32"/>
      <c r="JQ1" s="32"/>
      <c r="JR1" s="32"/>
      <c r="JS1" s="32"/>
      <c r="JT1" s="32"/>
      <c r="JU1" s="32"/>
      <c r="JV1" s="32"/>
      <c r="JW1" s="32"/>
      <c r="JX1" s="32"/>
      <c r="JY1" s="32"/>
      <c r="JZ1" s="32"/>
      <c r="KA1" s="32"/>
      <c r="KB1" s="32"/>
      <c r="KC1" s="32"/>
      <c r="KD1" s="32"/>
      <c r="KE1" s="32"/>
      <c r="KF1" s="32"/>
      <c r="KG1" s="32"/>
      <c r="KH1" s="32"/>
      <c r="KI1" s="32"/>
      <c r="KJ1" s="32"/>
      <c r="KK1" s="32"/>
      <c r="KL1" s="32"/>
      <c r="KM1" s="32"/>
      <c r="KN1" s="32"/>
      <c r="KO1" s="32"/>
      <c r="KP1" s="32"/>
      <c r="KQ1" s="32"/>
      <c r="KR1" s="32"/>
      <c r="KS1" s="32"/>
      <c r="KT1" s="32"/>
      <c r="KU1" s="32"/>
      <c r="KV1" s="32"/>
      <c r="KW1" s="32"/>
      <c r="KX1" s="32"/>
      <c r="KY1" s="32"/>
      <c r="KZ1" s="32"/>
      <c r="LA1" s="32"/>
      <c r="LB1" s="32"/>
      <c r="LC1" s="32"/>
      <c r="LD1" s="32"/>
      <c r="LE1" s="32"/>
      <c r="LF1" s="32"/>
      <c r="LG1" s="32"/>
      <c r="LH1" s="32"/>
      <c r="LI1" s="32"/>
      <c r="LJ1" s="32"/>
      <c r="LK1" s="32"/>
      <c r="LL1" s="32"/>
      <c r="LM1" s="32"/>
      <c r="LN1" s="32"/>
      <c r="LO1" s="32"/>
      <c r="LP1" s="32"/>
      <c r="LQ1" s="32"/>
      <c r="LR1" s="32"/>
      <c r="LS1" s="32"/>
      <c r="LT1" s="32"/>
      <c r="LU1" s="32"/>
      <c r="LV1" s="32"/>
      <c r="LW1" s="32"/>
      <c r="LX1" s="32"/>
      <c r="LY1" s="32"/>
      <c r="LZ1" s="32"/>
      <c r="MA1" s="32"/>
      <c r="MB1" s="32"/>
      <c r="MC1" s="32"/>
      <c r="MD1" s="32"/>
      <c r="ME1" s="32"/>
      <c r="MF1" s="32"/>
      <c r="MG1" s="32"/>
      <c r="MH1" s="32"/>
      <c r="MI1" s="32"/>
      <c r="MJ1" s="32"/>
      <c r="MK1" s="32"/>
      <c r="ML1" s="32"/>
      <c r="MM1" s="32"/>
      <c r="MN1" s="32"/>
      <c r="MO1" s="32"/>
      <c r="MP1" s="32"/>
      <c r="MQ1" s="32"/>
      <c r="MR1" s="32"/>
      <c r="MS1" s="32"/>
      <c r="MT1" s="32"/>
      <c r="MU1" s="32"/>
      <c r="MV1" s="32"/>
      <c r="MW1" s="32"/>
      <c r="MX1" s="32"/>
      <c r="MY1" s="32"/>
      <c r="MZ1" s="32"/>
      <c r="NA1" s="32"/>
      <c r="NB1" s="32"/>
      <c r="NC1" s="32"/>
      <c r="ND1" s="32"/>
      <c r="NE1" s="32"/>
      <c r="NF1" s="32"/>
      <c r="NG1" s="32"/>
      <c r="NH1" s="32"/>
      <c r="NI1" s="32"/>
      <c r="NJ1" s="32"/>
      <c r="NK1" s="32"/>
      <c r="NL1" s="32"/>
      <c r="NM1" s="32"/>
      <c r="NN1" s="32"/>
      <c r="NO1" s="32"/>
      <c r="NP1" s="32"/>
      <c r="NQ1" s="32"/>
      <c r="NR1" s="32"/>
      <c r="NS1" s="32"/>
      <c r="NT1" s="32"/>
      <c r="NU1" s="32"/>
      <c r="NV1" s="32"/>
      <c r="NW1" s="32"/>
      <c r="NX1" s="32"/>
      <c r="NY1" s="32"/>
      <c r="NZ1" s="32"/>
      <c r="OA1" s="32"/>
      <c r="OB1" s="32"/>
      <c r="OC1" s="32"/>
      <c r="OD1" s="32"/>
      <c r="OE1" s="32"/>
      <c r="OF1" s="32"/>
      <c r="OG1" s="32"/>
      <c r="OH1" s="32"/>
      <c r="OI1" s="32"/>
      <c r="OJ1" s="32"/>
      <c r="OK1" s="32"/>
      <c r="OL1" s="32"/>
      <c r="OM1" s="32"/>
      <c r="ON1" s="32"/>
      <c r="OO1" s="32"/>
      <c r="OP1" s="32"/>
      <c r="OQ1" s="32"/>
      <c r="OR1" s="32"/>
      <c r="OS1" s="32"/>
      <c r="OT1" s="32"/>
      <c r="OU1" s="32"/>
      <c r="OV1" s="32"/>
      <c r="OW1" s="32"/>
      <c r="OX1" s="32"/>
      <c r="OY1" s="32"/>
      <c r="OZ1" s="32"/>
      <c r="PA1" s="32"/>
      <c r="PB1" s="32"/>
      <c r="PC1" s="32"/>
      <c r="PD1" s="32"/>
      <c r="PE1" s="32"/>
      <c r="PF1" s="32"/>
      <c r="PG1" s="32"/>
      <c r="PH1" s="32"/>
      <c r="PI1" s="32"/>
      <c r="PJ1" s="32"/>
      <c r="PK1" s="32"/>
      <c r="PL1" s="32"/>
      <c r="PM1" s="32"/>
      <c r="PN1" s="32"/>
      <c r="PO1" s="32"/>
      <c r="PP1" s="32"/>
      <c r="PQ1" s="32"/>
      <c r="PR1" s="32"/>
      <c r="PS1" s="32"/>
      <c r="PT1" s="32"/>
    </row>
    <row r="2" spans="1:436" s="187" customFormat="1" ht="17.7" customHeight="1" x14ac:dyDescent="0.25">
      <c r="A2" s="186"/>
      <c r="B2" s="2766"/>
      <c r="C2" s="2766"/>
      <c r="D2" s="2766"/>
      <c r="E2" s="2766"/>
      <c r="F2" s="2766"/>
      <c r="G2" s="2766"/>
      <c r="H2" s="2766"/>
      <c r="I2" s="2766"/>
      <c r="J2" s="2766"/>
      <c r="K2" s="2766"/>
      <c r="L2" s="2766"/>
      <c r="M2" s="134"/>
      <c r="N2" s="134"/>
      <c r="O2" s="359"/>
      <c r="P2" s="1595" t="s">
        <v>1774</v>
      </c>
      <c r="Q2" s="1595"/>
      <c r="R2" s="1595"/>
      <c r="S2" s="134"/>
      <c r="T2" s="134"/>
      <c r="U2" s="134"/>
      <c r="V2" s="134"/>
      <c r="W2" s="134"/>
      <c r="X2" s="134"/>
      <c r="Y2" s="185"/>
      <c r="Z2" s="185"/>
      <c r="AA2" s="185"/>
      <c r="AB2" s="185"/>
      <c r="AC2" s="185"/>
      <c r="AD2" s="186"/>
      <c r="AE2" s="186"/>
      <c r="AF2" s="186"/>
      <c r="AG2" s="186"/>
      <c r="AH2" s="186"/>
      <c r="AI2" s="186"/>
      <c r="AJ2" s="186"/>
      <c r="AK2" s="186"/>
      <c r="AL2" s="186"/>
      <c r="AM2" s="186"/>
      <c r="AN2" s="186"/>
      <c r="AO2" s="186"/>
      <c r="AP2" s="186"/>
      <c r="AQ2" s="186"/>
      <c r="AR2" s="186"/>
      <c r="AS2" s="186"/>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32"/>
      <c r="KJ2" s="32"/>
      <c r="KK2" s="32"/>
      <c r="KL2" s="32"/>
      <c r="KM2" s="32"/>
      <c r="KN2" s="32"/>
      <c r="KO2" s="32"/>
      <c r="KP2" s="32"/>
      <c r="KQ2" s="32"/>
      <c r="KR2" s="32"/>
      <c r="KS2" s="32"/>
      <c r="KT2" s="32"/>
      <c r="KU2" s="32"/>
      <c r="KV2" s="32"/>
      <c r="KW2" s="32"/>
      <c r="KX2" s="32"/>
      <c r="KY2" s="32"/>
      <c r="KZ2" s="32"/>
      <c r="LA2" s="32"/>
      <c r="LB2" s="32"/>
      <c r="LC2" s="32"/>
      <c r="LD2" s="32"/>
      <c r="LE2" s="32"/>
      <c r="LF2" s="32"/>
      <c r="LG2" s="32"/>
      <c r="LH2" s="32"/>
      <c r="LI2" s="32"/>
      <c r="LJ2" s="32"/>
      <c r="LK2" s="32"/>
      <c r="LL2" s="32"/>
      <c r="LM2" s="32"/>
      <c r="LN2" s="32"/>
      <c r="LO2" s="32"/>
      <c r="LP2" s="32"/>
      <c r="LQ2" s="32"/>
      <c r="LR2" s="32"/>
      <c r="LS2" s="32"/>
      <c r="LT2" s="32"/>
      <c r="LU2" s="32"/>
      <c r="LV2" s="32"/>
      <c r="LW2" s="32"/>
      <c r="LX2" s="32"/>
      <c r="LY2" s="32"/>
      <c r="LZ2" s="32"/>
      <c r="MA2" s="32"/>
      <c r="MB2" s="32"/>
      <c r="MC2" s="32"/>
      <c r="MD2" s="32"/>
      <c r="ME2" s="32"/>
      <c r="MF2" s="32"/>
      <c r="MG2" s="32"/>
      <c r="MH2" s="32"/>
      <c r="MI2" s="32"/>
      <c r="MJ2" s="32"/>
      <c r="MK2" s="32"/>
      <c r="ML2" s="32"/>
      <c r="MM2" s="32"/>
      <c r="MN2" s="32"/>
      <c r="MO2" s="32"/>
      <c r="MP2" s="32"/>
      <c r="MQ2" s="32"/>
      <c r="MR2" s="32"/>
      <c r="MS2" s="32"/>
      <c r="MT2" s="32"/>
      <c r="MU2" s="32"/>
      <c r="MV2" s="32"/>
      <c r="MW2" s="32"/>
      <c r="MX2" s="32"/>
      <c r="MY2" s="32"/>
      <c r="MZ2" s="32"/>
      <c r="NA2" s="32"/>
      <c r="NB2" s="32"/>
      <c r="NC2" s="32"/>
      <c r="ND2" s="32"/>
      <c r="NE2" s="32"/>
      <c r="NF2" s="32"/>
      <c r="NG2" s="32"/>
      <c r="NH2" s="32"/>
      <c r="NI2" s="32"/>
      <c r="NJ2" s="32"/>
      <c r="NK2" s="32"/>
      <c r="NL2" s="32"/>
      <c r="NM2" s="32"/>
      <c r="NN2" s="32"/>
      <c r="NO2" s="32"/>
      <c r="NP2" s="32"/>
      <c r="NQ2" s="32"/>
      <c r="NR2" s="32"/>
      <c r="NS2" s="32"/>
      <c r="NT2" s="32"/>
      <c r="NU2" s="32"/>
      <c r="NV2" s="32"/>
      <c r="NW2" s="32"/>
      <c r="NX2" s="32"/>
      <c r="NY2" s="32"/>
      <c r="NZ2" s="32"/>
      <c r="OA2" s="32"/>
      <c r="OB2" s="32"/>
      <c r="OC2" s="32"/>
      <c r="OD2" s="32"/>
      <c r="OE2" s="32"/>
      <c r="OF2" s="32"/>
      <c r="OG2" s="32"/>
      <c r="OH2" s="32"/>
      <c r="OI2" s="32"/>
      <c r="OJ2" s="32"/>
      <c r="OK2" s="32"/>
      <c r="OL2" s="32"/>
      <c r="OM2" s="32"/>
      <c r="ON2" s="32"/>
      <c r="OO2" s="32"/>
      <c r="OP2" s="32"/>
      <c r="OQ2" s="32"/>
      <c r="OR2" s="32"/>
      <c r="OS2" s="32"/>
      <c r="OT2" s="32"/>
      <c r="OU2" s="32"/>
      <c r="OV2" s="32"/>
      <c r="OW2" s="32"/>
      <c r="OX2" s="32"/>
      <c r="OY2" s="32"/>
      <c r="OZ2" s="32"/>
      <c r="PA2" s="32"/>
      <c r="PB2" s="32"/>
      <c r="PC2" s="32"/>
      <c r="PD2" s="32"/>
      <c r="PE2" s="32"/>
      <c r="PF2" s="32"/>
      <c r="PG2" s="32"/>
      <c r="PH2" s="32"/>
      <c r="PI2" s="32"/>
      <c r="PJ2" s="32"/>
      <c r="PK2" s="32"/>
      <c r="PL2" s="32"/>
      <c r="PM2" s="32"/>
      <c r="PN2" s="32"/>
      <c r="PO2" s="32"/>
      <c r="PP2" s="32"/>
      <c r="PQ2" s="32"/>
      <c r="PR2" s="32"/>
      <c r="PS2" s="32"/>
      <c r="PT2" s="32"/>
    </row>
    <row r="3" spans="1:436" s="32" customFormat="1" ht="17.7" customHeight="1" x14ac:dyDescent="0.25">
      <c r="B3" s="35"/>
      <c r="Q3" s="220" t="str">
        <f>HLOOKUP(LANGUAGE!$B$2,LANGUAGE!$C$14:$G$1500,2)</f>
        <v>Attention!!!        Only yellow fields has to be filled</v>
      </c>
      <c r="T3" s="42"/>
      <c r="U3" s="42"/>
      <c r="V3" s="42"/>
      <c r="W3" s="42"/>
      <c r="X3" s="42"/>
      <c r="Y3" s="42"/>
      <c r="AB3" s="42"/>
      <c r="AC3" s="42"/>
      <c r="AD3" s="42"/>
      <c r="AE3" s="42"/>
      <c r="AF3" s="42"/>
      <c r="AG3" s="43"/>
      <c r="AH3" s="44"/>
      <c r="AI3" s="44"/>
      <c r="AK3" s="40"/>
      <c r="AL3" s="40"/>
    </row>
    <row r="4" spans="1:436" s="32" customFormat="1" ht="17.7" customHeight="1" thickBot="1" x14ac:dyDescent="0.3">
      <c r="B4" s="35"/>
      <c r="M4" s="220"/>
      <c r="Q4" s="41"/>
      <c r="T4" s="42"/>
      <c r="U4" s="42"/>
      <c r="V4" s="42"/>
      <c r="W4" s="42"/>
      <c r="X4" s="42"/>
      <c r="Y4" s="42"/>
      <c r="Z4" s="42"/>
      <c r="AA4" s="42"/>
      <c r="AB4" s="42"/>
      <c r="AC4" s="42"/>
      <c r="AD4" s="42"/>
      <c r="AE4" s="42"/>
      <c r="AF4" s="42"/>
      <c r="AG4" s="43"/>
      <c r="AH4" s="44"/>
      <c r="AI4" s="44"/>
      <c r="AK4" s="40"/>
      <c r="AL4" s="40"/>
    </row>
    <row r="5" spans="1:436" s="32" customFormat="1" ht="17.7" customHeight="1" x14ac:dyDescent="0.25">
      <c r="B5" s="1050" t="str">
        <f>HLOOKUP(LANGUAGE!$B$2,LANGUAGE!$C$14:$G$1500,12)</f>
        <v>Project Data</v>
      </c>
      <c r="C5" s="1051"/>
      <c r="D5" s="1051"/>
      <c r="E5" s="1051"/>
      <c r="F5" s="1051"/>
      <c r="G5" s="1051"/>
      <c r="H5" s="1051"/>
      <c r="I5" s="1051"/>
      <c r="J5" s="1051"/>
      <c r="K5" s="1051"/>
      <c r="L5" s="1051"/>
      <c r="M5" s="1052"/>
      <c r="N5" s="8"/>
      <c r="O5" s="1050" t="str">
        <f>HLOOKUP(LANGUAGE!$B$2,LANGUAGE!$C$14:$G$1500,27)</f>
        <v>Supplier Data</v>
      </c>
      <c r="P5" s="1051"/>
      <c r="Q5" s="1051"/>
      <c r="R5" s="1051"/>
      <c r="S5" s="1051"/>
      <c r="T5" s="1051"/>
      <c r="U5" s="1051"/>
      <c r="V5" s="1051"/>
      <c r="W5" s="1051"/>
      <c r="X5" s="1051"/>
      <c r="Y5" s="1051"/>
      <c r="Z5" s="1052"/>
      <c r="AA5" s="42"/>
      <c r="AB5" s="1266" t="str">
        <f>HLOOKUP(LANGUAGE!$B$2,LANGUAGE!$C$14:$G$1500,21)</f>
        <v>Date</v>
      </c>
      <c r="AC5" s="1267"/>
      <c r="AD5" s="1267"/>
      <c r="AE5" s="1267"/>
      <c r="AF5" s="1268"/>
      <c r="AG5" s="43"/>
      <c r="AH5" s="44"/>
      <c r="AI5" s="44"/>
      <c r="AK5" s="40"/>
      <c r="AL5" s="40"/>
    </row>
    <row r="6" spans="1:436" s="32" customFormat="1" ht="17.7" customHeight="1" x14ac:dyDescent="0.25">
      <c r="B6" s="1565" t="str">
        <f>HLOOKUP(LANGUAGE!$B$2,LANGUAGE!$C$14:$G$1500,13)</f>
        <v>Project</v>
      </c>
      <c r="C6" s="1566"/>
      <c r="D6" s="1566"/>
      <c r="E6" s="1566"/>
      <c r="F6" s="1086" t="str">
        <f>IF(Basic_Data!F6&lt;&gt;"",CONCATENATE(Basic_Data!F6," / ",Basic_Data!F7,""),"")</f>
        <v/>
      </c>
      <c r="G6" s="1086"/>
      <c r="H6" s="1086"/>
      <c r="I6" s="1086"/>
      <c r="J6" s="1086"/>
      <c r="K6" s="1086"/>
      <c r="L6" s="1086"/>
      <c r="M6" s="1568"/>
      <c r="N6" s="8"/>
      <c r="O6" s="1565" t="str">
        <f>HLOOKUP(LANGUAGE!$B$2,LANGUAGE!$C$14:$G$1500,28)</f>
        <v>Supplier</v>
      </c>
      <c r="P6" s="1566"/>
      <c r="Q6" s="1566"/>
      <c r="R6" s="1566"/>
      <c r="S6" s="1086" t="str">
        <f>IF(Basic_Data!R6&lt;&gt;"",CONCATENATE(Basic_Data!R6," (",Basic_Data!R7,")"),"")</f>
        <v/>
      </c>
      <c r="T6" s="1086"/>
      <c r="U6" s="1086"/>
      <c r="V6" s="1086"/>
      <c r="W6" s="1086"/>
      <c r="X6" s="1086"/>
      <c r="Y6" s="1086"/>
      <c r="Z6" s="1568"/>
      <c r="AA6" s="42"/>
      <c r="AB6" s="1273"/>
      <c r="AC6" s="1274"/>
      <c r="AD6" s="1274"/>
      <c r="AE6" s="1274"/>
      <c r="AF6" s="1275"/>
      <c r="AG6" s="43"/>
      <c r="AH6" s="44"/>
      <c r="AI6" s="44"/>
      <c r="AK6" s="40"/>
      <c r="AL6" s="40"/>
    </row>
    <row r="7" spans="1:436" s="32" customFormat="1" ht="17.7" customHeight="1" thickBot="1" x14ac:dyDescent="0.3">
      <c r="B7" s="1569" t="str">
        <f>HLOOKUP(LANGUAGE!$B$2,LANGUAGE!$C$14:$G$1500,14)</f>
        <v>Part Name(s)</v>
      </c>
      <c r="C7" s="1570"/>
      <c r="D7" s="1570"/>
      <c r="E7" s="1571"/>
      <c r="F7" s="1083" t="str">
        <f>IF(Basic_Data!F8&lt;&gt;"",Basic_Data!F8,"")</f>
        <v/>
      </c>
      <c r="G7" s="1083"/>
      <c r="H7" s="1083"/>
      <c r="I7" s="1083"/>
      <c r="J7" s="1083"/>
      <c r="K7" s="1083"/>
      <c r="L7" s="1083"/>
      <c r="M7" s="1567"/>
      <c r="N7" s="8"/>
      <c r="O7" s="1563" t="str">
        <f>HLOOKUP(LANGUAGE!$B$2,LANGUAGE!$C$14:$G$1500,29)</f>
        <v>Address</v>
      </c>
      <c r="P7" s="1564"/>
      <c r="Q7" s="1564"/>
      <c r="R7" s="1564"/>
      <c r="S7" s="1083" t="str">
        <f>IF(Basic_Data!R8&lt;&gt;"",CONCATENATE(Basic_Data!R8,", ",Basic_Data!R9,", ",Basic_Data!R10,""),"")</f>
        <v/>
      </c>
      <c r="T7" s="1083"/>
      <c r="U7" s="1083"/>
      <c r="V7" s="1083"/>
      <c r="W7" s="1083"/>
      <c r="X7" s="1083"/>
      <c r="Y7" s="1083"/>
      <c r="Z7" s="1567"/>
      <c r="AA7" s="42"/>
      <c r="AB7" s="1276"/>
      <c r="AC7" s="1277"/>
      <c r="AD7" s="1277"/>
      <c r="AE7" s="1277"/>
      <c r="AF7" s="1278"/>
      <c r="AG7" s="43"/>
      <c r="AH7" s="44"/>
      <c r="AI7" s="44"/>
      <c r="AK7" s="40"/>
      <c r="AL7" s="40"/>
    </row>
    <row r="8" spans="1:436" s="32" customFormat="1" ht="20.2" customHeight="1" thickBot="1" x14ac:dyDescent="0.3">
      <c r="B8" s="663"/>
      <c r="C8" s="663"/>
      <c r="D8" s="663"/>
      <c r="E8" s="663"/>
      <c r="F8" s="663"/>
      <c r="G8" s="663"/>
      <c r="H8" s="663"/>
      <c r="I8" s="663"/>
      <c r="J8" s="663"/>
      <c r="K8" s="663"/>
      <c r="L8" s="663"/>
      <c r="M8" s="663"/>
      <c r="N8" s="8"/>
      <c r="O8" s="663"/>
      <c r="P8" s="663"/>
      <c r="Q8" s="663"/>
      <c r="R8" s="663"/>
      <c r="S8" s="663"/>
      <c r="T8" s="663"/>
      <c r="U8" s="663"/>
      <c r="V8" s="663"/>
      <c r="W8" s="663"/>
      <c r="X8" s="663"/>
      <c r="Y8" s="663"/>
      <c r="Z8" s="663"/>
      <c r="AA8" s="42"/>
      <c r="AB8" s="42"/>
      <c r="AC8" s="42"/>
      <c r="AD8" s="42"/>
      <c r="AE8" s="42"/>
      <c r="AF8" s="42"/>
      <c r="AG8" s="43"/>
      <c r="AH8" s="44"/>
      <c r="AI8" s="44"/>
      <c r="AK8" s="40"/>
      <c r="AL8" s="40"/>
    </row>
    <row r="9" spans="1:436" s="32" customFormat="1" ht="20.2" customHeight="1" thickBot="1" x14ac:dyDescent="0.3">
      <c r="B9" s="284" t="str">
        <f>HLOOKUP(LANGUAGE!$B$2,LANGUAGE!$C$14:$G$3008,1483)</f>
        <v>When did the Mixed parts audit takes place?</v>
      </c>
      <c r="C9" s="284"/>
      <c r="D9" s="284"/>
      <c r="E9" s="284"/>
      <c r="F9" s="284"/>
      <c r="G9" s="284"/>
      <c r="H9" s="284"/>
      <c r="I9" s="2762" t="str">
        <f>HLOOKUP(LANGUAGE!$B$2,LANGUAGE!$C$14:$G$1500,335)</f>
        <v>SQG 1</v>
      </c>
      <c r="J9" s="2763"/>
      <c r="K9" s="2764" t="str">
        <f>HLOOKUP(LANGUAGE!$B$2,LANGUAGE!$C$14:$G$1500,336)</f>
        <v>SQG 2</v>
      </c>
      <c r="L9" s="2763"/>
      <c r="M9" s="2764" t="str">
        <f>HLOOKUP(LANGUAGE!$B$2,LANGUAGE!$C$14:$G$1500,337)</f>
        <v>SQG 3</v>
      </c>
      <c r="N9" s="2765"/>
      <c r="O9" s="284"/>
      <c r="P9" s="284"/>
      <c r="Q9" s="284"/>
      <c r="R9" s="284"/>
      <c r="S9" s="284"/>
      <c r="T9" s="284"/>
      <c r="U9" s="284"/>
      <c r="V9" s="284"/>
      <c r="W9" s="284"/>
      <c r="X9" s="284"/>
      <c r="Y9" s="284"/>
      <c r="Z9" s="663"/>
      <c r="AA9" s="42"/>
      <c r="AB9" s="42"/>
      <c r="AC9" s="42"/>
      <c r="AD9" s="42"/>
      <c r="AE9" s="42"/>
      <c r="AF9" s="42"/>
      <c r="AG9" s="43"/>
      <c r="AH9" s="44"/>
      <c r="AI9" s="44"/>
      <c r="AK9" s="40"/>
      <c r="AL9" s="40"/>
    </row>
    <row r="10" spans="1:436" s="32" customFormat="1" ht="20.2" customHeight="1" thickBot="1" x14ac:dyDescent="0.3">
      <c r="B10" s="35"/>
      <c r="M10" s="220"/>
      <c r="Q10" s="41"/>
      <c r="T10" s="42"/>
      <c r="U10" s="42"/>
      <c r="V10" s="42"/>
      <c r="W10" s="42"/>
      <c r="X10" s="42"/>
      <c r="Y10" s="42"/>
      <c r="Z10" s="42"/>
      <c r="AA10" s="42"/>
      <c r="AB10" s="42"/>
      <c r="AC10" s="42"/>
      <c r="AD10" s="42"/>
      <c r="AE10" s="42"/>
      <c r="AF10" s="42"/>
      <c r="AG10" s="43"/>
      <c r="AH10" s="44"/>
      <c r="AI10" s="44"/>
      <c r="AK10" s="40"/>
      <c r="AL10" s="40"/>
    </row>
    <row r="11" spans="1:436" s="187" customFormat="1" ht="17.25" customHeight="1" x14ac:dyDescent="0.25">
      <c r="A11" s="285"/>
      <c r="B11" s="1554" t="str">
        <f>HLOOKUP(LANGUAGE!$B$2,LANGUAGE!$C$14:$G$1500,335)</f>
        <v>SQG 1</v>
      </c>
      <c r="C11" s="1555"/>
      <c r="D11" s="1555"/>
      <c r="E11" s="1555"/>
      <c r="F11" s="1555"/>
      <c r="G11" s="1555"/>
      <c r="H11" s="1555"/>
      <c r="I11" s="1555"/>
      <c r="J11" s="1555"/>
      <c r="K11" s="1555"/>
      <c r="L11" s="1555"/>
      <c r="M11" s="1556"/>
      <c r="N11" s="177"/>
      <c r="O11" s="1554" t="str">
        <f>HLOOKUP(LANGUAGE!$B$2,LANGUAGE!$C$14:$G$1500,336)</f>
        <v>SQG 2</v>
      </c>
      <c r="P11" s="1555"/>
      <c r="Q11" s="1555"/>
      <c r="R11" s="1555"/>
      <c r="S11" s="1555"/>
      <c r="T11" s="1555"/>
      <c r="U11" s="1555"/>
      <c r="V11" s="1555"/>
      <c r="W11" s="1555"/>
      <c r="X11" s="1555"/>
      <c r="Y11" s="1555"/>
      <c r="Z11" s="1556"/>
      <c r="AA11" s="658"/>
      <c r="AB11" s="1554" t="str">
        <f>HLOOKUP(LANGUAGE!$B$2,LANGUAGE!$C$14:$G$1500,337)</f>
        <v>SQG 3</v>
      </c>
      <c r="AC11" s="1555"/>
      <c r="AD11" s="1555"/>
      <c r="AE11" s="1555"/>
      <c r="AF11" s="1555"/>
      <c r="AG11" s="1555"/>
      <c r="AH11" s="1555"/>
      <c r="AI11" s="1555"/>
      <c r="AJ11" s="1555"/>
      <c r="AK11" s="1555"/>
      <c r="AL11" s="1555"/>
      <c r="AM11" s="1556"/>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36"/>
      <c r="CL11" s="36"/>
      <c r="CM11" s="36"/>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c r="LJ11" s="32"/>
      <c r="LK11" s="32"/>
      <c r="LL11" s="32"/>
      <c r="LM11" s="32"/>
      <c r="LN11" s="32"/>
      <c r="LO11" s="32"/>
      <c r="LP11" s="32"/>
      <c r="LQ11" s="32"/>
      <c r="LR11" s="32"/>
      <c r="LS11" s="32"/>
      <c r="LT11" s="32"/>
      <c r="LU11" s="32"/>
      <c r="LV11" s="32"/>
      <c r="LW11" s="32"/>
      <c r="LX11" s="32"/>
      <c r="LY11" s="32"/>
      <c r="LZ11" s="32"/>
      <c r="MA11" s="32"/>
      <c r="MB11" s="32"/>
      <c r="MC11" s="32"/>
      <c r="MD11" s="32"/>
      <c r="ME11" s="32"/>
      <c r="MF11" s="32"/>
      <c r="MG11" s="32"/>
      <c r="MH11" s="32"/>
      <c r="MI11" s="32"/>
      <c r="MJ11" s="32"/>
      <c r="MK11" s="32"/>
      <c r="ML11" s="32"/>
      <c r="MM11" s="32"/>
      <c r="MN11" s="32"/>
      <c r="MO11" s="32"/>
      <c r="MP11" s="32"/>
      <c r="MQ11" s="32"/>
      <c r="MR11" s="32"/>
      <c r="MS11" s="32"/>
      <c r="MT11" s="32"/>
      <c r="MU11" s="32"/>
      <c r="MV11" s="32"/>
      <c r="MW11" s="32"/>
      <c r="MX11" s="32"/>
      <c r="MY11" s="32"/>
      <c r="MZ11" s="32"/>
      <c r="NA11" s="32"/>
      <c r="NB11" s="32"/>
      <c r="NC11" s="32"/>
      <c r="ND11" s="32"/>
      <c r="NE11" s="32"/>
      <c r="NF11" s="32"/>
      <c r="NG11" s="32"/>
      <c r="NH11" s="32"/>
      <c r="NI11" s="32"/>
      <c r="NJ11" s="32"/>
      <c r="NK11" s="32"/>
      <c r="NL11" s="32"/>
      <c r="NM11" s="32"/>
      <c r="NN11" s="32"/>
      <c r="NO11" s="32"/>
      <c r="NP11" s="32"/>
      <c r="NQ11" s="32"/>
      <c r="NR11" s="32"/>
      <c r="NS11" s="32"/>
      <c r="NT11" s="32"/>
      <c r="NU11" s="32"/>
      <c r="NV11" s="32"/>
      <c r="NW11" s="32"/>
      <c r="NX11" s="32"/>
      <c r="NY11" s="32"/>
      <c r="NZ11" s="32"/>
      <c r="OA11" s="32"/>
      <c r="OB11" s="32"/>
      <c r="OC11" s="32"/>
      <c r="OD11" s="32"/>
      <c r="OE11" s="32"/>
      <c r="OF11" s="32"/>
      <c r="OG11" s="32"/>
      <c r="OH11" s="32"/>
      <c r="OI11" s="32"/>
      <c r="OJ11" s="32"/>
      <c r="OK11" s="32"/>
      <c r="OL11" s="32"/>
      <c r="OM11" s="32"/>
      <c r="ON11" s="32"/>
      <c r="OO11" s="32"/>
      <c r="OP11" s="32"/>
      <c r="OQ11" s="32"/>
      <c r="OR11" s="32"/>
      <c r="OS11" s="32"/>
      <c r="OT11" s="32"/>
      <c r="OU11" s="32"/>
      <c r="OV11" s="32"/>
      <c r="OW11" s="32"/>
      <c r="OX11" s="32"/>
      <c r="OY11" s="32"/>
      <c r="OZ11" s="32"/>
      <c r="PA11" s="32"/>
      <c r="PB11" s="32"/>
      <c r="PC11" s="32"/>
      <c r="PD11" s="32"/>
      <c r="PE11" s="32"/>
      <c r="PF11" s="32"/>
      <c r="PG11" s="32"/>
      <c r="PH11" s="32"/>
      <c r="PI11" s="32"/>
      <c r="PJ11" s="32"/>
      <c r="PK11" s="32"/>
      <c r="PL11" s="32"/>
      <c r="PM11" s="32"/>
      <c r="PN11" s="32"/>
      <c r="PO11" s="32"/>
      <c r="PP11" s="32"/>
      <c r="PQ11" s="32"/>
      <c r="PR11" s="32"/>
      <c r="PS11" s="32"/>
      <c r="PT11" s="32"/>
    </row>
    <row r="12" spans="1:436" s="187" customFormat="1" ht="17.25" customHeight="1" x14ac:dyDescent="0.25">
      <c r="A12" s="285"/>
      <c r="B12" s="1150" t="str">
        <f>HLOOKUP(LANGUAGE!$B$2,LANGUAGE!$C$14:$G$1500,41)</f>
        <v>Brose Part No.</v>
      </c>
      <c r="C12" s="1151"/>
      <c r="D12" s="1151"/>
      <c r="E12" s="1152"/>
      <c r="F12" s="1156" t="str">
        <f>HLOOKUP(LANGUAGE!$B$2,LANGUAGE!$C$14:$G$1500,42)</f>
        <v>Index</v>
      </c>
      <c r="G12" s="1152"/>
      <c r="H12" s="1158" t="str">
        <f>HLOOKUP(LANGUAGE!$B$2,LANGUAGE!$C$14:$G$1500,43)</f>
        <v>Brose Drawing No.</v>
      </c>
      <c r="I12" s="1159"/>
      <c r="J12" s="1159"/>
      <c r="K12" s="1160"/>
      <c r="L12" s="1164" t="str">
        <f>HLOOKUP(LANGUAGE!$B$2,LANGUAGE!$C$14:$G$1500,42)</f>
        <v>Index</v>
      </c>
      <c r="M12" s="1165"/>
      <c r="N12" s="177"/>
      <c r="O12" s="1150" t="str">
        <f>HLOOKUP(LANGUAGE!$B$2,LANGUAGE!$C$14:$G$1500,41)</f>
        <v>Brose Part No.</v>
      </c>
      <c r="P12" s="1151"/>
      <c r="Q12" s="1151"/>
      <c r="R12" s="1152"/>
      <c r="S12" s="1156" t="str">
        <f>HLOOKUP(LANGUAGE!$B$2,LANGUAGE!$C$14:$G$1500,42)</f>
        <v>Index</v>
      </c>
      <c r="T12" s="1152"/>
      <c r="U12" s="1158" t="str">
        <f>HLOOKUP(LANGUAGE!$B$2,LANGUAGE!$C$14:$G$1500,43)</f>
        <v>Brose Drawing No.</v>
      </c>
      <c r="V12" s="1159"/>
      <c r="W12" s="1159"/>
      <c r="X12" s="1160"/>
      <c r="Y12" s="1164" t="str">
        <f>HLOOKUP(LANGUAGE!$B$2,LANGUAGE!$C$14:$G$1500,42)</f>
        <v>Index</v>
      </c>
      <c r="Z12" s="1165"/>
      <c r="AA12" s="658"/>
      <c r="AB12" s="1150" t="str">
        <f>HLOOKUP(LANGUAGE!$B$2,LANGUAGE!$C$14:$G$1500,41)</f>
        <v>Brose Part No.</v>
      </c>
      <c r="AC12" s="1151"/>
      <c r="AD12" s="1151"/>
      <c r="AE12" s="1152"/>
      <c r="AF12" s="1156" t="str">
        <f>HLOOKUP(LANGUAGE!$B$2,LANGUAGE!$C$14:$G$1500,42)</f>
        <v>Index</v>
      </c>
      <c r="AG12" s="1152"/>
      <c r="AH12" s="1158" t="str">
        <f>HLOOKUP(LANGUAGE!$B$2,LANGUAGE!$C$14:$G$1500,43)</f>
        <v>Brose Drawing No.</v>
      </c>
      <c r="AI12" s="1159"/>
      <c r="AJ12" s="1159"/>
      <c r="AK12" s="1160"/>
      <c r="AL12" s="1164" t="str">
        <f>HLOOKUP(LANGUAGE!$B$2,LANGUAGE!$C$14:$G$1500,42)</f>
        <v>Index</v>
      </c>
      <c r="AM12" s="1165"/>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36"/>
      <c r="CL12" s="36"/>
      <c r="CM12" s="36"/>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c r="LJ12" s="32"/>
      <c r="LK12" s="32"/>
      <c r="LL12" s="32"/>
      <c r="LM12" s="32"/>
      <c r="LN12" s="32"/>
      <c r="LO12" s="32"/>
      <c r="LP12" s="32"/>
      <c r="LQ12" s="32"/>
      <c r="LR12" s="32"/>
      <c r="LS12" s="32"/>
      <c r="LT12" s="32"/>
      <c r="LU12" s="32"/>
      <c r="LV12" s="32"/>
      <c r="LW12" s="32"/>
      <c r="LX12" s="32"/>
      <c r="LY12" s="32"/>
      <c r="LZ12" s="32"/>
      <c r="MA12" s="32"/>
      <c r="MB12" s="32"/>
      <c r="MC12" s="32"/>
      <c r="MD12" s="32"/>
      <c r="ME12" s="32"/>
      <c r="MF12" s="32"/>
      <c r="MG12" s="32"/>
      <c r="MH12" s="32"/>
      <c r="MI12" s="32"/>
      <c r="MJ12" s="32"/>
      <c r="MK12" s="32"/>
      <c r="ML12" s="32"/>
      <c r="MM12" s="32"/>
      <c r="MN12" s="32"/>
      <c r="MO12" s="32"/>
      <c r="MP12" s="32"/>
      <c r="MQ12" s="32"/>
      <c r="MR12" s="32"/>
      <c r="MS12" s="32"/>
      <c r="MT12" s="32"/>
      <c r="MU12" s="32"/>
      <c r="MV12" s="32"/>
      <c r="MW12" s="32"/>
      <c r="MX12" s="32"/>
      <c r="MY12" s="32"/>
      <c r="MZ12" s="32"/>
      <c r="NA12" s="32"/>
      <c r="NB12" s="32"/>
      <c r="NC12" s="32"/>
      <c r="ND12" s="32"/>
      <c r="NE12" s="32"/>
      <c r="NF12" s="32"/>
      <c r="NG12" s="32"/>
      <c r="NH12" s="32"/>
      <c r="NI12" s="32"/>
      <c r="NJ12" s="32"/>
      <c r="NK12" s="32"/>
      <c r="NL12" s="32"/>
      <c r="NM12" s="32"/>
      <c r="NN12" s="32"/>
      <c r="NO12" s="32"/>
      <c r="NP12" s="32"/>
      <c r="NQ12" s="32"/>
      <c r="NR12" s="32"/>
      <c r="NS12" s="32"/>
      <c r="NT12" s="32"/>
      <c r="NU12" s="32"/>
      <c r="NV12" s="32"/>
      <c r="NW12" s="32"/>
      <c r="NX12" s="32"/>
      <c r="NY12" s="32"/>
      <c r="NZ12" s="32"/>
      <c r="OA12" s="32"/>
      <c r="OB12" s="32"/>
      <c r="OC12" s="32"/>
      <c r="OD12" s="32"/>
      <c r="OE12" s="32"/>
      <c r="OF12" s="32"/>
      <c r="OG12" s="32"/>
      <c r="OH12" s="32"/>
      <c r="OI12" s="32"/>
      <c r="OJ12" s="32"/>
      <c r="OK12" s="32"/>
      <c r="OL12" s="32"/>
      <c r="OM12" s="32"/>
      <c r="ON12" s="32"/>
      <c r="OO12" s="32"/>
      <c r="OP12" s="32"/>
      <c r="OQ12" s="32"/>
      <c r="OR12" s="32"/>
      <c r="OS12" s="32"/>
      <c r="OT12" s="32"/>
      <c r="OU12" s="32"/>
      <c r="OV12" s="32"/>
      <c r="OW12" s="32"/>
      <c r="OX12" s="32"/>
      <c r="OY12" s="32"/>
      <c r="OZ12" s="32"/>
      <c r="PA12" s="32"/>
      <c r="PB12" s="32"/>
      <c r="PC12" s="32"/>
      <c r="PD12" s="32"/>
      <c r="PE12" s="32"/>
      <c r="PF12" s="32"/>
      <c r="PG12" s="32"/>
      <c r="PH12" s="32"/>
      <c r="PI12" s="32"/>
      <c r="PJ12" s="32"/>
      <c r="PK12" s="32"/>
      <c r="PL12" s="32"/>
      <c r="PM12" s="32"/>
      <c r="PN12" s="32"/>
      <c r="PO12" s="32"/>
      <c r="PP12" s="32"/>
      <c r="PQ12" s="32"/>
      <c r="PR12" s="32"/>
      <c r="PS12" s="32"/>
      <c r="PT12" s="32"/>
    </row>
    <row r="13" spans="1:436" s="187" customFormat="1" ht="17.25" customHeight="1" x14ac:dyDescent="0.25">
      <c r="A13" s="285"/>
      <c r="B13" s="1153"/>
      <c r="C13" s="1154"/>
      <c r="D13" s="1154"/>
      <c r="E13" s="1155"/>
      <c r="F13" s="1157"/>
      <c r="G13" s="1155"/>
      <c r="H13" s="1161"/>
      <c r="I13" s="1162"/>
      <c r="J13" s="1162"/>
      <c r="K13" s="1163"/>
      <c r="L13" s="1166"/>
      <c r="M13" s="1167"/>
      <c r="N13" s="177"/>
      <c r="O13" s="1153"/>
      <c r="P13" s="1154"/>
      <c r="Q13" s="1154"/>
      <c r="R13" s="1155"/>
      <c r="S13" s="1157"/>
      <c r="T13" s="1155"/>
      <c r="U13" s="1161"/>
      <c r="V13" s="1162"/>
      <c r="W13" s="1162"/>
      <c r="X13" s="1163"/>
      <c r="Y13" s="1166"/>
      <c r="Z13" s="1167"/>
      <c r="AA13" s="658"/>
      <c r="AB13" s="1153"/>
      <c r="AC13" s="1154"/>
      <c r="AD13" s="1154"/>
      <c r="AE13" s="1155"/>
      <c r="AF13" s="1157"/>
      <c r="AG13" s="1155"/>
      <c r="AH13" s="1161"/>
      <c r="AI13" s="1162"/>
      <c r="AJ13" s="1162"/>
      <c r="AK13" s="1163"/>
      <c r="AL13" s="1166"/>
      <c r="AM13" s="1167"/>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36"/>
      <c r="CL13" s="36"/>
      <c r="CM13" s="36"/>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c r="LD13" s="32"/>
      <c r="LE13" s="32"/>
      <c r="LF13" s="32"/>
      <c r="LG13" s="32"/>
      <c r="LH13" s="32"/>
      <c r="LI13" s="32"/>
      <c r="LJ13" s="32"/>
      <c r="LK13" s="32"/>
      <c r="LL13" s="32"/>
      <c r="LM13" s="32"/>
      <c r="LN13" s="32"/>
      <c r="LO13" s="32"/>
      <c r="LP13" s="32"/>
      <c r="LQ13" s="32"/>
      <c r="LR13" s="32"/>
      <c r="LS13" s="32"/>
      <c r="LT13" s="32"/>
      <c r="LU13" s="32"/>
      <c r="LV13" s="32"/>
      <c r="LW13" s="32"/>
      <c r="LX13" s="32"/>
      <c r="LY13" s="32"/>
      <c r="LZ13" s="32"/>
      <c r="MA13" s="32"/>
      <c r="MB13" s="32"/>
      <c r="MC13" s="32"/>
      <c r="MD13" s="32"/>
      <c r="ME13" s="32"/>
      <c r="MF13" s="32"/>
      <c r="MG13" s="32"/>
      <c r="MH13" s="32"/>
      <c r="MI13" s="32"/>
      <c r="MJ13" s="32"/>
      <c r="MK13" s="32"/>
      <c r="ML13" s="32"/>
      <c r="MM13" s="32"/>
      <c r="MN13" s="32"/>
      <c r="MO13" s="32"/>
      <c r="MP13" s="32"/>
      <c r="MQ13" s="32"/>
      <c r="MR13" s="32"/>
      <c r="MS13" s="32"/>
      <c r="MT13" s="32"/>
      <c r="MU13" s="32"/>
      <c r="MV13" s="32"/>
      <c r="MW13" s="32"/>
      <c r="MX13" s="32"/>
      <c r="MY13" s="32"/>
      <c r="MZ13" s="32"/>
      <c r="NA13" s="32"/>
      <c r="NB13" s="32"/>
      <c r="NC13" s="32"/>
      <c r="ND13" s="32"/>
      <c r="NE13" s="32"/>
      <c r="NF13" s="32"/>
      <c r="NG13" s="32"/>
      <c r="NH13" s="32"/>
      <c r="NI13" s="32"/>
      <c r="NJ13" s="32"/>
      <c r="NK13" s="32"/>
      <c r="NL13" s="32"/>
      <c r="NM13" s="32"/>
      <c r="NN13" s="32"/>
      <c r="NO13" s="32"/>
      <c r="NP13" s="32"/>
      <c r="NQ13" s="32"/>
      <c r="NR13" s="32"/>
      <c r="NS13" s="32"/>
      <c r="NT13" s="32"/>
      <c r="NU13" s="32"/>
      <c r="NV13" s="32"/>
      <c r="NW13" s="32"/>
      <c r="NX13" s="32"/>
      <c r="NY13" s="32"/>
      <c r="NZ13" s="32"/>
      <c r="OA13" s="32"/>
      <c r="OB13" s="32"/>
      <c r="OC13" s="32"/>
      <c r="OD13" s="32"/>
      <c r="OE13" s="32"/>
      <c r="OF13" s="32"/>
      <c r="OG13" s="32"/>
      <c r="OH13" s="32"/>
      <c r="OI13" s="32"/>
      <c r="OJ13" s="32"/>
      <c r="OK13" s="32"/>
      <c r="OL13" s="32"/>
      <c r="OM13" s="32"/>
      <c r="ON13" s="32"/>
      <c r="OO13" s="32"/>
      <c r="OP13" s="32"/>
      <c r="OQ13" s="32"/>
      <c r="OR13" s="32"/>
      <c r="OS13" s="32"/>
      <c r="OT13" s="32"/>
      <c r="OU13" s="32"/>
      <c r="OV13" s="32"/>
      <c r="OW13" s="32"/>
      <c r="OX13" s="32"/>
      <c r="OY13" s="32"/>
      <c r="OZ13" s="32"/>
      <c r="PA13" s="32"/>
      <c r="PB13" s="32"/>
      <c r="PC13" s="32"/>
      <c r="PD13" s="32"/>
      <c r="PE13" s="32"/>
      <c r="PF13" s="32"/>
      <c r="PG13" s="32"/>
      <c r="PH13" s="32"/>
      <c r="PI13" s="32"/>
      <c r="PJ13" s="32"/>
      <c r="PK13" s="32"/>
      <c r="PL13" s="32"/>
      <c r="PM13" s="32"/>
      <c r="PN13" s="32"/>
      <c r="PO13" s="32"/>
      <c r="PP13" s="32"/>
      <c r="PQ13" s="32"/>
      <c r="PR13" s="32"/>
      <c r="PS13" s="32"/>
      <c r="PT13" s="32"/>
    </row>
    <row r="14" spans="1:436" s="187" customFormat="1" ht="17.25" customHeight="1" x14ac:dyDescent="0.25">
      <c r="A14" s="285"/>
      <c r="B14" s="1169" t="str">
        <f>IF(SQG_1!B11="","",SQG_1!B11)</f>
        <v/>
      </c>
      <c r="C14" s="1170"/>
      <c r="D14" s="1170"/>
      <c r="E14" s="1170"/>
      <c r="F14" s="1170" t="str">
        <f>IF(SQG_1!F11="","",SQG_1!F11)</f>
        <v/>
      </c>
      <c r="G14" s="1170"/>
      <c r="H14" s="1170" t="str">
        <f>IF(SQG_1!I11="","",SQG_1!I11)</f>
        <v/>
      </c>
      <c r="I14" s="1170"/>
      <c r="J14" s="1170"/>
      <c r="K14" s="1170"/>
      <c r="L14" s="1170" t="str">
        <f>IF(SQG_1!M11="","",SQG_1!M11)</f>
        <v/>
      </c>
      <c r="M14" s="1171"/>
      <c r="N14" s="8"/>
      <c r="O14" s="2767" t="str">
        <f>IF(SQG_2!B11="","",SQG_2!B11)</f>
        <v/>
      </c>
      <c r="P14" s="2760"/>
      <c r="Q14" s="2760"/>
      <c r="R14" s="2760"/>
      <c r="S14" s="2760" t="str">
        <f>IF(SQG_2!F11="","",SQG_2!F11)</f>
        <v/>
      </c>
      <c r="T14" s="2760"/>
      <c r="U14" s="2760" t="str">
        <f>IF(SQG_2!I11="","",SQG_2!I11)</f>
        <v/>
      </c>
      <c r="V14" s="2760"/>
      <c r="W14" s="2760"/>
      <c r="X14" s="2760"/>
      <c r="Y14" s="2760" t="str">
        <f>IF(SQG_2!M11="","",SQG_2!M11)</f>
        <v/>
      </c>
      <c r="Z14" s="2761"/>
      <c r="AA14" s="8"/>
      <c r="AB14" s="2767" t="str">
        <f>IF(SQG_3!B11="","",SQG_3!B11)</f>
        <v/>
      </c>
      <c r="AC14" s="2760"/>
      <c r="AD14" s="2760"/>
      <c r="AE14" s="2760"/>
      <c r="AF14" s="2760" t="str">
        <f>IF(SQG_3!F11="","",SQG_3!F11)</f>
        <v/>
      </c>
      <c r="AG14" s="2760"/>
      <c r="AH14" s="2760" t="str">
        <f>IF(SQG_3!I11="","",SQG_3!I11)</f>
        <v/>
      </c>
      <c r="AI14" s="2760"/>
      <c r="AJ14" s="2760"/>
      <c r="AK14" s="2760"/>
      <c r="AL14" s="2760" t="str">
        <f>IF(SQG_3!M11="","",SQG_3!M11)</f>
        <v/>
      </c>
      <c r="AM14" s="2761"/>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36"/>
      <c r="CL14" s="36"/>
      <c r="CM14" s="36"/>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c r="IY14" s="32"/>
      <c r="IZ14" s="32"/>
      <c r="JA14" s="32"/>
      <c r="JB14" s="32"/>
      <c r="JC14" s="32"/>
      <c r="JD14" s="32"/>
      <c r="JE14" s="32"/>
      <c r="JF14" s="32"/>
      <c r="JG14" s="32"/>
      <c r="JH14" s="32"/>
      <c r="JI14" s="32"/>
      <c r="JJ14" s="32"/>
      <c r="JK14" s="32"/>
      <c r="JL14" s="32"/>
      <c r="JM14" s="32"/>
      <c r="JN14" s="32"/>
      <c r="JO14" s="32"/>
      <c r="JP14" s="32"/>
      <c r="JQ14" s="32"/>
      <c r="JR14" s="32"/>
      <c r="JS14" s="32"/>
      <c r="JT14" s="32"/>
      <c r="JU14" s="32"/>
      <c r="JV14" s="32"/>
      <c r="JW14" s="32"/>
      <c r="JX14" s="32"/>
      <c r="JY14" s="32"/>
      <c r="JZ14" s="32"/>
      <c r="KA14" s="32"/>
      <c r="KB14" s="32"/>
      <c r="KC14" s="32"/>
      <c r="KD14" s="32"/>
      <c r="KE14" s="32"/>
      <c r="KF14" s="32"/>
      <c r="KG14" s="32"/>
      <c r="KH14" s="32"/>
      <c r="KI14" s="32"/>
      <c r="KJ14" s="32"/>
      <c r="KK14" s="32"/>
      <c r="KL14" s="32"/>
      <c r="KM14" s="32"/>
      <c r="KN14" s="32"/>
      <c r="KO14" s="32"/>
      <c r="KP14" s="32"/>
      <c r="KQ14" s="32"/>
      <c r="KR14" s="32"/>
      <c r="KS14" s="32"/>
      <c r="KT14" s="32"/>
      <c r="KU14" s="32"/>
      <c r="KV14" s="32"/>
      <c r="KW14" s="32"/>
      <c r="KX14" s="32"/>
      <c r="KY14" s="32"/>
      <c r="KZ14" s="32"/>
      <c r="LA14" s="32"/>
      <c r="LB14" s="32"/>
      <c r="LC14" s="32"/>
      <c r="LD14" s="32"/>
      <c r="LE14" s="32"/>
      <c r="LF14" s="32"/>
      <c r="LG14" s="32"/>
      <c r="LH14" s="32"/>
      <c r="LI14" s="32"/>
      <c r="LJ14" s="32"/>
      <c r="LK14" s="32"/>
      <c r="LL14" s="32"/>
      <c r="LM14" s="32"/>
      <c r="LN14" s="32"/>
      <c r="LO14" s="32"/>
      <c r="LP14" s="32"/>
      <c r="LQ14" s="32"/>
      <c r="LR14" s="32"/>
      <c r="LS14" s="32"/>
      <c r="LT14" s="32"/>
      <c r="LU14" s="32"/>
      <c r="LV14" s="32"/>
      <c r="LW14" s="32"/>
      <c r="LX14" s="32"/>
      <c r="LY14" s="32"/>
      <c r="LZ14" s="32"/>
      <c r="MA14" s="32"/>
      <c r="MB14" s="32"/>
      <c r="MC14" s="32"/>
      <c r="MD14" s="32"/>
      <c r="ME14" s="32"/>
      <c r="MF14" s="32"/>
      <c r="MG14" s="32"/>
      <c r="MH14" s="32"/>
      <c r="MI14" s="32"/>
      <c r="MJ14" s="32"/>
      <c r="MK14" s="32"/>
      <c r="ML14" s="32"/>
      <c r="MM14" s="32"/>
      <c r="MN14" s="32"/>
      <c r="MO14" s="32"/>
      <c r="MP14" s="32"/>
      <c r="MQ14" s="32"/>
      <c r="MR14" s="32"/>
      <c r="MS14" s="32"/>
      <c r="MT14" s="32"/>
      <c r="MU14" s="32"/>
      <c r="MV14" s="32"/>
      <c r="MW14" s="32"/>
      <c r="MX14" s="32"/>
      <c r="MY14" s="32"/>
      <c r="MZ14" s="32"/>
      <c r="NA14" s="32"/>
      <c r="NB14" s="32"/>
      <c r="NC14" s="32"/>
      <c r="ND14" s="32"/>
      <c r="NE14" s="32"/>
      <c r="NF14" s="32"/>
      <c r="NG14" s="32"/>
      <c r="NH14" s="32"/>
      <c r="NI14" s="32"/>
      <c r="NJ14" s="32"/>
      <c r="NK14" s="32"/>
      <c r="NL14" s="32"/>
      <c r="NM14" s="32"/>
      <c r="NN14" s="32"/>
      <c r="NO14" s="32"/>
      <c r="NP14" s="32"/>
      <c r="NQ14" s="32"/>
      <c r="NR14" s="32"/>
      <c r="NS14" s="32"/>
      <c r="NT14" s="32"/>
      <c r="NU14" s="32"/>
      <c r="NV14" s="32"/>
      <c r="NW14" s="32"/>
      <c r="NX14" s="32"/>
      <c r="NY14" s="32"/>
      <c r="NZ14" s="32"/>
      <c r="OA14" s="32"/>
      <c r="OB14" s="32"/>
      <c r="OC14" s="32"/>
      <c r="OD14" s="32"/>
      <c r="OE14" s="32"/>
      <c r="OF14" s="32"/>
      <c r="OG14" s="32"/>
      <c r="OH14" s="32"/>
      <c r="OI14" s="32"/>
      <c r="OJ14" s="32"/>
      <c r="OK14" s="32"/>
      <c r="OL14" s="32"/>
      <c r="OM14" s="32"/>
      <c r="ON14" s="32"/>
      <c r="OO14" s="32"/>
      <c r="OP14" s="32"/>
      <c r="OQ14" s="32"/>
      <c r="OR14" s="32"/>
      <c r="OS14" s="32"/>
      <c r="OT14" s="32"/>
      <c r="OU14" s="32"/>
      <c r="OV14" s="32"/>
      <c r="OW14" s="32"/>
      <c r="OX14" s="32"/>
      <c r="OY14" s="32"/>
      <c r="OZ14" s="32"/>
      <c r="PA14" s="32"/>
      <c r="PB14" s="32"/>
      <c r="PC14" s="32"/>
      <c r="PD14" s="32"/>
      <c r="PE14" s="32"/>
      <c r="PF14" s="32"/>
      <c r="PG14" s="32"/>
      <c r="PH14" s="32"/>
      <c r="PI14" s="32"/>
      <c r="PJ14" s="32"/>
      <c r="PK14" s="32"/>
      <c r="PL14" s="32"/>
      <c r="PM14" s="32"/>
      <c r="PN14" s="32"/>
      <c r="PO14" s="32"/>
      <c r="PP14" s="32"/>
      <c r="PQ14" s="32"/>
      <c r="PR14" s="32"/>
      <c r="PS14" s="32"/>
      <c r="PT14" s="32"/>
    </row>
    <row r="15" spans="1:436" s="187" customFormat="1" ht="17.25" customHeight="1" x14ac:dyDescent="0.25">
      <c r="A15" s="285"/>
      <c r="B15" s="1168" t="str">
        <f>IF(SQG_1!B12="","",SQG_1!B12)</f>
        <v/>
      </c>
      <c r="C15" s="1145"/>
      <c r="D15" s="1145"/>
      <c r="E15" s="1145"/>
      <c r="F15" s="1145" t="str">
        <f>IF(SQG_1!F12="","",SQG_1!F12)</f>
        <v/>
      </c>
      <c r="G15" s="1145"/>
      <c r="H15" s="1145" t="str">
        <f>IF(SQG_1!I12="","",SQG_1!I12)</f>
        <v/>
      </c>
      <c r="I15" s="1145"/>
      <c r="J15" s="1145"/>
      <c r="K15" s="1145"/>
      <c r="L15" s="1145" t="str">
        <f>IF(SQG_1!M12="","",SQG_1!M12)</f>
        <v/>
      </c>
      <c r="M15" s="1146"/>
      <c r="N15" s="8"/>
      <c r="O15" s="1168" t="str">
        <f>IF(SQG_2!B12="","",SQG_2!B12)</f>
        <v/>
      </c>
      <c r="P15" s="1145"/>
      <c r="Q15" s="1145"/>
      <c r="R15" s="1145"/>
      <c r="S15" s="1145" t="str">
        <f>IF(SQG_2!F12="","",SQG_2!F12)</f>
        <v/>
      </c>
      <c r="T15" s="1145"/>
      <c r="U15" s="1145" t="str">
        <f>IF(SQG_2!I12="","",SQG_2!I12)</f>
        <v/>
      </c>
      <c r="V15" s="1145"/>
      <c r="W15" s="1145"/>
      <c r="X15" s="1145"/>
      <c r="Y15" s="1145" t="str">
        <f>IF(SQG_2!M12="","",SQG_2!M12)</f>
        <v/>
      </c>
      <c r="Z15" s="1146"/>
      <c r="AA15" s="8"/>
      <c r="AB15" s="1168" t="str">
        <f>IF(SQG_3!B12="","",SQG_3!B12)</f>
        <v/>
      </c>
      <c r="AC15" s="1145"/>
      <c r="AD15" s="1145"/>
      <c r="AE15" s="1145"/>
      <c r="AF15" s="1145" t="str">
        <f>IF(SQG_3!F12="","",SQG_3!F12)</f>
        <v/>
      </c>
      <c r="AG15" s="1145"/>
      <c r="AH15" s="1145" t="str">
        <f>IF(SQG_3!I12="","",SQG_3!I12)</f>
        <v/>
      </c>
      <c r="AI15" s="1145"/>
      <c r="AJ15" s="1145"/>
      <c r="AK15" s="1145"/>
      <c r="AL15" s="1145" t="str">
        <f>IF(SQG_3!M12="","",SQG_3!M12)</f>
        <v/>
      </c>
      <c r="AM15" s="1146"/>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36"/>
      <c r="CL15" s="36"/>
      <c r="CM15" s="36"/>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c r="IY15" s="32"/>
      <c r="IZ15" s="32"/>
      <c r="JA15" s="32"/>
      <c r="JB15" s="32"/>
      <c r="JC15" s="32"/>
      <c r="JD15" s="32"/>
      <c r="JE15" s="32"/>
      <c r="JF15" s="32"/>
      <c r="JG15" s="32"/>
      <c r="JH15" s="32"/>
      <c r="JI15" s="32"/>
      <c r="JJ15" s="32"/>
      <c r="JK15" s="32"/>
      <c r="JL15" s="32"/>
      <c r="JM15" s="32"/>
      <c r="JN15" s="32"/>
      <c r="JO15" s="32"/>
      <c r="JP15" s="32"/>
      <c r="JQ15" s="32"/>
      <c r="JR15" s="32"/>
      <c r="JS15" s="32"/>
      <c r="JT15" s="32"/>
      <c r="JU15" s="32"/>
      <c r="JV15" s="32"/>
      <c r="JW15" s="32"/>
      <c r="JX15" s="32"/>
      <c r="JY15" s="32"/>
      <c r="JZ15" s="32"/>
      <c r="KA15" s="32"/>
      <c r="KB15" s="32"/>
      <c r="KC15" s="32"/>
      <c r="KD15" s="32"/>
      <c r="KE15" s="32"/>
      <c r="KF15" s="32"/>
      <c r="KG15" s="32"/>
      <c r="KH15" s="32"/>
      <c r="KI15" s="32"/>
      <c r="KJ15" s="32"/>
      <c r="KK15" s="32"/>
      <c r="KL15" s="32"/>
      <c r="KM15" s="32"/>
      <c r="KN15" s="32"/>
      <c r="KO15" s="32"/>
      <c r="KP15" s="32"/>
      <c r="KQ15" s="32"/>
      <c r="KR15" s="32"/>
      <c r="KS15" s="32"/>
      <c r="KT15" s="32"/>
      <c r="KU15" s="32"/>
      <c r="KV15" s="32"/>
      <c r="KW15" s="32"/>
      <c r="KX15" s="32"/>
      <c r="KY15" s="32"/>
      <c r="KZ15" s="32"/>
      <c r="LA15" s="32"/>
      <c r="LB15" s="32"/>
      <c r="LC15" s="32"/>
      <c r="LD15" s="32"/>
      <c r="LE15" s="32"/>
      <c r="LF15" s="32"/>
      <c r="LG15" s="32"/>
      <c r="LH15" s="32"/>
      <c r="LI15" s="32"/>
      <c r="LJ15" s="32"/>
      <c r="LK15" s="32"/>
      <c r="LL15" s="32"/>
      <c r="LM15" s="32"/>
      <c r="LN15" s="32"/>
      <c r="LO15" s="32"/>
      <c r="LP15" s="32"/>
      <c r="LQ15" s="32"/>
      <c r="LR15" s="32"/>
      <c r="LS15" s="32"/>
      <c r="LT15" s="32"/>
      <c r="LU15" s="32"/>
      <c r="LV15" s="32"/>
      <c r="LW15" s="32"/>
      <c r="LX15" s="32"/>
      <c r="LY15" s="32"/>
      <c r="LZ15" s="32"/>
      <c r="MA15" s="32"/>
      <c r="MB15" s="32"/>
      <c r="MC15" s="32"/>
      <c r="MD15" s="32"/>
      <c r="ME15" s="32"/>
      <c r="MF15" s="32"/>
      <c r="MG15" s="32"/>
      <c r="MH15" s="32"/>
      <c r="MI15" s="32"/>
      <c r="MJ15" s="32"/>
      <c r="MK15" s="32"/>
      <c r="ML15" s="32"/>
      <c r="MM15" s="32"/>
      <c r="MN15" s="32"/>
      <c r="MO15" s="32"/>
      <c r="MP15" s="32"/>
      <c r="MQ15" s="32"/>
      <c r="MR15" s="32"/>
      <c r="MS15" s="32"/>
      <c r="MT15" s="32"/>
      <c r="MU15" s="32"/>
      <c r="MV15" s="32"/>
      <c r="MW15" s="32"/>
      <c r="MX15" s="32"/>
      <c r="MY15" s="32"/>
      <c r="MZ15" s="32"/>
      <c r="NA15" s="32"/>
      <c r="NB15" s="32"/>
      <c r="NC15" s="32"/>
      <c r="ND15" s="32"/>
      <c r="NE15" s="32"/>
      <c r="NF15" s="32"/>
      <c r="NG15" s="32"/>
      <c r="NH15" s="32"/>
      <c r="NI15" s="32"/>
      <c r="NJ15" s="32"/>
      <c r="NK15" s="32"/>
      <c r="NL15" s="32"/>
      <c r="NM15" s="32"/>
      <c r="NN15" s="32"/>
      <c r="NO15" s="32"/>
      <c r="NP15" s="32"/>
      <c r="NQ15" s="32"/>
      <c r="NR15" s="32"/>
      <c r="NS15" s="32"/>
      <c r="NT15" s="32"/>
      <c r="NU15" s="32"/>
      <c r="NV15" s="32"/>
      <c r="NW15" s="32"/>
      <c r="NX15" s="32"/>
      <c r="NY15" s="32"/>
      <c r="NZ15" s="32"/>
      <c r="OA15" s="32"/>
      <c r="OB15" s="32"/>
      <c r="OC15" s="32"/>
      <c r="OD15" s="32"/>
      <c r="OE15" s="32"/>
      <c r="OF15" s="32"/>
      <c r="OG15" s="32"/>
      <c r="OH15" s="32"/>
      <c r="OI15" s="32"/>
      <c r="OJ15" s="32"/>
      <c r="OK15" s="32"/>
      <c r="OL15" s="32"/>
      <c r="OM15" s="32"/>
      <c r="ON15" s="32"/>
      <c r="OO15" s="32"/>
      <c r="OP15" s="32"/>
      <c r="OQ15" s="32"/>
      <c r="OR15" s="32"/>
      <c r="OS15" s="32"/>
      <c r="OT15" s="32"/>
      <c r="OU15" s="32"/>
      <c r="OV15" s="32"/>
      <c r="OW15" s="32"/>
      <c r="OX15" s="32"/>
      <c r="OY15" s="32"/>
      <c r="OZ15" s="32"/>
      <c r="PA15" s="32"/>
      <c r="PB15" s="32"/>
      <c r="PC15" s="32"/>
      <c r="PD15" s="32"/>
      <c r="PE15" s="32"/>
      <c r="PF15" s="32"/>
      <c r="PG15" s="32"/>
      <c r="PH15" s="32"/>
      <c r="PI15" s="32"/>
      <c r="PJ15" s="32"/>
      <c r="PK15" s="32"/>
      <c r="PL15" s="32"/>
      <c r="PM15" s="32"/>
      <c r="PN15" s="32"/>
      <c r="PO15" s="32"/>
      <c r="PP15" s="32"/>
      <c r="PQ15" s="32"/>
      <c r="PR15" s="32"/>
      <c r="PS15" s="32"/>
      <c r="PT15" s="32"/>
    </row>
    <row r="16" spans="1:436" s="187" customFormat="1" ht="17.25" customHeight="1" x14ac:dyDescent="0.25">
      <c r="A16" s="285"/>
      <c r="B16" s="1168" t="str">
        <f>IF(SQG_1!B13="","",SQG_1!B13)</f>
        <v/>
      </c>
      <c r="C16" s="1145"/>
      <c r="D16" s="1145"/>
      <c r="E16" s="1145"/>
      <c r="F16" s="1145" t="str">
        <f>IF(SQG_1!F13="","",SQG_1!F13)</f>
        <v/>
      </c>
      <c r="G16" s="1145"/>
      <c r="H16" s="1145" t="str">
        <f>IF(SQG_1!I13="","",SQG_1!I13)</f>
        <v/>
      </c>
      <c r="I16" s="1145"/>
      <c r="J16" s="1145"/>
      <c r="K16" s="1145"/>
      <c r="L16" s="1145" t="str">
        <f>IF(SQG_1!M13="","",SQG_1!M13)</f>
        <v/>
      </c>
      <c r="M16" s="1146"/>
      <c r="N16" s="8"/>
      <c r="O16" s="1168" t="str">
        <f>IF(SQG_2!B13="","",SQG_2!B13)</f>
        <v/>
      </c>
      <c r="P16" s="1145"/>
      <c r="Q16" s="1145"/>
      <c r="R16" s="1145"/>
      <c r="S16" s="1145" t="str">
        <f>IF(SQG_2!F13="","",SQG_2!F13)</f>
        <v/>
      </c>
      <c r="T16" s="1145"/>
      <c r="U16" s="1145" t="str">
        <f>IF(SQG_2!I13="","",SQG_2!I13)</f>
        <v/>
      </c>
      <c r="V16" s="1145"/>
      <c r="W16" s="1145"/>
      <c r="X16" s="1145"/>
      <c r="Y16" s="1145" t="str">
        <f>IF(SQG_2!M13="","",SQG_2!M13)</f>
        <v/>
      </c>
      <c r="Z16" s="1146"/>
      <c r="AA16" s="8"/>
      <c r="AB16" s="1168" t="str">
        <f>IF(SQG_3!B13="","",SQG_3!B13)</f>
        <v/>
      </c>
      <c r="AC16" s="1145"/>
      <c r="AD16" s="1145"/>
      <c r="AE16" s="1145"/>
      <c r="AF16" s="1145" t="str">
        <f>IF(SQG_3!F13="","",SQG_3!F13)</f>
        <v/>
      </c>
      <c r="AG16" s="1145"/>
      <c r="AH16" s="1145" t="str">
        <f>IF(SQG_3!I13="","",SQG_3!I13)</f>
        <v/>
      </c>
      <c r="AI16" s="1145"/>
      <c r="AJ16" s="1145"/>
      <c r="AK16" s="1145"/>
      <c r="AL16" s="1145" t="str">
        <f>IF(SQG_3!M13="","",SQG_3!M13)</f>
        <v/>
      </c>
      <c r="AM16" s="1146"/>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36"/>
      <c r="CL16" s="36"/>
      <c r="CM16" s="36"/>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row>
    <row r="17" spans="1:436" s="187" customFormat="1" ht="17.25" customHeight="1" x14ac:dyDescent="0.25">
      <c r="A17" s="285"/>
      <c r="B17" s="1168" t="str">
        <f>IF(SQG_1!B14="","",SQG_1!B14)</f>
        <v/>
      </c>
      <c r="C17" s="1145"/>
      <c r="D17" s="1145"/>
      <c r="E17" s="1145"/>
      <c r="F17" s="1145" t="str">
        <f>IF(SQG_1!F14="","",SQG_1!F14)</f>
        <v/>
      </c>
      <c r="G17" s="1145"/>
      <c r="H17" s="1145" t="str">
        <f>IF(SQG_1!I14="","",SQG_1!I14)</f>
        <v/>
      </c>
      <c r="I17" s="1145"/>
      <c r="J17" s="1145"/>
      <c r="K17" s="1145"/>
      <c r="L17" s="1145" t="str">
        <f>IF(SQG_1!M14="","",SQG_1!M14)</f>
        <v/>
      </c>
      <c r="M17" s="1146"/>
      <c r="N17" s="8"/>
      <c r="O17" s="1168" t="str">
        <f>IF(SQG_2!B14="","",SQG_2!B14)</f>
        <v/>
      </c>
      <c r="P17" s="1145"/>
      <c r="Q17" s="1145"/>
      <c r="R17" s="1145"/>
      <c r="S17" s="1145" t="str">
        <f>IF(SQG_2!F14="","",SQG_2!F14)</f>
        <v/>
      </c>
      <c r="T17" s="1145"/>
      <c r="U17" s="1145" t="str">
        <f>IF(SQG_2!I14="","",SQG_2!I14)</f>
        <v/>
      </c>
      <c r="V17" s="1145"/>
      <c r="W17" s="1145"/>
      <c r="X17" s="1145"/>
      <c r="Y17" s="1145" t="str">
        <f>IF(SQG_2!M14="","",SQG_2!M14)</f>
        <v/>
      </c>
      <c r="Z17" s="1146"/>
      <c r="AA17" s="8"/>
      <c r="AB17" s="1168" t="str">
        <f>IF(SQG_3!B14="","",SQG_3!B14)</f>
        <v/>
      </c>
      <c r="AC17" s="1145"/>
      <c r="AD17" s="1145"/>
      <c r="AE17" s="1145"/>
      <c r="AF17" s="1145" t="str">
        <f>IF(SQG_3!F14="","",SQG_3!F14)</f>
        <v/>
      </c>
      <c r="AG17" s="1145"/>
      <c r="AH17" s="1145" t="str">
        <f>IF(SQG_3!I14="","",SQG_3!I14)</f>
        <v/>
      </c>
      <c r="AI17" s="1145"/>
      <c r="AJ17" s="1145"/>
      <c r="AK17" s="1145"/>
      <c r="AL17" s="1145" t="str">
        <f>IF(SQG_3!M14="","",SQG_3!M14)</f>
        <v/>
      </c>
      <c r="AM17" s="1146"/>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36"/>
      <c r="CL17" s="36"/>
      <c r="CM17" s="36"/>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c r="IY17" s="32"/>
      <c r="IZ17" s="32"/>
      <c r="JA17" s="32"/>
      <c r="JB17" s="32"/>
      <c r="JC17" s="32"/>
      <c r="JD17" s="32"/>
      <c r="JE17" s="32"/>
      <c r="JF17" s="32"/>
      <c r="JG17" s="32"/>
      <c r="JH17" s="32"/>
      <c r="JI17" s="32"/>
      <c r="JJ17" s="32"/>
      <c r="JK17" s="32"/>
      <c r="JL17" s="32"/>
      <c r="JM17" s="32"/>
      <c r="JN17" s="32"/>
      <c r="JO17" s="32"/>
      <c r="JP17" s="32"/>
      <c r="JQ17" s="32"/>
      <c r="JR17" s="32"/>
      <c r="JS17" s="32"/>
      <c r="JT17" s="32"/>
      <c r="JU17" s="32"/>
      <c r="JV17" s="32"/>
      <c r="JW17" s="32"/>
      <c r="JX17" s="32"/>
      <c r="JY17" s="32"/>
      <c r="JZ17" s="32"/>
      <c r="KA17" s="32"/>
      <c r="KB17" s="32"/>
      <c r="KC17" s="32"/>
      <c r="KD17" s="32"/>
      <c r="KE17" s="32"/>
      <c r="KF17" s="32"/>
      <c r="KG17" s="32"/>
      <c r="KH17" s="32"/>
      <c r="KI17" s="32"/>
      <c r="KJ17" s="32"/>
      <c r="KK17" s="32"/>
      <c r="KL17" s="32"/>
      <c r="KM17" s="32"/>
      <c r="KN17" s="32"/>
      <c r="KO17" s="32"/>
      <c r="KP17" s="32"/>
      <c r="KQ17" s="32"/>
      <c r="KR17" s="32"/>
      <c r="KS17" s="32"/>
      <c r="KT17" s="32"/>
      <c r="KU17" s="32"/>
      <c r="KV17" s="32"/>
      <c r="KW17" s="32"/>
      <c r="KX17" s="32"/>
      <c r="KY17" s="32"/>
      <c r="KZ17" s="32"/>
      <c r="LA17" s="32"/>
      <c r="LB17" s="32"/>
      <c r="LC17" s="32"/>
      <c r="LD17" s="32"/>
      <c r="LE17" s="32"/>
      <c r="LF17" s="32"/>
      <c r="LG17" s="32"/>
      <c r="LH17" s="32"/>
      <c r="LI17" s="32"/>
      <c r="LJ17" s="32"/>
      <c r="LK17" s="32"/>
      <c r="LL17" s="32"/>
      <c r="LM17" s="32"/>
      <c r="LN17" s="32"/>
      <c r="LO17" s="32"/>
      <c r="LP17" s="32"/>
      <c r="LQ17" s="32"/>
      <c r="LR17" s="32"/>
      <c r="LS17" s="32"/>
      <c r="LT17" s="32"/>
      <c r="LU17" s="32"/>
      <c r="LV17" s="32"/>
      <c r="LW17" s="32"/>
      <c r="LX17" s="32"/>
      <c r="LY17" s="32"/>
      <c r="LZ17" s="32"/>
      <c r="MA17" s="32"/>
      <c r="MB17" s="32"/>
      <c r="MC17" s="32"/>
      <c r="MD17" s="32"/>
      <c r="ME17" s="32"/>
      <c r="MF17" s="32"/>
      <c r="MG17" s="32"/>
      <c r="MH17" s="32"/>
      <c r="MI17" s="32"/>
      <c r="MJ17" s="32"/>
      <c r="MK17" s="32"/>
      <c r="ML17" s="32"/>
      <c r="MM17" s="32"/>
      <c r="MN17" s="32"/>
      <c r="MO17" s="32"/>
      <c r="MP17" s="32"/>
      <c r="MQ17" s="32"/>
      <c r="MR17" s="32"/>
      <c r="MS17" s="32"/>
      <c r="MT17" s="32"/>
      <c r="MU17" s="32"/>
      <c r="MV17" s="32"/>
      <c r="MW17" s="32"/>
      <c r="MX17" s="32"/>
      <c r="MY17" s="32"/>
      <c r="MZ17" s="32"/>
      <c r="NA17" s="32"/>
      <c r="NB17" s="32"/>
      <c r="NC17" s="32"/>
      <c r="ND17" s="32"/>
      <c r="NE17" s="32"/>
      <c r="NF17" s="32"/>
      <c r="NG17" s="32"/>
      <c r="NH17" s="32"/>
      <c r="NI17" s="32"/>
      <c r="NJ17" s="32"/>
      <c r="NK17" s="32"/>
      <c r="NL17" s="32"/>
      <c r="NM17" s="32"/>
      <c r="NN17" s="32"/>
      <c r="NO17" s="32"/>
      <c r="NP17" s="32"/>
      <c r="NQ17" s="32"/>
      <c r="NR17" s="32"/>
      <c r="NS17" s="32"/>
      <c r="NT17" s="32"/>
      <c r="NU17" s="32"/>
      <c r="NV17" s="32"/>
      <c r="NW17" s="32"/>
      <c r="NX17" s="32"/>
      <c r="NY17" s="32"/>
      <c r="NZ17" s="32"/>
      <c r="OA17" s="32"/>
      <c r="OB17" s="32"/>
      <c r="OC17" s="32"/>
      <c r="OD17" s="32"/>
      <c r="OE17" s="32"/>
      <c r="OF17" s="32"/>
      <c r="OG17" s="32"/>
      <c r="OH17" s="32"/>
      <c r="OI17" s="32"/>
      <c r="OJ17" s="32"/>
      <c r="OK17" s="32"/>
      <c r="OL17" s="32"/>
      <c r="OM17" s="32"/>
      <c r="ON17" s="32"/>
      <c r="OO17" s="32"/>
      <c r="OP17" s="32"/>
      <c r="OQ17" s="32"/>
      <c r="OR17" s="32"/>
      <c r="OS17" s="32"/>
      <c r="OT17" s="32"/>
      <c r="OU17" s="32"/>
      <c r="OV17" s="32"/>
      <c r="OW17" s="32"/>
      <c r="OX17" s="32"/>
      <c r="OY17" s="32"/>
      <c r="OZ17" s="32"/>
      <c r="PA17" s="32"/>
      <c r="PB17" s="32"/>
      <c r="PC17" s="32"/>
      <c r="PD17" s="32"/>
      <c r="PE17" s="32"/>
      <c r="PF17" s="32"/>
      <c r="PG17" s="32"/>
      <c r="PH17" s="32"/>
      <c r="PI17" s="32"/>
      <c r="PJ17" s="32"/>
      <c r="PK17" s="32"/>
      <c r="PL17" s="32"/>
      <c r="PM17" s="32"/>
      <c r="PN17" s="32"/>
      <c r="PO17" s="32"/>
      <c r="PP17" s="32"/>
      <c r="PQ17" s="32"/>
      <c r="PR17" s="32"/>
      <c r="PS17" s="32"/>
      <c r="PT17" s="32"/>
    </row>
    <row r="18" spans="1:436" s="187" customFormat="1" ht="17.25" customHeight="1" thickBot="1" x14ac:dyDescent="0.3">
      <c r="A18" s="285"/>
      <c r="B18" s="2769" t="str">
        <f>IF(SQG_1!B15="","",SQG_1!B15)</f>
        <v/>
      </c>
      <c r="C18" s="2770"/>
      <c r="D18" s="2770"/>
      <c r="E18" s="2770"/>
      <c r="F18" s="2770" t="str">
        <f>IF(SQG_1!F15="","",SQG_1!F15)</f>
        <v/>
      </c>
      <c r="G18" s="2770"/>
      <c r="H18" s="2770" t="str">
        <f>IF(SQG_1!I15="","",SQG_1!I15)</f>
        <v/>
      </c>
      <c r="I18" s="2770"/>
      <c r="J18" s="2770"/>
      <c r="K18" s="2770"/>
      <c r="L18" s="2770" t="str">
        <f>IF(SQG_1!M15="","",SQG_1!M15)</f>
        <v/>
      </c>
      <c r="M18" s="2771"/>
      <c r="N18" s="8"/>
      <c r="O18" s="2769" t="str">
        <f>IF(SQG_2!B15="","",SQG_2!B15)</f>
        <v/>
      </c>
      <c r="P18" s="2770"/>
      <c r="Q18" s="2770"/>
      <c r="R18" s="2770"/>
      <c r="S18" s="2770" t="str">
        <f>IF(SQG_2!F15="","",SQG_2!F15)</f>
        <v/>
      </c>
      <c r="T18" s="2770"/>
      <c r="U18" s="2770" t="str">
        <f>IF(SQG_2!I15="","",SQG_2!I15)</f>
        <v/>
      </c>
      <c r="V18" s="2770"/>
      <c r="W18" s="2770"/>
      <c r="X18" s="2770"/>
      <c r="Y18" s="2770" t="str">
        <f>IF(SQG_2!M15="","",SQG_2!M15)</f>
        <v/>
      </c>
      <c r="Z18" s="2771"/>
      <c r="AA18" s="8"/>
      <c r="AB18" s="2769" t="str">
        <f>IF(SQG_3!B15="","",SQG_3!B15)</f>
        <v/>
      </c>
      <c r="AC18" s="2770"/>
      <c r="AD18" s="2770"/>
      <c r="AE18" s="2770"/>
      <c r="AF18" s="2770" t="str">
        <f>IF(SQG_3!F15="","",SQG_3!F15)</f>
        <v/>
      </c>
      <c r="AG18" s="2770"/>
      <c r="AH18" s="2770" t="str">
        <f>IF(SQG_3!I15="","",SQG_3!I15)</f>
        <v/>
      </c>
      <c r="AI18" s="2770"/>
      <c r="AJ18" s="2770"/>
      <c r="AK18" s="2770"/>
      <c r="AL18" s="2770" t="str">
        <f>IF(SQG_3!M15="","",SQG_3!M15)</f>
        <v/>
      </c>
      <c r="AM18" s="2771"/>
      <c r="AN18" s="224"/>
      <c r="AO18" s="224"/>
      <c r="AP18" s="224"/>
      <c r="AQ18" s="224"/>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36"/>
      <c r="CL18" s="36"/>
      <c r="CM18" s="36"/>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c r="IW18" s="32"/>
      <c r="IX18" s="32"/>
      <c r="IY18" s="32"/>
      <c r="IZ18" s="32"/>
      <c r="JA18" s="32"/>
      <c r="JB18" s="32"/>
      <c r="JC18" s="32"/>
      <c r="JD18" s="32"/>
      <c r="JE18" s="32"/>
      <c r="JF18" s="32"/>
      <c r="JG18" s="32"/>
      <c r="JH18" s="32"/>
      <c r="JI18" s="32"/>
      <c r="JJ18" s="32"/>
      <c r="JK18" s="32"/>
      <c r="JL18" s="32"/>
      <c r="JM18" s="32"/>
      <c r="JN18" s="32"/>
      <c r="JO18" s="32"/>
      <c r="JP18" s="32"/>
      <c r="JQ18" s="32"/>
      <c r="JR18" s="32"/>
      <c r="JS18" s="32"/>
      <c r="JT18" s="32"/>
      <c r="JU18" s="32"/>
      <c r="JV18" s="32"/>
      <c r="JW18" s="32"/>
      <c r="JX18" s="32"/>
      <c r="JY18" s="32"/>
      <c r="JZ18" s="32"/>
      <c r="KA18" s="32"/>
      <c r="KB18" s="32"/>
      <c r="KC18" s="32"/>
      <c r="KD18" s="32"/>
      <c r="KE18" s="32"/>
      <c r="KF18" s="32"/>
      <c r="KG18" s="32"/>
      <c r="KH18" s="32"/>
      <c r="KI18" s="32"/>
      <c r="KJ18" s="32"/>
      <c r="KK18" s="32"/>
      <c r="KL18" s="32"/>
      <c r="KM18" s="32"/>
      <c r="KN18" s="32"/>
      <c r="KO18" s="32"/>
      <c r="KP18" s="32"/>
      <c r="KQ18" s="32"/>
      <c r="KR18" s="32"/>
      <c r="KS18" s="32"/>
      <c r="KT18" s="32"/>
      <c r="KU18" s="32"/>
      <c r="KV18" s="32"/>
      <c r="KW18" s="32"/>
      <c r="KX18" s="32"/>
      <c r="KY18" s="32"/>
      <c r="KZ18" s="32"/>
      <c r="LA18" s="32"/>
      <c r="LB18" s="32"/>
      <c r="LC18" s="32"/>
      <c r="LD18" s="32"/>
      <c r="LE18" s="32"/>
      <c r="LF18" s="32"/>
      <c r="LG18" s="32"/>
      <c r="LH18" s="32"/>
      <c r="LI18" s="32"/>
      <c r="LJ18" s="32"/>
      <c r="LK18" s="32"/>
      <c r="LL18" s="32"/>
      <c r="LM18" s="32"/>
      <c r="LN18" s="32"/>
      <c r="LO18" s="32"/>
      <c r="LP18" s="32"/>
      <c r="LQ18" s="32"/>
      <c r="LR18" s="32"/>
      <c r="LS18" s="32"/>
      <c r="LT18" s="32"/>
      <c r="LU18" s="32"/>
      <c r="LV18" s="32"/>
      <c r="LW18" s="32"/>
      <c r="LX18" s="32"/>
      <c r="LY18" s="32"/>
      <c r="LZ18" s="32"/>
      <c r="MA18" s="32"/>
      <c r="MB18" s="32"/>
      <c r="MC18" s="32"/>
      <c r="MD18" s="32"/>
      <c r="ME18" s="32"/>
      <c r="MF18" s="32"/>
      <c r="MG18" s="32"/>
      <c r="MH18" s="32"/>
      <c r="MI18" s="32"/>
      <c r="MJ18" s="32"/>
      <c r="MK18" s="32"/>
      <c r="ML18" s="32"/>
      <c r="MM18" s="32"/>
      <c r="MN18" s="32"/>
      <c r="MO18" s="32"/>
      <c r="MP18" s="32"/>
      <c r="MQ18" s="32"/>
      <c r="MR18" s="32"/>
      <c r="MS18" s="32"/>
      <c r="MT18" s="32"/>
      <c r="MU18" s="32"/>
      <c r="MV18" s="32"/>
      <c r="MW18" s="32"/>
      <c r="MX18" s="32"/>
      <c r="MY18" s="32"/>
      <c r="MZ18" s="32"/>
      <c r="NA18" s="32"/>
      <c r="NB18" s="32"/>
      <c r="NC18" s="32"/>
      <c r="ND18" s="32"/>
      <c r="NE18" s="32"/>
      <c r="NF18" s="32"/>
      <c r="NG18" s="32"/>
      <c r="NH18" s="32"/>
      <c r="NI18" s="32"/>
      <c r="NJ18" s="32"/>
      <c r="NK18" s="32"/>
      <c r="NL18" s="32"/>
      <c r="NM18" s="32"/>
      <c r="NN18" s="32"/>
      <c r="NO18" s="32"/>
      <c r="NP18" s="32"/>
      <c r="NQ18" s="32"/>
      <c r="NR18" s="32"/>
      <c r="NS18" s="32"/>
      <c r="NT18" s="32"/>
      <c r="NU18" s="32"/>
      <c r="NV18" s="32"/>
      <c r="NW18" s="32"/>
      <c r="NX18" s="32"/>
      <c r="NY18" s="32"/>
      <c r="NZ18" s="32"/>
      <c r="OA18" s="32"/>
      <c r="OB18" s="32"/>
      <c r="OC18" s="32"/>
      <c r="OD18" s="32"/>
      <c r="OE18" s="32"/>
      <c r="OF18" s="32"/>
      <c r="OG18" s="32"/>
      <c r="OH18" s="32"/>
      <c r="OI18" s="32"/>
      <c r="OJ18" s="32"/>
      <c r="OK18" s="32"/>
      <c r="OL18" s="32"/>
      <c r="OM18" s="32"/>
      <c r="ON18" s="32"/>
      <c r="OO18" s="32"/>
      <c r="OP18" s="32"/>
      <c r="OQ18" s="32"/>
      <c r="OR18" s="32"/>
      <c r="OS18" s="32"/>
      <c r="OT18" s="32"/>
      <c r="OU18" s="32"/>
      <c r="OV18" s="32"/>
      <c r="OW18" s="32"/>
      <c r="OX18" s="32"/>
      <c r="OY18" s="32"/>
      <c r="OZ18" s="32"/>
      <c r="PA18" s="32"/>
      <c r="PB18" s="32"/>
      <c r="PC18" s="32"/>
      <c r="PD18" s="32"/>
      <c r="PE18" s="32"/>
      <c r="PF18" s="32"/>
      <c r="PG18" s="32"/>
      <c r="PH18" s="32"/>
      <c r="PI18" s="32"/>
      <c r="PJ18" s="32"/>
      <c r="PK18" s="32"/>
      <c r="PL18" s="32"/>
      <c r="PM18" s="32"/>
      <c r="PN18" s="32"/>
      <c r="PO18" s="32"/>
      <c r="PP18" s="32"/>
      <c r="PQ18" s="32"/>
      <c r="PR18" s="32"/>
      <c r="PS18" s="32"/>
      <c r="PT18" s="32"/>
    </row>
    <row r="19" spans="1:436" ht="17.25" customHeight="1" thickBot="1" x14ac:dyDescent="0.3">
      <c r="A19" s="284"/>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row>
    <row r="20" spans="1:436" ht="22.55" customHeight="1" x14ac:dyDescent="0.25">
      <c r="B20" s="2722" t="str">
        <f>HLOOKUP(LANGUAGE!$B$2,LANGUAGE!$C$14:$G$3008,1487)</f>
        <v>Process steps audited</v>
      </c>
      <c r="C20" s="2723"/>
      <c r="D20" s="2723"/>
      <c r="E20" s="2723"/>
      <c r="F20" s="2723"/>
      <c r="G20" s="2723"/>
      <c r="H20" s="2723"/>
      <c r="I20" s="2723"/>
      <c r="J20" s="2723"/>
      <c r="K20" s="2723"/>
      <c r="L20" s="2723"/>
      <c r="M20" s="2723"/>
      <c r="N20" s="2723"/>
      <c r="O20" s="2738" t="str">
        <f>HLOOKUP(LANGUAGE!$B$2,LANGUAGE!$C$14:$G$3008,1491)</f>
        <v>Main process</v>
      </c>
      <c r="P20" s="2738"/>
      <c r="Q20" s="2738"/>
      <c r="R20" s="2738"/>
      <c r="S20" s="2738"/>
      <c r="T20" s="2738"/>
      <c r="U20" s="2738" t="str">
        <f>HLOOKUP(LANGUAGE!$B$2,LANGUAGE!$C$14:$G$3008,1495)</f>
        <v>Secondary process</v>
      </c>
      <c r="V20" s="2738"/>
      <c r="W20" s="2738"/>
      <c r="X20" s="2738"/>
      <c r="Y20" s="2738"/>
      <c r="Z20" s="2738"/>
      <c r="AA20" s="2738" t="str">
        <f>HLOOKUP(LANGUAGE!$B$2,LANGUAGE!$C$14:$G$3008,1499)</f>
        <v>Tertiary process</v>
      </c>
      <c r="AB20" s="2738"/>
      <c r="AC20" s="2738"/>
      <c r="AD20" s="2738"/>
      <c r="AE20" s="2738"/>
      <c r="AF20" s="2738"/>
      <c r="AG20" s="2738" t="str">
        <f>HLOOKUP(LANGUAGE!$B$2,LANGUAGE!$C$14:$G$3008,1503)</f>
        <v>Packaging/ labeling</v>
      </c>
      <c r="AH20" s="2738"/>
      <c r="AI20" s="2738"/>
      <c r="AJ20" s="2738"/>
      <c r="AK20" s="2738"/>
      <c r="AL20" s="2738"/>
      <c r="AM20" s="2738" t="str">
        <f>IF(Basic_Data!$AF$5="English","Shipping","Versand")</f>
        <v>Versand</v>
      </c>
      <c r="AN20" s="2738"/>
      <c r="AO20" s="2738"/>
      <c r="AP20" s="2738"/>
      <c r="AQ20" s="2738"/>
      <c r="AR20" s="2740"/>
      <c r="AS20" s="335"/>
      <c r="AT20" s="335"/>
      <c r="AU20" s="335"/>
      <c r="AV20" s="335"/>
      <c r="AW20" s="335"/>
      <c r="AX20" s="335"/>
      <c r="AY20" s="284"/>
      <c r="AZ20" s="284"/>
      <c r="BA20" s="284"/>
      <c r="BB20" s="284"/>
      <c r="BC20" s="284"/>
      <c r="BD20" s="284"/>
      <c r="BE20" s="284"/>
      <c r="BF20" s="284"/>
      <c r="BG20" s="284"/>
      <c r="BH20" s="284"/>
      <c r="BI20" s="284"/>
      <c r="BJ20" s="284"/>
      <c r="BK20" s="284"/>
      <c r="BL20" s="284"/>
      <c r="BM20" s="284"/>
      <c r="BN20" s="284"/>
      <c r="BO20" s="284"/>
      <c r="BP20" s="284"/>
      <c r="BV20" s="2759"/>
      <c r="BW20" s="2759"/>
      <c r="BX20" s="2759"/>
      <c r="BY20" s="2759"/>
      <c r="BZ20" s="2759"/>
      <c r="CA20" s="2759"/>
      <c r="CB20" s="2759"/>
      <c r="CC20" s="2759"/>
      <c r="CD20" s="2759"/>
      <c r="CE20" s="2759"/>
      <c r="CF20" s="2759"/>
      <c r="CG20" s="2759"/>
      <c r="CH20" s="2759"/>
      <c r="CI20" s="2759"/>
      <c r="CJ20" s="2759"/>
      <c r="CK20" s="2759"/>
      <c r="CL20" s="2759"/>
      <c r="CM20" s="2759"/>
      <c r="CN20" s="2759"/>
      <c r="CO20" s="2759"/>
      <c r="CP20" s="2759"/>
      <c r="CQ20" s="2759"/>
      <c r="CR20" s="2759"/>
      <c r="CS20" s="2747"/>
      <c r="CT20" s="2747"/>
      <c r="CU20" s="2747"/>
      <c r="CV20" s="2747"/>
      <c r="CW20" s="2747"/>
      <c r="CX20" s="2747"/>
      <c r="CY20" s="2747"/>
      <c r="CZ20" s="2747"/>
      <c r="DA20" s="2747"/>
      <c r="DB20" s="2747"/>
      <c r="DC20" s="2747"/>
      <c r="DD20" s="2747"/>
      <c r="DE20" s="2747"/>
      <c r="DF20" s="2747"/>
      <c r="DG20" s="2747"/>
      <c r="DH20" s="2747"/>
      <c r="DI20" s="2747"/>
      <c r="DJ20" s="2747"/>
      <c r="DK20" s="2747"/>
      <c r="DL20" s="2747"/>
      <c r="DM20" s="2747"/>
      <c r="DN20" s="2746"/>
      <c r="DO20" s="2746"/>
      <c r="DP20" s="2746"/>
      <c r="DQ20" s="2746"/>
      <c r="DR20" s="2746"/>
      <c r="DS20" s="2746"/>
      <c r="DT20" s="2746"/>
      <c r="DU20" s="2746"/>
      <c r="DV20" s="2747"/>
      <c r="DW20" s="2747"/>
      <c r="DX20" s="2747"/>
      <c r="DY20" s="2747"/>
      <c r="DZ20" s="2747"/>
      <c r="EA20" s="2747"/>
      <c r="EB20" s="2747"/>
      <c r="EC20" s="2747"/>
      <c r="ED20" s="2747"/>
      <c r="EE20" s="2747"/>
      <c r="EF20" s="2747"/>
      <c r="EG20" s="2747"/>
      <c r="EH20" s="2747"/>
      <c r="EI20" s="2747"/>
    </row>
    <row r="21" spans="1:436" ht="22.55" customHeight="1" x14ac:dyDescent="0.25">
      <c r="B21" s="2724"/>
      <c r="C21" s="2725"/>
      <c r="D21" s="2725"/>
      <c r="E21" s="2725"/>
      <c r="F21" s="2725"/>
      <c r="G21" s="2725"/>
      <c r="H21" s="2725"/>
      <c r="I21" s="2725"/>
      <c r="J21" s="2725"/>
      <c r="K21" s="2725"/>
      <c r="L21" s="2725"/>
      <c r="M21" s="2725"/>
      <c r="N21" s="2725"/>
      <c r="O21" s="2739"/>
      <c r="P21" s="2739"/>
      <c r="Q21" s="2739"/>
      <c r="R21" s="2739"/>
      <c r="S21" s="2739"/>
      <c r="T21" s="2739"/>
      <c r="U21" s="2739"/>
      <c r="V21" s="2739"/>
      <c r="W21" s="2739"/>
      <c r="X21" s="2739"/>
      <c r="Y21" s="2739"/>
      <c r="Z21" s="2739"/>
      <c r="AA21" s="2739"/>
      <c r="AB21" s="2739"/>
      <c r="AC21" s="2739"/>
      <c r="AD21" s="2739"/>
      <c r="AE21" s="2739"/>
      <c r="AF21" s="2739"/>
      <c r="AG21" s="2739"/>
      <c r="AH21" s="2739"/>
      <c r="AI21" s="2739"/>
      <c r="AJ21" s="2739"/>
      <c r="AK21" s="2739"/>
      <c r="AL21" s="2739"/>
      <c r="AM21" s="2739"/>
      <c r="AN21" s="2739"/>
      <c r="AO21" s="2739"/>
      <c r="AP21" s="2739"/>
      <c r="AQ21" s="2739"/>
      <c r="AR21" s="2741"/>
      <c r="AS21" s="335"/>
      <c r="AT21" s="335"/>
      <c r="AU21" s="335"/>
      <c r="AV21" s="335"/>
      <c r="AW21" s="335"/>
      <c r="AX21" s="335"/>
      <c r="AY21" s="284"/>
      <c r="AZ21" s="284"/>
      <c r="BA21" s="284"/>
      <c r="BB21" s="284"/>
      <c r="BC21" s="284"/>
      <c r="BD21" s="284"/>
      <c r="BE21" s="284"/>
      <c r="BF21" s="284"/>
      <c r="BG21" s="284"/>
      <c r="BH21" s="284"/>
      <c r="BI21" s="284"/>
      <c r="BJ21" s="284"/>
      <c r="BK21" s="284"/>
      <c r="BL21" s="284"/>
      <c r="BM21" s="284"/>
      <c r="BN21" s="284"/>
      <c r="BO21" s="284"/>
      <c r="BP21" s="284"/>
      <c r="BV21" s="2759"/>
      <c r="BW21" s="2759"/>
      <c r="BX21" s="2759"/>
      <c r="BY21" s="2759"/>
      <c r="BZ21" s="2759"/>
      <c r="CA21" s="2759"/>
      <c r="CB21" s="2759"/>
      <c r="CC21" s="2759"/>
      <c r="CD21" s="2759"/>
      <c r="CE21" s="2759"/>
      <c r="CF21" s="2759"/>
      <c r="CG21" s="2759"/>
      <c r="CH21" s="2759"/>
      <c r="CI21" s="2759"/>
      <c r="CJ21" s="2759"/>
      <c r="CK21" s="2759"/>
      <c r="CL21" s="2759"/>
      <c r="CM21" s="2759"/>
      <c r="CN21" s="2759"/>
      <c r="CO21" s="2759"/>
      <c r="CP21" s="2759"/>
      <c r="CQ21" s="2759"/>
      <c r="CR21" s="2759"/>
      <c r="CS21" s="2747"/>
      <c r="CT21" s="2747"/>
      <c r="CU21" s="2747"/>
      <c r="CV21" s="2747"/>
      <c r="CW21" s="2747"/>
      <c r="CX21" s="2747"/>
      <c r="CY21" s="2747"/>
      <c r="CZ21" s="2747"/>
      <c r="DA21" s="2747"/>
      <c r="DB21" s="2747"/>
      <c r="DC21" s="2747"/>
      <c r="DD21" s="2747"/>
      <c r="DE21" s="2747"/>
      <c r="DF21" s="2747"/>
      <c r="DG21" s="2747"/>
      <c r="DH21" s="2747"/>
      <c r="DI21" s="2747"/>
      <c r="DJ21" s="2747"/>
      <c r="DK21" s="2747"/>
      <c r="DL21" s="2747"/>
      <c r="DM21" s="2747"/>
      <c r="DN21" s="2746"/>
      <c r="DO21" s="2746"/>
      <c r="DP21" s="2746"/>
      <c r="DQ21" s="2746"/>
      <c r="DR21" s="2746"/>
      <c r="DS21" s="2746"/>
      <c r="DT21" s="2746"/>
      <c r="DU21" s="2746"/>
      <c r="DV21" s="2747"/>
      <c r="DW21" s="2747"/>
      <c r="DX21" s="2747"/>
      <c r="DY21" s="2747"/>
      <c r="DZ21" s="2747"/>
      <c r="EA21" s="2747"/>
      <c r="EB21" s="2747"/>
      <c r="EC21" s="2747"/>
      <c r="ED21" s="2747"/>
      <c r="EE21" s="2747"/>
      <c r="EF21" s="2747"/>
      <c r="EG21" s="2747"/>
      <c r="EH21" s="2747"/>
      <c r="EI21" s="2747"/>
    </row>
    <row r="22" spans="1:436" ht="10.199999999999999" customHeight="1" x14ac:dyDescent="0.25">
      <c r="B22" s="2724"/>
      <c r="C22" s="2725"/>
      <c r="D22" s="2725"/>
      <c r="E22" s="2725"/>
      <c r="F22" s="2725"/>
      <c r="G22" s="2725"/>
      <c r="H22" s="2725"/>
      <c r="I22" s="2725"/>
      <c r="J22" s="2725"/>
      <c r="K22" s="2725"/>
      <c r="L22" s="2725"/>
      <c r="M22" s="2725"/>
      <c r="N22" s="2725"/>
      <c r="O22" s="2739"/>
      <c r="P22" s="2739"/>
      <c r="Q22" s="2739"/>
      <c r="R22" s="2739"/>
      <c r="S22" s="2739"/>
      <c r="T22" s="2739"/>
      <c r="U22" s="2739"/>
      <c r="V22" s="2739"/>
      <c r="W22" s="2739"/>
      <c r="X22" s="2739"/>
      <c r="Y22" s="2739"/>
      <c r="Z22" s="2739"/>
      <c r="AA22" s="2739"/>
      <c r="AB22" s="2739"/>
      <c r="AC22" s="2739"/>
      <c r="AD22" s="2739"/>
      <c r="AE22" s="2739"/>
      <c r="AF22" s="2739"/>
      <c r="AG22" s="2739"/>
      <c r="AH22" s="2739"/>
      <c r="AI22" s="2739"/>
      <c r="AJ22" s="2739"/>
      <c r="AK22" s="2739"/>
      <c r="AL22" s="2739"/>
      <c r="AM22" s="2739"/>
      <c r="AN22" s="2739"/>
      <c r="AO22" s="2739"/>
      <c r="AP22" s="2739"/>
      <c r="AQ22" s="2739"/>
      <c r="AR22" s="2741"/>
      <c r="AS22" s="335"/>
      <c r="AT22" s="335"/>
      <c r="AU22" s="335"/>
      <c r="AV22" s="335"/>
      <c r="AW22" s="335"/>
      <c r="AX22" s="335"/>
      <c r="AY22" s="284"/>
      <c r="AZ22" s="284"/>
      <c r="BA22" s="284"/>
      <c r="BB22" s="284"/>
      <c r="BC22" s="284"/>
      <c r="BD22" s="284"/>
      <c r="BE22" s="284"/>
      <c r="BF22" s="284"/>
      <c r="BG22" s="284"/>
      <c r="BH22" s="284"/>
      <c r="BI22" s="284"/>
      <c r="BJ22" s="284"/>
      <c r="BK22" s="284"/>
      <c r="BL22" s="284"/>
      <c r="BM22" s="284"/>
      <c r="BN22" s="284"/>
      <c r="BO22" s="284"/>
      <c r="BP22" s="284"/>
      <c r="BV22" s="2759"/>
      <c r="BW22" s="2759"/>
      <c r="BX22" s="2759"/>
      <c r="BY22" s="2759"/>
      <c r="BZ22" s="2759"/>
      <c r="CA22" s="2759"/>
      <c r="CB22" s="2759"/>
      <c r="CC22" s="2759"/>
      <c r="CD22" s="2759"/>
      <c r="CE22" s="2759"/>
      <c r="CF22" s="2759"/>
      <c r="CG22" s="2759"/>
      <c r="CH22" s="2759"/>
      <c r="CI22" s="2759"/>
      <c r="CJ22" s="2759"/>
      <c r="CK22" s="2759"/>
      <c r="CL22" s="2759"/>
      <c r="CM22" s="2759"/>
      <c r="CN22" s="2759"/>
      <c r="CO22" s="2759"/>
      <c r="CP22" s="2759"/>
      <c r="CQ22" s="2759"/>
      <c r="CR22" s="2759"/>
      <c r="CS22" s="2747"/>
      <c r="CT22" s="2747"/>
      <c r="CU22" s="2747"/>
      <c r="CV22" s="2747"/>
      <c r="CW22" s="2747"/>
      <c r="CX22" s="2747"/>
      <c r="CY22" s="2747"/>
      <c r="CZ22" s="2747"/>
      <c r="DA22" s="2747"/>
      <c r="DB22" s="2747"/>
      <c r="DC22" s="2747"/>
      <c r="DD22" s="2747"/>
      <c r="DE22" s="2747"/>
      <c r="DF22" s="2747"/>
      <c r="DG22" s="2747"/>
      <c r="DH22" s="2747"/>
      <c r="DI22" s="2747"/>
      <c r="DJ22" s="2747"/>
      <c r="DK22" s="2747"/>
      <c r="DL22" s="2747"/>
      <c r="DM22" s="2747"/>
      <c r="DN22" s="2746"/>
      <c r="DO22" s="2746"/>
      <c r="DP22" s="2746"/>
      <c r="DQ22" s="2746"/>
      <c r="DR22" s="2746"/>
      <c r="DS22" s="2746"/>
      <c r="DT22" s="2746"/>
      <c r="DU22" s="2746"/>
      <c r="DV22" s="2747"/>
      <c r="DW22" s="2747"/>
      <c r="DX22" s="2747"/>
      <c r="DY22" s="2747"/>
      <c r="DZ22" s="2747"/>
      <c r="EA22" s="2747"/>
      <c r="EB22" s="2747"/>
      <c r="EC22" s="2747"/>
      <c r="ED22" s="2747"/>
      <c r="EE22" s="2747"/>
      <c r="EF22" s="2747"/>
      <c r="EG22" s="2747"/>
      <c r="EH22" s="2747"/>
      <c r="EI22" s="2747"/>
    </row>
    <row r="23" spans="1:436" ht="13.5" customHeight="1" x14ac:dyDescent="0.25">
      <c r="B23" s="2724"/>
      <c r="C23" s="2725"/>
      <c r="D23" s="2725"/>
      <c r="E23" s="2725"/>
      <c r="F23" s="2725"/>
      <c r="G23" s="2725"/>
      <c r="H23" s="2725"/>
      <c r="I23" s="2725"/>
      <c r="J23" s="2725"/>
      <c r="K23" s="2725"/>
      <c r="L23" s="2725"/>
      <c r="M23" s="2725"/>
      <c r="N23" s="2725"/>
      <c r="O23" s="2739"/>
      <c r="P23" s="2739"/>
      <c r="Q23" s="2739"/>
      <c r="R23" s="2739"/>
      <c r="S23" s="2739"/>
      <c r="T23" s="2739"/>
      <c r="U23" s="2739"/>
      <c r="V23" s="2739"/>
      <c r="W23" s="2739"/>
      <c r="X23" s="2739"/>
      <c r="Y23" s="2739"/>
      <c r="Z23" s="2739"/>
      <c r="AA23" s="2739"/>
      <c r="AB23" s="2739"/>
      <c r="AC23" s="2739"/>
      <c r="AD23" s="2739"/>
      <c r="AE23" s="2739"/>
      <c r="AF23" s="2739"/>
      <c r="AG23" s="2739"/>
      <c r="AH23" s="2739"/>
      <c r="AI23" s="2739"/>
      <c r="AJ23" s="2739"/>
      <c r="AK23" s="2739"/>
      <c r="AL23" s="2739"/>
      <c r="AM23" s="2739"/>
      <c r="AN23" s="2739"/>
      <c r="AO23" s="2739"/>
      <c r="AP23" s="2739"/>
      <c r="AQ23" s="2739"/>
      <c r="AR23" s="2741"/>
      <c r="AS23" s="335"/>
      <c r="AT23" s="335"/>
      <c r="AU23" s="335"/>
      <c r="AV23" s="335"/>
      <c r="AW23" s="335"/>
      <c r="AX23" s="335"/>
      <c r="AY23" s="284"/>
      <c r="AZ23" s="284"/>
      <c r="BA23" s="284"/>
      <c r="BB23" s="284"/>
      <c r="BC23" s="284"/>
      <c r="BD23" s="284"/>
      <c r="BE23" s="284"/>
      <c r="BF23" s="284"/>
      <c r="BG23" s="284"/>
      <c r="BH23" s="284"/>
      <c r="BI23" s="284"/>
      <c r="BJ23" s="284"/>
      <c r="BK23" s="284"/>
      <c r="BL23" s="284"/>
      <c r="BM23" s="284"/>
      <c r="BN23" s="284"/>
      <c r="BO23" s="284"/>
      <c r="BP23" s="284"/>
      <c r="BV23" s="2759"/>
      <c r="BW23" s="2759"/>
      <c r="BX23" s="2759"/>
      <c r="BY23" s="2759"/>
      <c r="BZ23" s="2759"/>
      <c r="CA23" s="2759"/>
      <c r="CB23" s="2759"/>
      <c r="CC23" s="2759"/>
      <c r="CD23" s="2759"/>
      <c r="CE23" s="2759"/>
      <c r="CF23" s="2759"/>
      <c r="CG23" s="2759"/>
      <c r="CH23" s="2759"/>
      <c r="CI23" s="2759"/>
      <c r="CJ23" s="2759"/>
      <c r="CK23" s="2759"/>
      <c r="CL23" s="2759"/>
      <c r="CM23" s="2759"/>
      <c r="CN23" s="2759"/>
      <c r="CO23" s="2759"/>
      <c r="CP23" s="2759"/>
      <c r="CQ23" s="2759"/>
      <c r="CR23" s="2759"/>
      <c r="CS23" s="2747"/>
      <c r="CT23" s="2747"/>
      <c r="CU23" s="2747"/>
      <c r="CV23" s="2747"/>
      <c r="CW23" s="2747"/>
      <c r="CX23" s="2747"/>
      <c r="CY23" s="2747"/>
      <c r="CZ23" s="2747"/>
      <c r="DA23" s="2747"/>
      <c r="DB23" s="2747"/>
      <c r="DC23" s="2747"/>
      <c r="DD23" s="2747"/>
      <c r="DE23" s="2747"/>
      <c r="DF23" s="2747"/>
      <c r="DG23" s="2747"/>
      <c r="DH23" s="2747"/>
      <c r="DI23" s="2747"/>
      <c r="DJ23" s="2747"/>
      <c r="DK23" s="2747"/>
      <c r="DL23" s="2747"/>
      <c r="DM23" s="2747"/>
      <c r="DN23" s="2746"/>
      <c r="DO23" s="2746"/>
      <c r="DP23" s="2746"/>
      <c r="DQ23" s="2746"/>
      <c r="DR23" s="2746"/>
      <c r="DS23" s="2746"/>
      <c r="DT23" s="2746"/>
      <c r="DU23" s="2746"/>
      <c r="DV23" s="2747"/>
      <c r="DW23" s="2747"/>
      <c r="DX23" s="2747"/>
      <c r="DY23" s="2747"/>
      <c r="DZ23" s="2747"/>
      <c r="EA23" s="2747"/>
      <c r="EB23" s="2747"/>
      <c r="EC23" s="2747"/>
      <c r="ED23" s="2747"/>
      <c r="EE23" s="2747"/>
      <c r="EF23" s="2747"/>
      <c r="EG23" s="2747"/>
      <c r="EH23" s="2747"/>
      <c r="EI23" s="2747"/>
    </row>
    <row r="24" spans="1:436" ht="23.35" customHeight="1" x14ac:dyDescent="0.25">
      <c r="B24" s="2726" t="str">
        <f>HLOOKUP(LANGUAGE!$B$2,LANGUAGE!$C$14:$G$3008,1511)</f>
        <v>Plant affected</v>
      </c>
      <c r="C24" s="2727"/>
      <c r="D24" s="2727"/>
      <c r="E24" s="2727"/>
      <c r="F24" s="2727"/>
      <c r="G24" s="2727"/>
      <c r="H24" s="2727"/>
      <c r="I24" s="2727"/>
      <c r="J24" s="2727"/>
      <c r="K24" s="2727"/>
      <c r="L24" s="2727"/>
      <c r="M24" s="2727"/>
      <c r="N24" s="2727"/>
      <c r="O24" s="2742"/>
      <c r="P24" s="2742"/>
      <c r="Q24" s="2742"/>
      <c r="R24" s="2742"/>
      <c r="S24" s="2742"/>
      <c r="T24" s="2742"/>
      <c r="U24" s="2742"/>
      <c r="V24" s="2742"/>
      <c r="W24" s="2742"/>
      <c r="X24" s="2742"/>
      <c r="Y24" s="2742"/>
      <c r="Z24" s="2742"/>
      <c r="AA24" s="2742"/>
      <c r="AB24" s="2742"/>
      <c r="AC24" s="2742"/>
      <c r="AD24" s="2742"/>
      <c r="AE24" s="2742"/>
      <c r="AF24" s="2742"/>
      <c r="AG24" s="2742"/>
      <c r="AH24" s="2742"/>
      <c r="AI24" s="2742"/>
      <c r="AJ24" s="2742"/>
      <c r="AK24" s="2742"/>
      <c r="AL24" s="2742"/>
      <c r="AM24" s="2742"/>
      <c r="AN24" s="2742"/>
      <c r="AO24" s="2742"/>
      <c r="AP24" s="2742"/>
      <c r="AQ24" s="2742"/>
      <c r="AR24" s="2779"/>
      <c r="AS24" s="284"/>
      <c r="AT24" s="284"/>
      <c r="AU24" s="284"/>
      <c r="AV24" s="284"/>
      <c r="AW24" s="284"/>
      <c r="AX24" s="284"/>
      <c r="AY24" s="284"/>
      <c r="AZ24" s="284"/>
      <c r="BA24" s="284"/>
      <c r="BB24" s="284"/>
      <c r="BC24" s="2775"/>
      <c r="BD24" s="2775"/>
      <c r="BE24" s="2775"/>
      <c r="BF24" s="2775"/>
      <c r="BG24" s="2775"/>
      <c r="BH24" s="2775"/>
      <c r="BI24" s="2775"/>
      <c r="BJ24" s="2775"/>
      <c r="BK24" s="2775"/>
      <c r="BL24" s="2775"/>
      <c r="BM24" s="2775"/>
      <c r="BN24" s="2775"/>
      <c r="BO24" s="284"/>
      <c r="BP24" s="284"/>
      <c r="BV24" s="2757"/>
      <c r="BW24" s="2758"/>
      <c r="BX24" s="2758"/>
      <c r="BY24" s="2758"/>
      <c r="BZ24" s="2758"/>
      <c r="CA24" s="2758"/>
      <c r="CB24" s="2758"/>
      <c r="CC24" s="2758"/>
      <c r="CD24" s="2758"/>
      <c r="CE24" s="2758"/>
      <c r="CF24" s="2758"/>
      <c r="CG24" s="2758"/>
      <c r="CH24" s="2758"/>
      <c r="CI24" s="2758"/>
      <c r="CJ24" s="2758"/>
      <c r="CK24" s="2758"/>
      <c r="CL24" s="2758"/>
      <c r="CM24" s="2758"/>
      <c r="CN24" s="2758"/>
      <c r="CO24" s="2758"/>
      <c r="CP24" s="2758"/>
      <c r="CQ24" s="2758"/>
      <c r="CR24" s="2758"/>
      <c r="CS24" s="2746"/>
      <c r="CT24" s="2746"/>
      <c r="CU24" s="2746"/>
      <c r="CV24" s="2746"/>
      <c r="CW24" s="2746"/>
      <c r="CX24" s="2746"/>
      <c r="CY24" s="2746"/>
      <c r="CZ24" s="2746"/>
      <c r="DA24" s="2746"/>
      <c r="DB24" s="2746"/>
      <c r="DC24" s="2746"/>
      <c r="DD24" s="2746"/>
      <c r="DE24" s="2746"/>
      <c r="DF24" s="2746"/>
      <c r="DG24" s="2746"/>
      <c r="DH24" s="2746"/>
      <c r="DI24" s="2746"/>
      <c r="DJ24" s="2746"/>
      <c r="DK24" s="2746"/>
      <c r="DL24" s="2746"/>
      <c r="DM24" s="2746"/>
      <c r="DN24" s="2746"/>
      <c r="DO24" s="2746"/>
      <c r="DP24" s="2746"/>
      <c r="DQ24" s="2746"/>
      <c r="DR24" s="2746"/>
      <c r="DS24" s="2746"/>
      <c r="DT24" s="2746"/>
      <c r="DU24" s="2746"/>
      <c r="DV24" s="2746"/>
      <c r="DW24" s="2746"/>
      <c r="DX24" s="2746"/>
      <c r="DY24" s="2746"/>
      <c r="DZ24" s="2746"/>
      <c r="EA24" s="2746"/>
      <c r="EB24" s="2746"/>
      <c r="EC24" s="2746"/>
      <c r="ED24" s="2746"/>
      <c r="EE24" s="2746"/>
      <c r="EF24" s="2746"/>
      <c r="EG24" s="2746"/>
      <c r="EH24" s="2746"/>
      <c r="EI24" s="2746"/>
    </row>
    <row r="25" spans="1:436" ht="12.05" customHeight="1" x14ac:dyDescent="0.25">
      <c r="B25" s="2730"/>
      <c r="C25" s="2731"/>
      <c r="D25" s="2731"/>
      <c r="E25" s="2731"/>
      <c r="F25" s="2731"/>
      <c r="G25" s="2731"/>
      <c r="H25" s="2731"/>
      <c r="I25" s="2731"/>
      <c r="J25" s="2731"/>
      <c r="K25" s="2731"/>
      <c r="L25" s="2731"/>
      <c r="M25" s="2731"/>
      <c r="N25" s="2731"/>
      <c r="O25" s="2735" t="str">
        <f>LANGUAGE!$I$4</f>
        <v>Yes</v>
      </c>
      <c r="P25" s="2735"/>
      <c r="Q25" s="2735" t="str">
        <f>LANGUAGE!$I$5</f>
        <v>No</v>
      </c>
      <c r="R25" s="2735"/>
      <c r="S25" s="2735" t="str">
        <f>HLOOKUP(LANGUAGE!$B$2,LANGUAGE!$C$14:$G$3008,1515)</f>
        <v>n.r.</v>
      </c>
      <c r="T25" s="2735"/>
      <c r="U25" s="2735" t="str">
        <f>LANGUAGE!$I$4</f>
        <v>Yes</v>
      </c>
      <c r="V25" s="2735"/>
      <c r="W25" s="2735" t="str">
        <f>LANGUAGE!$I$5</f>
        <v>No</v>
      </c>
      <c r="X25" s="2735"/>
      <c r="Y25" s="2735" t="str">
        <f>HLOOKUP(LANGUAGE!$B$2,LANGUAGE!$C$14:$G$3008,1515)</f>
        <v>n.r.</v>
      </c>
      <c r="Z25" s="2735"/>
      <c r="AA25" s="2735" t="str">
        <f>LANGUAGE!$I$4</f>
        <v>Yes</v>
      </c>
      <c r="AB25" s="2735"/>
      <c r="AC25" s="2735" t="str">
        <f>LANGUAGE!$I$5</f>
        <v>No</v>
      </c>
      <c r="AD25" s="2735"/>
      <c r="AE25" s="2735" t="str">
        <f>HLOOKUP(LANGUAGE!$B$2,LANGUAGE!$C$14:$G$3008,1515)</f>
        <v>n.r.</v>
      </c>
      <c r="AF25" s="2735"/>
      <c r="AG25" s="2735" t="str">
        <f>LANGUAGE!$I$4</f>
        <v>Yes</v>
      </c>
      <c r="AH25" s="2735"/>
      <c r="AI25" s="2735" t="str">
        <f>LANGUAGE!$I$5</f>
        <v>No</v>
      </c>
      <c r="AJ25" s="2735"/>
      <c r="AK25" s="2735" t="str">
        <f>HLOOKUP(LANGUAGE!$B$2,LANGUAGE!$C$14:$G$3008,1515)</f>
        <v>n.r.</v>
      </c>
      <c r="AL25" s="2735"/>
      <c r="AM25" s="2735" t="str">
        <f>LANGUAGE!$I$4</f>
        <v>Yes</v>
      </c>
      <c r="AN25" s="2735"/>
      <c r="AO25" s="2735" t="str">
        <f>LANGUAGE!$I$5</f>
        <v>No</v>
      </c>
      <c r="AP25" s="2735"/>
      <c r="AQ25" s="2735" t="str">
        <f>HLOOKUP(LANGUAGE!$B$2,LANGUAGE!$C$14:$G$3008,1515)</f>
        <v>n.r.</v>
      </c>
      <c r="AR25" s="2780"/>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746"/>
      <c r="CT25" s="2746"/>
      <c r="CU25" s="2746"/>
      <c r="CV25" s="2746"/>
      <c r="CW25" s="2746"/>
      <c r="CX25" s="2746"/>
      <c r="CY25" s="2746"/>
      <c r="CZ25" s="2746"/>
      <c r="DA25" s="2746"/>
      <c r="DB25" s="2746"/>
      <c r="DC25" s="2746"/>
      <c r="DD25" s="2746"/>
      <c r="DE25" s="2746"/>
      <c r="DF25" s="2746"/>
      <c r="DG25" s="2746"/>
      <c r="DH25" s="2746"/>
      <c r="DI25" s="2746"/>
      <c r="DJ25" s="2746"/>
      <c r="DK25" s="2746"/>
      <c r="DL25" s="2746"/>
      <c r="DM25" s="2746"/>
      <c r="DN25" s="2746"/>
      <c r="DO25" s="2746"/>
      <c r="DP25" s="2746"/>
      <c r="DQ25" s="2746"/>
      <c r="DR25" s="2746"/>
      <c r="DS25" s="2746"/>
      <c r="DT25" s="2746"/>
      <c r="DU25" s="2746"/>
      <c r="DV25" s="2746"/>
      <c r="DW25" s="2746"/>
      <c r="DX25" s="2746"/>
      <c r="DY25" s="2746"/>
      <c r="DZ25" s="2746"/>
      <c r="EA25" s="2746"/>
      <c r="EB25" s="2746"/>
    </row>
    <row r="26" spans="1:436" ht="40.549999999999997" customHeight="1" x14ac:dyDescent="0.25">
      <c r="A26" s="237"/>
      <c r="B26" s="2743">
        <v>1</v>
      </c>
      <c r="C26" s="2744"/>
      <c r="D26" s="2728" t="str">
        <f>HLOOKUP(LANGUAGE!$B$2,LANGUAGE!$C$14:$G$3008,1519)</f>
        <v>Is there a potential risk that parts from Brose and competitor or similar parts can be mixed in this step?</v>
      </c>
      <c r="E26" s="2728"/>
      <c r="F26" s="2728"/>
      <c r="G26" s="2728"/>
      <c r="H26" s="2728"/>
      <c r="I26" s="2728"/>
      <c r="J26" s="2728"/>
      <c r="K26" s="2728"/>
      <c r="L26" s="2728"/>
      <c r="M26" s="2728"/>
      <c r="N26" s="2728"/>
      <c r="O26" s="2732"/>
      <c r="P26" s="2732"/>
      <c r="Q26" s="2732"/>
      <c r="R26" s="2732"/>
      <c r="S26" s="2732"/>
      <c r="T26" s="2732"/>
      <c r="U26" s="2732"/>
      <c r="V26" s="2732"/>
      <c r="W26" s="2732"/>
      <c r="X26" s="2732"/>
      <c r="Y26" s="2732"/>
      <c r="Z26" s="2732"/>
      <c r="AA26" s="2732"/>
      <c r="AB26" s="2732"/>
      <c r="AC26" s="2732"/>
      <c r="AD26" s="2732"/>
      <c r="AE26" s="2732"/>
      <c r="AF26" s="2732"/>
      <c r="AG26" s="2732"/>
      <c r="AH26" s="2732"/>
      <c r="AI26" s="2732"/>
      <c r="AJ26" s="2732"/>
      <c r="AK26" s="2732"/>
      <c r="AL26" s="2732"/>
      <c r="AM26" s="2732"/>
      <c r="AN26" s="2732"/>
      <c r="AO26" s="2732"/>
      <c r="AP26" s="2732"/>
      <c r="AQ26" s="2732"/>
      <c r="AR26" s="2752"/>
      <c r="AS26" s="284"/>
      <c r="AT26" s="284"/>
      <c r="AU26" s="284"/>
      <c r="AV26" s="284"/>
      <c r="AW26" s="284"/>
      <c r="AX26" s="284"/>
      <c r="AY26" s="284"/>
      <c r="AZ26" s="284"/>
      <c r="BA26" s="284"/>
      <c r="BB26" s="284"/>
      <c r="BC26" s="2775"/>
      <c r="BD26" s="2775"/>
      <c r="BE26" s="2775"/>
      <c r="BF26" s="2775"/>
      <c r="BG26" s="2775"/>
      <c r="BH26" s="2775"/>
      <c r="BI26" s="2775"/>
      <c r="BJ26" s="2775"/>
      <c r="BK26" s="2775"/>
      <c r="BL26" s="2775"/>
      <c r="BM26" s="2775"/>
      <c r="BN26" s="2775"/>
      <c r="BU26" s="237"/>
      <c r="BV26" s="2749"/>
      <c r="BW26" s="2749"/>
      <c r="BX26" s="2749"/>
      <c r="BY26" s="2747"/>
      <c r="BZ26" s="2747"/>
      <c r="CA26" s="2747"/>
      <c r="CB26" s="2747"/>
      <c r="CC26" s="2747"/>
      <c r="CD26" s="2747"/>
      <c r="CE26" s="2747"/>
      <c r="CF26" s="2747"/>
      <c r="CG26" s="2747"/>
      <c r="CH26" s="2747"/>
      <c r="CI26" s="2747"/>
      <c r="CJ26" s="2747"/>
      <c r="CK26" s="2747"/>
      <c r="CL26" s="2747"/>
      <c r="CM26" s="2747"/>
      <c r="CN26" s="2747"/>
      <c r="CO26" s="2747"/>
      <c r="CP26" s="2747"/>
      <c r="CQ26" s="2747"/>
      <c r="CR26" s="2747"/>
      <c r="DV26" s="2746"/>
      <c r="DW26" s="2746"/>
      <c r="DX26" s="2746"/>
      <c r="DY26" s="2746"/>
      <c r="DZ26" s="2746"/>
      <c r="EA26" s="2746"/>
      <c r="EB26" s="2746"/>
      <c r="EC26" s="2746"/>
      <c r="ED26" s="2746"/>
      <c r="EE26" s="2746"/>
      <c r="EF26" s="2746"/>
      <c r="EG26" s="2746"/>
      <c r="EH26" s="2746"/>
      <c r="EI26" s="2746"/>
    </row>
    <row r="27" spans="1:436" ht="36.799999999999997" customHeight="1" x14ac:dyDescent="0.25">
      <c r="A27" s="237"/>
      <c r="B27" s="2743">
        <v>2</v>
      </c>
      <c r="C27" s="2744"/>
      <c r="D27" s="2728" t="str">
        <f>HLOOKUP(LANGUAGE!$B$2,LANGUAGE!$C$14:$G$3008,1523)</f>
        <v>If yes to question #1, is there a robust control in place to prevent parts from being mixed in this step?</v>
      </c>
      <c r="E27" s="2728"/>
      <c r="F27" s="2728"/>
      <c r="G27" s="2728"/>
      <c r="H27" s="2728"/>
      <c r="I27" s="2728"/>
      <c r="J27" s="2728"/>
      <c r="K27" s="2728"/>
      <c r="L27" s="2728"/>
      <c r="M27" s="2728"/>
      <c r="N27" s="2728"/>
      <c r="O27" s="2732"/>
      <c r="P27" s="2732"/>
      <c r="Q27" s="2732"/>
      <c r="R27" s="2732"/>
      <c r="S27" s="2732"/>
      <c r="T27" s="2732"/>
      <c r="U27" s="2732"/>
      <c r="V27" s="2732"/>
      <c r="W27" s="2732"/>
      <c r="X27" s="2732"/>
      <c r="Y27" s="2732"/>
      <c r="Z27" s="2732"/>
      <c r="AA27" s="2732"/>
      <c r="AB27" s="2732"/>
      <c r="AC27" s="2732"/>
      <c r="AD27" s="2732"/>
      <c r="AE27" s="2732"/>
      <c r="AF27" s="2732"/>
      <c r="AG27" s="2732"/>
      <c r="AH27" s="2732"/>
      <c r="AI27" s="2732"/>
      <c r="AJ27" s="2732"/>
      <c r="AK27" s="2732"/>
      <c r="AL27" s="2732"/>
      <c r="AM27" s="2732"/>
      <c r="AN27" s="2732"/>
      <c r="AO27" s="2732"/>
      <c r="AP27" s="2732"/>
      <c r="AQ27" s="2732"/>
      <c r="AR27" s="2752"/>
      <c r="AS27" s="284"/>
      <c r="AT27" s="284"/>
      <c r="AU27" s="284"/>
      <c r="AV27" s="284"/>
      <c r="AW27" s="284"/>
      <c r="AX27" s="284"/>
      <c r="AY27" s="284"/>
      <c r="AZ27" s="284"/>
      <c r="BA27" s="284"/>
      <c r="BB27" s="284"/>
      <c r="BC27" s="2775"/>
      <c r="BD27" s="2775"/>
      <c r="BE27" s="2775"/>
      <c r="BF27" s="2775"/>
      <c r="BG27" s="2775"/>
      <c r="BH27" s="2775"/>
      <c r="BI27" s="2775"/>
      <c r="BJ27" s="2775"/>
      <c r="BK27" s="2775"/>
      <c r="BL27" s="2775"/>
      <c r="BM27" s="2775"/>
      <c r="BN27" s="2775"/>
      <c r="BU27" s="237"/>
      <c r="BV27" s="2749"/>
      <c r="BW27" s="2749"/>
      <c r="BX27" s="2749"/>
      <c r="BY27" s="2747"/>
      <c r="BZ27" s="2747"/>
      <c r="CA27" s="2747"/>
      <c r="CB27" s="2747"/>
      <c r="CC27" s="2747"/>
      <c r="CD27" s="2747"/>
      <c r="CE27" s="2747"/>
      <c r="CF27" s="2747"/>
      <c r="CG27" s="2747"/>
      <c r="CH27" s="2747"/>
      <c r="CI27" s="2747"/>
      <c r="CJ27" s="2747"/>
      <c r="CK27" s="2747"/>
      <c r="CL27" s="2747"/>
      <c r="CM27" s="2747"/>
      <c r="CN27" s="2747"/>
      <c r="CO27" s="2747"/>
      <c r="CP27" s="2747"/>
      <c r="CQ27" s="2747"/>
      <c r="CR27" s="2747"/>
      <c r="DV27" s="2746"/>
      <c r="DW27" s="2746"/>
      <c r="DX27" s="2746"/>
      <c r="DY27" s="2746"/>
      <c r="DZ27" s="2746"/>
      <c r="EA27" s="2746"/>
      <c r="EB27" s="2746"/>
      <c r="EC27" s="2746"/>
      <c r="ED27" s="2746"/>
      <c r="EE27" s="2746"/>
      <c r="EF27" s="2746"/>
      <c r="EG27" s="2746"/>
      <c r="EH27" s="2746"/>
      <c r="EI27" s="2746"/>
    </row>
    <row r="28" spans="1:436" ht="111.8" customHeight="1" x14ac:dyDescent="0.25">
      <c r="B28" s="2729" t="str">
        <f>HLOOKUP(LANGUAGE!$B$2,LANGUAGE!$C$14:$G$3008,1527)</f>
        <v>If yes to question #2, have to explain in detail what are the robust controls?</v>
      </c>
      <c r="C28" s="2728"/>
      <c r="D28" s="2728"/>
      <c r="E28" s="2728"/>
      <c r="F28" s="2728"/>
      <c r="G28" s="2728"/>
      <c r="H28" s="2728"/>
      <c r="I28" s="2728"/>
      <c r="J28" s="2728"/>
      <c r="K28" s="2728"/>
      <c r="L28" s="2728"/>
      <c r="M28" s="2728"/>
      <c r="N28" s="2728"/>
      <c r="O28" s="2745"/>
      <c r="P28" s="2745"/>
      <c r="Q28" s="2745"/>
      <c r="R28" s="2745"/>
      <c r="S28" s="2745"/>
      <c r="T28" s="2745"/>
      <c r="U28" s="2745"/>
      <c r="V28" s="2745"/>
      <c r="W28" s="2745"/>
      <c r="X28" s="2745"/>
      <c r="Y28" s="2745"/>
      <c r="Z28" s="2745"/>
      <c r="AA28" s="2745"/>
      <c r="AB28" s="2745"/>
      <c r="AC28" s="2745"/>
      <c r="AD28" s="2745"/>
      <c r="AE28" s="2745"/>
      <c r="AF28" s="2745"/>
      <c r="AG28" s="2745"/>
      <c r="AH28" s="2745"/>
      <c r="AI28" s="2745"/>
      <c r="AJ28" s="2745"/>
      <c r="AK28" s="2745"/>
      <c r="AL28" s="2745"/>
      <c r="AM28" s="2745"/>
      <c r="AN28" s="2745"/>
      <c r="AO28" s="2745"/>
      <c r="AP28" s="2745"/>
      <c r="AQ28" s="2745"/>
      <c r="AR28" s="2776"/>
      <c r="AS28" s="335"/>
      <c r="AT28" s="335"/>
      <c r="AU28" s="2751"/>
      <c r="AV28" s="2751"/>
      <c r="AW28" s="2751"/>
      <c r="AX28" s="2751"/>
      <c r="AY28" s="2751"/>
      <c r="AZ28" s="2751"/>
      <c r="BA28" s="2751"/>
      <c r="BB28" s="2751"/>
      <c r="BC28" s="2775"/>
      <c r="BD28" s="2775"/>
      <c r="BE28" s="2775"/>
      <c r="BF28" s="2775"/>
      <c r="BG28" s="2775"/>
      <c r="BH28" s="2775"/>
      <c r="BI28" s="2775"/>
      <c r="BJ28" s="2775"/>
      <c r="BK28" s="2775"/>
      <c r="BL28" s="2775"/>
      <c r="BM28" s="2775"/>
      <c r="BN28" s="2775"/>
      <c r="BV28" s="2748"/>
      <c r="BW28" s="2748"/>
      <c r="BX28" s="2748"/>
      <c r="BY28" s="2748"/>
      <c r="BZ28" s="2748"/>
      <c r="CA28" s="2748"/>
      <c r="CB28" s="2748"/>
      <c r="CC28" s="2748"/>
      <c r="CD28" s="2748"/>
      <c r="CE28" s="2748"/>
      <c r="CF28" s="2748"/>
      <c r="CG28" s="2748"/>
      <c r="CH28" s="2748"/>
      <c r="CI28" s="2748"/>
      <c r="CJ28" s="2748"/>
      <c r="CK28" s="2748"/>
      <c r="CL28" s="2748"/>
      <c r="CM28" s="2748"/>
      <c r="CN28" s="2748"/>
      <c r="CO28" s="2748"/>
      <c r="CP28" s="2748"/>
      <c r="CQ28" s="2748"/>
      <c r="CR28" s="2748"/>
      <c r="CS28" s="2756"/>
      <c r="CT28" s="2756"/>
      <c r="CU28" s="2756"/>
      <c r="CV28" s="2756"/>
      <c r="CW28" s="2756"/>
      <c r="CX28" s="2756"/>
      <c r="CY28" s="2756"/>
      <c r="CZ28" s="2756"/>
      <c r="DA28" s="2756"/>
      <c r="DB28" s="2756"/>
      <c r="DC28" s="2756"/>
      <c r="DD28" s="2756"/>
      <c r="DE28" s="2756"/>
      <c r="DF28" s="2756"/>
      <c r="DG28" s="2756"/>
      <c r="DH28" s="2756"/>
      <c r="DI28" s="2756"/>
      <c r="DJ28" s="2756"/>
      <c r="DK28" s="2756"/>
      <c r="DL28" s="2756"/>
      <c r="DM28" s="2756"/>
      <c r="DN28" s="2756"/>
      <c r="DO28" s="2756"/>
      <c r="DP28" s="2756"/>
      <c r="DQ28" s="2756"/>
      <c r="DR28" s="2756"/>
      <c r="DS28" s="2756"/>
      <c r="DT28" s="2756"/>
      <c r="DU28" s="2756"/>
      <c r="DV28" s="2747"/>
      <c r="DW28" s="2747"/>
      <c r="DX28" s="2747"/>
      <c r="DY28" s="2747"/>
      <c r="DZ28" s="2747"/>
      <c r="EA28" s="2747"/>
      <c r="EB28" s="2747"/>
      <c r="EC28" s="2747"/>
      <c r="ED28" s="2747"/>
      <c r="EE28" s="2747"/>
      <c r="EF28" s="2747"/>
      <c r="EG28" s="2747"/>
      <c r="EH28" s="2747"/>
      <c r="EI28" s="2747"/>
    </row>
    <row r="29" spans="1:436" ht="119.3" customHeight="1" x14ac:dyDescent="0.25">
      <c r="B29" s="2729" t="str">
        <f>HLOOKUP(LANGUAGE!$B$2,LANGUAGE!$C$14:$G$3008,1531)</f>
        <v>If no controls are in place, then what actions are necessary to implement a robust control?</v>
      </c>
      <c r="C29" s="2728"/>
      <c r="D29" s="2728"/>
      <c r="E29" s="2728"/>
      <c r="F29" s="2728"/>
      <c r="G29" s="2728"/>
      <c r="H29" s="2728"/>
      <c r="I29" s="2728"/>
      <c r="J29" s="2728"/>
      <c r="K29" s="2728"/>
      <c r="L29" s="2728"/>
      <c r="M29" s="2728"/>
      <c r="N29" s="2728"/>
      <c r="O29" s="2745"/>
      <c r="P29" s="2745"/>
      <c r="Q29" s="2745"/>
      <c r="R29" s="2745"/>
      <c r="S29" s="2745"/>
      <c r="T29" s="2745"/>
      <c r="U29" s="2745"/>
      <c r="V29" s="2745"/>
      <c r="W29" s="2745"/>
      <c r="X29" s="2745"/>
      <c r="Y29" s="2745"/>
      <c r="Z29" s="2745"/>
      <c r="AA29" s="2745"/>
      <c r="AB29" s="2745"/>
      <c r="AC29" s="2745"/>
      <c r="AD29" s="2745"/>
      <c r="AE29" s="2745"/>
      <c r="AF29" s="2745"/>
      <c r="AG29" s="2777"/>
      <c r="AH29" s="2777"/>
      <c r="AI29" s="2777"/>
      <c r="AJ29" s="2777"/>
      <c r="AK29" s="2777"/>
      <c r="AL29" s="2777"/>
      <c r="AM29" s="2777"/>
      <c r="AN29" s="2777"/>
      <c r="AO29" s="2777"/>
      <c r="AP29" s="2777"/>
      <c r="AQ29" s="2777"/>
      <c r="AR29" s="2778"/>
      <c r="AS29" s="284"/>
      <c r="AT29" s="284"/>
      <c r="AU29" s="2750"/>
      <c r="AV29" s="2750"/>
      <c r="AW29" s="2750"/>
      <c r="AX29" s="2750"/>
      <c r="AY29" s="2750"/>
      <c r="AZ29" s="2750"/>
      <c r="BA29" s="2750"/>
      <c r="BB29" s="2750"/>
      <c r="BC29" s="2775"/>
      <c r="BD29" s="2775"/>
      <c r="BE29" s="2775"/>
      <c r="BF29" s="2775"/>
      <c r="BG29" s="2775"/>
      <c r="BH29" s="2775"/>
      <c r="BI29" s="2775"/>
      <c r="BJ29" s="2775"/>
      <c r="BK29" s="2775"/>
      <c r="BL29" s="2775"/>
      <c r="BM29" s="2775"/>
      <c r="BN29" s="2775"/>
      <c r="BV29" s="2748"/>
      <c r="BW29" s="2748"/>
      <c r="BX29" s="2748"/>
      <c r="BY29" s="2748"/>
      <c r="BZ29" s="2748"/>
      <c r="CA29" s="2748"/>
      <c r="CB29" s="2748"/>
      <c r="CC29" s="2748"/>
      <c r="CD29" s="2748"/>
      <c r="CE29" s="2748"/>
      <c r="CF29" s="2748"/>
      <c r="CG29" s="2748"/>
      <c r="CH29" s="2748"/>
      <c r="CI29" s="2748"/>
      <c r="CJ29" s="2748"/>
      <c r="CK29" s="2748"/>
      <c r="CL29" s="2748"/>
      <c r="CM29" s="2748"/>
      <c r="CN29" s="2748"/>
      <c r="CO29" s="2748"/>
      <c r="CP29" s="2748"/>
      <c r="CQ29" s="2748"/>
      <c r="CR29" s="2748"/>
      <c r="CS29" s="2756"/>
      <c r="CT29" s="2756"/>
      <c r="CU29" s="2756"/>
      <c r="CV29" s="2756"/>
      <c r="CW29" s="2756"/>
      <c r="CX29" s="2756"/>
      <c r="CY29" s="2756"/>
      <c r="CZ29" s="2755"/>
      <c r="DA29" s="2755"/>
      <c r="DB29" s="2755"/>
      <c r="DC29" s="2755"/>
      <c r="DD29" s="2755"/>
      <c r="DE29" s="2755"/>
      <c r="DF29" s="2755"/>
      <c r="DG29" s="2755"/>
      <c r="DH29" s="2755"/>
      <c r="DI29" s="2755"/>
      <c r="DJ29" s="2755"/>
      <c r="DK29" s="2755"/>
      <c r="DL29" s="2755"/>
      <c r="DM29" s="2755"/>
      <c r="DN29" s="2755"/>
      <c r="DO29" s="2755"/>
      <c r="DP29" s="2755"/>
      <c r="DQ29" s="2755"/>
      <c r="DR29" s="2755"/>
      <c r="DS29" s="2755"/>
      <c r="DT29" s="2755"/>
      <c r="DU29" s="2755"/>
      <c r="DV29" s="2746"/>
      <c r="DW29" s="2746"/>
      <c r="DX29" s="2746"/>
      <c r="DY29" s="2746"/>
      <c r="DZ29" s="2746"/>
      <c r="EA29" s="2746"/>
      <c r="EB29" s="2746"/>
      <c r="EC29" s="2746"/>
      <c r="ED29" s="2746"/>
      <c r="EE29" s="2746"/>
      <c r="EF29" s="2746"/>
      <c r="EG29" s="2746"/>
      <c r="EH29" s="2746"/>
      <c r="EI29" s="2746"/>
    </row>
    <row r="30" spans="1:436" ht="28.2" customHeight="1" thickBot="1" x14ac:dyDescent="0.3">
      <c r="B30" s="2772" t="str">
        <f>HLOOKUP(LANGUAGE!$B$2,LANGUAGE!$C$14:$G$3008,1535)</f>
        <v>Additional Containment activities?</v>
      </c>
      <c r="C30" s="2773"/>
      <c r="D30" s="2773"/>
      <c r="E30" s="2773"/>
      <c r="F30" s="2773"/>
      <c r="G30" s="2773"/>
      <c r="H30" s="2773"/>
      <c r="I30" s="2773"/>
      <c r="J30" s="2773"/>
      <c r="K30" s="2773"/>
      <c r="L30" s="2773"/>
      <c r="M30" s="2773"/>
      <c r="N30" s="2773"/>
      <c r="O30" s="2736" t="s">
        <v>1567</v>
      </c>
      <c r="P30" s="2736"/>
      <c r="Q30" s="2736"/>
      <c r="R30" s="2736"/>
      <c r="S30" s="2736"/>
      <c r="T30" s="2736"/>
      <c r="U30" s="2736"/>
      <c r="V30" s="2736"/>
      <c r="W30" s="2736"/>
      <c r="X30" s="2736"/>
      <c r="Y30" s="2736"/>
      <c r="Z30" s="2736"/>
      <c r="AA30" s="2736"/>
      <c r="AB30" s="2736"/>
      <c r="AC30" s="2736"/>
      <c r="AD30" s="2736"/>
      <c r="AE30" s="2736"/>
      <c r="AF30" s="2736"/>
      <c r="AG30" s="2736"/>
      <c r="AH30" s="2736"/>
      <c r="AI30" s="2736"/>
      <c r="AJ30" s="2736"/>
      <c r="AK30" s="2736"/>
      <c r="AL30" s="2736"/>
      <c r="AM30" s="2736"/>
      <c r="AN30" s="2736"/>
      <c r="AO30" s="2736"/>
      <c r="AP30" s="2736"/>
      <c r="AQ30" s="2736"/>
      <c r="AR30" s="2737"/>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V30" s="2748"/>
      <c r="BW30" s="2748"/>
      <c r="BX30" s="2748"/>
      <c r="BY30" s="2748"/>
      <c r="BZ30" s="2748"/>
      <c r="CA30" s="2748"/>
      <c r="CB30" s="2748"/>
      <c r="CC30" s="2748"/>
      <c r="CD30" s="2748"/>
      <c r="CE30" s="2748"/>
      <c r="CF30" s="2748"/>
      <c r="CG30" s="2748"/>
      <c r="CH30" s="2748"/>
      <c r="CI30" s="2748"/>
      <c r="CJ30" s="2748"/>
      <c r="CK30" s="2748"/>
      <c r="CL30" s="2748"/>
      <c r="CM30" s="2748"/>
      <c r="CN30" s="2748"/>
      <c r="CO30" s="2748"/>
      <c r="CP30" s="2748"/>
      <c r="CQ30" s="2748"/>
      <c r="CR30" s="2748"/>
      <c r="CS30" s="2746"/>
      <c r="CT30" s="2746"/>
      <c r="CU30" s="2746"/>
      <c r="CV30" s="2746"/>
      <c r="CW30" s="2746"/>
      <c r="CX30" s="2746"/>
      <c r="CY30" s="2746"/>
      <c r="CZ30" s="2746"/>
      <c r="DA30" s="2746"/>
      <c r="DB30" s="2746"/>
      <c r="DC30" s="2746"/>
      <c r="DD30" s="2746"/>
      <c r="DE30" s="2746"/>
      <c r="DF30" s="2746"/>
      <c r="DG30" s="2746"/>
      <c r="DH30" s="2746"/>
      <c r="DI30" s="2746"/>
      <c r="DJ30" s="2746"/>
      <c r="DK30" s="2746"/>
      <c r="DL30" s="2746"/>
      <c r="DM30" s="2746"/>
      <c r="DN30" s="2746"/>
      <c r="DO30" s="2746"/>
      <c r="DP30" s="2746"/>
      <c r="DQ30" s="2746"/>
      <c r="DR30" s="2746"/>
      <c r="DS30" s="2746"/>
      <c r="DT30" s="2746"/>
      <c r="DU30" s="2746"/>
      <c r="DV30" s="2746"/>
      <c r="DW30" s="2746"/>
      <c r="DX30" s="2746"/>
      <c r="DY30" s="2746"/>
      <c r="DZ30" s="2746"/>
      <c r="EA30" s="2746"/>
      <c r="EB30" s="2746"/>
      <c r="EC30" s="2746"/>
      <c r="ED30" s="2746"/>
      <c r="EE30" s="2746"/>
      <c r="EF30" s="2746"/>
      <c r="EG30" s="2746"/>
      <c r="EH30" s="2746"/>
      <c r="EI30" s="2746"/>
    </row>
    <row r="31" spans="1:436" ht="17.25" customHeight="1" x14ac:dyDescent="0.25">
      <c r="B31" s="238"/>
      <c r="C31" s="238"/>
      <c r="D31" s="238"/>
      <c r="E31" s="238"/>
      <c r="F31" s="238"/>
      <c r="G31" s="238"/>
      <c r="H31" s="238"/>
      <c r="I31" s="238"/>
      <c r="J31" s="238"/>
      <c r="K31" s="238"/>
      <c r="L31" s="238"/>
      <c r="M31" s="238"/>
      <c r="N31" s="238"/>
      <c r="O31" s="2715" t="str">
        <f>HLOOKUP(LANGUAGE!$B$2,LANGUAGE!$C$14:$G$3008,1539)</f>
        <v>Please insert result for proccess step</v>
      </c>
      <c r="P31" s="2715"/>
      <c r="Q31" s="2715"/>
      <c r="R31" s="2715"/>
      <c r="S31" s="2715"/>
      <c r="T31" s="2715"/>
      <c r="U31" s="2715"/>
      <c r="V31" s="2715"/>
      <c r="W31" s="2715"/>
      <c r="X31" s="2715"/>
      <c r="Y31" s="2715"/>
      <c r="Z31" s="2715"/>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row>
    <row r="32" spans="1:436" ht="21.8" customHeight="1" x14ac:dyDescent="0.25">
      <c r="B32" s="2774" t="str">
        <f>HLOOKUP(LANGUAGE!$B$2,LANGUAGE!$C$14:$G$3008,1547)</f>
        <v>Status of process step</v>
      </c>
      <c r="C32" s="2774"/>
      <c r="D32" s="2774"/>
      <c r="E32" s="2774"/>
      <c r="F32" s="2774"/>
      <c r="G32" s="2774"/>
      <c r="H32" s="2774"/>
      <c r="I32" s="2774"/>
      <c r="J32" s="2774"/>
      <c r="K32" s="2774"/>
      <c r="L32" s="2774"/>
      <c r="M32" s="2774"/>
      <c r="N32" s="2774"/>
      <c r="O32" s="1510"/>
      <c r="P32" s="1510"/>
      <c r="Q32" s="1510"/>
      <c r="R32" s="1510"/>
      <c r="S32" s="1510"/>
      <c r="T32" s="1510"/>
      <c r="U32" s="1510"/>
      <c r="V32" s="1510"/>
      <c r="W32" s="1510"/>
      <c r="X32" s="1510"/>
      <c r="Y32" s="1510"/>
      <c r="Z32" s="1510"/>
      <c r="AA32" s="1510"/>
      <c r="AB32" s="1510"/>
      <c r="AC32" s="1510"/>
      <c r="AD32" s="1510"/>
      <c r="AE32" s="1510"/>
      <c r="AF32" s="1510"/>
      <c r="AG32" s="1510"/>
      <c r="AH32" s="1510"/>
      <c r="AI32" s="1510"/>
      <c r="AJ32" s="1510"/>
      <c r="AK32" s="1510"/>
      <c r="AL32" s="1510"/>
      <c r="AM32" s="1510"/>
      <c r="AN32" s="1510"/>
      <c r="AO32" s="1510"/>
      <c r="AP32" s="1510"/>
      <c r="AQ32" s="1510"/>
      <c r="AR32" s="1510"/>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V32" s="336"/>
      <c r="BW32" s="336"/>
      <c r="BX32" s="336"/>
      <c r="BY32" s="336"/>
      <c r="BZ32" s="2768">
        <f>IF(ISNUMBER(MATCH(O32,LANGUAGE!$C$138:$G$138,0)),1,IF(ISNUMBER(MATCH(O32,LANGUAGE!$C$139:$G$139,0)),2,IF(ISNUMBER(MATCH(O32,LANGUAGE!$C$140:$G$140,0)),3,0)))</f>
        <v>0</v>
      </c>
      <c r="CA32" s="2768"/>
      <c r="CB32" s="2768"/>
      <c r="CC32" s="2768"/>
      <c r="CD32" s="2768"/>
      <c r="CE32" s="2768"/>
      <c r="CF32" s="2768">
        <f>IF(ISNUMBER(MATCH(U32,LANGUAGE!$C$138:$G$138,0)),1,IF(ISNUMBER(MATCH(U32,LANGUAGE!$C$139:$G$139,0)),2,IF(ISNUMBER(MATCH(U32,LANGUAGE!$C$140:$G$140,0)),3,0)))</f>
        <v>0</v>
      </c>
      <c r="CG32" s="2768"/>
      <c r="CH32" s="2768"/>
      <c r="CI32" s="2768"/>
      <c r="CJ32" s="2768"/>
      <c r="CK32" s="2768"/>
      <c r="CL32" s="2768">
        <f>IF(ISNUMBER(MATCH(AA32,LANGUAGE!$C$138:$G$138,0)),1,IF(ISNUMBER(MATCH(AA32,LANGUAGE!$C$139:$G$139,0)),2,IF(ISNUMBER(MATCH(AA32,LANGUAGE!$C$140:$G$140,0)),3,0)))</f>
        <v>0</v>
      </c>
      <c r="CM32" s="2768"/>
      <c r="CN32" s="2768"/>
      <c r="CO32" s="2768"/>
      <c r="CP32" s="2768"/>
      <c r="CQ32" s="2768"/>
      <c r="CR32" s="2768">
        <f>IF(ISNUMBER(MATCH(AG32,LANGUAGE!$C$138:$G$138,0)),1,IF(ISNUMBER(MATCH(AG32,LANGUAGE!$C$139:$G$139,0)),2,IF(ISNUMBER(MATCH(AG32,LANGUAGE!$C$140:$G$140,0)),3,0)))</f>
        <v>0</v>
      </c>
      <c r="CS32" s="2768"/>
      <c r="CT32" s="2768"/>
      <c r="CU32" s="2768"/>
      <c r="CV32" s="2768"/>
      <c r="CW32" s="2768"/>
      <c r="CX32" s="2768">
        <f>IF(ISNUMBER(MATCH(AM32,LANGUAGE!$C$138:$G$138,0)),1,IF(ISNUMBER(MATCH(AM32,LANGUAGE!$C$139:$G$139,0)),2,IF(ISNUMBER(MATCH(AM32,LANGUAGE!$C$140:$G$140,0)),3,0)))</f>
        <v>0</v>
      </c>
      <c r="CY32" s="2768"/>
      <c r="CZ32" s="2768"/>
      <c r="DA32" s="2768"/>
      <c r="DB32" s="2768"/>
      <c r="DC32" s="2768"/>
      <c r="DN32" s="2746"/>
      <c r="DO32" s="2746"/>
      <c r="DP32" s="2746"/>
      <c r="DQ32" s="2746"/>
      <c r="DR32" s="2746"/>
      <c r="DS32" s="2746"/>
      <c r="DT32" s="2746"/>
      <c r="DU32" s="2746"/>
      <c r="DV32" s="2746"/>
      <c r="DW32" s="2746"/>
      <c r="DX32" s="2746"/>
      <c r="DY32" s="2746"/>
      <c r="DZ32" s="2746"/>
      <c r="EA32" s="2746"/>
      <c r="EB32" s="2746"/>
      <c r="EC32" s="2746"/>
      <c r="ED32" s="2746"/>
      <c r="EE32" s="2746"/>
      <c r="EF32" s="2746"/>
      <c r="EG32" s="2746"/>
      <c r="EH32" s="2746"/>
      <c r="EI32" s="2746"/>
    </row>
    <row r="33" spans="2:139" ht="17.25" customHeight="1" x14ac:dyDescent="0.25">
      <c r="B33" s="236"/>
      <c r="C33" s="236"/>
      <c r="D33" s="236"/>
      <c r="E33" s="236"/>
      <c r="F33" s="236"/>
      <c r="G33" s="236"/>
      <c r="H33" s="236"/>
      <c r="I33" s="236"/>
      <c r="J33" s="236"/>
      <c r="K33" s="236"/>
      <c r="L33" s="236"/>
      <c r="M33" s="236"/>
      <c r="N33" s="236"/>
      <c r="O33" s="2714" t="str">
        <f>HLOOKUP(LANGUAGE!$B$2,LANGUAGE!$C$14:$G$3008,1543)</f>
        <v xml:space="preserve">Please insert total result </v>
      </c>
      <c r="P33" s="2714"/>
      <c r="Q33" s="2714"/>
      <c r="R33" s="2714"/>
      <c r="S33" s="2714"/>
      <c r="T33" s="2714"/>
      <c r="U33" s="2714"/>
      <c r="V33" s="2714"/>
      <c r="W33" s="2714"/>
      <c r="X33" s="2714"/>
      <c r="Y33" s="2714"/>
      <c r="Z33" s="2714"/>
      <c r="BV33" s="336"/>
      <c r="BW33" s="336"/>
      <c r="BX33" s="336"/>
      <c r="BY33" s="336"/>
      <c r="BZ33" s="2768"/>
      <c r="CA33" s="2768"/>
      <c r="CB33" s="2768"/>
      <c r="CC33" s="2768"/>
      <c r="CD33" s="2768"/>
      <c r="CE33" s="2768"/>
      <c r="CF33" s="336"/>
      <c r="CG33" s="336"/>
      <c r="CH33" s="336"/>
      <c r="CI33" s="336"/>
      <c r="CJ33" s="336"/>
      <c r="CK33" s="336"/>
      <c r="CL33" s="336"/>
      <c r="CM33" s="336"/>
      <c r="CN33" s="336"/>
      <c r="CO33" s="336"/>
      <c r="CP33" s="336"/>
      <c r="CQ33" s="336"/>
      <c r="CR33" s="336"/>
      <c r="CS33" s="2754"/>
      <c r="CT33" s="2754"/>
      <c r="CU33" s="2754"/>
      <c r="CV33" s="2754"/>
      <c r="CW33" s="2754"/>
      <c r="CX33" s="2754"/>
      <c r="CY33" s="2754"/>
      <c r="CZ33" s="2754"/>
      <c r="DA33" s="2754"/>
      <c r="DB33" s="2754"/>
      <c r="DC33" s="2754"/>
      <c r="DD33" s="2754"/>
      <c r="DE33" s="2754"/>
      <c r="DF33" s="2754"/>
      <c r="DG33" s="2754"/>
      <c r="DH33" s="2754"/>
      <c r="DI33" s="2754"/>
      <c r="DJ33" s="2754"/>
      <c r="DK33" s="2754"/>
      <c r="DL33" s="2754"/>
      <c r="DM33" s="2754"/>
      <c r="DN33" s="2754"/>
      <c r="DO33" s="2754"/>
      <c r="DP33" s="2754"/>
      <c r="DQ33" s="2754"/>
      <c r="DR33" s="2754"/>
      <c r="DS33" s="2754"/>
      <c r="DT33" s="2754"/>
      <c r="DU33" s="2754"/>
      <c r="DV33" s="2754"/>
      <c r="DW33" s="2754"/>
      <c r="DX33" s="2754"/>
      <c r="DY33" s="2754"/>
      <c r="DZ33" s="2754"/>
      <c r="EA33" s="2754"/>
      <c r="EB33" s="2754"/>
    </row>
    <row r="34" spans="2:139" ht="21" customHeight="1" x14ac:dyDescent="0.25">
      <c r="B34" s="2735" t="str">
        <f>HLOOKUP(LANGUAGE!$B$2,LANGUAGE!$C$14:$G$3008,1551)</f>
        <v>Overall result</v>
      </c>
      <c r="C34" s="2735"/>
      <c r="D34" s="2735"/>
      <c r="E34" s="2735"/>
      <c r="F34" s="2735"/>
      <c r="G34" s="2735"/>
      <c r="H34" s="2735"/>
      <c r="I34" s="2735"/>
      <c r="J34" s="2735"/>
      <c r="K34" s="2735"/>
      <c r="L34" s="2735"/>
      <c r="M34" s="2735"/>
      <c r="N34" s="2735"/>
      <c r="O34" s="1692"/>
      <c r="P34" s="2713"/>
      <c r="Q34" s="2713"/>
      <c r="R34" s="2713"/>
      <c r="S34" s="2713"/>
      <c r="T34" s="2713"/>
      <c r="U34" s="2713"/>
      <c r="V34" s="2713"/>
      <c r="W34" s="2713"/>
      <c r="X34" s="2713"/>
      <c r="Y34" s="2713"/>
      <c r="Z34" s="2713"/>
      <c r="AA34" s="2713"/>
      <c r="AB34" s="2713"/>
      <c r="AC34" s="2713"/>
      <c r="AD34" s="2713"/>
      <c r="AE34" s="2713"/>
      <c r="AF34" s="2713"/>
      <c r="AG34" s="2713"/>
      <c r="AH34" s="2713"/>
      <c r="AI34" s="2713"/>
      <c r="AJ34" s="2713"/>
      <c r="AK34" s="2713"/>
      <c r="AL34" s="2713"/>
      <c r="AM34" s="2713"/>
      <c r="AN34" s="2713"/>
      <c r="AO34" s="2713"/>
      <c r="AP34" s="2713"/>
      <c r="AQ34" s="2713"/>
      <c r="AR34" s="1693"/>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V34" s="336"/>
      <c r="BW34" s="336"/>
      <c r="BX34" s="336"/>
      <c r="BY34" s="336"/>
      <c r="BZ34" s="242">
        <f>IF(ISNUMBER(MATCH(O34,LANGUAGE!$C$138:$G$138,0)),1,IF(ISNUMBER(MATCH(O34,LANGUAGE!$C$139:$G$139,0)),2,IF(ISNUMBER(MATCH(O34,LANGUAGE!$C$140:$G$140,0)),3,0)))</f>
        <v>0</v>
      </c>
      <c r="CA34" s="242"/>
      <c r="CB34" s="242"/>
      <c r="CC34" s="242"/>
      <c r="CD34" s="242"/>
      <c r="CE34" s="242"/>
      <c r="CF34" s="336"/>
      <c r="CG34" s="336"/>
      <c r="CH34" s="336"/>
      <c r="CI34" s="336"/>
      <c r="CJ34" s="336"/>
      <c r="CK34" s="336"/>
      <c r="CL34" s="336"/>
      <c r="CM34" s="336"/>
      <c r="CN34" s="336"/>
      <c r="CO34" s="336"/>
      <c r="CP34" s="336"/>
      <c r="CQ34" s="336"/>
      <c r="CR34" s="336"/>
      <c r="CS34" s="2753"/>
      <c r="CT34" s="2753"/>
      <c r="CU34" s="2753"/>
      <c r="CV34" s="2753"/>
      <c r="CW34" s="2753"/>
      <c r="CX34" s="2753"/>
      <c r="CY34" s="2753"/>
      <c r="CZ34" s="2753"/>
      <c r="DA34" s="2753"/>
      <c r="DB34" s="2753"/>
      <c r="DC34" s="2753"/>
      <c r="DD34" s="2753"/>
      <c r="DE34" s="2753"/>
      <c r="DF34" s="2753"/>
      <c r="DG34" s="2753"/>
      <c r="DH34" s="2753"/>
      <c r="DI34" s="2753"/>
      <c r="DJ34" s="2753"/>
      <c r="DK34" s="2753"/>
      <c r="DL34" s="2753"/>
      <c r="DM34" s="2753"/>
      <c r="DN34" s="2753"/>
      <c r="DO34" s="2753"/>
      <c r="DP34" s="2753"/>
      <c r="DQ34" s="2753"/>
      <c r="DR34" s="2753"/>
      <c r="DS34" s="2753"/>
      <c r="DT34" s="2753"/>
      <c r="DU34" s="2753"/>
      <c r="DV34" s="2753"/>
      <c r="DW34" s="2753"/>
      <c r="DX34" s="2753"/>
      <c r="DY34" s="2753"/>
      <c r="DZ34" s="2753"/>
      <c r="EA34" s="2753"/>
      <c r="EB34" s="2753"/>
      <c r="EC34" s="2753"/>
      <c r="ED34" s="2753"/>
      <c r="EE34" s="2753"/>
      <c r="EF34" s="2753"/>
      <c r="EG34" s="2753"/>
      <c r="EH34" s="2753"/>
      <c r="EI34" s="2753"/>
    </row>
    <row r="35" spans="2:139" ht="17.25" customHeight="1" thickBot="1" x14ac:dyDescent="0.3">
      <c r="B35" s="236"/>
      <c r="C35" s="236"/>
      <c r="D35" s="236"/>
      <c r="E35" s="236"/>
      <c r="F35" s="236"/>
      <c r="G35" s="236"/>
      <c r="H35" s="236"/>
      <c r="I35" s="236"/>
      <c r="J35" s="236"/>
      <c r="K35" s="236"/>
      <c r="L35" s="236"/>
      <c r="M35" s="236"/>
      <c r="N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row>
    <row r="36" spans="2:139" ht="17.25" customHeight="1" x14ac:dyDescent="0.25">
      <c r="B36" s="1394" t="str">
        <f>HLOOKUP(LANGUAGE!$B$2,LANGUAGE!$C$14:$G$1500,114)</f>
        <v>Remarks</v>
      </c>
      <c r="C36" s="1395"/>
      <c r="D36" s="1395"/>
      <c r="E36" s="1395"/>
      <c r="F36" s="1395"/>
      <c r="G36" s="1395"/>
      <c r="H36" s="1395"/>
      <c r="I36" s="1395"/>
      <c r="J36" s="1395"/>
      <c r="K36" s="1395"/>
      <c r="L36" s="1395"/>
      <c r="M36" s="1395"/>
      <c r="N36" s="1395"/>
      <c r="O36" s="1395"/>
      <c r="P36" s="1395"/>
      <c r="Q36" s="1395"/>
      <c r="R36" s="1395"/>
      <c r="S36" s="1395"/>
      <c r="T36" s="1395"/>
      <c r="U36" s="1395"/>
      <c r="V36" s="1395"/>
      <c r="W36" s="1395"/>
      <c r="X36" s="1395"/>
      <c r="Y36" s="1395"/>
      <c r="Z36" s="1395"/>
      <c r="AA36" s="1395"/>
      <c r="AB36" s="1395"/>
      <c r="AC36" s="1395"/>
      <c r="AD36" s="1395"/>
      <c r="AE36" s="1395"/>
      <c r="AF36" s="1395"/>
      <c r="AG36" s="1395"/>
      <c r="AH36" s="1395"/>
      <c r="AI36" s="1395"/>
      <c r="AJ36" s="1395"/>
      <c r="AK36" s="1395"/>
      <c r="AL36" s="1395"/>
      <c r="AM36" s="1395"/>
      <c r="AN36" s="1395"/>
      <c r="AO36" s="1395"/>
      <c r="AP36" s="1395"/>
      <c r="AQ36" s="1395"/>
      <c r="AR36" s="1396"/>
      <c r="AS36" s="240"/>
      <c r="AT36" s="240"/>
      <c r="AU36" s="240"/>
      <c r="AV36" s="240"/>
      <c r="AW36" s="240"/>
      <c r="AX36" s="240"/>
      <c r="AY36" s="240"/>
      <c r="AZ36" s="240"/>
      <c r="BA36" s="240"/>
      <c r="BB36" s="240"/>
      <c r="BC36" s="240"/>
      <c r="BD36" s="240"/>
      <c r="BE36" s="240"/>
      <c r="BF36" s="240"/>
      <c r="BG36" s="240"/>
      <c r="BH36" s="240"/>
      <c r="BI36" s="240"/>
      <c r="BV36" s="336"/>
      <c r="BW36" s="336"/>
      <c r="BX36" s="336"/>
      <c r="BY36" s="336"/>
      <c r="BZ36" s="336"/>
      <c r="CA36" s="336"/>
      <c r="CB36" s="336"/>
      <c r="CC36" s="336"/>
      <c r="CD36" s="336"/>
      <c r="CE36" s="336"/>
      <c r="CF36" s="336"/>
      <c r="CG36" s="336"/>
      <c r="CH36" s="336"/>
      <c r="CI36" s="336"/>
      <c r="CJ36" s="336"/>
      <c r="CK36" s="336"/>
      <c r="CL36" s="336"/>
      <c r="CM36" s="336"/>
      <c r="CN36" s="336"/>
      <c r="CO36" s="336"/>
      <c r="CP36" s="336"/>
      <c r="CQ36" s="336"/>
      <c r="CR36" s="336"/>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row>
    <row r="37" spans="2:139" ht="17.25" customHeight="1" x14ac:dyDescent="0.25">
      <c r="B37" s="2716"/>
      <c r="C37" s="2717"/>
      <c r="D37" s="2717"/>
      <c r="E37" s="2717"/>
      <c r="F37" s="2717"/>
      <c r="G37" s="2717"/>
      <c r="H37" s="2717"/>
      <c r="I37" s="2717"/>
      <c r="J37" s="2717"/>
      <c r="K37" s="2717"/>
      <c r="L37" s="2717"/>
      <c r="M37" s="2717"/>
      <c r="N37" s="2717"/>
      <c r="O37" s="2717"/>
      <c r="P37" s="2717"/>
      <c r="Q37" s="2717"/>
      <c r="R37" s="2717"/>
      <c r="S37" s="2717"/>
      <c r="T37" s="2717"/>
      <c r="U37" s="2717"/>
      <c r="V37" s="2717"/>
      <c r="W37" s="2717"/>
      <c r="X37" s="2717"/>
      <c r="Y37" s="2717"/>
      <c r="Z37" s="2717"/>
      <c r="AA37" s="2717"/>
      <c r="AB37" s="2717"/>
      <c r="AC37" s="2717"/>
      <c r="AD37" s="2717"/>
      <c r="AE37" s="2717"/>
      <c r="AF37" s="2717"/>
      <c r="AG37" s="2717"/>
      <c r="AH37" s="2717"/>
      <c r="AI37" s="2717"/>
      <c r="AJ37" s="2717"/>
      <c r="AK37" s="2717"/>
      <c r="AL37" s="2717"/>
      <c r="AM37" s="2717"/>
      <c r="AN37" s="2717"/>
      <c r="AO37" s="2717"/>
      <c r="AP37" s="2717"/>
      <c r="AQ37" s="2717"/>
      <c r="AR37" s="2718"/>
      <c r="AS37" s="236"/>
      <c r="AT37" s="236"/>
      <c r="AU37" s="236"/>
      <c r="AV37" s="236"/>
      <c r="AW37" s="236"/>
      <c r="AX37" s="236"/>
      <c r="AY37" s="236"/>
      <c r="AZ37" s="236"/>
      <c r="BA37" s="236"/>
      <c r="BB37" s="236"/>
      <c r="BC37" s="236"/>
      <c r="BD37" s="236"/>
      <c r="BE37" s="236"/>
      <c r="BF37" s="236"/>
      <c r="BG37" s="236"/>
      <c r="BH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row>
    <row r="38" spans="2:139" ht="17.25" customHeight="1" thickBot="1" x14ac:dyDescent="0.3">
      <c r="B38" s="2719"/>
      <c r="C38" s="2720"/>
      <c r="D38" s="2720"/>
      <c r="E38" s="2720"/>
      <c r="F38" s="2720"/>
      <c r="G38" s="2720"/>
      <c r="H38" s="2720"/>
      <c r="I38" s="2720"/>
      <c r="J38" s="2720"/>
      <c r="K38" s="2720"/>
      <c r="L38" s="2720"/>
      <c r="M38" s="2720"/>
      <c r="N38" s="2720"/>
      <c r="O38" s="2720"/>
      <c r="P38" s="2720"/>
      <c r="Q38" s="2720"/>
      <c r="R38" s="2720"/>
      <c r="S38" s="2720"/>
      <c r="T38" s="2720"/>
      <c r="U38" s="2720"/>
      <c r="V38" s="2720"/>
      <c r="W38" s="2720"/>
      <c r="X38" s="2720"/>
      <c r="Y38" s="2720"/>
      <c r="Z38" s="2720"/>
      <c r="AA38" s="2720"/>
      <c r="AB38" s="2720"/>
      <c r="AC38" s="2720"/>
      <c r="AD38" s="2720"/>
      <c r="AE38" s="2720"/>
      <c r="AF38" s="2720"/>
      <c r="AG38" s="2720"/>
      <c r="AH38" s="2720"/>
      <c r="AI38" s="2720"/>
      <c r="AJ38" s="2720"/>
      <c r="AK38" s="2720"/>
      <c r="AL38" s="2720"/>
      <c r="AM38" s="2720"/>
      <c r="AN38" s="2720"/>
      <c r="AO38" s="2720"/>
      <c r="AP38" s="2720"/>
      <c r="AQ38" s="2720"/>
      <c r="AR38" s="2721"/>
    </row>
    <row r="39" spans="2:139" ht="17.25" customHeight="1" thickBot="1" x14ac:dyDescent="0.3">
      <c r="B39" s="190"/>
      <c r="C39" s="190"/>
      <c r="D39" s="190"/>
      <c r="E39" s="190"/>
      <c r="F39" s="190"/>
      <c r="G39" s="190"/>
      <c r="H39" s="190"/>
      <c r="I39" s="190"/>
      <c r="J39" s="190"/>
      <c r="K39" s="190"/>
      <c r="L39" s="190"/>
      <c r="M39" s="208"/>
      <c r="N39" s="190"/>
      <c r="O39" s="190"/>
      <c r="P39" s="190"/>
      <c r="Q39" s="190"/>
      <c r="R39" s="190"/>
      <c r="S39" s="190"/>
      <c r="T39" s="190"/>
      <c r="U39" s="190"/>
      <c r="V39" s="190"/>
      <c r="W39" s="190"/>
      <c r="X39" s="190"/>
      <c r="Y39" s="190"/>
      <c r="Z39" s="190"/>
      <c r="AA39" s="190"/>
      <c r="AB39" s="190"/>
      <c r="AC39" s="190"/>
      <c r="AD39" s="190"/>
      <c r="AE39" s="190"/>
      <c r="AF39" s="190"/>
      <c r="AG39" s="190"/>
      <c r="AH39" s="190"/>
      <c r="AI39" s="190"/>
      <c r="AJ39" s="190"/>
      <c r="AK39" s="190"/>
    </row>
    <row r="40" spans="2:139" ht="17.25" customHeight="1" x14ac:dyDescent="0.25">
      <c r="B40" s="2711" t="str">
        <f>CONCATENATE(HLOOKUP(LANGUAGE!$B$2,LANGUAGE!$C$14:$G$1500,113)," ",HLOOKUP(LANGUAGE!$B$2,LANGUAGE!$C$14:$G$1500,111)," ",Basic_Data!$R$6)</f>
        <v xml:space="preserve">Dep. / Participants Company </v>
      </c>
      <c r="C40" s="2712"/>
      <c r="D40" s="2712"/>
      <c r="E40" s="2712"/>
      <c r="F40" s="2712"/>
      <c r="G40" s="1267" t="str">
        <f>HLOOKUP(LANGUAGE!$B$2,LANGUAGE!$C$14:$G$1500,102)</f>
        <v>Signature</v>
      </c>
      <c r="H40" s="1267"/>
      <c r="I40" s="1267"/>
      <c r="J40" s="1267"/>
      <c r="K40" s="1267"/>
      <c r="L40" s="1267"/>
      <c r="M40" s="1267"/>
      <c r="N40" s="1267"/>
      <c r="O40" s="1267" t="str">
        <f>HLOOKUP(LANGUAGE!$B$2,LANGUAGE!$C$14:$G$1500,21)</f>
        <v>Date</v>
      </c>
      <c r="P40" s="1267"/>
      <c r="Q40" s="1267"/>
      <c r="R40" s="1268"/>
      <c r="S40" s="190"/>
      <c r="T40" s="190"/>
      <c r="U40" s="2711" t="str">
        <f>CONCATENATE(HLOOKUP(LANGUAGE!$B$2,LANGUAGE!$C$14:$G$1500,113)," Brose")</f>
        <v>Dep. / Participants Brose</v>
      </c>
      <c r="V40" s="2712"/>
      <c r="W40" s="2712"/>
      <c r="X40" s="2712"/>
      <c r="Y40" s="2712"/>
      <c r="Z40" s="1267" t="str">
        <f>HLOOKUP(LANGUAGE!$B$2,LANGUAGE!$C$14:$G$1500,102)</f>
        <v>Signature</v>
      </c>
      <c r="AA40" s="1267"/>
      <c r="AB40" s="1267"/>
      <c r="AC40" s="1267"/>
      <c r="AD40" s="1267"/>
      <c r="AE40" s="1267"/>
      <c r="AF40" s="1267"/>
      <c r="AG40" s="1267"/>
      <c r="AH40" s="1267" t="str">
        <f>HLOOKUP(LANGUAGE!$B$2,LANGUAGE!$C$14:$G$1500,21)</f>
        <v>Date</v>
      </c>
      <c r="AI40" s="1267"/>
      <c r="AJ40" s="1267"/>
      <c r="AK40" s="1268"/>
    </row>
    <row r="41" spans="2:139" ht="13.15" customHeight="1" x14ac:dyDescent="0.25">
      <c r="B41" s="2164"/>
      <c r="C41" s="2165"/>
      <c r="D41" s="2165"/>
      <c r="E41" s="2165"/>
      <c r="F41" s="2165"/>
      <c r="G41" s="2171"/>
      <c r="H41" s="2165"/>
      <c r="I41" s="2165"/>
      <c r="J41" s="2165"/>
      <c r="K41" s="2165"/>
      <c r="L41" s="2165"/>
      <c r="M41" s="2165"/>
      <c r="N41" s="2166"/>
      <c r="O41" s="2733" t="str">
        <f>IF($AB$6="","",$AB$6)</f>
        <v/>
      </c>
      <c r="P41" s="2178"/>
      <c r="Q41" s="2178"/>
      <c r="R41" s="2179"/>
      <c r="S41" s="190"/>
      <c r="T41" s="190"/>
      <c r="U41" s="2164"/>
      <c r="V41" s="2165"/>
      <c r="W41" s="2165"/>
      <c r="X41" s="2165"/>
      <c r="Y41" s="2165"/>
      <c r="Z41" s="2171"/>
      <c r="AA41" s="2165"/>
      <c r="AB41" s="2165"/>
      <c r="AC41" s="2165"/>
      <c r="AD41" s="2165"/>
      <c r="AE41" s="2165"/>
      <c r="AF41" s="2165"/>
      <c r="AG41" s="2166"/>
      <c r="AH41" s="2733" t="str">
        <f>IF($AB$6="","",$AB$6)</f>
        <v/>
      </c>
      <c r="AI41" s="2178"/>
      <c r="AJ41" s="2178"/>
      <c r="AK41" s="2179"/>
    </row>
    <row r="42" spans="2:139" ht="13.15" customHeight="1" x14ac:dyDescent="0.25">
      <c r="B42" s="2164"/>
      <c r="C42" s="2165"/>
      <c r="D42" s="2165"/>
      <c r="E42" s="2165"/>
      <c r="F42" s="2165"/>
      <c r="G42" s="2171"/>
      <c r="H42" s="2165"/>
      <c r="I42" s="2165"/>
      <c r="J42" s="2165"/>
      <c r="K42" s="2165"/>
      <c r="L42" s="2165"/>
      <c r="M42" s="2165"/>
      <c r="N42" s="2166"/>
      <c r="O42" s="2733"/>
      <c r="P42" s="2178"/>
      <c r="Q42" s="2178"/>
      <c r="R42" s="2179"/>
      <c r="S42" s="190"/>
      <c r="T42" s="190"/>
      <c r="U42" s="2164"/>
      <c r="V42" s="2165"/>
      <c r="W42" s="2165"/>
      <c r="X42" s="2165"/>
      <c r="Y42" s="2165"/>
      <c r="Z42" s="2171"/>
      <c r="AA42" s="2165"/>
      <c r="AB42" s="2165"/>
      <c r="AC42" s="2165"/>
      <c r="AD42" s="2165"/>
      <c r="AE42" s="2165"/>
      <c r="AF42" s="2165"/>
      <c r="AG42" s="2166"/>
      <c r="AH42" s="2733"/>
      <c r="AI42" s="2178"/>
      <c r="AJ42" s="2178"/>
      <c r="AK42" s="2179"/>
    </row>
    <row r="43" spans="2:139" ht="13.15" customHeight="1" x14ac:dyDescent="0.25">
      <c r="B43" s="2167"/>
      <c r="C43" s="2168"/>
      <c r="D43" s="2168"/>
      <c r="E43" s="2168"/>
      <c r="F43" s="2168"/>
      <c r="G43" s="2172"/>
      <c r="H43" s="2168"/>
      <c r="I43" s="2168"/>
      <c r="J43" s="2168"/>
      <c r="K43" s="2168"/>
      <c r="L43" s="2168"/>
      <c r="M43" s="2168"/>
      <c r="N43" s="2169"/>
      <c r="O43" s="2733"/>
      <c r="P43" s="2178"/>
      <c r="Q43" s="2178"/>
      <c r="R43" s="2179"/>
      <c r="S43" s="190"/>
      <c r="T43" s="190"/>
      <c r="U43" s="2167"/>
      <c r="V43" s="2168"/>
      <c r="W43" s="2168"/>
      <c r="X43" s="2168"/>
      <c r="Y43" s="2168"/>
      <c r="Z43" s="2172"/>
      <c r="AA43" s="2168"/>
      <c r="AB43" s="2168"/>
      <c r="AC43" s="2168"/>
      <c r="AD43" s="2168"/>
      <c r="AE43" s="2168"/>
      <c r="AF43" s="2168"/>
      <c r="AG43" s="2169"/>
      <c r="AH43" s="2733"/>
      <c r="AI43" s="2178"/>
      <c r="AJ43" s="2178"/>
      <c r="AK43" s="2179"/>
    </row>
    <row r="44" spans="2:139" ht="13.15" customHeight="1" x14ac:dyDescent="0.25">
      <c r="B44" s="2161"/>
      <c r="C44" s="2162"/>
      <c r="D44" s="2162"/>
      <c r="E44" s="2162"/>
      <c r="F44" s="2162"/>
      <c r="G44" s="2170"/>
      <c r="H44" s="2162"/>
      <c r="I44" s="2162"/>
      <c r="J44" s="2162"/>
      <c r="K44" s="2162"/>
      <c r="L44" s="2162"/>
      <c r="M44" s="2162"/>
      <c r="N44" s="2163"/>
      <c r="O44" s="2733"/>
      <c r="P44" s="2178"/>
      <c r="Q44" s="2178"/>
      <c r="R44" s="2179"/>
      <c r="S44" s="190"/>
      <c r="T44" s="190"/>
      <c r="U44" s="2161"/>
      <c r="V44" s="2162"/>
      <c r="W44" s="2162"/>
      <c r="X44" s="2162"/>
      <c r="Y44" s="2162"/>
      <c r="Z44" s="2170"/>
      <c r="AA44" s="2162"/>
      <c r="AB44" s="2162"/>
      <c r="AC44" s="2162"/>
      <c r="AD44" s="2162"/>
      <c r="AE44" s="2162"/>
      <c r="AF44" s="2162"/>
      <c r="AG44" s="2163"/>
      <c r="AH44" s="2733"/>
      <c r="AI44" s="2178"/>
      <c r="AJ44" s="2178"/>
      <c r="AK44" s="2179"/>
    </row>
    <row r="45" spans="2:139" ht="13.15" customHeight="1" x14ac:dyDescent="0.25">
      <c r="B45" s="2164"/>
      <c r="C45" s="2165"/>
      <c r="D45" s="2165"/>
      <c r="E45" s="2165"/>
      <c r="F45" s="2165"/>
      <c r="G45" s="2171"/>
      <c r="H45" s="2165"/>
      <c r="I45" s="2165"/>
      <c r="J45" s="2165"/>
      <c r="K45" s="2165"/>
      <c r="L45" s="2165"/>
      <c r="M45" s="2165"/>
      <c r="N45" s="2166"/>
      <c r="O45" s="2733"/>
      <c r="P45" s="2178"/>
      <c r="Q45" s="2178"/>
      <c r="R45" s="2179"/>
      <c r="S45" s="190"/>
      <c r="T45" s="190"/>
      <c r="U45" s="2164"/>
      <c r="V45" s="2165"/>
      <c r="W45" s="2165"/>
      <c r="X45" s="2165"/>
      <c r="Y45" s="2165"/>
      <c r="Z45" s="2171"/>
      <c r="AA45" s="2165"/>
      <c r="AB45" s="2165"/>
      <c r="AC45" s="2165"/>
      <c r="AD45" s="2165"/>
      <c r="AE45" s="2165"/>
      <c r="AF45" s="2165"/>
      <c r="AG45" s="2166"/>
      <c r="AH45" s="2733"/>
      <c r="AI45" s="2178"/>
      <c r="AJ45" s="2178"/>
      <c r="AK45" s="2179"/>
    </row>
    <row r="46" spans="2:139" ht="13.15" customHeight="1" x14ac:dyDescent="0.25">
      <c r="B46" s="2167"/>
      <c r="C46" s="2168"/>
      <c r="D46" s="2168"/>
      <c r="E46" s="2168"/>
      <c r="F46" s="2168"/>
      <c r="G46" s="2172"/>
      <c r="H46" s="2168"/>
      <c r="I46" s="2168"/>
      <c r="J46" s="2168"/>
      <c r="K46" s="2168"/>
      <c r="L46" s="2168"/>
      <c r="M46" s="2168"/>
      <c r="N46" s="2169"/>
      <c r="O46" s="2733"/>
      <c r="P46" s="2178"/>
      <c r="Q46" s="2178"/>
      <c r="R46" s="2179"/>
      <c r="S46" s="190"/>
      <c r="T46" s="190"/>
      <c r="U46" s="2167"/>
      <c r="V46" s="2168"/>
      <c r="W46" s="2168"/>
      <c r="X46" s="2168"/>
      <c r="Y46" s="2168"/>
      <c r="Z46" s="2172"/>
      <c r="AA46" s="2168"/>
      <c r="AB46" s="2168"/>
      <c r="AC46" s="2168"/>
      <c r="AD46" s="2168"/>
      <c r="AE46" s="2168"/>
      <c r="AF46" s="2168"/>
      <c r="AG46" s="2169"/>
      <c r="AH46" s="2733"/>
      <c r="AI46" s="2178"/>
      <c r="AJ46" s="2178"/>
      <c r="AK46" s="2179"/>
    </row>
    <row r="47" spans="2:139" ht="13.15" customHeight="1" x14ac:dyDescent="0.25">
      <c r="B47" s="2161"/>
      <c r="C47" s="2162"/>
      <c r="D47" s="2162"/>
      <c r="E47" s="2162"/>
      <c r="F47" s="2162"/>
      <c r="G47" s="2170"/>
      <c r="H47" s="2162"/>
      <c r="I47" s="2162"/>
      <c r="J47" s="2162"/>
      <c r="K47" s="2162"/>
      <c r="L47" s="2162"/>
      <c r="M47" s="2162"/>
      <c r="N47" s="2163"/>
      <c r="O47" s="2733"/>
      <c r="P47" s="2178"/>
      <c r="Q47" s="2178"/>
      <c r="R47" s="2179"/>
      <c r="S47" s="190"/>
      <c r="T47" s="190"/>
      <c r="U47" s="2161"/>
      <c r="V47" s="2162"/>
      <c r="W47" s="2162"/>
      <c r="X47" s="2162"/>
      <c r="Y47" s="2162"/>
      <c r="Z47" s="2170"/>
      <c r="AA47" s="2162"/>
      <c r="AB47" s="2162"/>
      <c r="AC47" s="2162"/>
      <c r="AD47" s="2162"/>
      <c r="AE47" s="2162"/>
      <c r="AF47" s="2162"/>
      <c r="AG47" s="2163"/>
      <c r="AH47" s="2733"/>
      <c r="AI47" s="2178"/>
      <c r="AJ47" s="2178"/>
      <c r="AK47" s="2179"/>
    </row>
    <row r="48" spans="2:139" ht="13.15" customHeight="1" x14ac:dyDescent="0.25">
      <c r="B48" s="2164"/>
      <c r="C48" s="2165"/>
      <c r="D48" s="2165"/>
      <c r="E48" s="2165"/>
      <c r="F48" s="2165"/>
      <c r="G48" s="2171"/>
      <c r="H48" s="2165"/>
      <c r="I48" s="2165"/>
      <c r="J48" s="2165"/>
      <c r="K48" s="2165"/>
      <c r="L48" s="2165"/>
      <c r="M48" s="2165"/>
      <c r="N48" s="2166"/>
      <c r="O48" s="2733"/>
      <c r="P48" s="2178"/>
      <c r="Q48" s="2178"/>
      <c r="R48" s="2179"/>
      <c r="S48" s="190"/>
      <c r="T48" s="190"/>
      <c r="U48" s="2164"/>
      <c r="V48" s="2165"/>
      <c r="W48" s="2165"/>
      <c r="X48" s="2165"/>
      <c r="Y48" s="2165"/>
      <c r="Z48" s="2171"/>
      <c r="AA48" s="2165"/>
      <c r="AB48" s="2165"/>
      <c r="AC48" s="2165"/>
      <c r="AD48" s="2165"/>
      <c r="AE48" s="2165"/>
      <c r="AF48" s="2165"/>
      <c r="AG48" s="2166"/>
      <c r="AH48" s="2733"/>
      <c r="AI48" s="2178"/>
      <c r="AJ48" s="2178"/>
      <c r="AK48" s="2179"/>
    </row>
    <row r="49" spans="2:37" ht="13.15" customHeight="1" x14ac:dyDescent="0.25">
      <c r="B49" s="2167"/>
      <c r="C49" s="2168"/>
      <c r="D49" s="2168"/>
      <c r="E49" s="2168"/>
      <c r="F49" s="2168"/>
      <c r="G49" s="2172"/>
      <c r="H49" s="2168"/>
      <c r="I49" s="2168"/>
      <c r="J49" s="2168"/>
      <c r="K49" s="2168"/>
      <c r="L49" s="2168"/>
      <c r="M49" s="2168"/>
      <c r="N49" s="2169"/>
      <c r="O49" s="2733"/>
      <c r="P49" s="2178"/>
      <c r="Q49" s="2178"/>
      <c r="R49" s="2179"/>
      <c r="S49" s="190"/>
      <c r="T49" s="190"/>
      <c r="U49" s="2167"/>
      <c r="V49" s="2168"/>
      <c r="W49" s="2168"/>
      <c r="X49" s="2168"/>
      <c r="Y49" s="2168"/>
      <c r="Z49" s="2172"/>
      <c r="AA49" s="2168"/>
      <c r="AB49" s="2168"/>
      <c r="AC49" s="2168"/>
      <c r="AD49" s="2168"/>
      <c r="AE49" s="2168"/>
      <c r="AF49" s="2168"/>
      <c r="AG49" s="2169"/>
      <c r="AH49" s="2733"/>
      <c r="AI49" s="2178"/>
      <c r="AJ49" s="2178"/>
      <c r="AK49" s="2179"/>
    </row>
    <row r="50" spans="2:37" ht="13.15" customHeight="1" x14ac:dyDescent="0.25">
      <c r="B50" s="2161"/>
      <c r="C50" s="2162"/>
      <c r="D50" s="2162"/>
      <c r="E50" s="2162"/>
      <c r="F50" s="2162"/>
      <c r="G50" s="2170"/>
      <c r="H50" s="2162"/>
      <c r="I50" s="2162"/>
      <c r="J50" s="2162"/>
      <c r="K50" s="2162"/>
      <c r="L50" s="2162"/>
      <c r="M50" s="2162"/>
      <c r="N50" s="2163"/>
      <c r="O50" s="2733"/>
      <c r="P50" s="2178"/>
      <c r="Q50" s="2178"/>
      <c r="R50" s="2179"/>
      <c r="S50" s="190"/>
      <c r="T50" s="190"/>
      <c r="U50" s="2161"/>
      <c r="V50" s="2162"/>
      <c r="W50" s="2162"/>
      <c r="X50" s="2162"/>
      <c r="Y50" s="2162"/>
      <c r="Z50" s="2170"/>
      <c r="AA50" s="2162"/>
      <c r="AB50" s="2162"/>
      <c r="AC50" s="2162"/>
      <c r="AD50" s="2162"/>
      <c r="AE50" s="2162"/>
      <c r="AF50" s="2162"/>
      <c r="AG50" s="2163"/>
      <c r="AH50" s="2733"/>
      <c r="AI50" s="2178"/>
      <c r="AJ50" s="2178"/>
      <c r="AK50" s="2179"/>
    </row>
    <row r="51" spans="2:37" ht="13.15" customHeight="1" x14ac:dyDescent="0.25">
      <c r="B51" s="2164"/>
      <c r="C51" s="2165"/>
      <c r="D51" s="2165"/>
      <c r="E51" s="2165"/>
      <c r="F51" s="2165"/>
      <c r="G51" s="2171"/>
      <c r="H51" s="2165"/>
      <c r="I51" s="2165"/>
      <c r="J51" s="2165"/>
      <c r="K51" s="2165"/>
      <c r="L51" s="2165"/>
      <c r="M51" s="2165"/>
      <c r="N51" s="2166"/>
      <c r="O51" s="2733"/>
      <c r="P51" s="2178"/>
      <c r="Q51" s="2178"/>
      <c r="R51" s="2179"/>
      <c r="S51" s="190"/>
      <c r="T51" s="190"/>
      <c r="U51" s="2164"/>
      <c r="V51" s="2165"/>
      <c r="W51" s="2165"/>
      <c r="X51" s="2165"/>
      <c r="Y51" s="2165"/>
      <c r="Z51" s="2171"/>
      <c r="AA51" s="2165"/>
      <c r="AB51" s="2165"/>
      <c r="AC51" s="2165"/>
      <c r="AD51" s="2165"/>
      <c r="AE51" s="2165"/>
      <c r="AF51" s="2165"/>
      <c r="AG51" s="2166"/>
      <c r="AH51" s="2733"/>
      <c r="AI51" s="2178"/>
      <c r="AJ51" s="2178"/>
      <c r="AK51" s="2179"/>
    </row>
    <row r="52" spans="2:37" ht="13.15" customHeight="1" thickBot="1" x14ac:dyDescent="0.3">
      <c r="B52" s="2183"/>
      <c r="C52" s="2184"/>
      <c r="D52" s="2184"/>
      <c r="E52" s="2184"/>
      <c r="F52" s="2184"/>
      <c r="G52" s="2186"/>
      <c r="H52" s="2184"/>
      <c r="I52" s="2184"/>
      <c r="J52" s="2184"/>
      <c r="K52" s="2184"/>
      <c r="L52" s="2184"/>
      <c r="M52" s="2184"/>
      <c r="N52" s="2185"/>
      <c r="O52" s="2734"/>
      <c r="P52" s="2181"/>
      <c r="Q52" s="2181"/>
      <c r="R52" s="2182"/>
      <c r="S52" s="190"/>
      <c r="T52" s="190"/>
      <c r="U52" s="2183"/>
      <c r="V52" s="2184"/>
      <c r="W52" s="2184"/>
      <c r="X52" s="2184"/>
      <c r="Y52" s="2184"/>
      <c r="Z52" s="2186"/>
      <c r="AA52" s="2184"/>
      <c r="AB52" s="2184"/>
      <c r="AC52" s="2184"/>
      <c r="AD52" s="2184"/>
      <c r="AE52" s="2184"/>
      <c r="AF52" s="2184"/>
      <c r="AG52" s="2185"/>
      <c r="AH52" s="2734"/>
      <c r="AI52" s="2181"/>
      <c r="AJ52" s="2181"/>
      <c r="AK52" s="2182"/>
    </row>
    <row r="53" spans="2:37" ht="17.25" customHeight="1" x14ac:dyDescent="0.25"/>
    <row r="54" spans="2:37" ht="17.25" customHeight="1" x14ac:dyDescent="0.25"/>
    <row r="55" spans="2:37" ht="17.25" customHeight="1" x14ac:dyDescent="0.25"/>
    <row r="56" spans="2:37" ht="17.25" customHeight="1" x14ac:dyDescent="0.25"/>
    <row r="57" spans="2:37" ht="17.25" customHeight="1" x14ac:dyDescent="0.25"/>
    <row r="58" spans="2:37" ht="17.25" customHeight="1" x14ac:dyDescent="0.25"/>
    <row r="59" spans="2:37" ht="17.25" customHeight="1" x14ac:dyDescent="0.25"/>
    <row r="60" spans="2:37" ht="17.25" customHeight="1" x14ac:dyDescent="0.25"/>
    <row r="61" spans="2:37" ht="17.25" customHeight="1" x14ac:dyDescent="0.25"/>
    <row r="62" spans="2:37" ht="17.25" customHeight="1" x14ac:dyDescent="0.25"/>
    <row r="63" spans="2:37" ht="17.25" customHeight="1" x14ac:dyDescent="0.25"/>
    <row r="64" spans="2:37" ht="17.25" customHeight="1" x14ac:dyDescent="0.25"/>
    <row r="65" ht="17.25" customHeight="1" x14ac:dyDescent="0.25"/>
    <row r="66" ht="17.25" customHeight="1" x14ac:dyDescent="0.25"/>
    <row r="67" ht="17.25" customHeight="1" x14ac:dyDescent="0.25"/>
    <row r="68" ht="17.25" customHeight="1" x14ac:dyDescent="0.25"/>
    <row r="69" ht="17.25" customHeight="1" x14ac:dyDescent="0.25"/>
    <row r="70" ht="17.25" customHeight="1" x14ac:dyDescent="0.25"/>
    <row r="71" ht="17.25" customHeight="1" x14ac:dyDescent="0.25"/>
    <row r="72" ht="17.25" customHeight="1" x14ac:dyDescent="0.25"/>
    <row r="73" ht="17.25" customHeight="1" x14ac:dyDescent="0.25"/>
    <row r="74" ht="17.25" customHeight="1" x14ac:dyDescent="0.25"/>
    <row r="75" ht="17.25" customHeight="1" x14ac:dyDescent="0.25"/>
    <row r="76" ht="17.25" customHeight="1" x14ac:dyDescent="0.25"/>
    <row r="77" ht="17.25" customHeight="1" x14ac:dyDescent="0.25"/>
    <row r="78" ht="17.25" customHeight="1" x14ac:dyDescent="0.25"/>
    <row r="79" ht="17.25" customHeight="1" x14ac:dyDescent="0.25"/>
    <row r="80" ht="17.25" customHeight="1" x14ac:dyDescent="0.25"/>
    <row r="81" ht="17.25" customHeight="1" x14ac:dyDescent="0.25"/>
    <row r="82" ht="17.25" customHeight="1" x14ac:dyDescent="0.25"/>
    <row r="83" ht="17.25" customHeight="1" x14ac:dyDescent="0.25"/>
    <row r="84" ht="17.25" customHeight="1" x14ac:dyDescent="0.25"/>
    <row r="85" ht="17.25" customHeight="1" x14ac:dyDescent="0.25"/>
    <row r="86" ht="17.25" customHeight="1" x14ac:dyDescent="0.25"/>
    <row r="87" ht="17.25" customHeight="1" x14ac:dyDescent="0.25"/>
    <row r="88" ht="17.25" customHeight="1" x14ac:dyDescent="0.25"/>
    <row r="89" ht="17.25" customHeight="1" x14ac:dyDescent="0.25"/>
    <row r="90" ht="17.25" customHeight="1" x14ac:dyDescent="0.25"/>
    <row r="91" ht="17.25" customHeight="1" x14ac:dyDescent="0.25"/>
    <row r="92" ht="17.25" customHeight="1" x14ac:dyDescent="0.25"/>
    <row r="93" ht="17.25" customHeight="1" x14ac:dyDescent="0.25"/>
    <row r="94" ht="17.25" customHeight="1" x14ac:dyDescent="0.25"/>
    <row r="95" ht="17.25" customHeight="1" x14ac:dyDescent="0.25"/>
    <row r="96" ht="17.25" customHeight="1" x14ac:dyDescent="0.25"/>
    <row r="97" ht="17.25" customHeight="1" x14ac:dyDescent="0.25"/>
    <row r="98" ht="17.25" customHeight="1" x14ac:dyDescent="0.25"/>
    <row r="99" ht="17.25" customHeight="1" x14ac:dyDescent="0.25"/>
    <row r="100" ht="17.25" customHeight="1" x14ac:dyDescent="0.25"/>
    <row r="101" ht="17.25" customHeight="1" x14ac:dyDescent="0.25"/>
    <row r="102" ht="17.25" customHeight="1" x14ac:dyDescent="0.25"/>
    <row r="103" ht="17.25" customHeight="1" x14ac:dyDescent="0.25"/>
    <row r="104" ht="17.25" customHeight="1" x14ac:dyDescent="0.25"/>
    <row r="105" ht="17.25" customHeight="1" x14ac:dyDescent="0.25"/>
    <row r="106" ht="17.25" customHeight="1" x14ac:dyDescent="0.25"/>
    <row r="107" ht="17.25" customHeight="1" x14ac:dyDescent="0.25"/>
    <row r="108" ht="17.25" customHeight="1" x14ac:dyDescent="0.25"/>
    <row r="109" ht="17.25" customHeight="1" x14ac:dyDescent="0.25"/>
    <row r="110" ht="17.25" customHeight="1" x14ac:dyDescent="0.25"/>
    <row r="111" ht="17.25" customHeight="1" x14ac:dyDescent="0.25"/>
    <row r="112" ht="17.25" customHeight="1" x14ac:dyDescent="0.25"/>
    <row r="113" ht="17.25" customHeight="1" x14ac:dyDescent="0.25"/>
    <row r="114" ht="17.25" customHeight="1" x14ac:dyDescent="0.25"/>
  </sheetData>
  <sheetProtection algorithmName="SHA-512" hashValue="UjvKpgXadxWeo2FxC3qfpWIoKwcy0E1GyAgHoMPsiEQaZaq/e2opKmUYstU2Oy95POKQP9oisVz4OWMVfWYBvA==" saltValue="FTn8i7FBOVKrLtbhh+tVvA==" spinCount="100000" sheet="1" objects="1" scenarios="1" formatCells="0" formatRows="0"/>
  <mergeCells count="249">
    <mergeCell ref="BZ33:CE33"/>
    <mergeCell ref="AF18:AG18"/>
    <mergeCell ref="AH18:AK18"/>
    <mergeCell ref="AL18:AM18"/>
    <mergeCell ref="BC24:BN24"/>
    <mergeCell ref="BC26:BN26"/>
    <mergeCell ref="BC27:BN27"/>
    <mergeCell ref="BC28:BN28"/>
    <mergeCell ref="BC29:BN29"/>
    <mergeCell ref="AM28:AR28"/>
    <mergeCell ref="AM29:AR29"/>
    <mergeCell ref="AG29:AL29"/>
    <mergeCell ref="AA26:AF26"/>
    <mergeCell ref="AA28:AF28"/>
    <mergeCell ref="AM24:AR24"/>
    <mergeCell ref="AG28:AL28"/>
    <mergeCell ref="AK25:AL25"/>
    <mergeCell ref="AM25:AN25"/>
    <mergeCell ref="AO25:AP25"/>
    <mergeCell ref="AQ25:AR25"/>
    <mergeCell ref="AA27:AF27"/>
    <mergeCell ref="AM27:AR27"/>
    <mergeCell ref="B17:E17"/>
    <mergeCell ref="F17:G17"/>
    <mergeCell ref="H17:K17"/>
    <mergeCell ref="CL32:CQ32"/>
    <mergeCell ref="CR32:CW32"/>
    <mergeCell ref="CX32:DC32"/>
    <mergeCell ref="BZ32:CE32"/>
    <mergeCell ref="CF32:CK32"/>
    <mergeCell ref="B18:E18"/>
    <mergeCell ref="F18:G18"/>
    <mergeCell ref="H18:K18"/>
    <mergeCell ref="L18:M18"/>
    <mergeCell ref="O18:R18"/>
    <mergeCell ref="S18:T18"/>
    <mergeCell ref="U18:X18"/>
    <mergeCell ref="Y18:Z18"/>
    <mergeCell ref="AB18:AE18"/>
    <mergeCell ref="L17:M17"/>
    <mergeCell ref="O17:R17"/>
    <mergeCell ref="S17:T17"/>
    <mergeCell ref="U17:X17"/>
    <mergeCell ref="B30:N30"/>
    <mergeCell ref="B32:N32"/>
    <mergeCell ref="AG24:AL24"/>
    <mergeCell ref="B16:E16"/>
    <mergeCell ref="F16:G16"/>
    <mergeCell ref="H16:K16"/>
    <mergeCell ref="L16:M16"/>
    <mergeCell ref="O16:R16"/>
    <mergeCell ref="S16:T16"/>
    <mergeCell ref="U16:X16"/>
    <mergeCell ref="Y16:Z16"/>
    <mergeCell ref="AB16:AE16"/>
    <mergeCell ref="B14:E14"/>
    <mergeCell ref="F14:G14"/>
    <mergeCell ref="H14:K14"/>
    <mergeCell ref="L14:M14"/>
    <mergeCell ref="O14:R14"/>
    <mergeCell ref="S14:T14"/>
    <mergeCell ref="U14:X14"/>
    <mergeCell ref="Y14:Z14"/>
    <mergeCell ref="AB14:AE14"/>
    <mergeCell ref="B15:E15"/>
    <mergeCell ref="F15:G15"/>
    <mergeCell ref="H15:K15"/>
    <mergeCell ref="L15:M15"/>
    <mergeCell ref="O15:R15"/>
    <mergeCell ref="S15:T15"/>
    <mergeCell ref="U15:X15"/>
    <mergeCell ref="Y15:Z15"/>
    <mergeCell ref="AB15:AE15"/>
    <mergeCell ref="I9:J9"/>
    <mergeCell ref="K9:L9"/>
    <mergeCell ref="M9:N9"/>
    <mergeCell ref="B1:L2"/>
    <mergeCell ref="B5:M5"/>
    <mergeCell ref="O5:Z5"/>
    <mergeCell ref="B6:E6"/>
    <mergeCell ref="AF14:AG14"/>
    <mergeCell ref="AH14:AK14"/>
    <mergeCell ref="F6:M6"/>
    <mergeCell ref="O6:R6"/>
    <mergeCell ref="S6:Z6"/>
    <mergeCell ref="B7:E7"/>
    <mergeCell ref="F7:M7"/>
    <mergeCell ref="O7:R7"/>
    <mergeCell ref="S7:Z7"/>
    <mergeCell ref="B11:M11"/>
    <mergeCell ref="O11:Z11"/>
    <mergeCell ref="AB11:AM11"/>
    <mergeCell ref="B12:E13"/>
    <mergeCell ref="F12:G13"/>
    <mergeCell ref="H12:K13"/>
    <mergeCell ref="L12:M13"/>
    <mergeCell ref="O12:R13"/>
    <mergeCell ref="S12:T13"/>
    <mergeCell ref="U12:X13"/>
    <mergeCell ref="Y12:Z13"/>
    <mergeCell ref="AB12:AE13"/>
    <mergeCell ref="AF12:AG13"/>
    <mergeCell ref="AH12:AK13"/>
    <mergeCell ref="AL12:AM13"/>
    <mergeCell ref="DR25:DU25"/>
    <mergeCell ref="BV24:CR24"/>
    <mergeCell ref="DN25:DO25"/>
    <mergeCell ref="DP25:DQ25"/>
    <mergeCell ref="BV20:CR23"/>
    <mergeCell ref="AL14:AM14"/>
    <mergeCell ref="AF15:AG15"/>
    <mergeCell ref="AH15:AK15"/>
    <mergeCell ref="AL15:AM15"/>
    <mergeCell ref="Y17:Z17"/>
    <mergeCell ref="AB17:AE17"/>
    <mergeCell ref="AF17:AG17"/>
    <mergeCell ref="AH17:AK17"/>
    <mergeCell ref="AL17:AM17"/>
    <mergeCell ref="AF16:AG16"/>
    <mergeCell ref="AH16:AK16"/>
    <mergeCell ref="AL16:AM16"/>
    <mergeCell ref="CS25:CT25"/>
    <mergeCell ref="DD25:DF25"/>
    <mergeCell ref="DG25:DH25"/>
    <mergeCell ref="DG20:DM23"/>
    <mergeCell ref="DN20:DU23"/>
    <mergeCell ref="CU25:CV25"/>
    <mergeCell ref="CW25:CY25"/>
    <mergeCell ref="CZ25:DA25"/>
    <mergeCell ref="DB25:DC25"/>
    <mergeCell ref="CS24:CY24"/>
    <mergeCell ref="CS20:CY23"/>
    <mergeCell ref="CZ20:DF23"/>
    <mergeCell ref="DI25:DJ25"/>
    <mergeCell ref="DK25:DM25"/>
    <mergeCell ref="U28:Z28"/>
    <mergeCell ref="U29:Z29"/>
    <mergeCell ref="AA29:AF29"/>
    <mergeCell ref="CS34:EI34"/>
    <mergeCell ref="DV32:EI32"/>
    <mergeCell ref="CS33:EB33"/>
    <mergeCell ref="BV30:CR30"/>
    <mergeCell ref="DV20:EI23"/>
    <mergeCell ref="DV25:DW25"/>
    <mergeCell ref="DX25:DY25"/>
    <mergeCell ref="CS30:EI30"/>
    <mergeCell ref="DG29:DM29"/>
    <mergeCell ref="DN29:DU29"/>
    <mergeCell ref="DN28:DU28"/>
    <mergeCell ref="CS29:CY29"/>
    <mergeCell ref="CZ29:DF29"/>
    <mergeCell ref="CS28:CY28"/>
    <mergeCell ref="BY26:CR26"/>
    <mergeCell ref="DN32:DU32"/>
    <mergeCell ref="CZ28:DF28"/>
    <mergeCell ref="DG28:DM28"/>
    <mergeCell ref="CZ24:DF24"/>
    <mergeCell ref="DV26:EI26"/>
    <mergeCell ref="DZ25:EB25"/>
    <mergeCell ref="B26:C26"/>
    <mergeCell ref="B27:C27"/>
    <mergeCell ref="O28:T28"/>
    <mergeCell ref="O29:T29"/>
    <mergeCell ref="B29:N29"/>
    <mergeCell ref="AA24:AF24"/>
    <mergeCell ref="DV27:EI27"/>
    <mergeCell ref="DV28:EI28"/>
    <mergeCell ref="DV29:EI29"/>
    <mergeCell ref="BV29:CR29"/>
    <mergeCell ref="BV28:CR28"/>
    <mergeCell ref="BV26:BX26"/>
    <mergeCell ref="BY27:CR27"/>
    <mergeCell ref="BV27:BX27"/>
    <mergeCell ref="AU29:BB29"/>
    <mergeCell ref="AU28:BB28"/>
    <mergeCell ref="DV24:EI24"/>
    <mergeCell ref="DG24:DM24"/>
    <mergeCell ref="DN24:DU24"/>
    <mergeCell ref="AG26:AL26"/>
    <mergeCell ref="AM26:AR26"/>
    <mergeCell ref="O27:T27"/>
    <mergeCell ref="U27:Z27"/>
    <mergeCell ref="AG27:AL27"/>
    <mergeCell ref="O20:T23"/>
    <mergeCell ref="U20:Z23"/>
    <mergeCell ref="AA20:AF23"/>
    <mergeCell ref="AG20:AL23"/>
    <mergeCell ref="AM20:AR23"/>
    <mergeCell ref="O25:P25"/>
    <mergeCell ref="Q25:R25"/>
    <mergeCell ref="S25:T25"/>
    <mergeCell ref="U25:V25"/>
    <mergeCell ref="W25:X25"/>
    <mergeCell ref="Y25:Z25"/>
    <mergeCell ref="AA25:AB25"/>
    <mergeCell ref="AC25:AD25"/>
    <mergeCell ref="AE25:AF25"/>
    <mergeCell ref="AG25:AH25"/>
    <mergeCell ref="AI25:AJ25"/>
    <mergeCell ref="O24:T24"/>
    <mergeCell ref="U24:Z24"/>
    <mergeCell ref="B25:N25"/>
    <mergeCell ref="O26:T26"/>
    <mergeCell ref="U26:Z26"/>
    <mergeCell ref="AH40:AK40"/>
    <mergeCell ref="B41:F43"/>
    <mergeCell ref="G41:N43"/>
    <mergeCell ref="O41:R52"/>
    <mergeCell ref="U41:Y43"/>
    <mergeCell ref="Z41:AG43"/>
    <mergeCell ref="AH41:AK52"/>
    <mergeCell ref="B44:F46"/>
    <mergeCell ref="G44:N46"/>
    <mergeCell ref="U44:Y46"/>
    <mergeCell ref="Z44:AG46"/>
    <mergeCell ref="B47:F49"/>
    <mergeCell ref="G47:N49"/>
    <mergeCell ref="U47:Y49"/>
    <mergeCell ref="Z47:AG49"/>
    <mergeCell ref="B50:F52"/>
    <mergeCell ref="G50:N52"/>
    <mergeCell ref="U50:Y52"/>
    <mergeCell ref="Z50:AG52"/>
    <mergeCell ref="B34:N34"/>
    <mergeCell ref="O30:AR30"/>
    <mergeCell ref="P1:R1"/>
    <mergeCell ref="P2:R2"/>
    <mergeCell ref="AB5:AF5"/>
    <mergeCell ref="AB6:AF7"/>
    <mergeCell ref="B40:F40"/>
    <mergeCell ref="G40:N40"/>
    <mergeCell ref="O40:R40"/>
    <mergeCell ref="U40:Y40"/>
    <mergeCell ref="Z40:AG40"/>
    <mergeCell ref="O34:AR34"/>
    <mergeCell ref="O33:Z33"/>
    <mergeCell ref="O31:Z31"/>
    <mergeCell ref="O32:T32"/>
    <mergeCell ref="U32:Z32"/>
    <mergeCell ref="AA32:AF32"/>
    <mergeCell ref="AG32:AL32"/>
    <mergeCell ref="AM32:AR32"/>
    <mergeCell ref="B37:AR38"/>
    <mergeCell ref="B36:AR36"/>
    <mergeCell ref="B20:N23"/>
    <mergeCell ref="B24:N24"/>
    <mergeCell ref="D26:N26"/>
    <mergeCell ref="D27:N27"/>
    <mergeCell ref="B28:N28"/>
  </mergeCells>
  <conditionalFormatting sqref="O32:AR32 O34">
    <cfRule type="expression" dxfId="18" priority="1">
      <formula>BZ32=3</formula>
    </cfRule>
    <cfRule type="expression" dxfId="17" priority="2">
      <formula>BZ32=2</formula>
    </cfRule>
    <cfRule type="expression" dxfId="16" priority="3">
      <formula>BZ32=1</formula>
    </cfRule>
  </conditionalFormatting>
  <dataValidations disablePrompts="1" count="3">
    <dataValidation type="list" allowBlank="1" showInputMessage="1" showErrorMessage="1" sqref="JM32:KU32 TI32:UQ32 ADE32:AEM32 ANA32:AOI32 AWW32:AYE32 BGS32:BIA32 BQO32:BRW32 CAK32:CBS32 CKG32:CLO32 CUC32:CVK32 DDY32:DFG32 DNU32:DPC32 DXQ32:DYY32 EHM32:EIU32 ERI32:ESQ32 FBE32:FCM32 FLA32:FMI32 FUW32:FWE32 GES32:GGA32 GOO32:GPW32 GYK32:GZS32 HIG32:HJO32 HSC32:HTK32 IBY32:IDG32 ILU32:INC32 IVQ32:IWY32 JFM32:JGU32 JPI32:JQQ32 JZE32:KAM32 KJA32:KKI32 KSW32:KUE32 LCS32:LEA32 LMO32:LNW32 LWK32:LXS32 MGG32:MHO32 MQC32:MRK32 MZY32:NBG32 NJU32:NLC32 NTQ32:NUY32 ODM32:OEU32 ONI32:OOQ32 OXE32:OYM32 PHA32:PII32 PQW32:PSE32 QAS32:QCA32 QKO32:QLW32 QUK32:QVS32 REG32:RFO32 ROC32:RPK32 RXY32:RZG32 SHU32:SJC32 SRQ32:SSY32 TBM32:TCU32 TLI32:TMQ32 TVE32:TWM32 UFA32:UGI32 UOW32:UQE32 UYS32:VAA32 VIO32:VJW32 VSK32:VTS32 WCG32:WDO32 WMC32:WNK32 WVY32:WXG32 Y65548:BI65549 JM65548:KU65549 TI65548:UQ65549 ADE65548:AEM65549 ANA65548:AOI65549 AWW65548:AYE65549 BGS65548:BIA65549 BQO65548:BRW65549 CAK65548:CBS65549 CKG65548:CLO65549 CUC65548:CVK65549 DDY65548:DFG65549 DNU65548:DPC65549 DXQ65548:DYY65549 EHM65548:EIU65549 ERI65548:ESQ65549 FBE65548:FCM65549 FLA65548:FMI65549 FUW65548:FWE65549 GES65548:GGA65549 GOO65548:GPW65549 GYK65548:GZS65549 HIG65548:HJO65549 HSC65548:HTK65549 IBY65548:IDG65549 ILU65548:INC65549 IVQ65548:IWY65549 JFM65548:JGU65549 JPI65548:JQQ65549 JZE65548:KAM65549 KJA65548:KKI65549 KSW65548:KUE65549 LCS65548:LEA65549 LMO65548:LNW65549 LWK65548:LXS65549 MGG65548:MHO65549 MQC65548:MRK65549 MZY65548:NBG65549 NJU65548:NLC65549 NTQ65548:NUY65549 ODM65548:OEU65549 ONI65548:OOQ65549 OXE65548:OYM65549 PHA65548:PII65549 PQW65548:PSE65549 QAS65548:QCA65549 QKO65548:QLW65549 QUK65548:QVS65549 REG65548:RFO65549 ROC65548:RPK65549 RXY65548:RZG65549 SHU65548:SJC65549 SRQ65548:SSY65549 TBM65548:TCU65549 TLI65548:TMQ65549 TVE65548:TWM65549 UFA65548:UGI65549 UOW65548:UQE65549 UYS65548:VAA65549 VIO65548:VJW65549 VSK65548:VTS65549 WCG65548:WDO65549 WMC65548:WNK65549 WVY65548:WXG65549 Y131084:BI131085 JM131084:KU131085 TI131084:UQ131085 ADE131084:AEM131085 ANA131084:AOI131085 AWW131084:AYE131085 BGS131084:BIA131085 BQO131084:BRW131085 CAK131084:CBS131085 CKG131084:CLO131085 CUC131084:CVK131085 DDY131084:DFG131085 DNU131084:DPC131085 DXQ131084:DYY131085 EHM131084:EIU131085 ERI131084:ESQ131085 FBE131084:FCM131085 FLA131084:FMI131085 FUW131084:FWE131085 GES131084:GGA131085 GOO131084:GPW131085 GYK131084:GZS131085 HIG131084:HJO131085 HSC131084:HTK131085 IBY131084:IDG131085 ILU131084:INC131085 IVQ131084:IWY131085 JFM131084:JGU131085 JPI131084:JQQ131085 JZE131084:KAM131085 KJA131084:KKI131085 KSW131084:KUE131085 LCS131084:LEA131085 LMO131084:LNW131085 LWK131084:LXS131085 MGG131084:MHO131085 MQC131084:MRK131085 MZY131084:NBG131085 NJU131084:NLC131085 NTQ131084:NUY131085 ODM131084:OEU131085 ONI131084:OOQ131085 OXE131084:OYM131085 PHA131084:PII131085 PQW131084:PSE131085 QAS131084:QCA131085 QKO131084:QLW131085 QUK131084:QVS131085 REG131084:RFO131085 ROC131084:RPK131085 RXY131084:RZG131085 SHU131084:SJC131085 SRQ131084:SSY131085 TBM131084:TCU131085 TLI131084:TMQ131085 TVE131084:TWM131085 UFA131084:UGI131085 UOW131084:UQE131085 UYS131084:VAA131085 VIO131084:VJW131085 VSK131084:VTS131085 WCG131084:WDO131085 WMC131084:WNK131085 WVY131084:WXG131085 Y196620:BI196621 JM196620:KU196621 TI196620:UQ196621 ADE196620:AEM196621 ANA196620:AOI196621 AWW196620:AYE196621 BGS196620:BIA196621 BQO196620:BRW196621 CAK196620:CBS196621 CKG196620:CLO196621 CUC196620:CVK196621 DDY196620:DFG196621 DNU196620:DPC196621 DXQ196620:DYY196621 EHM196620:EIU196621 ERI196620:ESQ196621 FBE196620:FCM196621 FLA196620:FMI196621 FUW196620:FWE196621 GES196620:GGA196621 GOO196620:GPW196621 GYK196620:GZS196621 HIG196620:HJO196621 HSC196620:HTK196621 IBY196620:IDG196621 ILU196620:INC196621 IVQ196620:IWY196621 JFM196620:JGU196621 JPI196620:JQQ196621 JZE196620:KAM196621 KJA196620:KKI196621 KSW196620:KUE196621 LCS196620:LEA196621 LMO196620:LNW196621 LWK196620:LXS196621 MGG196620:MHO196621 MQC196620:MRK196621 MZY196620:NBG196621 NJU196620:NLC196621 NTQ196620:NUY196621 ODM196620:OEU196621 ONI196620:OOQ196621 OXE196620:OYM196621 PHA196620:PII196621 PQW196620:PSE196621 QAS196620:QCA196621 QKO196620:QLW196621 QUK196620:QVS196621 REG196620:RFO196621 ROC196620:RPK196621 RXY196620:RZG196621 SHU196620:SJC196621 SRQ196620:SSY196621 TBM196620:TCU196621 TLI196620:TMQ196621 TVE196620:TWM196621 UFA196620:UGI196621 UOW196620:UQE196621 UYS196620:VAA196621 VIO196620:VJW196621 VSK196620:VTS196621 WCG196620:WDO196621 WMC196620:WNK196621 WVY196620:WXG196621 Y262156:BI262157 JM262156:KU262157 TI262156:UQ262157 ADE262156:AEM262157 ANA262156:AOI262157 AWW262156:AYE262157 BGS262156:BIA262157 BQO262156:BRW262157 CAK262156:CBS262157 CKG262156:CLO262157 CUC262156:CVK262157 DDY262156:DFG262157 DNU262156:DPC262157 DXQ262156:DYY262157 EHM262156:EIU262157 ERI262156:ESQ262157 FBE262156:FCM262157 FLA262156:FMI262157 FUW262156:FWE262157 GES262156:GGA262157 GOO262156:GPW262157 GYK262156:GZS262157 HIG262156:HJO262157 HSC262156:HTK262157 IBY262156:IDG262157 ILU262156:INC262157 IVQ262156:IWY262157 JFM262156:JGU262157 JPI262156:JQQ262157 JZE262156:KAM262157 KJA262156:KKI262157 KSW262156:KUE262157 LCS262156:LEA262157 LMO262156:LNW262157 LWK262156:LXS262157 MGG262156:MHO262157 MQC262156:MRK262157 MZY262156:NBG262157 NJU262156:NLC262157 NTQ262156:NUY262157 ODM262156:OEU262157 ONI262156:OOQ262157 OXE262156:OYM262157 PHA262156:PII262157 PQW262156:PSE262157 QAS262156:QCA262157 QKO262156:QLW262157 QUK262156:QVS262157 REG262156:RFO262157 ROC262156:RPK262157 RXY262156:RZG262157 SHU262156:SJC262157 SRQ262156:SSY262157 TBM262156:TCU262157 TLI262156:TMQ262157 TVE262156:TWM262157 UFA262156:UGI262157 UOW262156:UQE262157 UYS262156:VAA262157 VIO262156:VJW262157 VSK262156:VTS262157 WCG262156:WDO262157 WMC262156:WNK262157 WVY262156:WXG262157 Y327692:BI327693 JM327692:KU327693 TI327692:UQ327693 ADE327692:AEM327693 ANA327692:AOI327693 AWW327692:AYE327693 BGS327692:BIA327693 BQO327692:BRW327693 CAK327692:CBS327693 CKG327692:CLO327693 CUC327692:CVK327693 DDY327692:DFG327693 DNU327692:DPC327693 DXQ327692:DYY327693 EHM327692:EIU327693 ERI327692:ESQ327693 FBE327692:FCM327693 FLA327692:FMI327693 FUW327692:FWE327693 GES327692:GGA327693 GOO327692:GPW327693 GYK327692:GZS327693 HIG327692:HJO327693 HSC327692:HTK327693 IBY327692:IDG327693 ILU327692:INC327693 IVQ327692:IWY327693 JFM327692:JGU327693 JPI327692:JQQ327693 JZE327692:KAM327693 KJA327692:KKI327693 KSW327692:KUE327693 LCS327692:LEA327693 LMO327692:LNW327693 LWK327692:LXS327693 MGG327692:MHO327693 MQC327692:MRK327693 MZY327692:NBG327693 NJU327692:NLC327693 NTQ327692:NUY327693 ODM327692:OEU327693 ONI327692:OOQ327693 OXE327692:OYM327693 PHA327692:PII327693 PQW327692:PSE327693 QAS327692:QCA327693 QKO327692:QLW327693 QUK327692:QVS327693 REG327692:RFO327693 ROC327692:RPK327693 RXY327692:RZG327693 SHU327692:SJC327693 SRQ327692:SSY327693 TBM327692:TCU327693 TLI327692:TMQ327693 TVE327692:TWM327693 UFA327692:UGI327693 UOW327692:UQE327693 UYS327692:VAA327693 VIO327692:VJW327693 VSK327692:VTS327693 WCG327692:WDO327693 WMC327692:WNK327693 WVY327692:WXG327693 Y393228:BI393229 JM393228:KU393229 TI393228:UQ393229 ADE393228:AEM393229 ANA393228:AOI393229 AWW393228:AYE393229 BGS393228:BIA393229 BQO393228:BRW393229 CAK393228:CBS393229 CKG393228:CLO393229 CUC393228:CVK393229 DDY393228:DFG393229 DNU393228:DPC393229 DXQ393228:DYY393229 EHM393228:EIU393229 ERI393228:ESQ393229 FBE393228:FCM393229 FLA393228:FMI393229 FUW393228:FWE393229 GES393228:GGA393229 GOO393228:GPW393229 GYK393228:GZS393229 HIG393228:HJO393229 HSC393228:HTK393229 IBY393228:IDG393229 ILU393228:INC393229 IVQ393228:IWY393229 JFM393228:JGU393229 JPI393228:JQQ393229 JZE393228:KAM393229 KJA393228:KKI393229 KSW393228:KUE393229 LCS393228:LEA393229 LMO393228:LNW393229 LWK393228:LXS393229 MGG393228:MHO393229 MQC393228:MRK393229 MZY393228:NBG393229 NJU393228:NLC393229 NTQ393228:NUY393229 ODM393228:OEU393229 ONI393228:OOQ393229 OXE393228:OYM393229 PHA393228:PII393229 PQW393228:PSE393229 QAS393228:QCA393229 QKO393228:QLW393229 QUK393228:QVS393229 REG393228:RFO393229 ROC393228:RPK393229 RXY393228:RZG393229 SHU393228:SJC393229 SRQ393228:SSY393229 TBM393228:TCU393229 TLI393228:TMQ393229 TVE393228:TWM393229 UFA393228:UGI393229 UOW393228:UQE393229 UYS393228:VAA393229 VIO393228:VJW393229 VSK393228:VTS393229 WCG393228:WDO393229 WMC393228:WNK393229 WVY393228:WXG393229 Y458764:BI458765 JM458764:KU458765 TI458764:UQ458765 ADE458764:AEM458765 ANA458764:AOI458765 AWW458764:AYE458765 BGS458764:BIA458765 BQO458764:BRW458765 CAK458764:CBS458765 CKG458764:CLO458765 CUC458764:CVK458765 DDY458764:DFG458765 DNU458764:DPC458765 DXQ458764:DYY458765 EHM458764:EIU458765 ERI458764:ESQ458765 FBE458764:FCM458765 FLA458764:FMI458765 FUW458764:FWE458765 GES458764:GGA458765 GOO458764:GPW458765 GYK458764:GZS458765 HIG458764:HJO458765 HSC458764:HTK458765 IBY458764:IDG458765 ILU458764:INC458765 IVQ458764:IWY458765 JFM458764:JGU458765 JPI458764:JQQ458765 JZE458764:KAM458765 KJA458764:KKI458765 KSW458764:KUE458765 LCS458764:LEA458765 LMO458764:LNW458765 LWK458764:LXS458765 MGG458764:MHO458765 MQC458764:MRK458765 MZY458764:NBG458765 NJU458764:NLC458765 NTQ458764:NUY458765 ODM458764:OEU458765 ONI458764:OOQ458765 OXE458764:OYM458765 PHA458764:PII458765 PQW458764:PSE458765 QAS458764:QCA458765 QKO458764:QLW458765 QUK458764:QVS458765 REG458764:RFO458765 ROC458764:RPK458765 RXY458764:RZG458765 SHU458764:SJC458765 SRQ458764:SSY458765 TBM458764:TCU458765 TLI458764:TMQ458765 TVE458764:TWM458765 UFA458764:UGI458765 UOW458764:UQE458765 UYS458764:VAA458765 VIO458764:VJW458765 VSK458764:VTS458765 WCG458764:WDO458765 WMC458764:WNK458765 WVY458764:WXG458765 Y524300:BI524301 JM524300:KU524301 TI524300:UQ524301 ADE524300:AEM524301 ANA524300:AOI524301 AWW524300:AYE524301 BGS524300:BIA524301 BQO524300:BRW524301 CAK524300:CBS524301 CKG524300:CLO524301 CUC524300:CVK524301 DDY524300:DFG524301 DNU524300:DPC524301 DXQ524300:DYY524301 EHM524300:EIU524301 ERI524300:ESQ524301 FBE524300:FCM524301 FLA524300:FMI524301 FUW524300:FWE524301 GES524300:GGA524301 GOO524300:GPW524301 GYK524300:GZS524301 HIG524300:HJO524301 HSC524300:HTK524301 IBY524300:IDG524301 ILU524300:INC524301 IVQ524300:IWY524301 JFM524300:JGU524301 JPI524300:JQQ524301 JZE524300:KAM524301 KJA524300:KKI524301 KSW524300:KUE524301 LCS524300:LEA524301 LMO524300:LNW524301 LWK524300:LXS524301 MGG524300:MHO524301 MQC524300:MRK524301 MZY524300:NBG524301 NJU524300:NLC524301 NTQ524300:NUY524301 ODM524300:OEU524301 ONI524300:OOQ524301 OXE524300:OYM524301 PHA524300:PII524301 PQW524300:PSE524301 QAS524300:QCA524301 QKO524300:QLW524301 QUK524300:QVS524301 REG524300:RFO524301 ROC524300:RPK524301 RXY524300:RZG524301 SHU524300:SJC524301 SRQ524300:SSY524301 TBM524300:TCU524301 TLI524300:TMQ524301 TVE524300:TWM524301 UFA524300:UGI524301 UOW524300:UQE524301 UYS524300:VAA524301 VIO524300:VJW524301 VSK524300:VTS524301 WCG524300:WDO524301 WMC524300:WNK524301 WVY524300:WXG524301 Y589836:BI589837 JM589836:KU589837 TI589836:UQ589837 ADE589836:AEM589837 ANA589836:AOI589837 AWW589836:AYE589837 BGS589836:BIA589837 BQO589836:BRW589837 CAK589836:CBS589837 CKG589836:CLO589837 CUC589836:CVK589837 DDY589836:DFG589837 DNU589836:DPC589837 DXQ589836:DYY589837 EHM589836:EIU589837 ERI589836:ESQ589837 FBE589836:FCM589837 FLA589836:FMI589837 FUW589836:FWE589837 GES589836:GGA589837 GOO589836:GPW589837 GYK589836:GZS589837 HIG589836:HJO589837 HSC589836:HTK589837 IBY589836:IDG589837 ILU589836:INC589837 IVQ589836:IWY589837 JFM589836:JGU589837 JPI589836:JQQ589837 JZE589836:KAM589837 KJA589836:KKI589837 KSW589836:KUE589837 LCS589836:LEA589837 LMO589836:LNW589837 LWK589836:LXS589837 MGG589836:MHO589837 MQC589836:MRK589837 MZY589836:NBG589837 NJU589836:NLC589837 NTQ589836:NUY589837 ODM589836:OEU589837 ONI589836:OOQ589837 OXE589836:OYM589837 PHA589836:PII589837 PQW589836:PSE589837 QAS589836:QCA589837 QKO589836:QLW589837 QUK589836:QVS589837 REG589836:RFO589837 ROC589836:RPK589837 RXY589836:RZG589837 SHU589836:SJC589837 SRQ589836:SSY589837 TBM589836:TCU589837 TLI589836:TMQ589837 TVE589836:TWM589837 UFA589836:UGI589837 UOW589836:UQE589837 UYS589836:VAA589837 VIO589836:VJW589837 VSK589836:VTS589837 WCG589836:WDO589837 WMC589836:WNK589837 WVY589836:WXG589837 Y655372:BI655373 JM655372:KU655373 TI655372:UQ655373 ADE655372:AEM655373 ANA655372:AOI655373 AWW655372:AYE655373 BGS655372:BIA655373 BQO655372:BRW655373 CAK655372:CBS655373 CKG655372:CLO655373 CUC655372:CVK655373 DDY655372:DFG655373 DNU655372:DPC655373 DXQ655372:DYY655373 EHM655372:EIU655373 ERI655372:ESQ655373 FBE655372:FCM655373 FLA655372:FMI655373 FUW655372:FWE655373 GES655372:GGA655373 GOO655372:GPW655373 GYK655372:GZS655373 HIG655372:HJO655373 HSC655372:HTK655373 IBY655372:IDG655373 ILU655372:INC655373 IVQ655372:IWY655373 JFM655372:JGU655373 JPI655372:JQQ655373 JZE655372:KAM655373 KJA655372:KKI655373 KSW655372:KUE655373 LCS655372:LEA655373 LMO655372:LNW655373 LWK655372:LXS655373 MGG655372:MHO655373 MQC655372:MRK655373 MZY655372:NBG655373 NJU655372:NLC655373 NTQ655372:NUY655373 ODM655372:OEU655373 ONI655372:OOQ655373 OXE655372:OYM655373 PHA655372:PII655373 PQW655372:PSE655373 QAS655372:QCA655373 QKO655372:QLW655373 QUK655372:QVS655373 REG655372:RFO655373 ROC655372:RPK655373 RXY655372:RZG655373 SHU655372:SJC655373 SRQ655372:SSY655373 TBM655372:TCU655373 TLI655372:TMQ655373 TVE655372:TWM655373 UFA655372:UGI655373 UOW655372:UQE655373 UYS655372:VAA655373 VIO655372:VJW655373 VSK655372:VTS655373 WCG655372:WDO655373 WMC655372:WNK655373 WVY655372:WXG655373 Y720908:BI720909 JM720908:KU720909 TI720908:UQ720909 ADE720908:AEM720909 ANA720908:AOI720909 AWW720908:AYE720909 BGS720908:BIA720909 BQO720908:BRW720909 CAK720908:CBS720909 CKG720908:CLO720909 CUC720908:CVK720909 DDY720908:DFG720909 DNU720908:DPC720909 DXQ720908:DYY720909 EHM720908:EIU720909 ERI720908:ESQ720909 FBE720908:FCM720909 FLA720908:FMI720909 FUW720908:FWE720909 GES720908:GGA720909 GOO720908:GPW720909 GYK720908:GZS720909 HIG720908:HJO720909 HSC720908:HTK720909 IBY720908:IDG720909 ILU720908:INC720909 IVQ720908:IWY720909 JFM720908:JGU720909 JPI720908:JQQ720909 JZE720908:KAM720909 KJA720908:KKI720909 KSW720908:KUE720909 LCS720908:LEA720909 LMO720908:LNW720909 LWK720908:LXS720909 MGG720908:MHO720909 MQC720908:MRK720909 MZY720908:NBG720909 NJU720908:NLC720909 NTQ720908:NUY720909 ODM720908:OEU720909 ONI720908:OOQ720909 OXE720908:OYM720909 PHA720908:PII720909 PQW720908:PSE720909 QAS720908:QCA720909 QKO720908:QLW720909 QUK720908:QVS720909 REG720908:RFO720909 ROC720908:RPK720909 RXY720908:RZG720909 SHU720908:SJC720909 SRQ720908:SSY720909 TBM720908:TCU720909 TLI720908:TMQ720909 TVE720908:TWM720909 UFA720908:UGI720909 UOW720908:UQE720909 UYS720908:VAA720909 VIO720908:VJW720909 VSK720908:VTS720909 WCG720908:WDO720909 WMC720908:WNK720909 WVY720908:WXG720909 Y786444:BI786445 JM786444:KU786445 TI786444:UQ786445 ADE786444:AEM786445 ANA786444:AOI786445 AWW786444:AYE786445 BGS786444:BIA786445 BQO786444:BRW786445 CAK786444:CBS786445 CKG786444:CLO786445 CUC786444:CVK786445 DDY786444:DFG786445 DNU786444:DPC786445 DXQ786444:DYY786445 EHM786444:EIU786445 ERI786444:ESQ786445 FBE786444:FCM786445 FLA786444:FMI786445 FUW786444:FWE786445 GES786444:GGA786445 GOO786444:GPW786445 GYK786444:GZS786445 HIG786444:HJO786445 HSC786444:HTK786445 IBY786444:IDG786445 ILU786444:INC786445 IVQ786444:IWY786445 JFM786444:JGU786445 JPI786444:JQQ786445 JZE786444:KAM786445 KJA786444:KKI786445 KSW786444:KUE786445 LCS786444:LEA786445 LMO786444:LNW786445 LWK786444:LXS786445 MGG786444:MHO786445 MQC786444:MRK786445 MZY786444:NBG786445 NJU786444:NLC786445 NTQ786444:NUY786445 ODM786444:OEU786445 ONI786444:OOQ786445 OXE786444:OYM786445 PHA786444:PII786445 PQW786444:PSE786445 QAS786444:QCA786445 QKO786444:QLW786445 QUK786444:QVS786445 REG786444:RFO786445 ROC786444:RPK786445 RXY786444:RZG786445 SHU786444:SJC786445 SRQ786444:SSY786445 TBM786444:TCU786445 TLI786444:TMQ786445 TVE786444:TWM786445 UFA786444:UGI786445 UOW786444:UQE786445 UYS786444:VAA786445 VIO786444:VJW786445 VSK786444:VTS786445 WCG786444:WDO786445 WMC786444:WNK786445 WVY786444:WXG786445 Y851980:BI851981 JM851980:KU851981 TI851980:UQ851981 ADE851980:AEM851981 ANA851980:AOI851981 AWW851980:AYE851981 BGS851980:BIA851981 BQO851980:BRW851981 CAK851980:CBS851981 CKG851980:CLO851981 CUC851980:CVK851981 DDY851980:DFG851981 DNU851980:DPC851981 DXQ851980:DYY851981 EHM851980:EIU851981 ERI851980:ESQ851981 FBE851980:FCM851981 FLA851980:FMI851981 FUW851980:FWE851981 GES851980:GGA851981 GOO851980:GPW851981 GYK851980:GZS851981 HIG851980:HJO851981 HSC851980:HTK851981 IBY851980:IDG851981 ILU851980:INC851981 IVQ851980:IWY851981 JFM851980:JGU851981 JPI851980:JQQ851981 JZE851980:KAM851981 KJA851980:KKI851981 KSW851980:KUE851981 LCS851980:LEA851981 LMO851980:LNW851981 LWK851980:LXS851981 MGG851980:MHO851981 MQC851980:MRK851981 MZY851980:NBG851981 NJU851980:NLC851981 NTQ851980:NUY851981 ODM851980:OEU851981 ONI851980:OOQ851981 OXE851980:OYM851981 PHA851980:PII851981 PQW851980:PSE851981 QAS851980:QCA851981 QKO851980:QLW851981 QUK851980:QVS851981 REG851980:RFO851981 ROC851980:RPK851981 RXY851980:RZG851981 SHU851980:SJC851981 SRQ851980:SSY851981 TBM851980:TCU851981 TLI851980:TMQ851981 TVE851980:TWM851981 UFA851980:UGI851981 UOW851980:UQE851981 UYS851980:VAA851981 VIO851980:VJW851981 VSK851980:VTS851981 WCG851980:WDO851981 WMC851980:WNK851981 WVY851980:WXG851981 Y917516:BI917517 JM917516:KU917517 TI917516:UQ917517 ADE917516:AEM917517 ANA917516:AOI917517 AWW917516:AYE917517 BGS917516:BIA917517 BQO917516:BRW917517 CAK917516:CBS917517 CKG917516:CLO917517 CUC917516:CVK917517 DDY917516:DFG917517 DNU917516:DPC917517 DXQ917516:DYY917517 EHM917516:EIU917517 ERI917516:ESQ917517 FBE917516:FCM917517 FLA917516:FMI917517 FUW917516:FWE917517 GES917516:GGA917517 GOO917516:GPW917517 GYK917516:GZS917517 HIG917516:HJO917517 HSC917516:HTK917517 IBY917516:IDG917517 ILU917516:INC917517 IVQ917516:IWY917517 JFM917516:JGU917517 JPI917516:JQQ917517 JZE917516:KAM917517 KJA917516:KKI917517 KSW917516:KUE917517 LCS917516:LEA917517 LMO917516:LNW917517 LWK917516:LXS917517 MGG917516:MHO917517 MQC917516:MRK917517 MZY917516:NBG917517 NJU917516:NLC917517 NTQ917516:NUY917517 ODM917516:OEU917517 ONI917516:OOQ917517 OXE917516:OYM917517 PHA917516:PII917517 PQW917516:PSE917517 QAS917516:QCA917517 QKO917516:QLW917517 QUK917516:QVS917517 REG917516:RFO917517 ROC917516:RPK917517 RXY917516:RZG917517 SHU917516:SJC917517 SRQ917516:SSY917517 TBM917516:TCU917517 TLI917516:TMQ917517 TVE917516:TWM917517 UFA917516:UGI917517 UOW917516:UQE917517 UYS917516:VAA917517 VIO917516:VJW917517 VSK917516:VTS917517 WCG917516:WDO917517 WMC917516:WNK917517 WVY917516:WXG917517 Y983052:BI983053 JM983052:KU983053 TI983052:UQ983053 ADE983052:AEM983053 ANA983052:AOI983053 AWW983052:AYE983053 BGS983052:BIA983053 BQO983052:BRW983053 CAK983052:CBS983053 CKG983052:CLO983053 CUC983052:CVK983053 DDY983052:DFG983053 DNU983052:DPC983053 DXQ983052:DYY983053 EHM983052:EIU983053 ERI983052:ESQ983053 FBE983052:FCM983053 FLA983052:FMI983053 FUW983052:FWE983053 GES983052:GGA983053 GOO983052:GPW983053 GYK983052:GZS983053 HIG983052:HJO983053 HSC983052:HTK983053 IBY983052:IDG983053 ILU983052:INC983053 IVQ983052:IWY983053 JFM983052:JGU983053 JPI983052:JQQ983053 JZE983052:KAM983053 KJA983052:KKI983053 KSW983052:KUE983053 LCS983052:LEA983053 LMO983052:LNW983053 LWK983052:LXS983053 MGG983052:MHO983053 MQC983052:MRK983053 MZY983052:NBG983053 NJU983052:NLC983053 NTQ983052:NUY983053 ODM983052:OEU983053 ONI983052:OOQ983053 OXE983052:OYM983053 PHA983052:PII983053 PQW983052:PSE983053 QAS983052:QCA983053 QKO983052:QLW983053 QUK983052:QVS983053 REG983052:RFO983053 ROC983052:RPK983053 RXY983052:RZG983053 SHU983052:SJC983053 SRQ983052:SSY983053 TBM983052:TCU983053 TLI983052:TMQ983053 TVE983052:TWM983053 UFA983052:UGI983053 UOW983052:UQE983053 UYS983052:VAA983053 VIO983052:VJW983053 VSK983052:VTS983053 WCG983052:WDO983053 WMC983052:WNK983053 WVY983052:WXG983053 DD32:DV32" xr:uid="{00000000-0002-0000-1500-000000000000}">
      <formula1>"grün / green, rot / red, "</formula1>
    </dataValidation>
    <dataValidation type="list" allowBlank="1" showInputMessage="1" showErrorMessage="1" sqref="CS34 JM34:KU34 TI34:UQ34 ADE34:AEM34 ANA34:AOI34 AWW34:AYE34 BGS34:BIA34 BQO34:BRW34 CAK34:CBS34 CKG34:CLO34 CUC34:CVK34 DDY34:DFG34 DNU34:DPC34 DXQ34:DYY34 EHM34:EIU34 ERI34:ESQ34 FBE34:FCM34 FLA34:FMI34 FUW34:FWE34 GES34:GGA34 GOO34:GPW34 GYK34:GZS34 HIG34:HJO34 HSC34:HTK34 IBY34:IDG34 ILU34:INC34 IVQ34:IWY34 JFM34:JGU34 JPI34:JQQ34 JZE34:KAM34 KJA34:KKI34 KSW34:KUE34 LCS34:LEA34 LMO34:LNW34 LWK34:LXS34 MGG34:MHO34 MQC34:MRK34 MZY34:NBG34 NJU34:NLC34 NTQ34:NUY34 ODM34:OEU34 ONI34:OOQ34 OXE34:OYM34 PHA34:PII34 PQW34:PSE34 QAS34:QCA34 QKO34:QLW34 QUK34:QVS34 REG34:RFO34 ROC34:RPK34 RXY34:RZG34 SHU34:SJC34 SRQ34:SSY34 TBM34:TCU34 TLI34:TMQ34 TVE34:TWM34 UFA34:UGI34 UOW34:UQE34 UYS34:VAA34 VIO34:VJW34 VSK34:VTS34 WCG34:WDO34 WMC34:WNK34 WVY34:WXG34 Y65551:BI65551 JM65551:KU65551 TI65551:UQ65551 ADE65551:AEM65551 ANA65551:AOI65551 AWW65551:AYE65551 BGS65551:BIA65551 BQO65551:BRW65551 CAK65551:CBS65551 CKG65551:CLO65551 CUC65551:CVK65551 DDY65551:DFG65551 DNU65551:DPC65551 DXQ65551:DYY65551 EHM65551:EIU65551 ERI65551:ESQ65551 FBE65551:FCM65551 FLA65551:FMI65551 FUW65551:FWE65551 GES65551:GGA65551 GOO65551:GPW65551 GYK65551:GZS65551 HIG65551:HJO65551 HSC65551:HTK65551 IBY65551:IDG65551 ILU65551:INC65551 IVQ65551:IWY65551 JFM65551:JGU65551 JPI65551:JQQ65551 JZE65551:KAM65551 KJA65551:KKI65551 KSW65551:KUE65551 LCS65551:LEA65551 LMO65551:LNW65551 LWK65551:LXS65551 MGG65551:MHO65551 MQC65551:MRK65551 MZY65551:NBG65551 NJU65551:NLC65551 NTQ65551:NUY65551 ODM65551:OEU65551 ONI65551:OOQ65551 OXE65551:OYM65551 PHA65551:PII65551 PQW65551:PSE65551 QAS65551:QCA65551 QKO65551:QLW65551 QUK65551:QVS65551 REG65551:RFO65551 ROC65551:RPK65551 RXY65551:RZG65551 SHU65551:SJC65551 SRQ65551:SSY65551 TBM65551:TCU65551 TLI65551:TMQ65551 TVE65551:TWM65551 UFA65551:UGI65551 UOW65551:UQE65551 UYS65551:VAA65551 VIO65551:VJW65551 VSK65551:VTS65551 WCG65551:WDO65551 WMC65551:WNK65551 WVY65551:WXG65551 Y131087:BI131087 JM131087:KU131087 TI131087:UQ131087 ADE131087:AEM131087 ANA131087:AOI131087 AWW131087:AYE131087 BGS131087:BIA131087 BQO131087:BRW131087 CAK131087:CBS131087 CKG131087:CLO131087 CUC131087:CVK131087 DDY131087:DFG131087 DNU131087:DPC131087 DXQ131087:DYY131087 EHM131087:EIU131087 ERI131087:ESQ131087 FBE131087:FCM131087 FLA131087:FMI131087 FUW131087:FWE131087 GES131087:GGA131087 GOO131087:GPW131087 GYK131087:GZS131087 HIG131087:HJO131087 HSC131087:HTK131087 IBY131087:IDG131087 ILU131087:INC131087 IVQ131087:IWY131087 JFM131087:JGU131087 JPI131087:JQQ131087 JZE131087:KAM131087 KJA131087:KKI131087 KSW131087:KUE131087 LCS131087:LEA131087 LMO131087:LNW131087 LWK131087:LXS131087 MGG131087:MHO131087 MQC131087:MRK131087 MZY131087:NBG131087 NJU131087:NLC131087 NTQ131087:NUY131087 ODM131087:OEU131087 ONI131087:OOQ131087 OXE131087:OYM131087 PHA131087:PII131087 PQW131087:PSE131087 QAS131087:QCA131087 QKO131087:QLW131087 QUK131087:QVS131087 REG131087:RFO131087 ROC131087:RPK131087 RXY131087:RZG131087 SHU131087:SJC131087 SRQ131087:SSY131087 TBM131087:TCU131087 TLI131087:TMQ131087 TVE131087:TWM131087 UFA131087:UGI131087 UOW131087:UQE131087 UYS131087:VAA131087 VIO131087:VJW131087 VSK131087:VTS131087 WCG131087:WDO131087 WMC131087:WNK131087 WVY131087:WXG131087 Y196623:BI196623 JM196623:KU196623 TI196623:UQ196623 ADE196623:AEM196623 ANA196623:AOI196623 AWW196623:AYE196623 BGS196623:BIA196623 BQO196623:BRW196623 CAK196623:CBS196623 CKG196623:CLO196623 CUC196623:CVK196623 DDY196623:DFG196623 DNU196623:DPC196623 DXQ196623:DYY196623 EHM196623:EIU196623 ERI196623:ESQ196623 FBE196623:FCM196623 FLA196623:FMI196623 FUW196623:FWE196623 GES196623:GGA196623 GOO196623:GPW196623 GYK196623:GZS196623 HIG196623:HJO196623 HSC196623:HTK196623 IBY196623:IDG196623 ILU196623:INC196623 IVQ196623:IWY196623 JFM196623:JGU196623 JPI196623:JQQ196623 JZE196623:KAM196623 KJA196623:KKI196623 KSW196623:KUE196623 LCS196623:LEA196623 LMO196623:LNW196623 LWK196623:LXS196623 MGG196623:MHO196623 MQC196623:MRK196623 MZY196623:NBG196623 NJU196623:NLC196623 NTQ196623:NUY196623 ODM196623:OEU196623 ONI196623:OOQ196623 OXE196623:OYM196623 PHA196623:PII196623 PQW196623:PSE196623 QAS196623:QCA196623 QKO196623:QLW196623 QUK196623:QVS196623 REG196623:RFO196623 ROC196623:RPK196623 RXY196623:RZG196623 SHU196623:SJC196623 SRQ196623:SSY196623 TBM196623:TCU196623 TLI196623:TMQ196623 TVE196623:TWM196623 UFA196623:UGI196623 UOW196623:UQE196623 UYS196623:VAA196623 VIO196623:VJW196623 VSK196623:VTS196623 WCG196623:WDO196623 WMC196623:WNK196623 WVY196623:WXG196623 Y262159:BI262159 JM262159:KU262159 TI262159:UQ262159 ADE262159:AEM262159 ANA262159:AOI262159 AWW262159:AYE262159 BGS262159:BIA262159 BQO262159:BRW262159 CAK262159:CBS262159 CKG262159:CLO262159 CUC262159:CVK262159 DDY262159:DFG262159 DNU262159:DPC262159 DXQ262159:DYY262159 EHM262159:EIU262159 ERI262159:ESQ262159 FBE262159:FCM262159 FLA262159:FMI262159 FUW262159:FWE262159 GES262159:GGA262159 GOO262159:GPW262159 GYK262159:GZS262159 HIG262159:HJO262159 HSC262159:HTK262159 IBY262159:IDG262159 ILU262159:INC262159 IVQ262159:IWY262159 JFM262159:JGU262159 JPI262159:JQQ262159 JZE262159:KAM262159 KJA262159:KKI262159 KSW262159:KUE262159 LCS262159:LEA262159 LMO262159:LNW262159 LWK262159:LXS262159 MGG262159:MHO262159 MQC262159:MRK262159 MZY262159:NBG262159 NJU262159:NLC262159 NTQ262159:NUY262159 ODM262159:OEU262159 ONI262159:OOQ262159 OXE262159:OYM262159 PHA262159:PII262159 PQW262159:PSE262159 QAS262159:QCA262159 QKO262159:QLW262159 QUK262159:QVS262159 REG262159:RFO262159 ROC262159:RPK262159 RXY262159:RZG262159 SHU262159:SJC262159 SRQ262159:SSY262159 TBM262159:TCU262159 TLI262159:TMQ262159 TVE262159:TWM262159 UFA262159:UGI262159 UOW262159:UQE262159 UYS262159:VAA262159 VIO262159:VJW262159 VSK262159:VTS262159 WCG262159:WDO262159 WMC262159:WNK262159 WVY262159:WXG262159 Y327695:BI327695 JM327695:KU327695 TI327695:UQ327695 ADE327695:AEM327695 ANA327695:AOI327695 AWW327695:AYE327695 BGS327695:BIA327695 BQO327695:BRW327695 CAK327695:CBS327695 CKG327695:CLO327695 CUC327695:CVK327695 DDY327695:DFG327695 DNU327695:DPC327695 DXQ327695:DYY327695 EHM327695:EIU327695 ERI327695:ESQ327695 FBE327695:FCM327695 FLA327695:FMI327695 FUW327695:FWE327695 GES327695:GGA327695 GOO327695:GPW327695 GYK327695:GZS327695 HIG327695:HJO327695 HSC327695:HTK327695 IBY327695:IDG327695 ILU327695:INC327695 IVQ327695:IWY327695 JFM327695:JGU327695 JPI327695:JQQ327695 JZE327695:KAM327695 KJA327695:KKI327695 KSW327695:KUE327695 LCS327695:LEA327695 LMO327695:LNW327695 LWK327695:LXS327695 MGG327695:MHO327695 MQC327695:MRK327695 MZY327695:NBG327695 NJU327695:NLC327695 NTQ327695:NUY327695 ODM327695:OEU327695 ONI327695:OOQ327695 OXE327695:OYM327695 PHA327695:PII327695 PQW327695:PSE327695 QAS327695:QCA327695 QKO327695:QLW327695 QUK327695:QVS327695 REG327695:RFO327695 ROC327695:RPK327695 RXY327695:RZG327695 SHU327695:SJC327695 SRQ327695:SSY327695 TBM327695:TCU327695 TLI327695:TMQ327695 TVE327695:TWM327695 UFA327695:UGI327695 UOW327695:UQE327695 UYS327695:VAA327695 VIO327695:VJW327695 VSK327695:VTS327695 WCG327695:WDO327695 WMC327695:WNK327695 WVY327695:WXG327695 Y393231:BI393231 JM393231:KU393231 TI393231:UQ393231 ADE393231:AEM393231 ANA393231:AOI393231 AWW393231:AYE393231 BGS393231:BIA393231 BQO393231:BRW393231 CAK393231:CBS393231 CKG393231:CLO393231 CUC393231:CVK393231 DDY393231:DFG393231 DNU393231:DPC393231 DXQ393231:DYY393231 EHM393231:EIU393231 ERI393231:ESQ393231 FBE393231:FCM393231 FLA393231:FMI393231 FUW393231:FWE393231 GES393231:GGA393231 GOO393231:GPW393231 GYK393231:GZS393231 HIG393231:HJO393231 HSC393231:HTK393231 IBY393231:IDG393231 ILU393231:INC393231 IVQ393231:IWY393231 JFM393231:JGU393231 JPI393231:JQQ393231 JZE393231:KAM393231 KJA393231:KKI393231 KSW393231:KUE393231 LCS393231:LEA393231 LMO393231:LNW393231 LWK393231:LXS393231 MGG393231:MHO393231 MQC393231:MRK393231 MZY393231:NBG393231 NJU393231:NLC393231 NTQ393231:NUY393231 ODM393231:OEU393231 ONI393231:OOQ393231 OXE393231:OYM393231 PHA393231:PII393231 PQW393231:PSE393231 QAS393231:QCA393231 QKO393231:QLW393231 QUK393231:QVS393231 REG393231:RFO393231 ROC393231:RPK393231 RXY393231:RZG393231 SHU393231:SJC393231 SRQ393231:SSY393231 TBM393231:TCU393231 TLI393231:TMQ393231 TVE393231:TWM393231 UFA393231:UGI393231 UOW393231:UQE393231 UYS393231:VAA393231 VIO393231:VJW393231 VSK393231:VTS393231 WCG393231:WDO393231 WMC393231:WNK393231 WVY393231:WXG393231 Y458767:BI458767 JM458767:KU458767 TI458767:UQ458767 ADE458767:AEM458767 ANA458767:AOI458767 AWW458767:AYE458767 BGS458767:BIA458767 BQO458767:BRW458767 CAK458767:CBS458767 CKG458767:CLO458767 CUC458767:CVK458767 DDY458767:DFG458767 DNU458767:DPC458767 DXQ458767:DYY458767 EHM458767:EIU458767 ERI458767:ESQ458767 FBE458767:FCM458767 FLA458767:FMI458767 FUW458767:FWE458767 GES458767:GGA458767 GOO458767:GPW458767 GYK458767:GZS458767 HIG458767:HJO458767 HSC458767:HTK458767 IBY458767:IDG458767 ILU458767:INC458767 IVQ458767:IWY458767 JFM458767:JGU458767 JPI458767:JQQ458767 JZE458767:KAM458767 KJA458767:KKI458767 KSW458767:KUE458767 LCS458767:LEA458767 LMO458767:LNW458767 LWK458767:LXS458767 MGG458767:MHO458767 MQC458767:MRK458767 MZY458767:NBG458767 NJU458767:NLC458767 NTQ458767:NUY458767 ODM458767:OEU458767 ONI458767:OOQ458767 OXE458767:OYM458767 PHA458767:PII458767 PQW458767:PSE458767 QAS458767:QCA458767 QKO458767:QLW458767 QUK458767:QVS458767 REG458767:RFO458767 ROC458767:RPK458767 RXY458767:RZG458767 SHU458767:SJC458767 SRQ458767:SSY458767 TBM458767:TCU458767 TLI458767:TMQ458767 TVE458767:TWM458767 UFA458767:UGI458767 UOW458767:UQE458767 UYS458767:VAA458767 VIO458767:VJW458767 VSK458767:VTS458767 WCG458767:WDO458767 WMC458767:WNK458767 WVY458767:WXG458767 Y524303:BI524303 JM524303:KU524303 TI524303:UQ524303 ADE524303:AEM524303 ANA524303:AOI524303 AWW524303:AYE524303 BGS524303:BIA524303 BQO524303:BRW524303 CAK524303:CBS524303 CKG524303:CLO524303 CUC524303:CVK524303 DDY524303:DFG524303 DNU524303:DPC524303 DXQ524303:DYY524303 EHM524303:EIU524303 ERI524303:ESQ524303 FBE524303:FCM524303 FLA524303:FMI524303 FUW524303:FWE524303 GES524303:GGA524303 GOO524303:GPW524303 GYK524303:GZS524303 HIG524303:HJO524303 HSC524303:HTK524303 IBY524303:IDG524303 ILU524303:INC524303 IVQ524303:IWY524303 JFM524303:JGU524303 JPI524303:JQQ524303 JZE524303:KAM524303 KJA524303:KKI524303 KSW524303:KUE524303 LCS524303:LEA524303 LMO524303:LNW524303 LWK524303:LXS524303 MGG524303:MHO524303 MQC524303:MRK524303 MZY524303:NBG524303 NJU524303:NLC524303 NTQ524303:NUY524303 ODM524303:OEU524303 ONI524303:OOQ524303 OXE524303:OYM524303 PHA524303:PII524303 PQW524303:PSE524303 QAS524303:QCA524303 QKO524303:QLW524303 QUK524303:QVS524303 REG524303:RFO524303 ROC524303:RPK524303 RXY524303:RZG524303 SHU524303:SJC524303 SRQ524303:SSY524303 TBM524303:TCU524303 TLI524303:TMQ524303 TVE524303:TWM524303 UFA524303:UGI524303 UOW524303:UQE524303 UYS524303:VAA524303 VIO524303:VJW524303 VSK524303:VTS524303 WCG524303:WDO524303 WMC524303:WNK524303 WVY524303:WXG524303 Y589839:BI589839 JM589839:KU589839 TI589839:UQ589839 ADE589839:AEM589839 ANA589839:AOI589839 AWW589839:AYE589839 BGS589839:BIA589839 BQO589839:BRW589839 CAK589839:CBS589839 CKG589839:CLO589839 CUC589839:CVK589839 DDY589839:DFG589839 DNU589839:DPC589839 DXQ589839:DYY589839 EHM589839:EIU589839 ERI589839:ESQ589839 FBE589839:FCM589839 FLA589839:FMI589839 FUW589839:FWE589839 GES589839:GGA589839 GOO589839:GPW589839 GYK589839:GZS589839 HIG589839:HJO589839 HSC589839:HTK589839 IBY589839:IDG589839 ILU589839:INC589839 IVQ589839:IWY589839 JFM589839:JGU589839 JPI589839:JQQ589839 JZE589839:KAM589839 KJA589839:KKI589839 KSW589839:KUE589839 LCS589839:LEA589839 LMO589839:LNW589839 LWK589839:LXS589839 MGG589839:MHO589839 MQC589839:MRK589839 MZY589839:NBG589839 NJU589839:NLC589839 NTQ589839:NUY589839 ODM589839:OEU589839 ONI589839:OOQ589839 OXE589839:OYM589839 PHA589839:PII589839 PQW589839:PSE589839 QAS589839:QCA589839 QKO589839:QLW589839 QUK589839:QVS589839 REG589839:RFO589839 ROC589839:RPK589839 RXY589839:RZG589839 SHU589839:SJC589839 SRQ589839:SSY589839 TBM589839:TCU589839 TLI589839:TMQ589839 TVE589839:TWM589839 UFA589839:UGI589839 UOW589839:UQE589839 UYS589839:VAA589839 VIO589839:VJW589839 VSK589839:VTS589839 WCG589839:WDO589839 WMC589839:WNK589839 WVY589839:WXG589839 Y655375:BI655375 JM655375:KU655375 TI655375:UQ655375 ADE655375:AEM655375 ANA655375:AOI655375 AWW655375:AYE655375 BGS655375:BIA655375 BQO655375:BRW655375 CAK655375:CBS655375 CKG655375:CLO655375 CUC655375:CVK655375 DDY655375:DFG655375 DNU655375:DPC655375 DXQ655375:DYY655375 EHM655375:EIU655375 ERI655375:ESQ655375 FBE655375:FCM655375 FLA655375:FMI655375 FUW655375:FWE655375 GES655375:GGA655375 GOO655375:GPW655375 GYK655375:GZS655375 HIG655375:HJO655375 HSC655375:HTK655375 IBY655375:IDG655375 ILU655375:INC655375 IVQ655375:IWY655375 JFM655375:JGU655375 JPI655375:JQQ655375 JZE655375:KAM655375 KJA655375:KKI655375 KSW655375:KUE655375 LCS655375:LEA655375 LMO655375:LNW655375 LWK655375:LXS655375 MGG655375:MHO655375 MQC655375:MRK655375 MZY655375:NBG655375 NJU655375:NLC655375 NTQ655375:NUY655375 ODM655375:OEU655375 ONI655375:OOQ655375 OXE655375:OYM655375 PHA655375:PII655375 PQW655375:PSE655375 QAS655375:QCA655375 QKO655375:QLW655375 QUK655375:QVS655375 REG655375:RFO655375 ROC655375:RPK655375 RXY655375:RZG655375 SHU655375:SJC655375 SRQ655375:SSY655375 TBM655375:TCU655375 TLI655375:TMQ655375 TVE655375:TWM655375 UFA655375:UGI655375 UOW655375:UQE655375 UYS655375:VAA655375 VIO655375:VJW655375 VSK655375:VTS655375 WCG655375:WDO655375 WMC655375:WNK655375 WVY655375:WXG655375 Y720911:BI720911 JM720911:KU720911 TI720911:UQ720911 ADE720911:AEM720911 ANA720911:AOI720911 AWW720911:AYE720911 BGS720911:BIA720911 BQO720911:BRW720911 CAK720911:CBS720911 CKG720911:CLO720911 CUC720911:CVK720911 DDY720911:DFG720911 DNU720911:DPC720911 DXQ720911:DYY720911 EHM720911:EIU720911 ERI720911:ESQ720911 FBE720911:FCM720911 FLA720911:FMI720911 FUW720911:FWE720911 GES720911:GGA720911 GOO720911:GPW720911 GYK720911:GZS720911 HIG720911:HJO720911 HSC720911:HTK720911 IBY720911:IDG720911 ILU720911:INC720911 IVQ720911:IWY720911 JFM720911:JGU720911 JPI720911:JQQ720911 JZE720911:KAM720911 KJA720911:KKI720911 KSW720911:KUE720911 LCS720911:LEA720911 LMO720911:LNW720911 LWK720911:LXS720911 MGG720911:MHO720911 MQC720911:MRK720911 MZY720911:NBG720911 NJU720911:NLC720911 NTQ720911:NUY720911 ODM720911:OEU720911 ONI720911:OOQ720911 OXE720911:OYM720911 PHA720911:PII720911 PQW720911:PSE720911 QAS720911:QCA720911 QKO720911:QLW720911 QUK720911:QVS720911 REG720911:RFO720911 ROC720911:RPK720911 RXY720911:RZG720911 SHU720911:SJC720911 SRQ720911:SSY720911 TBM720911:TCU720911 TLI720911:TMQ720911 TVE720911:TWM720911 UFA720911:UGI720911 UOW720911:UQE720911 UYS720911:VAA720911 VIO720911:VJW720911 VSK720911:VTS720911 WCG720911:WDO720911 WMC720911:WNK720911 WVY720911:WXG720911 Y786447:BI786447 JM786447:KU786447 TI786447:UQ786447 ADE786447:AEM786447 ANA786447:AOI786447 AWW786447:AYE786447 BGS786447:BIA786447 BQO786447:BRW786447 CAK786447:CBS786447 CKG786447:CLO786447 CUC786447:CVK786447 DDY786447:DFG786447 DNU786447:DPC786447 DXQ786447:DYY786447 EHM786447:EIU786447 ERI786447:ESQ786447 FBE786447:FCM786447 FLA786447:FMI786447 FUW786447:FWE786447 GES786447:GGA786447 GOO786447:GPW786447 GYK786447:GZS786447 HIG786447:HJO786447 HSC786447:HTK786447 IBY786447:IDG786447 ILU786447:INC786447 IVQ786447:IWY786447 JFM786447:JGU786447 JPI786447:JQQ786447 JZE786447:KAM786447 KJA786447:KKI786447 KSW786447:KUE786447 LCS786447:LEA786447 LMO786447:LNW786447 LWK786447:LXS786447 MGG786447:MHO786447 MQC786447:MRK786447 MZY786447:NBG786447 NJU786447:NLC786447 NTQ786447:NUY786447 ODM786447:OEU786447 ONI786447:OOQ786447 OXE786447:OYM786447 PHA786447:PII786447 PQW786447:PSE786447 QAS786447:QCA786447 QKO786447:QLW786447 QUK786447:QVS786447 REG786447:RFO786447 ROC786447:RPK786447 RXY786447:RZG786447 SHU786447:SJC786447 SRQ786447:SSY786447 TBM786447:TCU786447 TLI786447:TMQ786447 TVE786447:TWM786447 UFA786447:UGI786447 UOW786447:UQE786447 UYS786447:VAA786447 VIO786447:VJW786447 VSK786447:VTS786447 WCG786447:WDO786447 WMC786447:WNK786447 WVY786447:WXG786447 Y851983:BI851983 JM851983:KU851983 TI851983:UQ851983 ADE851983:AEM851983 ANA851983:AOI851983 AWW851983:AYE851983 BGS851983:BIA851983 BQO851983:BRW851983 CAK851983:CBS851983 CKG851983:CLO851983 CUC851983:CVK851983 DDY851983:DFG851983 DNU851983:DPC851983 DXQ851983:DYY851983 EHM851983:EIU851983 ERI851983:ESQ851983 FBE851983:FCM851983 FLA851983:FMI851983 FUW851983:FWE851983 GES851983:GGA851983 GOO851983:GPW851983 GYK851983:GZS851983 HIG851983:HJO851983 HSC851983:HTK851983 IBY851983:IDG851983 ILU851983:INC851983 IVQ851983:IWY851983 JFM851983:JGU851983 JPI851983:JQQ851983 JZE851983:KAM851983 KJA851983:KKI851983 KSW851983:KUE851983 LCS851983:LEA851983 LMO851983:LNW851983 LWK851983:LXS851983 MGG851983:MHO851983 MQC851983:MRK851983 MZY851983:NBG851983 NJU851983:NLC851983 NTQ851983:NUY851983 ODM851983:OEU851983 ONI851983:OOQ851983 OXE851983:OYM851983 PHA851983:PII851983 PQW851983:PSE851983 QAS851983:QCA851983 QKO851983:QLW851983 QUK851983:QVS851983 REG851983:RFO851983 ROC851983:RPK851983 RXY851983:RZG851983 SHU851983:SJC851983 SRQ851983:SSY851983 TBM851983:TCU851983 TLI851983:TMQ851983 TVE851983:TWM851983 UFA851983:UGI851983 UOW851983:UQE851983 UYS851983:VAA851983 VIO851983:VJW851983 VSK851983:VTS851983 WCG851983:WDO851983 WMC851983:WNK851983 WVY851983:WXG851983 Y917519:BI917519 JM917519:KU917519 TI917519:UQ917519 ADE917519:AEM917519 ANA917519:AOI917519 AWW917519:AYE917519 BGS917519:BIA917519 BQO917519:BRW917519 CAK917519:CBS917519 CKG917519:CLO917519 CUC917519:CVK917519 DDY917519:DFG917519 DNU917519:DPC917519 DXQ917519:DYY917519 EHM917519:EIU917519 ERI917519:ESQ917519 FBE917519:FCM917519 FLA917519:FMI917519 FUW917519:FWE917519 GES917519:GGA917519 GOO917519:GPW917519 GYK917519:GZS917519 HIG917519:HJO917519 HSC917519:HTK917519 IBY917519:IDG917519 ILU917519:INC917519 IVQ917519:IWY917519 JFM917519:JGU917519 JPI917519:JQQ917519 JZE917519:KAM917519 KJA917519:KKI917519 KSW917519:KUE917519 LCS917519:LEA917519 LMO917519:LNW917519 LWK917519:LXS917519 MGG917519:MHO917519 MQC917519:MRK917519 MZY917519:NBG917519 NJU917519:NLC917519 NTQ917519:NUY917519 ODM917519:OEU917519 ONI917519:OOQ917519 OXE917519:OYM917519 PHA917519:PII917519 PQW917519:PSE917519 QAS917519:QCA917519 QKO917519:QLW917519 QUK917519:QVS917519 REG917519:RFO917519 ROC917519:RPK917519 RXY917519:RZG917519 SHU917519:SJC917519 SRQ917519:SSY917519 TBM917519:TCU917519 TLI917519:TMQ917519 TVE917519:TWM917519 UFA917519:UGI917519 UOW917519:UQE917519 UYS917519:VAA917519 VIO917519:VJW917519 VSK917519:VTS917519 WCG917519:WDO917519 WMC917519:WNK917519 WVY917519:WXG917519 Y983055:BI983055 JM983055:KU983055 TI983055:UQ983055 ADE983055:AEM983055 ANA983055:AOI983055 AWW983055:AYE983055 BGS983055:BIA983055 BQO983055:BRW983055 CAK983055:CBS983055 CKG983055:CLO983055 CUC983055:CVK983055 DDY983055:DFG983055 DNU983055:DPC983055 DXQ983055:DYY983055 EHM983055:EIU983055 ERI983055:ESQ983055 FBE983055:FCM983055 FLA983055:FMI983055 FUW983055:FWE983055 GES983055:GGA983055 GOO983055:GPW983055 GYK983055:GZS983055 HIG983055:HJO983055 HSC983055:HTK983055 IBY983055:IDG983055 ILU983055:INC983055 IVQ983055:IWY983055 JFM983055:JGU983055 JPI983055:JQQ983055 JZE983055:KAM983055 KJA983055:KKI983055 KSW983055:KUE983055 LCS983055:LEA983055 LMO983055:LNW983055 LWK983055:LXS983055 MGG983055:MHO983055 MQC983055:MRK983055 MZY983055:NBG983055 NJU983055:NLC983055 NTQ983055:NUY983055 ODM983055:OEU983055 ONI983055:OOQ983055 OXE983055:OYM983055 PHA983055:PII983055 PQW983055:PSE983055 QAS983055:QCA983055 QKO983055:QLW983055 QUK983055:QVS983055 REG983055:RFO983055 ROC983055:RPK983055 RXY983055:RZG983055 SHU983055:SJC983055 SRQ983055:SSY983055 TBM983055:TCU983055 TLI983055:TMQ983055 TVE983055:TWM983055 UFA983055:UGI983055 UOW983055:UQE983055 UYS983055:VAA983055 VIO983055:VJW983055 VSK983055:VTS983055 WCG983055:WDO983055 WMC983055:WNK983055 WVY983055:WXG983055" xr:uid="{00000000-0002-0000-1500-000001000000}">
      <formula1>"grün / green,gelb / yellow, rot / red"</formula1>
    </dataValidation>
    <dataValidation type="list" allowBlank="1" showInputMessage="1" showErrorMessage="1" sqref="O32:AR32 O34:AR34" xr:uid="{00000000-0002-0000-1500-000002000000}">
      <formula1>Status_Bewertung</formula1>
    </dataValidation>
  </dataValidations>
  <printOptions horizontalCentered="1"/>
  <pageMargins left="0.70866141732283472" right="0.55118110236220474" top="0.98425196850393704" bottom="0.9055118110236221" header="0.23622047244094491" footer="0.27559055118110237"/>
  <pageSetup paperSize="9" scale="39"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35" r:id="rId6" name="Check Box 11">
              <controlPr locked="0" defaultSize="0" autoFill="0" autoLine="0" autoPict="0">
                <anchor moveWithCells="1">
                  <from>
                    <xdr:col>16</xdr:col>
                    <xdr:colOff>341906</xdr:colOff>
                    <xdr:row>25</xdr:row>
                    <xdr:rowOff>135172</xdr:rowOff>
                  </from>
                  <to>
                    <xdr:col>17</xdr:col>
                    <xdr:colOff>79513</xdr:colOff>
                    <xdr:row>25</xdr:row>
                    <xdr:rowOff>333955</xdr:rowOff>
                  </to>
                </anchor>
              </controlPr>
            </control>
          </mc:Choice>
        </mc:AlternateContent>
        <mc:AlternateContent xmlns:mc="http://schemas.openxmlformats.org/markup-compatibility/2006">
          <mc:Choice Requires="x14">
            <control shapeId="1085" r:id="rId7" name="Check Box 61">
              <controlPr locked="0" defaultSize="0" autoFill="0" autoLine="0" autoPict="0">
                <anchor moveWithCells="1">
                  <from>
                    <xdr:col>9</xdr:col>
                    <xdr:colOff>143123</xdr:colOff>
                    <xdr:row>8</xdr:row>
                    <xdr:rowOff>31805</xdr:rowOff>
                  </from>
                  <to>
                    <xdr:col>10</xdr:col>
                    <xdr:colOff>0</xdr:colOff>
                    <xdr:row>8</xdr:row>
                    <xdr:rowOff>246490</xdr:rowOff>
                  </to>
                </anchor>
              </controlPr>
            </control>
          </mc:Choice>
        </mc:AlternateContent>
        <mc:AlternateContent xmlns:mc="http://schemas.openxmlformats.org/markup-compatibility/2006">
          <mc:Choice Requires="x14">
            <control shapeId="1089" r:id="rId8" name="Check Box 65">
              <controlPr locked="0" defaultSize="0" autoFill="0" autoLine="0" autoPict="0">
                <anchor moveWithCells="1">
                  <from>
                    <xdr:col>11</xdr:col>
                    <xdr:colOff>143123</xdr:colOff>
                    <xdr:row>8</xdr:row>
                    <xdr:rowOff>31805</xdr:rowOff>
                  </from>
                  <to>
                    <xdr:col>12</xdr:col>
                    <xdr:colOff>15903</xdr:colOff>
                    <xdr:row>8</xdr:row>
                    <xdr:rowOff>246490</xdr:rowOff>
                  </to>
                </anchor>
              </controlPr>
            </control>
          </mc:Choice>
        </mc:AlternateContent>
        <mc:AlternateContent xmlns:mc="http://schemas.openxmlformats.org/markup-compatibility/2006">
          <mc:Choice Requires="x14">
            <control shapeId="1090" r:id="rId9" name="Check Box 66">
              <controlPr locked="0" defaultSize="0" autoFill="0" autoLine="0" autoPict="0">
                <anchor moveWithCells="1">
                  <from>
                    <xdr:col>13</xdr:col>
                    <xdr:colOff>103367</xdr:colOff>
                    <xdr:row>8</xdr:row>
                    <xdr:rowOff>31805</xdr:rowOff>
                  </from>
                  <to>
                    <xdr:col>14</xdr:col>
                    <xdr:colOff>7951</xdr:colOff>
                    <xdr:row>8</xdr:row>
                    <xdr:rowOff>246490</xdr:rowOff>
                  </to>
                </anchor>
              </controlPr>
            </control>
          </mc:Choice>
        </mc:AlternateContent>
        <mc:AlternateContent xmlns:mc="http://schemas.openxmlformats.org/markup-compatibility/2006">
          <mc:Choice Requires="x14">
            <control shapeId="1094" r:id="rId10" name="Check Box 70">
              <controlPr locked="0" defaultSize="0" autoFill="0" autoLine="0" autoPict="0">
                <anchor moveWithCells="1">
                  <from>
                    <xdr:col>18</xdr:col>
                    <xdr:colOff>333955</xdr:colOff>
                    <xdr:row>25</xdr:row>
                    <xdr:rowOff>135172</xdr:rowOff>
                  </from>
                  <to>
                    <xdr:col>19</xdr:col>
                    <xdr:colOff>79513</xdr:colOff>
                    <xdr:row>25</xdr:row>
                    <xdr:rowOff>333955</xdr:rowOff>
                  </to>
                </anchor>
              </controlPr>
            </control>
          </mc:Choice>
        </mc:AlternateContent>
        <mc:AlternateContent xmlns:mc="http://schemas.openxmlformats.org/markup-compatibility/2006">
          <mc:Choice Requires="x14">
            <control shapeId="1095" r:id="rId11" name="Check Box 71">
              <controlPr locked="0" defaultSize="0" autoFill="0" autoLine="0" autoPict="0">
                <anchor moveWithCells="1">
                  <from>
                    <xdr:col>14</xdr:col>
                    <xdr:colOff>365760</xdr:colOff>
                    <xdr:row>25</xdr:row>
                    <xdr:rowOff>135172</xdr:rowOff>
                  </from>
                  <to>
                    <xdr:col>15</xdr:col>
                    <xdr:colOff>103367</xdr:colOff>
                    <xdr:row>25</xdr:row>
                    <xdr:rowOff>333955</xdr:rowOff>
                  </to>
                </anchor>
              </controlPr>
            </control>
          </mc:Choice>
        </mc:AlternateContent>
        <mc:AlternateContent xmlns:mc="http://schemas.openxmlformats.org/markup-compatibility/2006">
          <mc:Choice Requires="x14">
            <control shapeId="1114" r:id="rId12" name="Check Box 90">
              <controlPr locked="0" defaultSize="0" autoFill="0" autoLine="0" autoPict="0">
                <anchor moveWithCells="1">
                  <from>
                    <xdr:col>22</xdr:col>
                    <xdr:colOff>341906</xdr:colOff>
                    <xdr:row>25</xdr:row>
                    <xdr:rowOff>135172</xdr:rowOff>
                  </from>
                  <to>
                    <xdr:col>23</xdr:col>
                    <xdr:colOff>79513</xdr:colOff>
                    <xdr:row>25</xdr:row>
                    <xdr:rowOff>333955</xdr:rowOff>
                  </to>
                </anchor>
              </controlPr>
            </control>
          </mc:Choice>
        </mc:AlternateContent>
        <mc:AlternateContent xmlns:mc="http://schemas.openxmlformats.org/markup-compatibility/2006">
          <mc:Choice Requires="x14">
            <control shapeId="1115" r:id="rId13" name="Check Box 91">
              <controlPr locked="0" defaultSize="0" autoFill="0" autoLine="0" autoPict="0">
                <anchor moveWithCells="1">
                  <from>
                    <xdr:col>24</xdr:col>
                    <xdr:colOff>333955</xdr:colOff>
                    <xdr:row>25</xdr:row>
                    <xdr:rowOff>135172</xdr:rowOff>
                  </from>
                  <to>
                    <xdr:col>25</xdr:col>
                    <xdr:colOff>79513</xdr:colOff>
                    <xdr:row>25</xdr:row>
                    <xdr:rowOff>333955</xdr:rowOff>
                  </to>
                </anchor>
              </controlPr>
            </control>
          </mc:Choice>
        </mc:AlternateContent>
        <mc:AlternateContent xmlns:mc="http://schemas.openxmlformats.org/markup-compatibility/2006">
          <mc:Choice Requires="x14">
            <control shapeId="1116" r:id="rId14" name="Check Box 92">
              <controlPr locked="0" defaultSize="0" autoFill="0" autoLine="0" autoPict="0">
                <anchor moveWithCells="1">
                  <from>
                    <xdr:col>20</xdr:col>
                    <xdr:colOff>365760</xdr:colOff>
                    <xdr:row>25</xdr:row>
                    <xdr:rowOff>135172</xdr:rowOff>
                  </from>
                  <to>
                    <xdr:col>21</xdr:col>
                    <xdr:colOff>103367</xdr:colOff>
                    <xdr:row>25</xdr:row>
                    <xdr:rowOff>333955</xdr:rowOff>
                  </to>
                </anchor>
              </controlPr>
            </control>
          </mc:Choice>
        </mc:AlternateContent>
        <mc:AlternateContent xmlns:mc="http://schemas.openxmlformats.org/markup-compatibility/2006">
          <mc:Choice Requires="x14">
            <control shapeId="1117" r:id="rId15" name="Check Box 93">
              <controlPr locked="0" defaultSize="0" autoFill="0" autoLine="0" autoPict="0">
                <anchor moveWithCells="1">
                  <from>
                    <xdr:col>28</xdr:col>
                    <xdr:colOff>341906</xdr:colOff>
                    <xdr:row>25</xdr:row>
                    <xdr:rowOff>135172</xdr:rowOff>
                  </from>
                  <to>
                    <xdr:col>29</xdr:col>
                    <xdr:colOff>79513</xdr:colOff>
                    <xdr:row>25</xdr:row>
                    <xdr:rowOff>333955</xdr:rowOff>
                  </to>
                </anchor>
              </controlPr>
            </control>
          </mc:Choice>
        </mc:AlternateContent>
        <mc:AlternateContent xmlns:mc="http://schemas.openxmlformats.org/markup-compatibility/2006">
          <mc:Choice Requires="x14">
            <control shapeId="1118" r:id="rId16" name="Check Box 94">
              <controlPr locked="0" defaultSize="0" autoFill="0" autoLine="0" autoPict="0">
                <anchor moveWithCells="1">
                  <from>
                    <xdr:col>30</xdr:col>
                    <xdr:colOff>333955</xdr:colOff>
                    <xdr:row>25</xdr:row>
                    <xdr:rowOff>135172</xdr:rowOff>
                  </from>
                  <to>
                    <xdr:col>31</xdr:col>
                    <xdr:colOff>79513</xdr:colOff>
                    <xdr:row>25</xdr:row>
                    <xdr:rowOff>333955</xdr:rowOff>
                  </to>
                </anchor>
              </controlPr>
            </control>
          </mc:Choice>
        </mc:AlternateContent>
        <mc:AlternateContent xmlns:mc="http://schemas.openxmlformats.org/markup-compatibility/2006">
          <mc:Choice Requires="x14">
            <control shapeId="1119" r:id="rId17" name="Check Box 95">
              <controlPr locked="0" defaultSize="0" autoFill="0" autoLine="0" autoPict="0">
                <anchor moveWithCells="1">
                  <from>
                    <xdr:col>26</xdr:col>
                    <xdr:colOff>365760</xdr:colOff>
                    <xdr:row>25</xdr:row>
                    <xdr:rowOff>135172</xdr:rowOff>
                  </from>
                  <to>
                    <xdr:col>27</xdr:col>
                    <xdr:colOff>103367</xdr:colOff>
                    <xdr:row>25</xdr:row>
                    <xdr:rowOff>333955</xdr:rowOff>
                  </to>
                </anchor>
              </controlPr>
            </control>
          </mc:Choice>
        </mc:AlternateContent>
        <mc:AlternateContent xmlns:mc="http://schemas.openxmlformats.org/markup-compatibility/2006">
          <mc:Choice Requires="x14">
            <control shapeId="1120" r:id="rId18" name="Check Box 96">
              <controlPr locked="0" defaultSize="0" autoFill="0" autoLine="0" autoPict="0">
                <anchor moveWithCells="1">
                  <from>
                    <xdr:col>34</xdr:col>
                    <xdr:colOff>341906</xdr:colOff>
                    <xdr:row>25</xdr:row>
                    <xdr:rowOff>135172</xdr:rowOff>
                  </from>
                  <to>
                    <xdr:col>35</xdr:col>
                    <xdr:colOff>79513</xdr:colOff>
                    <xdr:row>25</xdr:row>
                    <xdr:rowOff>333955</xdr:rowOff>
                  </to>
                </anchor>
              </controlPr>
            </control>
          </mc:Choice>
        </mc:AlternateContent>
        <mc:AlternateContent xmlns:mc="http://schemas.openxmlformats.org/markup-compatibility/2006">
          <mc:Choice Requires="x14">
            <control shapeId="1121" r:id="rId19" name="Check Box 97">
              <controlPr locked="0" defaultSize="0" autoFill="0" autoLine="0" autoPict="0">
                <anchor moveWithCells="1">
                  <from>
                    <xdr:col>36</xdr:col>
                    <xdr:colOff>333955</xdr:colOff>
                    <xdr:row>25</xdr:row>
                    <xdr:rowOff>135172</xdr:rowOff>
                  </from>
                  <to>
                    <xdr:col>37</xdr:col>
                    <xdr:colOff>79513</xdr:colOff>
                    <xdr:row>25</xdr:row>
                    <xdr:rowOff>333955</xdr:rowOff>
                  </to>
                </anchor>
              </controlPr>
            </control>
          </mc:Choice>
        </mc:AlternateContent>
        <mc:AlternateContent xmlns:mc="http://schemas.openxmlformats.org/markup-compatibility/2006">
          <mc:Choice Requires="x14">
            <control shapeId="1122" r:id="rId20" name="Check Box 98">
              <controlPr locked="0" defaultSize="0" autoFill="0" autoLine="0" autoPict="0">
                <anchor moveWithCells="1">
                  <from>
                    <xdr:col>32</xdr:col>
                    <xdr:colOff>365760</xdr:colOff>
                    <xdr:row>25</xdr:row>
                    <xdr:rowOff>135172</xdr:rowOff>
                  </from>
                  <to>
                    <xdr:col>33</xdr:col>
                    <xdr:colOff>103367</xdr:colOff>
                    <xdr:row>25</xdr:row>
                    <xdr:rowOff>333955</xdr:rowOff>
                  </to>
                </anchor>
              </controlPr>
            </control>
          </mc:Choice>
        </mc:AlternateContent>
        <mc:AlternateContent xmlns:mc="http://schemas.openxmlformats.org/markup-compatibility/2006">
          <mc:Choice Requires="x14">
            <control shapeId="1123" r:id="rId21" name="Check Box 99">
              <controlPr locked="0" defaultSize="0" autoFill="0" autoLine="0" autoPict="0">
                <anchor moveWithCells="1">
                  <from>
                    <xdr:col>40</xdr:col>
                    <xdr:colOff>341906</xdr:colOff>
                    <xdr:row>25</xdr:row>
                    <xdr:rowOff>135172</xdr:rowOff>
                  </from>
                  <to>
                    <xdr:col>41</xdr:col>
                    <xdr:colOff>79513</xdr:colOff>
                    <xdr:row>25</xdr:row>
                    <xdr:rowOff>333955</xdr:rowOff>
                  </to>
                </anchor>
              </controlPr>
            </control>
          </mc:Choice>
        </mc:AlternateContent>
        <mc:AlternateContent xmlns:mc="http://schemas.openxmlformats.org/markup-compatibility/2006">
          <mc:Choice Requires="x14">
            <control shapeId="1124" r:id="rId22" name="Check Box 100">
              <controlPr locked="0" defaultSize="0" autoFill="0" autoLine="0" autoPict="0">
                <anchor moveWithCells="1">
                  <from>
                    <xdr:col>42</xdr:col>
                    <xdr:colOff>333955</xdr:colOff>
                    <xdr:row>25</xdr:row>
                    <xdr:rowOff>135172</xdr:rowOff>
                  </from>
                  <to>
                    <xdr:col>43</xdr:col>
                    <xdr:colOff>79513</xdr:colOff>
                    <xdr:row>25</xdr:row>
                    <xdr:rowOff>333955</xdr:rowOff>
                  </to>
                </anchor>
              </controlPr>
            </control>
          </mc:Choice>
        </mc:AlternateContent>
        <mc:AlternateContent xmlns:mc="http://schemas.openxmlformats.org/markup-compatibility/2006">
          <mc:Choice Requires="x14">
            <control shapeId="1125" r:id="rId23" name="Check Box 101">
              <controlPr locked="0" defaultSize="0" autoFill="0" autoLine="0" autoPict="0">
                <anchor moveWithCells="1">
                  <from>
                    <xdr:col>38</xdr:col>
                    <xdr:colOff>365760</xdr:colOff>
                    <xdr:row>25</xdr:row>
                    <xdr:rowOff>135172</xdr:rowOff>
                  </from>
                  <to>
                    <xdr:col>39</xdr:col>
                    <xdr:colOff>103367</xdr:colOff>
                    <xdr:row>25</xdr:row>
                    <xdr:rowOff>333955</xdr:rowOff>
                  </to>
                </anchor>
              </controlPr>
            </control>
          </mc:Choice>
        </mc:AlternateContent>
        <mc:AlternateContent xmlns:mc="http://schemas.openxmlformats.org/markup-compatibility/2006">
          <mc:Choice Requires="x14">
            <control shapeId="1126" r:id="rId24" name="Check Box 102">
              <controlPr locked="0" defaultSize="0" autoFill="0" autoLine="0" autoPict="0">
                <anchor moveWithCells="1">
                  <from>
                    <xdr:col>16</xdr:col>
                    <xdr:colOff>341906</xdr:colOff>
                    <xdr:row>26</xdr:row>
                    <xdr:rowOff>135172</xdr:rowOff>
                  </from>
                  <to>
                    <xdr:col>17</xdr:col>
                    <xdr:colOff>79513</xdr:colOff>
                    <xdr:row>26</xdr:row>
                    <xdr:rowOff>333955</xdr:rowOff>
                  </to>
                </anchor>
              </controlPr>
            </control>
          </mc:Choice>
        </mc:AlternateContent>
        <mc:AlternateContent xmlns:mc="http://schemas.openxmlformats.org/markup-compatibility/2006">
          <mc:Choice Requires="x14">
            <control shapeId="1127" r:id="rId25" name="Check Box 103">
              <controlPr locked="0" defaultSize="0" autoFill="0" autoLine="0" autoPict="0">
                <anchor moveWithCells="1">
                  <from>
                    <xdr:col>18</xdr:col>
                    <xdr:colOff>333955</xdr:colOff>
                    <xdr:row>26</xdr:row>
                    <xdr:rowOff>135172</xdr:rowOff>
                  </from>
                  <to>
                    <xdr:col>19</xdr:col>
                    <xdr:colOff>79513</xdr:colOff>
                    <xdr:row>26</xdr:row>
                    <xdr:rowOff>333955</xdr:rowOff>
                  </to>
                </anchor>
              </controlPr>
            </control>
          </mc:Choice>
        </mc:AlternateContent>
        <mc:AlternateContent xmlns:mc="http://schemas.openxmlformats.org/markup-compatibility/2006">
          <mc:Choice Requires="x14">
            <control shapeId="1128" r:id="rId26" name="Check Box 104">
              <controlPr locked="0" defaultSize="0" autoFill="0" autoLine="0" autoPict="0">
                <anchor moveWithCells="1">
                  <from>
                    <xdr:col>14</xdr:col>
                    <xdr:colOff>365760</xdr:colOff>
                    <xdr:row>26</xdr:row>
                    <xdr:rowOff>135172</xdr:rowOff>
                  </from>
                  <to>
                    <xdr:col>15</xdr:col>
                    <xdr:colOff>103367</xdr:colOff>
                    <xdr:row>26</xdr:row>
                    <xdr:rowOff>333955</xdr:rowOff>
                  </to>
                </anchor>
              </controlPr>
            </control>
          </mc:Choice>
        </mc:AlternateContent>
        <mc:AlternateContent xmlns:mc="http://schemas.openxmlformats.org/markup-compatibility/2006">
          <mc:Choice Requires="x14">
            <control shapeId="1129" r:id="rId27" name="Check Box 105">
              <controlPr locked="0" defaultSize="0" autoFill="0" autoLine="0" autoPict="0">
                <anchor moveWithCells="1">
                  <from>
                    <xdr:col>22</xdr:col>
                    <xdr:colOff>341906</xdr:colOff>
                    <xdr:row>26</xdr:row>
                    <xdr:rowOff>135172</xdr:rowOff>
                  </from>
                  <to>
                    <xdr:col>23</xdr:col>
                    <xdr:colOff>79513</xdr:colOff>
                    <xdr:row>26</xdr:row>
                    <xdr:rowOff>333955</xdr:rowOff>
                  </to>
                </anchor>
              </controlPr>
            </control>
          </mc:Choice>
        </mc:AlternateContent>
        <mc:AlternateContent xmlns:mc="http://schemas.openxmlformats.org/markup-compatibility/2006">
          <mc:Choice Requires="x14">
            <control shapeId="1130" r:id="rId28" name="Check Box 106">
              <controlPr locked="0" defaultSize="0" autoFill="0" autoLine="0" autoPict="0">
                <anchor moveWithCells="1">
                  <from>
                    <xdr:col>24</xdr:col>
                    <xdr:colOff>333955</xdr:colOff>
                    <xdr:row>26</xdr:row>
                    <xdr:rowOff>135172</xdr:rowOff>
                  </from>
                  <to>
                    <xdr:col>25</xdr:col>
                    <xdr:colOff>79513</xdr:colOff>
                    <xdr:row>26</xdr:row>
                    <xdr:rowOff>333955</xdr:rowOff>
                  </to>
                </anchor>
              </controlPr>
            </control>
          </mc:Choice>
        </mc:AlternateContent>
        <mc:AlternateContent xmlns:mc="http://schemas.openxmlformats.org/markup-compatibility/2006">
          <mc:Choice Requires="x14">
            <control shapeId="1131" r:id="rId29" name="Check Box 107">
              <controlPr locked="0" defaultSize="0" autoFill="0" autoLine="0" autoPict="0">
                <anchor moveWithCells="1">
                  <from>
                    <xdr:col>20</xdr:col>
                    <xdr:colOff>365760</xdr:colOff>
                    <xdr:row>26</xdr:row>
                    <xdr:rowOff>135172</xdr:rowOff>
                  </from>
                  <to>
                    <xdr:col>21</xdr:col>
                    <xdr:colOff>103367</xdr:colOff>
                    <xdr:row>26</xdr:row>
                    <xdr:rowOff>333955</xdr:rowOff>
                  </to>
                </anchor>
              </controlPr>
            </control>
          </mc:Choice>
        </mc:AlternateContent>
        <mc:AlternateContent xmlns:mc="http://schemas.openxmlformats.org/markup-compatibility/2006">
          <mc:Choice Requires="x14">
            <control shapeId="1132" r:id="rId30" name="Check Box 108">
              <controlPr locked="0" defaultSize="0" autoFill="0" autoLine="0" autoPict="0">
                <anchor moveWithCells="1">
                  <from>
                    <xdr:col>28</xdr:col>
                    <xdr:colOff>341906</xdr:colOff>
                    <xdr:row>26</xdr:row>
                    <xdr:rowOff>135172</xdr:rowOff>
                  </from>
                  <to>
                    <xdr:col>29</xdr:col>
                    <xdr:colOff>79513</xdr:colOff>
                    <xdr:row>26</xdr:row>
                    <xdr:rowOff>333955</xdr:rowOff>
                  </to>
                </anchor>
              </controlPr>
            </control>
          </mc:Choice>
        </mc:AlternateContent>
        <mc:AlternateContent xmlns:mc="http://schemas.openxmlformats.org/markup-compatibility/2006">
          <mc:Choice Requires="x14">
            <control shapeId="1133" r:id="rId31" name="Check Box 109">
              <controlPr locked="0" defaultSize="0" autoFill="0" autoLine="0" autoPict="0">
                <anchor moveWithCells="1">
                  <from>
                    <xdr:col>30</xdr:col>
                    <xdr:colOff>333955</xdr:colOff>
                    <xdr:row>26</xdr:row>
                    <xdr:rowOff>135172</xdr:rowOff>
                  </from>
                  <to>
                    <xdr:col>31</xdr:col>
                    <xdr:colOff>79513</xdr:colOff>
                    <xdr:row>26</xdr:row>
                    <xdr:rowOff>333955</xdr:rowOff>
                  </to>
                </anchor>
              </controlPr>
            </control>
          </mc:Choice>
        </mc:AlternateContent>
        <mc:AlternateContent xmlns:mc="http://schemas.openxmlformats.org/markup-compatibility/2006">
          <mc:Choice Requires="x14">
            <control shapeId="1134" r:id="rId32" name="Check Box 110">
              <controlPr locked="0" defaultSize="0" autoFill="0" autoLine="0" autoPict="0">
                <anchor moveWithCells="1">
                  <from>
                    <xdr:col>26</xdr:col>
                    <xdr:colOff>365760</xdr:colOff>
                    <xdr:row>26</xdr:row>
                    <xdr:rowOff>135172</xdr:rowOff>
                  </from>
                  <to>
                    <xdr:col>27</xdr:col>
                    <xdr:colOff>103367</xdr:colOff>
                    <xdr:row>26</xdr:row>
                    <xdr:rowOff>333955</xdr:rowOff>
                  </to>
                </anchor>
              </controlPr>
            </control>
          </mc:Choice>
        </mc:AlternateContent>
        <mc:AlternateContent xmlns:mc="http://schemas.openxmlformats.org/markup-compatibility/2006">
          <mc:Choice Requires="x14">
            <control shapeId="1135" r:id="rId33" name="Check Box 111">
              <controlPr locked="0" defaultSize="0" autoFill="0" autoLine="0" autoPict="0">
                <anchor moveWithCells="1">
                  <from>
                    <xdr:col>34</xdr:col>
                    <xdr:colOff>341906</xdr:colOff>
                    <xdr:row>26</xdr:row>
                    <xdr:rowOff>135172</xdr:rowOff>
                  </from>
                  <to>
                    <xdr:col>35</xdr:col>
                    <xdr:colOff>79513</xdr:colOff>
                    <xdr:row>26</xdr:row>
                    <xdr:rowOff>333955</xdr:rowOff>
                  </to>
                </anchor>
              </controlPr>
            </control>
          </mc:Choice>
        </mc:AlternateContent>
        <mc:AlternateContent xmlns:mc="http://schemas.openxmlformats.org/markup-compatibility/2006">
          <mc:Choice Requires="x14">
            <control shapeId="1136" r:id="rId34" name="Check Box 112">
              <controlPr locked="0" defaultSize="0" autoFill="0" autoLine="0" autoPict="0">
                <anchor moveWithCells="1">
                  <from>
                    <xdr:col>36</xdr:col>
                    <xdr:colOff>333955</xdr:colOff>
                    <xdr:row>26</xdr:row>
                    <xdr:rowOff>135172</xdr:rowOff>
                  </from>
                  <to>
                    <xdr:col>37</xdr:col>
                    <xdr:colOff>79513</xdr:colOff>
                    <xdr:row>26</xdr:row>
                    <xdr:rowOff>333955</xdr:rowOff>
                  </to>
                </anchor>
              </controlPr>
            </control>
          </mc:Choice>
        </mc:AlternateContent>
        <mc:AlternateContent xmlns:mc="http://schemas.openxmlformats.org/markup-compatibility/2006">
          <mc:Choice Requires="x14">
            <control shapeId="1137" r:id="rId35" name="Check Box 113">
              <controlPr locked="0" defaultSize="0" autoFill="0" autoLine="0" autoPict="0">
                <anchor moveWithCells="1">
                  <from>
                    <xdr:col>32</xdr:col>
                    <xdr:colOff>365760</xdr:colOff>
                    <xdr:row>26</xdr:row>
                    <xdr:rowOff>135172</xdr:rowOff>
                  </from>
                  <to>
                    <xdr:col>33</xdr:col>
                    <xdr:colOff>103367</xdr:colOff>
                    <xdr:row>26</xdr:row>
                    <xdr:rowOff>333955</xdr:rowOff>
                  </to>
                </anchor>
              </controlPr>
            </control>
          </mc:Choice>
        </mc:AlternateContent>
        <mc:AlternateContent xmlns:mc="http://schemas.openxmlformats.org/markup-compatibility/2006">
          <mc:Choice Requires="x14">
            <control shapeId="1138" r:id="rId36" name="Check Box 114">
              <controlPr locked="0" defaultSize="0" autoFill="0" autoLine="0" autoPict="0">
                <anchor moveWithCells="1">
                  <from>
                    <xdr:col>40</xdr:col>
                    <xdr:colOff>341906</xdr:colOff>
                    <xdr:row>26</xdr:row>
                    <xdr:rowOff>135172</xdr:rowOff>
                  </from>
                  <to>
                    <xdr:col>41</xdr:col>
                    <xdr:colOff>79513</xdr:colOff>
                    <xdr:row>26</xdr:row>
                    <xdr:rowOff>333955</xdr:rowOff>
                  </to>
                </anchor>
              </controlPr>
            </control>
          </mc:Choice>
        </mc:AlternateContent>
        <mc:AlternateContent xmlns:mc="http://schemas.openxmlformats.org/markup-compatibility/2006">
          <mc:Choice Requires="x14">
            <control shapeId="1139" r:id="rId37" name="Check Box 115">
              <controlPr locked="0" defaultSize="0" autoFill="0" autoLine="0" autoPict="0">
                <anchor moveWithCells="1">
                  <from>
                    <xdr:col>42</xdr:col>
                    <xdr:colOff>333955</xdr:colOff>
                    <xdr:row>26</xdr:row>
                    <xdr:rowOff>135172</xdr:rowOff>
                  </from>
                  <to>
                    <xdr:col>43</xdr:col>
                    <xdr:colOff>79513</xdr:colOff>
                    <xdr:row>26</xdr:row>
                    <xdr:rowOff>333955</xdr:rowOff>
                  </to>
                </anchor>
              </controlPr>
            </control>
          </mc:Choice>
        </mc:AlternateContent>
        <mc:AlternateContent xmlns:mc="http://schemas.openxmlformats.org/markup-compatibility/2006">
          <mc:Choice Requires="x14">
            <control shapeId="1140" r:id="rId38" name="Check Box 116">
              <controlPr locked="0" defaultSize="0" autoFill="0" autoLine="0" autoPict="0">
                <anchor moveWithCells="1">
                  <from>
                    <xdr:col>38</xdr:col>
                    <xdr:colOff>365760</xdr:colOff>
                    <xdr:row>26</xdr:row>
                    <xdr:rowOff>135172</xdr:rowOff>
                  </from>
                  <to>
                    <xdr:col>39</xdr:col>
                    <xdr:colOff>103367</xdr:colOff>
                    <xdr:row>26</xdr:row>
                    <xdr:rowOff>333955</xdr:rowOff>
                  </to>
                </anchor>
              </controlPr>
            </control>
          </mc:Choice>
        </mc:AlternateContent>
        <mc:AlternateContent xmlns:mc="http://schemas.openxmlformats.org/markup-compatibility/2006">
          <mc:Choice Requires="x14">
            <control shapeId="1141" r:id="rId39" name="Drop Down 117">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8">
    <tabColor theme="6" tint="0.39997558519241921"/>
    <pageSetUpPr fitToPage="1"/>
  </sheetPr>
  <dimension ref="A1:PT88"/>
  <sheetViews>
    <sheetView showGridLines="0" topLeftCell="A24" zoomScaleNormal="100" zoomScaleSheetLayoutView="85" zoomScalePageLayoutView="55" workbookViewId="0">
      <selection activeCell="V44" sqref="V44"/>
    </sheetView>
  </sheetViews>
  <sheetFormatPr baseColWidth="10" defaultColWidth="5.3984375" defaultRowHeight="13.15" x14ac:dyDescent="0.25"/>
  <cols>
    <col min="1" max="30" width="5.3984375" style="241"/>
    <col min="31" max="34" width="5.3984375" style="242"/>
    <col min="35" max="49" width="5.3984375" style="242" customWidth="1"/>
    <col min="50" max="51" width="5.3984375" style="242" hidden="1" customWidth="1"/>
    <col min="52" max="69" width="0" style="242" hidden="1" customWidth="1"/>
    <col min="70" max="95" width="5.3984375" style="242"/>
    <col min="96" max="16384" width="5.3984375" style="241"/>
  </cols>
  <sheetData>
    <row r="1" spans="1:436" s="187" customFormat="1" ht="17.7" customHeight="1" x14ac:dyDescent="0.25">
      <c r="A1" s="228"/>
      <c r="B1" s="2766" t="str">
        <f>HLOOKUP(LANGUAGE!$B$2,LANGUAGE!$C$14:$G$3008,1571)</f>
        <v>Drawing review</v>
      </c>
      <c r="C1" s="2766"/>
      <c r="D1" s="2766"/>
      <c r="E1" s="2766"/>
      <c r="F1" s="2766"/>
      <c r="G1" s="2766"/>
      <c r="H1" s="2766"/>
      <c r="I1" s="2766"/>
      <c r="J1" s="2766"/>
      <c r="K1" s="2766"/>
      <c r="L1" s="2766"/>
      <c r="M1" s="134"/>
      <c r="N1" s="134"/>
      <c r="O1" s="134"/>
      <c r="P1" s="1595" t="s">
        <v>2</v>
      </c>
      <c r="Q1" s="1595"/>
      <c r="R1" s="1595"/>
      <c r="S1" s="134"/>
      <c r="T1" s="134"/>
      <c r="U1" s="134"/>
      <c r="V1" s="134"/>
      <c r="W1" s="134"/>
      <c r="X1" s="134"/>
      <c r="Y1" s="134"/>
      <c r="Z1" s="185"/>
      <c r="AA1" s="185"/>
      <c r="AB1" s="185"/>
      <c r="AC1" s="185"/>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c r="IW1" s="32"/>
      <c r="IX1" s="32"/>
      <c r="IY1" s="32"/>
      <c r="IZ1" s="32"/>
      <c r="JA1" s="32"/>
      <c r="JB1" s="32"/>
      <c r="JC1" s="32"/>
      <c r="JD1" s="32"/>
      <c r="JE1" s="32"/>
      <c r="JF1" s="32"/>
      <c r="JG1" s="32"/>
      <c r="JH1" s="32"/>
      <c r="JI1" s="32"/>
      <c r="JJ1" s="32"/>
      <c r="JK1" s="32"/>
      <c r="JL1" s="32"/>
      <c r="JM1" s="32"/>
      <c r="JN1" s="32"/>
      <c r="JO1" s="32"/>
      <c r="JP1" s="32"/>
      <c r="JQ1" s="32"/>
      <c r="JR1" s="32"/>
      <c r="JS1" s="32"/>
      <c r="JT1" s="32"/>
      <c r="JU1" s="32"/>
      <c r="JV1" s="32"/>
      <c r="JW1" s="32"/>
      <c r="JX1" s="32"/>
      <c r="JY1" s="32"/>
      <c r="JZ1" s="32"/>
      <c r="KA1" s="32"/>
      <c r="KB1" s="32"/>
      <c r="KC1" s="32"/>
      <c r="KD1" s="32"/>
      <c r="KE1" s="32"/>
      <c r="KF1" s="32"/>
      <c r="KG1" s="32"/>
      <c r="KH1" s="32"/>
      <c r="KI1" s="32"/>
      <c r="KJ1" s="32"/>
      <c r="KK1" s="32"/>
      <c r="KL1" s="32"/>
      <c r="KM1" s="32"/>
      <c r="KN1" s="32"/>
      <c r="KO1" s="32"/>
      <c r="KP1" s="32"/>
      <c r="KQ1" s="32"/>
      <c r="KR1" s="32"/>
      <c r="KS1" s="32"/>
      <c r="KT1" s="32"/>
      <c r="KU1" s="32"/>
      <c r="KV1" s="32"/>
      <c r="KW1" s="32"/>
      <c r="KX1" s="32"/>
      <c r="KY1" s="32"/>
      <c r="KZ1" s="32"/>
      <c r="LA1" s="32"/>
      <c r="LB1" s="32"/>
      <c r="LC1" s="32"/>
      <c r="LD1" s="32"/>
      <c r="LE1" s="32"/>
      <c r="LF1" s="32"/>
      <c r="LG1" s="32"/>
      <c r="LH1" s="32"/>
      <c r="LI1" s="32"/>
      <c r="LJ1" s="32"/>
      <c r="LK1" s="32"/>
      <c r="LL1" s="32"/>
      <c r="LM1" s="32"/>
      <c r="LN1" s="32"/>
      <c r="LO1" s="32"/>
      <c r="LP1" s="32"/>
      <c r="LQ1" s="32"/>
      <c r="LR1" s="32"/>
      <c r="LS1" s="32"/>
      <c r="LT1" s="32"/>
      <c r="LU1" s="32"/>
      <c r="LV1" s="32"/>
      <c r="LW1" s="32"/>
      <c r="LX1" s="32"/>
      <c r="LY1" s="32"/>
      <c r="LZ1" s="32"/>
      <c r="MA1" s="32"/>
      <c r="MB1" s="32"/>
      <c r="MC1" s="32"/>
      <c r="MD1" s="32"/>
      <c r="ME1" s="32"/>
      <c r="MF1" s="32"/>
      <c r="MG1" s="32"/>
      <c r="MH1" s="32"/>
      <c r="MI1" s="32"/>
      <c r="MJ1" s="32"/>
      <c r="MK1" s="32"/>
      <c r="ML1" s="32"/>
      <c r="MM1" s="32"/>
      <c r="MN1" s="32"/>
      <c r="MO1" s="32"/>
      <c r="MP1" s="32"/>
      <c r="MQ1" s="32"/>
      <c r="MR1" s="32"/>
      <c r="MS1" s="32"/>
      <c r="MT1" s="32"/>
      <c r="MU1" s="32"/>
      <c r="MV1" s="32"/>
      <c r="MW1" s="32"/>
      <c r="MX1" s="32"/>
      <c r="MY1" s="32"/>
      <c r="MZ1" s="32"/>
      <c r="NA1" s="32"/>
      <c r="NB1" s="32"/>
      <c r="NC1" s="32"/>
      <c r="ND1" s="32"/>
      <c r="NE1" s="32"/>
      <c r="NF1" s="32"/>
      <c r="NG1" s="32"/>
      <c r="NH1" s="32"/>
      <c r="NI1" s="32"/>
      <c r="NJ1" s="32"/>
      <c r="NK1" s="32"/>
      <c r="NL1" s="32"/>
      <c r="NM1" s="32"/>
      <c r="NN1" s="32"/>
      <c r="NO1" s="32"/>
      <c r="NP1" s="32"/>
      <c r="NQ1" s="32"/>
      <c r="NR1" s="32"/>
      <c r="NS1" s="32"/>
      <c r="NT1" s="32"/>
      <c r="NU1" s="32"/>
      <c r="NV1" s="32"/>
      <c r="NW1" s="32"/>
      <c r="NX1" s="32"/>
      <c r="NY1" s="32"/>
      <c r="NZ1" s="32"/>
      <c r="OA1" s="32"/>
      <c r="OB1" s="32"/>
      <c r="OC1" s="32"/>
      <c r="OD1" s="32"/>
      <c r="OE1" s="32"/>
      <c r="OF1" s="32"/>
      <c r="OG1" s="32"/>
      <c r="OH1" s="32"/>
      <c r="OI1" s="32"/>
      <c r="OJ1" s="32"/>
      <c r="OK1" s="32"/>
      <c r="OL1" s="32"/>
      <c r="OM1" s="32"/>
      <c r="ON1" s="32"/>
      <c r="OO1" s="32"/>
      <c r="OP1" s="32"/>
      <c r="OQ1" s="32"/>
      <c r="OR1" s="32"/>
      <c r="OS1" s="32"/>
      <c r="OT1" s="32"/>
      <c r="OU1" s="32"/>
      <c r="OV1" s="32"/>
      <c r="OW1" s="32"/>
      <c r="OX1" s="32"/>
      <c r="OY1" s="32"/>
      <c r="OZ1" s="32"/>
      <c r="PA1" s="32"/>
      <c r="PB1" s="32"/>
      <c r="PC1" s="32"/>
      <c r="PD1" s="32"/>
      <c r="PE1" s="32"/>
      <c r="PF1" s="32"/>
      <c r="PG1" s="32"/>
      <c r="PH1" s="32"/>
      <c r="PI1" s="32"/>
      <c r="PJ1" s="32"/>
      <c r="PK1" s="32"/>
      <c r="PL1" s="32"/>
      <c r="PM1" s="32"/>
      <c r="PN1" s="32"/>
      <c r="PO1" s="32"/>
      <c r="PP1" s="32"/>
      <c r="PQ1" s="32"/>
      <c r="PR1" s="32"/>
      <c r="PS1" s="32"/>
      <c r="PT1" s="32"/>
    </row>
    <row r="2" spans="1:436" s="187" customFormat="1" ht="17.7" customHeight="1" x14ac:dyDescent="0.25">
      <c r="A2" s="228"/>
      <c r="B2" s="2766"/>
      <c r="C2" s="2766"/>
      <c r="D2" s="2766"/>
      <c r="E2" s="2766"/>
      <c r="F2" s="2766"/>
      <c r="G2" s="2766"/>
      <c r="H2" s="2766"/>
      <c r="I2" s="2766"/>
      <c r="J2" s="2766"/>
      <c r="K2" s="2766"/>
      <c r="L2" s="2766"/>
      <c r="M2" s="134"/>
      <c r="N2" s="134"/>
      <c r="O2" s="134"/>
      <c r="P2" s="1595" t="s">
        <v>1774</v>
      </c>
      <c r="Q2" s="1595"/>
      <c r="R2" s="1595"/>
      <c r="S2" s="134"/>
      <c r="T2" s="134"/>
      <c r="U2" s="134"/>
      <c r="V2" s="134"/>
      <c r="W2" s="134"/>
      <c r="X2" s="134"/>
      <c r="Y2" s="134"/>
      <c r="Z2" s="185"/>
      <c r="AA2" s="185"/>
      <c r="AB2" s="185"/>
      <c r="AC2" s="185"/>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c r="FJ2" s="32"/>
      <c r="FK2" s="32"/>
      <c r="FL2" s="32"/>
      <c r="FM2" s="32"/>
      <c r="FN2" s="32"/>
      <c r="FO2" s="32"/>
      <c r="FP2" s="32"/>
      <c r="FQ2" s="32"/>
      <c r="FR2" s="32"/>
      <c r="FS2" s="32"/>
      <c r="FT2" s="32"/>
      <c r="FU2" s="32"/>
      <c r="FV2" s="32"/>
      <c r="FW2" s="32"/>
      <c r="FX2" s="32"/>
      <c r="FY2" s="32"/>
      <c r="FZ2" s="32"/>
      <c r="GA2" s="32"/>
      <c r="GB2" s="32"/>
      <c r="GC2" s="32"/>
      <c r="GD2" s="32"/>
      <c r="GE2" s="32"/>
      <c r="GF2" s="32"/>
      <c r="GG2" s="32"/>
      <c r="GH2" s="32"/>
      <c r="GI2" s="32"/>
      <c r="GJ2" s="32"/>
      <c r="GK2" s="32"/>
      <c r="GL2" s="32"/>
      <c r="GM2" s="32"/>
      <c r="GN2" s="32"/>
      <c r="GO2" s="32"/>
      <c r="GP2" s="32"/>
      <c r="GQ2" s="32"/>
      <c r="GR2" s="32"/>
      <c r="GS2" s="32"/>
      <c r="GT2" s="32"/>
      <c r="GU2" s="32"/>
      <c r="GV2" s="32"/>
      <c r="GW2" s="32"/>
      <c r="GX2" s="32"/>
      <c r="GY2" s="32"/>
      <c r="GZ2" s="32"/>
      <c r="HA2" s="32"/>
      <c r="HB2" s="32"/>
      <c r="HC2" s="32"/>
      <c r="HD2" s="32"/>
      <c r="HE2" s="32"/>
      <c r="HF2" s="32"/>
      <c r="HG2" s="32"/>
      <c r="HH2" s="32"/>
      <c r="HI2" s="32"/>
      <c r="HJ2" s="32"/>
      <c r="HK2" s="32"/>
      <c r="HL2" s="32"/>
      <c r="HM2" s="32"/>
      <c r="HN2" s="32"/>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32"/>
      <c r="KJ2" s="32"/>
      <c r="KK2" s="32"/>
      <c r="KL2" s="32"/>
      <c r="KM2" s="32"/>
      <c r="KN2" s="32"/>
      <c r="KO2" s="32"/>
      <c r="KP2" s="32"/>
      <c r="KQ2" s="32"/>
      <c r="KR2" s="32"/>
      <c r="KS2" s="32"/>
      <c r="KT2" s="32"/>
      <c r="KU2" s="32"/>
      <c r="KV2" s="32"/>
      <c r="KW2" s="32"/>
      <c r="KX2" s="32"/>
      <c r="KY2" s="32"/>
      <c r="KZ2" s="32"/>
      <c r="LA2" s="32"/>
      <c r="LB2" s="32"/>
      <c r="LC2" s="32"/>
      <c r="LD2" s="32"/>
      <c r="LE2" s="32"/>
      <c r="LF2" s="32"/>
      <c r="LG2" s="32"/>
      <c r="LH2" s="32"/>
      <c r="LI2" s="32"/>
      <c r="LJ2" s="32"/>
      <c r="LK2" s="32"/>
      <c r="LL2" s="32"/>
      <c r="LM2" s="32"/>
      <c r="LN2" s="32"/>
      <c r="LO2" s="32"/>
      <c r="LP2" s="32"/>
      <c r="LQ2" s="32"/>
      <c r="LR2" s="32"/>
      <c r="LS2" s="32"/>
      <c r="LT2" s="32"/>
      <c r="LU2" s="32"/>
      <c r="LV2" s="32"/>
      <c r="LW2" s="32"/>
      <c r="LX2" s="32"/>
      <c r="LY2" s="32"/>
      <c r="LZ2" s="32"/>
      <c r="MA2" s="32"/>
      <c r="MB2" s="32"/>
      <c r="MC2" s="32"/>
      <c r="MD2" s="32"/>
      <c r="ME2" s="32"/>
      <c r="MF2" s="32"/>
      <c r="MG2" s="32"/>
      <c r="MH2" s="32"/>
      <c r="MI2" s="32"/>
      <c r="MJ2" s="32"/>
      <c r="MK2" s="32"/>
      <c r="ML2" s="32"/>
      <c r="MM2" s="32"/>
      <c r="MN2" s="32"/>
      <c r="MO2" s="32"/>
      <c r="MP2" s="32"/>
      <c r="MQ2" s="32"/>
      <c r="MR2" s="32"/>
      <c r="MS2" s="32"/>
      <c r="MT2" s="32"/>
      <c r="MU2" s="32"/>
      <c r="MV2" s="32"/>
      <c r="MW2" s="32"/>
      <c r="MX2" s="32"/>
      <c r="MY2" s="32"/>
      <c r="MZ2" s="32"/>
      <c r="NA2" s="32"/>
      <c r="NB2" s="32"/>
      <c r="NC2" s="32"/>
      <c r="ND2" s="32"/>
      <c r="NE2" s="32"/>
      <c r="NF2" s="32"/>
      <c r="NG2" s="32"/>
      <c r="NH2" s="32"/>
      <c r="NI2" s="32"/>
      <c r="NJ2" s="32"/>
      <c r="NK2" s="32"/>
      <c r="NL2" s="32"/>
      <c r="NM2" s="32"/>
      <c r="NN2" s="32"/>
      <c r="NO2" s="32"/>
      <c r="NP2" s="32"/>
      <c r="NQ2" s="32"/>
      <c r="NR2" s="32"/>
      <c r="NS2" s="32"/>
      <c r="NT2" s="32"/>
      <c r="NU2" s="32"/>
      <c r="NV2" s="32"/>
      <c r="NW2" s="32"/>
      <c r="NX2" s="32"/>
      <c r="NY2" s="32"/>
      <c r="NZ2" s="32"/>
      <c r="OA2" s="32"/>
      <c r="OB2" s="32"/>
      <c r="OC2" s="32"/>
      <c r="OD2" s="32"/>
      <c r="OE2" s="32"/>
      <c r="OF2" s="32"/>
      <c r="OG2" s="32"/>
      <c r="OH2" s="32"/>
      <c r="OI2" s="32"/>
      <c r="OJ2" s="32"/>
      <c r="OK2" s="32"/>
      <c r="OL2" s="32"/>
      <c r="OM2" s="32"/>
      <c r="ON2" s="32"/>
      <c r="OO2" s="32"/>
      <c r="OP2" s="32"/>
      <c r="OQ2" s="32"/>
      <c r="OR2" s="32"/>
      <c r="OS2" s="32"/>
      <c r="OT2" s="32"/>
      <c r="OU2" s="32"/>
      <c r="OV2" s="32"/>
      <c r="OW2" s="32"/>
      <c r="OX2" s="32"/>
      <c r="OY2" s="32"/>
      <c r="OZ2" s="32"/>
      <c r="PA2" s="32"/>
      <c r="PB2" s="32"/>
      <c r="PC2" s="32"/>
      <c r="PD2" s="32"/>
      <c r="PE2" s="32"/>
      <c r="PF2" s="32"/>
      <c r="PG2" s="32"/>
      <c r="PH2" s="32"/>
      <c r="PI2" s="32"/>
      <c r="PJ2" s="32"/>
      <c r="PK2" s="32"/>
      <c r="PL2" s="32"/>
      <c r="PM2" s="32"/>
      <c r="PN2" s="32"/>
      <c r="PO2" s="32"/>
      <c r="PP2" s="32"/>
      <c r="PQ2" s="32"/>
      <c r="PR2" s="32"/>
      <c r="PS2" s="32"/>
      <c r="PT2" s="32"/>
    </row>
    <row r="3" spans="1:436" s="32" customFormat="1" ht="17.7" customHeight="1" x14ac:dyDescent="0.25">
      <c r="B3" s="35"/>
      <c r="Q3" s="220" t="str">
        <f>HLOOKUP(LANGUAGE!$B$2,LANGUAGE!$C$14:$G$1500,2)</f>
        <v>Attention!!!        Only yellow fields has to be filled</v>
      </c>
      <c r="T3" s="42"/>
      <c r="U3" s="42"/>
      <c r="V3" s="42"/>
      <c r="W3" s="42"/>
      <c r="Y3" s="42"/>
      <c r="Z3" s="42"/>
      <c r="AA3" s="42"/>
      <c r="AB3" s="42"/>
      <c r="AC3" s="42"/>
      <c r="AD3" s="42"/>
      <c r="AE3" s="42"/>
      <c r="AF3" s="42"/>
      <c r="AG3" s="43"/>
      <c r="AH3" s="44"/>
      <c r="AI3" s="44"/>
      <c r="AK3" s="40"/>
      <c r="AL3" s="40"/>
    </row>
    <row r="4" spans="1:436" s="32" customFormat="1" ht="17.7" customHeight="1" thickBot="1" x14ac:dyDescent="0.3">
      <c r="B4" s="35"/>
      <c r="M4" s="220"/>
      <c r="Q4" s="41"/>
      <c r="T4" s="42"/>
      <c r="U4" s="42"/>
      <c r="V4" s="42"/>
      <c r="W4" s="42"/>
      <c r="X4" s="42"/>
      <c r="Y4" s="42"/>
      <c r="Z4" s="42"/>
      <c r="AA4" s="42"/>
      <c r="AB4" s="42"/>
      <c r="AC4" s="42"/>
      <c r="AD4" s="42"/>
      <c r="AE4" s="42"/>
      <c r="AF4" s="42"/>
      <c r="AG4" s="43"/>
      <c r="AH4" s="44"/>
      <c r="AI4" s="44"/>
      <c r="AK4" s="40"/>
      <c r="AL4" s="40"/>
    </row>
    <row r="5" spans="1:436" s="32" customFormat="1" ht="17.7" customHeight="1" x14ac:dyDescent="0.25">
      <c r="B5" s="1050" t="str">
        <f>HLOOKUP(LANGUAGE!$B$2,LANGUAGE!$C$14:$G$1500,12)</f>
        <v>Project Data</v>
      </c>
      <c r="C5" s="1051"/>
      <c r="D5" s="1051"/>
      <c r="E5" s="1051"/>
      <c r="F5" s="1051"/>
      <c r="G5" s="1051"/>
      <c r="H5" s="1051"/>
      <c r="I5" s="1051"/>
      <c r="J5" s="1051"/>
      <c r="K5" s="1051"/>
      <c r="L5" s="1051"/>
      <c r="M5" s="1052"/>
      <c r="N5" s="8"/>
      <c r="O5" s="1050" t="str">
        <f>HLOOKUP(LANGUAGE!$B$2,LANGUAGE!$C$14:$G$1500,27)</f>
        <v>Supplier Data</v>
      </c>
      <c r="P5" s="1051"/>
      <c r="Q5" s="1051"/>
      <c r="R5" s="1051"/>
      <c r="S5" s="1051"/>
      <c r="T5" s="1051"/>
      <c r="U5" s="1051"/>
      <c r="V5" s="1051"/>
      <c r="W5" s="1051"/>
      <c r="X5" s="1051"/>
      <c r="Y5" s="1051"/>
      <c r="Z5" s="1052"/>
      <c r="AA5" s="42"/>
      <c r="AB5" s="1266" t="str">
        <f>HLOOKUP(LANGUAGE!$B$2,LANGUAGE!$C$14:$G$1500,21)</f>
        <v>Date</v>
      </c>
      <c r="AC5" s="1267"/>
      <c r="AD5" s="1267"/>
      <c r="AE5" s="1267"/>
      <c r="AF5" s="1268"/>
      <c r="AG5" s="43"/>
      <c r="AH5" s="44"/>
      <c r="AI5" s="44"/>
      <c r="AK5" s="40"/>
      <c r="AL5" s="40"/>
    </row>
    <row r="6" spans="1:436" s="32" customFormat="1" ht="17.7" customHeight="1" x14ac:dyDescent="0.25">
      <c r="B6" s="1565" t="str">
        <f>HLOOKUP(LANGUAGE!$B$2,LANGUAGE!$C$14:$G$1500,13)</f>
        <v>Project</v>
      </c>
      <c r="C6" s="1566"/>
      <c r="D6" s="1566"/>
      <c r="E6" s="1566"/>
      <c r="F6" s="1086" t="str">
        <f>IF(Basic_Data!F6&lt;&gt;"",CONCATENATE(Basic_Data!F6," / ",Basic_Data!F7,""),"")</f>
        <v/>
      </c>
      <c r="G6" s="1086"/>
      <c r="H6" s="1086"/>
      <c r="I6" s="1086"/>
      <c r="J6" s="1086"/>
      <c r="K6" s="1086"/>
      <c r="L6" s="1086"/>
      <c r="M6" s="1568"/>
      <c r="N6" s="8"/>
      <c r="O6" s="1565" t="str">
        <f>HLOOKUP(LANGUAGE!$B$2,LANGUAGE!$C$14:$G$1500,28)</f>
        <v>Supplier</v>
      </c>
      <c r="P6" s="1566"/>
      <c r="Q6" s="1566"/>
      <c r="R6" s="1566"/>
      <c r="S6" s="1086" t="str">
        <f>IF(Basic_Data!R6&lt;&gt;"",CONCATENATE(Basic_Data!R6," (",Basic_Data!R7,")"),"")</f>
        <v/>
      </c>
      <c r="T6" s="1086"/>
      <c r="U6" s="1086"/>
      <c r="V6" s="1086"/>
      <c r="W6" s="1086"/>
      <c r="X6" s="1086"/>
      <c r="Y6" s="1086"/>
      <c r="Z6" s="1568"/>
      <c r="AA6" s="42"/>
      <c r="AB6" s="1273"/>
      <c r="AC6" s="1274"/>
      <c r="AD6" s="1274"/>
      <c r="AE6" s="1274"/>
      <c r="AF6" s="1275"/>
      <c r="AG6" s="43"/>
      <c r="AH6" s="44"/>
      <c r="AI6" s="44"/>
      <c r="AK6" s="40"/>
      <c r="AL6" s="40"/>
    </row>
    <row r="7" spans="1:436" s="32" customFormat="1" ht="17.7" customHeight="1" thickBot="1" x14ac:dyDescent="0.3">
      <c r="B7" s="1569" t="str">
        <f>HLOOKUP(LANGUAGE!$B$2,LANGUAGE!$C$14:$G$1500,14)</f>
        <v>Part Name(s)</v>
      </c>
      <c r="C7" s="1570"/>
      <c r="D7" s="1570"/>
      <c r="E7" s="1571"/>
      <c r="F7" s="1083" t="str">
        <f>IF(Basic_Data!F8&lt;&gt;"",Basic_Data!F8,"")</f>
        <v/>
      </c>
      <c r="G7" s="1083"/>
      <c r="H7" s="1083"/>
      <c r="I7" s="1083"/>
      <c r="J7" s="1083"/>
      <c r="K7" s="1083"/>
      <c r="L7" s="1083"/>
      <c r="M7" s="1567"/>
      <c r="N7" s="8"/>
      <c r="O7" s="1563" t="str">
        <f>HLOOKUP(LANGUAGE!$B$2,LANGUAGE!$C$14:$G$1500,29)</f>
        <v>Address</v>
      </c>
      <c r="P7" s="1564"/>
      <c r="Q7" s="1564"/>
      <c r="R7" s="1564"/>
      <c r="S7" s="1083" t="str">
        <f>IF(Basic_Data!R8&lt;&gt;"",CONCATENATE(Basic_Data!R8,", ",Basic_Data!R9,", ",Basic_Data!R10,""),"")</f>
        <v/>
      </c>
      <c r="T7" s="1083"/>
      <c r="U7" s="1083"/>
      <c r="V7" s="1083"/>
      <c r="W7" s="1083"/>
      <c r="X7" s="1083"/>
      <c r="Y7" s="1083"/>
      <c r="Z7" s="1567"/>
      <c r="AA7" s="42"/>
      <c r="AB7" s="1276"/>
      <c r="AC7" s="1277"/>
      <c r="AD7" s="1277"/>
      <c r="AE7" s="1277"/>
      <c r="AF7" s="1278"/>
      <c r="AG7" s="43"/>
      <c r="AH7" s="44"/>
      <c r="AI7" s="44"/>
      <c r="AK7" s="40"/>
      <c r="AL7" s="40"/>
    </row>
    <row r="8" spans="1:436" s="187" customFormat="1" ht="17.7" customHeight="1" thickBot="1" x14ac:dyDescent="0.3">
      <c r="A8" s="287"/>
      <c r="B8" s="287"/>
      <c r="C8" s="288"/>
      <c r="D8" s="288"/>
      <c r="E8" s="288"/>
      <c r="F8" s="288"/>
      <c r="G8" s="289"/>
      <c r="H8" s="289"/>
      <c r="I8" s="289"/>
      <c r="J8" s="289"/>
      <c r="K8" s="289"/>
      <c r="L8" s="289"/>
      <c r="M8" s="289"/>
      <c r="N8" s="289"/>
      <c r="O8" s="289"/>
      <c r="P8" s="289"/>
      <c r="Q8" s="287"/>
      <c r="R8" s="287"/>
      <c r="S8" s="290"/>
      <c r="T8" s="290"/>
      <c r="U8" s="190"/>
      <c r="V8" s="190"/>
      <c r="W8" s="190"/>
      <c r="X8" s="190"/>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36"/>
      <c r="CL8" s="36"/>
      <c r="CM8" s="36"/>
      <c r="CN8" s="36"/>
      <c r="CO8" s="36"/>
      <c r="CP8" s="36"/>
      <c r="CQ8" s="36"/>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c r="IW8" s="32"/>
      <c r="IX8" s="32"/>
      <c r="IY8" s="32"/>
      <c r="IZ8" s="32"/>
      <c r="JA8" s="32"/>
      <c r="JB8" s="32"/>
      <c r="JC8" s="32"/>
      <c r="JD8" s="32"/>
      <c r="JE8" s="32"/>
      <c r="JF8" s="32"/>
      <c r="JG8" s="32"/>
      <c r="JH8" s="32"/>
      <c r="JI8" s="32"/>
      <c r="JJ8" s="32"/>
      <c r="JK8" s="32"/>
      <c r="JL8" s="32"/>
      <c r="JM8" s="32"/>
      <c r="JN8" s="32"/>
      <c r="JO8" s="32"/>
      <c r="JP8" s="32"/>
      <c r="JQ8" s="32"/>
      <c r="JR8" s="32"/>
      <c r="JS8" s="32"/>
      <c r="JT8" s="32"/>
      <c r="JU8" s="32"/>
      <c r="JV8" s="32"/>
      <c r="JW8" s="32"/>
      <c r="JX8" s="32"/>
      <c r="JY8" s="32"/>
      <c r="JZ8" s="32"/>
      <c r="KA8" s="32"/>
      <c r="KB8" s="32"/>
      <c r="KC8" s="32"/>
      <c r="KD8" s="32"/>
      <c r="KE8" s="32"/>
      <c r="KF8" s="32"/>
      <c r="KG8" s="32"/>
      <c r="KH8" s="32"/>
      <c r="KI8" s="32"/>
      <c r="KJ8" s="32"/>
      <c r="KK8" s="32"/>
      <c r="KL8" s="32"/>
      <c r="KM8" s="32"/>
      <c r="KN8" s="32"/>
      <c r="KO8" s="32"/>
      <c r="KP8" s="32"/>
      <c r="KQ8" s="32"/>
      <c r="KR8" s="32"/>
      <c r="KS8" s="32"/>
      <c r="KT8" s="32"/>
      <c r="KU8" s="32"/>
      <c r="KV8" s="32"/>
      <c r="KW8" s="32"/>
      <c r="KX8" s="32"/>
      <c r="KY8" s="32"/>
      <c r="KZ8" s="32"/>
      <c r="LA8" s="32"/>
      <c r="LB8" s="32"/>
      <c r="LC8" s="32"/>
      <c r="LD8" s="32"/>
      <c r="LE8" s="32"/>
      <c r="LF8" s="32"/>
      <c r="LG8" s="32"/>
      <c r="LH8" s="32"/>
      <c r="LI8" s="32"/>
      <c r="LJ8" s="32"/>
      <c r="LK8" s="32"/>
      <c r="LL8" s="32"/>
      <c r="LM8" s="32"/>
      <c r="LN8" s="32"/>
      <c r="LO8" s="32"/>
      <c r="LP8" s="32"/>
      <c r="LQ8" s="32"/>
      <c r="LR8" s="32"/>
      <c r="LS8" s="32"/>
      <c r="LT8" s="32"/>
      <c r="LU8" s="32"/>
      <c r="LV8" s="32"/>
      <c r="LW8" s="32"/>
      <c r="LX8" s="32"/>
      <c r="LY8" s="32"/>
      <c r="LZ8" s="32"/>
      <c r="MA8" s="32"/>
      <c r="MB8" s="32"/>
      <c r="MC8" s="32"/>
      <c r="MD8" s="32"/>
      <c r="ME8" s="32"/>
      <c r="MF8" s="32"/>
      <c r="MG8" s="32"/>
      <c r="MH8" s="32"/>
      <c r="MI8" s="32"/>
      <c r="MJ8" s="32"/>
      <c r="MK8" s="32"/>
      <c r="ML8" s="32"/>
      <c r="MM8" s="32"/>
      <c r="MN8" s="32"/>
      <c r="MO8" s="32"/>
      <c r="MP8" s="32"/>
      <c r="MQ8" s="32"/>
      <c r="MR8" s="32"/>
      <c r="MS8" s="32"/>
      <c r="MT8" s="32"/>
      <c r="MU8" s="32"/>
      <c r="MV8" s="32"/>
      <c r="MW8" s="32"/>
      <c r="MX8" s="32"/>
      <c r="MY8" s="32"/>
      <c r="MZ8" s="32"/>
      <c r="NA8" s="32"/>
      <c r="NB8" s="32"/>
      <c r="NC8" s="32"/>
      <c r="ND8" s="32"/>
      <c r="NE8" s="32"/>
      <c r="NF8" s="32"/>
      <c r="NG8" s="32"/>
      <c r="NH8" s="32"/>
      <c r="NI8" s="32"/>
      <c r="NJ8" s="32"/>
      <c r="NK8" s="32"/>
      <c r="NL8" s="32"/>
      <c r="NM8" s="32"/>
      <c r="NN8" s="32"/>
      <c r="NO8" s="32"/>
      <c r="NP8" s="32"/>
      <c r="NQ8" s="32"/>
      <c r="NR8" s="32"/>
      <c r="NS8" s="32"/>
      <c r="NT8" s="32"/>
      <c r="NU8" s="32"/>
      <c r="NV8" s="32"/>
      <c r="NW8" s="32"/>
      <c r="NX8" s="32"/>
      <c r="NY8" s="32"/>
      <c r="NZ8" s="32"/>
      <c r="OA8" s="32"/>
      <c r="OB8" s="32"/>
      <c r="OC8" s="32"/>
      <c r="OD8" s="32"/>
      <c r="OE8" s="32"/>
      <c r="OF8" s="32"/>
      <c r="OG8" s="32"/>
      <c r="OH8" s="32"/>
      <c r="OI8" s="32"/>
      <c r="OJ8" s="32"/>
      <c r="OK8" s="32"/>
      <c r="OL8" s="32"/>
      <c r="OM8" s="32"/>
      <c r="ON8" s="32"/>
      <c r="OO8" s="32"/>
      <c r="OP8" s="32"/>
      <c r="OQ8" s="32"/>
      <c r="OR8" s="32"/>
      <c r="OS8" s="32"/>
      <c r="OT8" s="32"/>
      <c r="OU8" s="32"/>
      <c r="OV8" s="32"/>
      <c r="OW8" s="32"/>
      <c r="OX8" s="32"/>
      <c r="OY8" s="32"/>
      <c r="OZ8" s="32"/>
      <c r="PA8" s="32"/>
      <c r="PB8" s="32"/>
      <c r="PC8" s="32"/>
      <c r="PD8" s="32"/>
      <c r="PE8" s="32"/>
      <c r="PF8" s="32"/>
      <c r="PG8" s="32"/>
      <c r="PH8" s="32"/>
      <c r="PI8" s="32"/>
      <c r="PJ8" s="32"/>
      <c r="PK8" s="32"/>
      <c r="PL8" s="32"/>
      <c r="PM8" s="32"/>
      <c r="PN8" s="32"/>
      <c r="PO8" s="32"/>
      <c r="PP8" s="32"/>
      <c r="PQ8" s="32"/>
      <c r="PR8" s="32"/>
      <c r="PS8" s="32"/>
      <c r="PT8" s="32"/>
    </row>
    <row r="9" spans="1:436" s="187" customFormat="1" ht="17.7" customHeight="1" x14ac:dyDescent="0.25">
      <c r="A9" s="287"/>
      <c r="B9" s="2804" t="str">
        <f>HLOOKUP(LANGUAGE!$B$2,LANGUAGE!$C$14:$G$1500,335)</f>
        <v>SQG 1</v>
      </c>
      <c r="C9" s="2805"/>
      <c r="D9" s="2805"/>
      <c r="E9" s="2805"/>
      <c r="F9" s="2805"/>
      <c r="G9" s="2805"/>
      <c r="H9" s="2805"/>
      <c r="I9" s="2805"/>
      <c r="J9" s="2805"/>
      <c r="K9" s="2805"/>
      <c r="L9" s="2805"/>
      <c r="M9" s="2806"/>
      <c r="N9" s="177"/>
      <c r="O9" s="2804" t="str">
        <f>HLOOKUP(LANGUAGE!$B$2,LANGUAGE!$C$14:$G$1500,336)</f>
        <v>SQG 2</v>
      </c>
      <c r="P9" s="2805"/>
      <c r="Q9" s="2805"/>
      <c r="R9" s="2805"/>
      <c r="S9" s="2805"/>
      <c r="T9" s="2805"/>
      <c r="U9" s="2805"/>
      <c r="V9" s="2805"/>
      <c r="W9" s="2805"/>
      <c r="X9" s="2805"/>
      <c r="Y9" s="2805"/>
      <c r="Z9" s="2806"/>
      <c r="AA9" s="658"/>
      <c r="AB9" s="2804" t="str">
        <f>HLOOKUP(LANGUAGE!$B$2,LANGUAGE!$C$14:$G$1500,337)</f>
        <v>SQG 3</v>
      </c>
      <c r="AC9" s="2805"/>
      <c r="AD9" s="2805"/>
      <c r="AE9" s="2805"/>
      <c r="AF9" s="2805"/>
      <c r="AG9" s="2805"/>
      <c r="AH9" s="2805"/>
      <c r="AI9" s="2805"/>
      <c r="AJ9" s="2805"/>
      <c r="AK9" s="2805"/>
      <c r="AL9" s="2805"/>
      <c r="AM9" s="2806"/>
      <c r="AN9" s="224"/>
      <c r="AO9" s="224"/>
      <c r="AP9" s="224"/>
      <c r="AQ9" s="224"/>
      <c r="AR9" s="224"/>
      <c r="AS9" s="224"/>
      <c r="AT9" s="224"/>
      <c r="AU9" s="224"/>
      <c r="AV9" s="224"/>
      <c r="AW9" s="224"/>
      <c r="AX9" s="224"/>
      <c r="AY9" s="224"/>
      <c r="AZ9" s="224"/>
      <c r="BA9" s="224"/>
      <c r="BB9" s="224"/>
      <c r="BC9" s="224"/>
      <c r="BD9" s="224"/>
      <c r="BE9" s="224"/>
      <c r="BF9" s="224"/>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36"/>
      <c r="CL9" s="36"/>
      <c r="CM9" s="36"/>
      <c r="CN9" s="36"/>
      <c r="CO9" s="36"/>
      <c r="CP9" s="36"/>
      <c r="CQ9" s="36"/>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c r="LG9" s="32"/>
      <c r="LH9" s="32"/>
      <c r="LI9" s="32"/>
      <c r="LJ9" s="32"/>
      <c r="LK9" s="32"/>
      <c r="LL9" s="32"/>
      <c r="LM9" s="32"/>
      <c r="LN9" s="32"/>
      <c r="LO9" s="32"/>
      <c r="LP9" s="32"/>
      <c r="LQ9" s="32"/>
      <c r="LR9" s="32"/>
      <c r="LS9" s="32"/>
      <c r="LT9" s="32"/>
      <c r="LU9" s="32"/>
      <c r="LV9" s="32"/>
      <c r="LW9" s="32"/>
      <c r="LX9" s="32"/>
      <c r="LY9" s="32"/>
      <c r="LZ9" s="32"/>
      <c r="MA9" s="32"/>
      <c r="MB9" s="32"/>
      <c r="MC9" s="32"/>
      <c r="MD9" s="32"/>
      <c r="ME9" s="32"/>
      <c r="MF9" s="32"/>
      <c r="MG9" s="32"/>
      <c r="MH9" s="32"/>
      <c r="MI9" s="32"/>
      <c r="MJ9" s="32"/>
      <c r="MK9" s="32"/>
      <c r="ML9" s="32"/>
      <c r="MM9" s="32"/>
      <c r="MN9" s="32"/>
      <c r="MO9" s="32"/>
      <c r="MP9" s="32"/>
      <c r="MQ9" s="32"/>
      <c r="MR9" s="32"/>
      <c r="MS9" s="32"/>
      <c r="MT9" s="32"/>
      <c r="MU9" s="32"/>
      <c r="MV9" s="32"/>
      <c r="MW9" s="32"/>
      <c r="MX9" s="32"/>
      <c r="MY9" s="32"/>
      <c r="MZ9" s="32"/>
      <c r="NA9" s="32"/>
      <c r="NB9" s="32"/>
      <c r="NC9" s="32"/>
      <c r="ND9" s="32"/>
      <c r="NE9" s="32"/>
      <c r="NF9" s="32"/>
      <c r="NG9" s="32"/>
      <c r="NH9" s="32"/>
      <c r="NI9" s="32"/>
      <c r="NJ9" s="32"/>
      <c r="NK9" s="32"/>
      <c r="NL9" s="32"/>
      <c r="NM9" s="32"/>
      <c r="NN9" s="32"/>
      <c r="NO9" s="32"/>
      <c r="NP9" s="32"/>
      <c r="NQ9" s="32"/>
      <c r="NR9" s="32"/>
      <c r="NS9" s="32"/>
      <c r="NT9" s="32"/>
      <c r="NU9" s="32"/>
      <c r="NV9" s="32"/>
      <c r="NW9" s="32"/>
      <c r="NX9" s="32"/>
      <c r="NY9" s="32"/>
      <c r="NZ9" s="32"/>
      <c r="OA9" s="32"/>
      <c r="OB9" s="32"/>
      <c r="OC9" s="32"/>
      <c r="OD9" s="32"/>
      <c r="OE9" s="32"/>
      <c r="OF9" s="32"/>
      <c r="OG9" s="32"/>
      <c r="OH9" s="32"/>
      <c r="OI9" s="32"/>
      <c r="OJ9" s="32"/>
      <c r="OK9" s="32"/>
      <c r="OL9" s="32"/>
      <c r="OM9" s="32"/>
      <c r="ON9" s="32"/>
      <c r="OO9" s="32"/>
      <c r="OP9" s="32"/>
      <c r="OQ9" s="32"/>
      <c r="OR9" s="32"/>
      <c r="OS9" s="32"/>
      <c r="OT9" s="32"/>
      <c r="OU9" s="32"/>
      <c r="OV9" s="32"/>
      <c r="OW9" s="32"/>
      <c r="OX9" s="32"/>
      <c r="OY9" s="32"/>
      <c r="OZ9" s="32"/>
      <c r="PA9" s="32"/>
      <c r="PB9" s="32"/>
      <c r="PC9" s="32"/>
      <c r="PD9" s="32"/>
      <c r="PE9" s="32"/>
      <c r="PF9" s="32"/>
      <c r="PG9" s="32"/>
      <c r="PH9" s="32"/>
      <c r="PI9" s="32"/>
      <c r="PJ9" s="32"/>
      <c r="PK9" s="32"/>
      <c r="PL9" s="32"/>
      <c r="PM9" s="32"/>
      <c r="PN9" s="32"/>
      <c r="PO9" s="32"/>
      <c r="PP9" s="32"/>
      <c r="PQ9" s="32"/>
      <c r="PR9" s="32"/>
      <c r="PS9" s="32"/>
      <c r="PT9" s="32"/>
    </row>
    <row r="10" spans="1:436" s="187" customFormat="1" ht="17.7" customHeight="1" x14ac:dyDescent="0.25">
      <c r="A10" s="287"/>
      <c r="B10" s="1150" t="str">
        <f>HLOOKUP(LANGUAGE!$B$2,LANGUAGE!$C$14:$G$1500,41)</f>
        <v>Brose Part No.</v>
      </c>
      <c r="C10" s="1151"/>
      <c r="D10" s="1151"/>
      <c r="E10" s="1152"/>
      <c r="F10" s="1156" t="str">
        <f>HLOOKUP(LANGUAGE!$B$2,LANGUAGE!$C$14:$G$1500,42)</f>
        <v>Index</v>
      </c>
      <c r="G10" s="1152"/>
      <c r="H10" s="1158" t="str">
        <f>HLOOKUP(LANGUAGE!$B$2,LANGUAGE!$C$14:$G$1500,43)</f>
        <v>Brose Drawing No.</v>
      </c>
      <c r="I10" s="1159"/>
      <c r="J10" s="1159"/>
      <c r="K10" s="1160"/>
      <c r="L10" s="1164" t="str">
        <f>HLOOKUP(LANGUAGE!$B$2,LANGUAGE!$C$14:$G$1500,42)</f>
        <v>Index</v>
      </c>
      <c r="M10" s="1165"/>
      <c r="N10" s="177"/>
      <c r="O10" s="1150" t="str">
        <f>HLOOKUP(LANGUAGE!$B$2,LANGUAGE!$C$14:$G$1500,41)</f>
        <v>Brose Part No.</v>
      </c>
      <c r="P10" s="1151"/>
      <c r="Q10" s="1151"/>
      <c r="R10" s="1152"/>
      <c r="S10" s="1156" t="str">
        <f>HLOOKUP(LANGUAGE!$B$2,LANGUAGE!$C$14:$G$1500,42)</f>
        <v>Index</v>
      </c>
      <c r="T10" s="1152"/>
      <c r="U10" s="1158" t="str">
        <f>HLOOKUP(LANGUAGE!$B$2,LANGUAGE!$C$14:$G$1500,43)</f>
        <v>Brose Drawing No.</v>
      </c>
      <c r="V10" s="1159"/>
      <c r="W10" s="1159"/>
      <c r="X10" s="1160"/>
      <c r="Y10" s="1164" t="str">
        <f>HLOOKUP(LANGUAGE!$B$2,LANGUAGE!$C$14:$G$1500,42)</f>
        <v>Index</v>
      </c>
      <c r="Z10" s="1165"/>
      <c r="AA10" s="658"/>
      <c r="AB10" s="1150" t="str">
        <f>HLOOKUP(LANGUAGE!$B$2,LANGUAGE!$C$14:$G$1500,41)</f>
        <v>Brose Part No.</v>
      </c>
      <c r="AC10" s="1151"/>
      <c r="AD10" s="1151"/>
      <c r="AE10" s="1152"/>
      <c r="AF10" s="1156" t="str">
        <f>HLOOKUP(LANGUAGE!$B$2,LANGUAGE!$C$14:$G$1500,42)</f>
        <v>Index</v>
      </c>
      <c r="AG10" s="1152"/>
      <c r="AH10" s="1158" t="str">
        <f>HLOOKUP(LANGUAGE!$B$2,LANGUAGE!$C$14:$G$1500,43)</f>
        <v>Brose Drawing No.</v>
      </c>
      <c r="AI10" s="1159"/>
      <c r="AJ10" s="1159"/>
      <c r="AK10" s="1160"/>
      <c r="AL10" s="1164" t="str">
        <f>HLOOKUP(LANGUAGE!$B$2,LANGUAGE!$C$14:$G$1500,42)</f>
        <v>Index</v>
      </c>
      <c r="AM10" s="1165"/>
      <c r="AN10" s="224"/>
      <c r="AO10" s="224"/>
      <c r="AP10" s="224"/>
      <c r="AQ10" s="224"/>
      <c r="AR10" s="224"/>
      <c r="AS10" s="224"/>
      <c r="AT10" s="224"/>
      <c r="AU10" s="224"/>
      <c r="AV10" s="224"/>
      <c r="AW10" s="224"/>
      <c r="AX10" s="224"/>
      <c r="AY10" s="224"/>
      <c r="AZ10" s="224"/>
      <c r="BA10" s="224"/>
      <c r="BB10" s="224"/>
      <c r="BC10" s="224"/>
      <c r="BD10" s="224"/>
      <c r="BE10" s="224"/>
      <c r="BF10" s="224"/>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36"/>
      <c r="CL10" s="36"/>
      <c r="CM10" s="36"/>
      <c r="CN10" s="36"/>
      <c r="CO10" s="36"/>
      <c r="CP10" s="36"/>
      <c r="CQ10" s="36"/>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c r="LJ10" s="32"/>
      <c r="LK10" s="32"/>
      <c r="LL10" s="32"/>
      <c r="LM10" s="32"/>
      <c r="LN10" s="32"/>
      <c r="LO10" s="32"/>
      <c r="LP10" s="32"/>
      <c r="LQ10" s="32"/>
      <c r="LR10" s="32"/>
      <c r="LS10" s="32"/>
      <c r="LT10" s="32"/>
      <c r="LU10" s="32"/>
      <c r="LV10" s="32"/>
      <c r="LW10" s="32"/>
      <c r="LX10" s="32"/>
      <c r="LY10" s="32"/>
      <c r="LZ10" s="32"/>
      <c r="MA10" s="32"/>
      <c r="MB10" s="32"/>
      <c r="MC10" s="32"/>
      <c r="MD10" s="32"/>
      <c r="ME10" s="32"/>
      <c r="MF10" s="32"/>
      <c r="MG10" s="32"/>
      <c r="MH10" s="32"/>
      <c r="MI10" s="32"/>
      <c r="MJ10" s="32"/>
      <c r="MK10" s="32"/>
      <c r="ML10" s="32"/>
      <c r="MM10" s="32"/>
      <c r="MN10" s="32"/>
      <c r="MO10" s="32"/>
      <c r="MP10" s="32"/>
      <c r="MQ10" s="32"/>
      <c r="MR10" s="32"/>
      <c r="MS10" s="32"/>
      <c r="MT10" s="32"/>
      <c r="MU10" s="32"/>
      <c r="MV10" s="32"/>
      <c r="MW10" s="32"/>
      <c r="MX10" s="32"/>
      <c r="MY10" s="32"/>
      <c r="MZ10" s="32"/>
      <c r="NA10" s="32"/>
      <c r="NB10" s="32"/>
      <c r="NC10" s="32"/>
      <c r="ND10" s="32"/>
      <c r="NE10" s="32"/>
      <c r="NF10" s="32"/>
      <c r="NG10" s="32"/>
      <c r="NH10" s="32"/>
      <c r="NI10" s="32"/>
      <c r="NJ10" s="32"/>
      <c r="NK10" s="32"/>
      <c r="NL10" s="32"/>
      <c r="NM10" s="32"/>
      <c r="NN10" s="32"/>
      <c r="NO10" s="32"/>
      <c r="NP10" s="32"/>
      <c r="NQ10" s="32"/>
      <c r="NR10" s="32"/>
      <c r="NS10" s="32"/>
      <c r="NT10" s="32"/>
      <c r="NU10" s="32"/>
      <c r="NV10" s="32"/>
      <c r="NW10" s="32"/>
      <c r="NX10" s="32"/>
      <c r="NY10" s="32"/>
      <c r="NZ10" s="32"/>
      <c r="OA10" s="32"/>
      <c r="OB10" s="32"/>
      <c r="OC10" s="32"/>
      <c r="OD10" s="32"/>
      <c r="OE10" s="32"/>
      <c r="OF10" s="32"/>
      <c r="OG10" s="32"/>
      <c r="OH10" s="32"/>
      <c r="OI10" s="32"/>
      <c r="OJ10" s="32"/>
      <c r="OK10" s="32"/>
      <c r="OL10" s="32"/>
      <c r="OM10" s="32"/>
      <c r="ON10" s="32"/>
      <c r="OO10" s="32"/>
      <c r="OP10" s="32"/>
      <c r="OQ10" s="32"/>
      <c r="OR10" s="32"/>
      <c r="OS10" s="32"/>
      <c r="OT10" s="32"/>
      <c r="OU10" s="32"/>
      <c r="OV10" s="32"/>
      <c r="OW10" s="32"/>
      <c r="OX10" s="32"/>
      <c r="OY10" s="32"/>
      <c r="OZ10" s="32"/>
      <c r="PA10" s="32"/>
      <c r="PB10" s="32"/>
      <c r="PC10" s="32"/>
      <c r="PD10" s="32"/>
      <c r="PE10" s="32"/>
      <c r="PF10" s="32"/>
      <c r="PG10" s="32"/>
      <c r="PH10" s="32"/>
      <c r="PI10" s="32"/>
      <c r="PJ10" s="32"/>
      <c r="PK10" s="32"/>
      <c r="PL10" s="32"/>
      <c r="PM10" s="32"/>
      <c r="PN10" s="32"/>
      <c r="PO10" s="32"/>
      <c r="PP10" s="32"/>
      <c r="PQ10" s="32"/>
      <c r="PR10" s="32"/>
      <c r="PS10" s="32"/>
      <c r="PT10" s="32"/>
    </row>
    <row r="11" spans="1:436" s="187" customFormat="1" ht="17.7" customHeight="1" x14ac:dyDescent="0.25">
      <c r="A11" s="287"/>
      <c r="B11" s="1153"/>
      <c r="C11" s="1154"/>
      <c r="D11" s="1154"/>
      <c r="E11" s="1155"/>
      <c r="F11" s="1157"/>
      <c r="G11" s="1155"/>
      <c r="H11" s="1161"/>
      <c r="I11" s="1162"/>
      <c r="J11" s="1162"/>
      <c r="K11" s="1163"/>
      <c r="L11" s="1166"/>
      <c r="M11" s="1167"/>
      <c r="N11" s="177"/>
      <c r="O11" s="1153"/>
      <c r="P11" s="1154"/>
      <c r="Q11" s="1154"/>
      <c r="R11" s="1155"/>
      <c r="S11" s="1157"/>
      <c r="T11" s="1155"/>
      <c r="U11" s="1161"/>
      <c r="V11" s="1162"/>
      <c r="W11" s="1162"/>
      <c r="X11" s="1163"/>
      <c r="Y11" s="1166"/>
      <c r="Z11" s="1167"/>
      <c r="AA11" s="658"/>
      <c r="AB11" s="1153"/>
      <c r="AC11" s="1154"/>
      <c r="AD11" s="1154"/>
      <c r="AE11" s="1155"/>
      <c r="AF11" s="1157"/>
      <c r="AG11" s="1155"/>
      <c r="AH11" s="1161"/>
      <c r="AI11" s="1162"/>
      <c r="AJ11" s="1162"/>
      <c r="AK11" s="1163"/>
      <c r="AL11" s="1166"/>
      <c r="AM11" s="1167"/>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BO11" s="224"/>
      <c r="BP11" s="224"/>
      <c r="BQ11" s="224"/>
      <c r="BR11" s="224"/>
      <c r="BS11" s="224"/>
      <c r="BT11" s="224"/>
      <c r="BU11" s="224"/>
      <c r="BV11" s="224"/>
      <c r="BW11" s="224"/>
      <c r="BX11" s="224"/>
      <c r="BY11" s="224"/>
      <c r="BZ11" s="224"/>
      <c r="CA11" s="224"/>
      <c r="CB11" s="224"/>
      <c r="CC11" s="224"/>
      <c r="CD11" s="224"/>
      <c r="CE11" s="224"/>
      <c r="CF11" s="224"/>
      <c r="CG11" s="224"/>
      <c r="CH11" s="224"/>
      <c r="CI11" s="224"/>
      <c r="CJ11" s="224"/>
      <c r="CK11" s="36"/>
      <c r="CL11" s="36"/>
      <c r="CM11" s="36"/>
      <c r="CN11" s="36"/>
      <c r="CO11" s="36"/>
      <c r="CP11" s="36"/>
      <c r="CQ11" s="36"/>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c r="LJ11" s="32"/>
      <c r="LK11" s="32"/>
      <c r="LL11" s="32"/>
      <c r="LM11" s="32"/>
      <c r="LN11" s="32"/>
      <c r="LO11" s="32"/>
      <c r="LP11" s="32"/>
      <c r="LQ11" s="32"/>
      <c r="LR11" s="32"/>
      <c r="LS11" s="32"/>
      <c r="LT11" s="32"/>
      <c r="LU11" s="32"/>
      <c r="LV11" s="32"/>
      <c r="LW11" s="32"/>
      <c r="LX11" s="32"/>
      <c r="LY11" s="32"/>
      <c r="LZ11" s="32"/>
      <c r="MA11" s="32"/>
      <c r="MB11" s="32"/>
      <c r="MC11" s="32"/>
      <c r="MD11" s="32"/>
      <c r="ME11" s="32"/>
      <c r="MF11" s="32"/>
      <c r="MG11" s="32"/>
      <c r="MH11" s="32"/>
      <c r="MI11" s="32"/>
      <c r="MJ11" s="32"/>
      <c r="MK11" s="32"/>
      <c r="ML11" s="32"/>
      <c r="MM11" s="32"/>
      <c r="MN11" s="32"/>
      <c r="MO11" s="32"/>
      <c r="MP11" s="32"/>
      <c r="MQ11" s="32"/>
      <c r="MR11" s="32"/>
      <c r="MS11" s="32"/>
      <c r="MT11" s="32"/>
      <c r="MU11" s="32"/>
      <c r="MV11" s="32"/>
      <c r="MW11" s="32"/>
      <c r="MX11" s="32"/>
      <c r="MY11" s="32"/>
      <c r="MZ11" s="32"/>
      <c r="NA11" s="32"/>
      <c r="NB11" s="32"/>
      <c r="NC11" s="32"/>
      <c r="ND11" s="32"/>
      <c r="NE11" s="32"/>
      <c r="NF11" s="32"/>
      <c r="NG11" s="32"/>
      <c r="NH11" s="32"/>
      <c r="NI11" s="32"/>
      <c r="NJ11" s="32"/>
      <c r="NK11" s="32"/>
      <c r="NL11" s="32"/>
      <c r="NM11" s="32"/>
      <c r="NN11" s="32"/>
      <c r="NO11" s="32"/>
      <c r="NP11" s="32"/>
      <c r="NQ11" s="32"/>
      <c r="NR11" s="32"/>
      <c r="NS11" s="32"/>
      <c r="NT11" s="32"/>
      <c r="NU11" s="32"/>
      <c r="NV11" s="32"/>
      <c r="NW11" s="32"/>
      <c r="NX11" s="32"/>
      <c r="NY11" s="32"/>
      <c r="NZ11" s="32"/>
      <c r="OA11" s="32"/>
      <c r="OB11" s="32"/>
      <c r="OC11" s="32"/>
      <c r="OD11" s="32"/>
      <c r="OE11" s="32"/>
      <c r="OF11" s="32"/>
      <c r="OG11" s="32"/>
      <c r="OH11" s="32"/>
      <c r="OI11" s="32"/>
      <c r="OJ11" s="32"/>
      <c r="OK11" s="32"/>
      <c r="OL11" s="32"/>
      <c r="OM11" s="32"/>
      <c r="ON11" s="32"/>
      <c r="OO11" s="32"/>
      <c r="OP11" s="32"/>
      <c r="OQ11" s="32"/>
      <c r="OR11" s="32"/>
      <c r="OS11" s="32"/>
      <c r="OT11" s="32"/>
      <c r="OU11" s="32"/>
      <c r="OV11" s="32"/>
      <c r="OW11" s="32"/>
      <c r="OX11" s="32"/>
      <c r="OY11" s="32"/>
      <c r="OZ11" s="32"/>
      <c r="PA11" s="32"/>
      <c r="PB11" s="32"/>
      <c r="PC11" s="32"/>
      <c r="PD11" s="32"/>
      <c r="PE11" s="32"/>
      <c r="PF11" s="32"/>
      <c r="PG11" s="32"/>
      <c r="PH11" s="32"/>
      <c r="PI11" s="32"/>
      <c r="PJ11" s="32"/>
      <c r="PK11" s="32"/>
      <c r="PL11" s="32"/>
      <c r="PM11" s="32"/>
      <c r="PN11" s="32"/>
      <c r="PO11" s="32"/>
      <c r="PP11" s="32"/>
      <c r="PQ11" s="32"/>
      <c r="PR11" s="32"/>
      <c r="PS11" s="32"/>
      <c r="PT11" s="32"/>
    </row>
    <row r="12" spans="1:436" s="187" customFormat="1" ht="17.7" customHeight="1" x14ac:dyDescent="0.25">
      <c r="A12" s="287"/>
      <c r="B12" s="2767" t="str">
        <f>IF(SQG_1!B11="","",SQG_1!B11)</f>
        <v/>
      </c>
      <c r="C12" s="2760"/>
      <c r="D12" s="2760"/>
      <c r="E12" s="2760"/>
      <c r="F12" s="2760" t="str">
        <f>IF(SQG_1!F11="","",SQG_1!F11)</f>
        <v/>
      </c>
      <c r="G12" s="2760"/>
      <c r="H12" s="2760" t="str">
        <f>IF(SQG_1!I11="","",SQG_1!I11)</f>
        <v/>
      </c>
      <c r="I12" s="2760"/>
      <c r="J12" s="2760"/>
      <c r="K12" s="2760"/>
      <c r="L12" s="2760" t="str">
        <f>IF(SQG_1!M11="","",SQG_1!M11)</f>
        <v/>
      </c>
      <c r="M12" s="2761"/>
      <c r="N12" s="8"/>
      <c r="O12" s="1169" t="str">
        <f>IF(SQG_2!B11="","",SQG_2!B11)</f>
        <v/>
      </c>
      <c r="P12" s="1170"/>
      <c r="Q12" s="1170"/>
      <c r="R12" s="1170"/>
      <c r="S12" s="1170" t="str">
        <f>IF(SQG_2!F11="","",SQG_2!F11)</f>
        <v/>
      </c>
      <c r="T12" s="1170"/>
      <c r="U12" s="1170" t="str">
        <f>IF(SQG_2!I11="","",SQG_2!I11)</f>
        <v/>
      </c>
      <c r="V12" s="1170"/>
      <c r="W12" s="1170"/>
      <c r="X12" s="1170"/>
      <c r="Y12" s="1170" t="str">
        <f>IF(SQG_2!M11="","",SQG_2!M11)</f>
        <v/>
      </c>
      <c r="Z12" s="1171"/>
      <c r="AA12" s="8"/>
      <c r="AB12" s="1169" t="str">
        <f>IF(SQG_3!B11="","",SQG_3!B11)</f>
        <v/>
      </c>
      <c r="AC12" s="1170"/>
      <c r="AD12" s="1170"/>
      <c r="AE12" s="1170"/>
      <c r="AF12" s="1170" t="str">
        <f>IF(SQG_3!F11="","",SQG_3!F11)</f>
        <v/>
      </c>
      <c r="AG12" s="1170"/>
      <c r="AH12" s="1170" t="str">
        <f>IF(SQG_3!I11="","",SQG_3!I11)</f>
        <v/>
      </c>
      <c r="AI12" s="1170"/>
      <c r="AJ12" s="1170"/>
      <c r="AK12" s="1170"/>
      <c r="AL12" s="1170" t="str">
        <f>IF(SQG_3!M11="","",SQG_3!M11)</f>
        <v/>
      </c>
      <c r="AM12" s="1171"/>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O12" s="224"/>
      <c r="BP12" s="224"/>
      <c r="BQ12" s="224"/>
      <c r="BR12" s="224"/>
      <c r="BS12" s="224"/>
      <c r="BT12" s="224"/>
      <c r="BU12" s="224"/>
      <c r="BV12" s="224"/>
      <c r="BW12" s="224"/>
      <c r="BX12" s="224"/>
      <c r="BY12" s="224"/>
      <c r="BZ12" s="224"/>
      <c r="CA12" s="224"/>
      <c r="CB12" s="224"/>
      <c r="CC12" s="224"/>
      <c r="CD12" s="224"/>
      <c r="CE12" s="224"/>
      <c r="CF12" s="224"/>
      <c r="CG12" s="224"/>
      <c r="CH12" s="224"/>
      <c r="CI12" s="224"/>
      <c r="CJ12" s="224"/>
      <c r="CK12" s="36"/>
      <c r="CL12" s="36"/>
      <c r="CM12" s="36"/>
      <c r="CN12" s="36"/>
      <c r="CO12" s="36"/>
      <c r="CP12" s="36"/>
      <c r="CQ12" s="36"/>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c r="LJ12" s="32"/>
      <c r="LK12" s="32"/>
      <c r="LL12" s="32"/>
      <c r="LM12" s="32"/>
      <c r="LN12" s="32"/>
      <c r="LO12" s="32"/>
      <c r="LP12" s="32"/>
      <c r="LQ12" s="32"/>
      <c r="LR12" s="32"/>
      <c r="LS12" s="32"/>
      <c r="LT12" s="32"/>
      <c r="LU12" s="32"/>
      <c r="LV12" s="32"/>
      <c r="LW12" s="32"/>
      <c r="LX12" s="32"/>
      <c r="LY12" s="32"/>
      <c r="LZ12" s="32"/>
      <c r="MA12" s="32"/>
      <c r="MB12" s="32"/>
      <c r="MC12" s="32"/>
      <c r="MD12" s="32"/>
      <c r="ME12" s="32"/>
      <c r="MF12" s="32"/>
      <c r="MG12" s="32"/>
      <c r="MH12" s="32"/>
      <c r="MI12" s="32"/>
      <c r="MJ12" s="32"/>
      <c r="MK12" s="32"/>
      <c r="ML12" s="32"/>
      <c r="MM12" s="32"/>
      <c r="MN12" s="32"/>
      <c r="MO12" s="32"/>
      <c r="MP12" s="32"/>
      <c r="MQ12" s="32"/>
      <c r="MR12" s="32"/>
      <c r="MS12" s="32"/>
      <c r="MT12" s="32"/>
      <c r="MU12" s="32"/>
      <c r="MV12" s="32"/>
      <c r="MW12" s="32"/>
      <c r="MX12" s="32"/>
      <c r="MY12" s="32"/>
      <c r="MZ12" s="32"/>
      <c r="NA12" s="32"/>
      <c r="NB12" s="32"/>
      <c r="NC12" s="32"/>
      <c r="ND12" s="32"/>
      <c r="NE12" s="32"/>
      <c r="NF12" s="32"/>
      <c r="NG12" s="32"/>
      <c r="NH12" s="32"/>
      <c r="NI12" s="32"/>
      <c r="NJ12" s="32"/>
      <c r="NK12" s="32"/>
      <c r="NL12" s="32"/>
      <c r="NM12" s="32"/>
      <c r="NN12" s="32"/>
      <c r="NO12" s="32"/>
      <c r="NP12" s="32"/>
      <c r="NQ12" s="32"/>
      <c r="NR12" s="32"/>
      <c r="NS12" s="32"/>
      <c r="NT12" s="32"/>
      <c r="NU12" s="32"/>
      <c r="NV12" s="32"/>
      <c r="NW12" s="32"/>
      <c r="NX12" s="32"/>
      <c r="NY12" s="32"/>
      <c r="NZ12" s="32"/>
      <c r="OA12" s="32"/>
      <c r="OB12" s="32"/>
      <c r="OC12" s="32"/>
      <c r="OD12" s="32"/>
      <c r="OE12" s="32"/>
      <c r="OF12" s="32"/>
      <c r="OG12" s="32"/>
      <c r="OH12" s="32"/>
      <c r="OI12" s="32"/>
      <c r="OJ12" s="32"/>
      <c r="OK12" s="32"/>
      <c r="OL12" s="32"/>
      <c r="OM12" s="32"/>
      <c r="ON12" s="32"/>
      <c r="OO12" s="32"/>
      <c r="OP12" s="32"/>
      <c r="OQ12" s="32"/>
      <c r="OR12" s="32"/>
      <c r="OS12" s="32"/>
      <c r="OT12" s="32"/>
      <c r="OU12" s="32"/>
      <c r="OV12" s="32"/>
      <c r="OW12" s="32"/>
      <c r="OX12" s="32"/>
      <c r="OY12" s="32"/>
      <c r="OZ12" s="32"/>
      <c r="PA12" s="32"/>
      <c r="PB12" s="32"/>
      <c r="PC12" s="32"/>
      <c r="PD12" s="32"/>
      <c r="PE12" s="32"/>
      <c r="PF12" s="32"/>
      <c r="PG12" s="32"/>
      <c r="PH12" s="32"/>
      <c r="PI12" s="32"/>
      <c r="PJ12" s="32"/>
      <c r="PK12" s="32"/>
      <c r="PL12" s="32"/>
      <c r="PM12" s="32"/>
      <c r="PN12" s="32"/>
      <c r="PO12" s="32"/>
      <c r="PP12" s="32"/>
      <c r="PQ12" s="32"/>
      <c r="PR12" s="32"/>
      <c r="PS12" s="32"/>
      <c r="PT12" s="32"/>
    </row>
    <row r="13" spans="1:436" s="187" customFormat="1" ht="17.7" customHeight="1" x14ac:dyDescent="0.25">
      <c r="A13" s="287"/>
      <c r="B13" s="1168" t="str">
        <f>IF(SQG_1!B12="","",SQG_1!B12)</f>
        <v/>
      </c>
      <c r="C13" s="1145"/>
      <c r="D13" s="1145"/>
      <c r="E13" s="1145"/>
      <c r="F13" s="1145" t="str">
        <f>IF(SQG_1!F12="","",SQG_1!F12)</f>
        <v/>
      </c>
      <c r="G13" s="1145"/>
      <c r="H13" s="1145" t="str">
        <f>IF(SQG_1!I12="","",SQG_1!I12)</f>
        <v/>
      </c>
      <c r="I13" s="1145"/>
      <c r="J13" s="1145"/>
      <c r="K13" s="1145"/>
      <c r="L13" s="1145" t="str">
        <f>IF(SQG_1!M12="","",SQG_1!M12)</f>
        <v/>
      </c>
      <c r="M13" s="1146"/>
      <c r="N13" s="8"/>
      <c r="O13" s="1172" t="str">
        <f>IF(SQG_2!B12="","",SQG_2!B12)</f>
        <v/>
      </c>
      <c r="P13" s="1173"/>
      <c r="Q13" s="1173"/>
      <c r="R13" s="1173"/>
      <c r="S13" s="1173" t="str">
        <f>IF(SQG_2!F12="","",SQG_2!F12)</f>
        <v/>
      </c>
      <c r="T13" s="1173"/>
      <c r="U13" s="1173" t="str">
        <f>IF(SQG_2!I12="","",SQG_2!I12)</f>
        <v/>
      </c>
      <c r="V13" s="1173"/>
      <c r="W13" s="1173"/>
      <c r="X13" s="1173"/>
      <c r="Y13" s="1173" t="str">
        <f>IF(SQG_2!M12="","",SQG_2!M12)</f>
        <v/>
      </c>
      <c r="Z13" s="1174"/>
      <c r="AA13" s="8"/>
      <c r="AB13" s="1168" t="str">
        <f>IF(SQG_3!B12="","",SQG_3!B12)</f>
        <v/>
      </c>
      <c r="AC13" s="1145"/>
      <c r="AD13" s="1145"/>
      <c r="AE13" s="1145"/>
      <c r="AF13" s="1145" t="str">
        <f>IF(SQG_3!F12="","",SQG_3!F12)</f>
        <v/>
      </c>
      <c r="AG13" s="1145"/>
      <c r="AH13" s="1145" t="str">
        <f>IF(SQG_3!I12="","",SQG_3!I12)</f>
        <v/>
      </c>
      <c r="AI13" s="1145"/>
      <c r="AJ13" s="1145"/>
      <c r="AK13" s="1145"/>
      <c r="AL13" s="1145" t="str">
        <f>IF(SQG_3!M12="","",SQG_3!M12)</f>
        <v/>
      </c>
      <c r="AM13" s="1146"/>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4"/>
      <c r="BQ13" s="224"/>
      <c r="BR13" s="224"/>
      <c r="BS13" s="224"/>
      <c r="BT13" s="224"/>
      <c r="BU13" s="224"/>
      <c r="BV13" s="224"/>
      <c r="BW13" s="224"/>
      <c r="BX13" s="224"/>
      <c r="BY13" s="224"/>
      <c r="BZ13" s="224"/>
      <c r="CA13" s="224"/>
      <c r="CB13" s="224"/>
      <c r="CC13" s="224"/>
      <c r="CD13" s="224"/>
      <c r="CE13" s="224"/>
      <c r="CF13" s="224"/>
      <c r="CG13" s="224"/>
      <c r="CH13" s="224"/>
      <c r="CI13" s="224"/>
      <c r="CJ13" s="224"/>
      <c r="CK13" s="36"/>
      <c r="CL13" s="36"/>
      <c r="CM13" s="36"/>
      <c r="CN13" s="36"/>
      <c r="CO13" s="36"/>
      <c r="CP13" s="36"/>
      <c r="CQ13" s="36"/>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c r="LD13" s="32"/>
      <c r="LE13" s="32"/>
      <c r="LF13" s="32"/>
      <c r="LG13" s="32"/>
      <c r="LH13" s="32"/>
      <c r="LI13" s="32"/>
      <c r="LJ13" s="32"/>
      <c r="LK13" s="32"/>
      <c r="LL13" s="32"/>
      <c r="LM13" s="32"/>
      <c r="LN13" s="32"/>
      <c r="LO13" s="32"/>
      <c r="LP13" s="32"/>
      <c r="LQ13" s="32"/>
      <c r="LR13" s="32"/>
      <c r="LS13" s="32"/>
      <c r="LT13" s="32"/>
      <c r="LU13" s="32"/>
      <c r="LV13" s="32"/>
      <c r="LW13" s="32"/>
      <c r="LX13" s="32"/>
      <c r="LY13" s="32"/>
      <c r="LZ13" s="32"/>
      <c r="MA13" s="32"/>
      <c r="MB13" s="32"/>
      <c r="MC13" s="32"/>
      <c r="MD13" s="32"/>
      <c r="ME13" s="32"/>
      <c r="MF13" s="32"/>
      <c r="MG13" s="32"/>
      <c r="MH13" s="32"/>
      <c r="MI13" s="32"/>
      <c r="MJ13" s="32"/>
      <c r="MK13" s="32"/>
      <c r="ML13" s="32"/>
      <c r="MM13" s="32"/>
      <c r="MN13" s="32"/>
      <c r="MO13" s="32"/>
      <c r="MP13" s="32"/>
      <c r="MQ13" s="32"/>
      <c r="MR13" s="32"/>
      <c r="MS13" s="32"/>
      <c r="MT13" s="32"/>
      <c r="MU13" s="32"/>
      <c r="MV13" s="32"/>
      <c r="MW13" s="32"/>
      <c r="MX13" s="32"/>
      <c r="MY13" s="32"/>
      <c r="MZ13" s="32"/>
      <c r="NA13" s="32"/>
      <c r="NB13" s="32"/>
      <c r="NC13" s="32"/>
      <c r="ND13" s="32"/>
      <c r="NE13" s="32"/>
      <c r="NF13" s="32"/>
      <c r="NG13" s="32"/>
      <c r="NH13" s="32"/>
      <c r="NI13" s="32"/>
      <c r="NJ13" s="32"/>
      <c r="NK13" s="32"/>
      <c r="NL13" s="32"/>
      <c r="NM13" s="32"/>
      <c r="NN13" s="32"/>
      <c r="NO13" s="32"/>
      <c r="NP13" s="32"/>
      <c r="NQ13" s="32"/>
      <c r="NR13" s="32"/>
      <c r="NS13" s="32"/>
      <c r="NT13" s="32"/>
      <c r="NU13" s="32"/>
      <c r="NV13" s="32"/>
      <c r="NW13" s="32"/>
      <c r="NX13" s="32"/>
      <c r="NY13" s="32"/>
      <c r="NZ13" s="32"/>
      <c r="OA13" s="32"/>
      <c r="OB13" s="32"/>
      <c r="OC13" s="32"/>
      <c r="OD13" s="32"/>
      <c r="OE13" s="32"/>
      <c r="OF13" s="32"/>
      <c r="OG13" s="32"/>
      <c r="OH13" s="32"/>
      <c r="OI13" s="32"/>
      <c r="OJ13" s="32"/>
      <c r="OK13" s="32"/>
      <c r="OL13" s="32"/>
      <c r="OM13" s="32"/>
      <c r="ON13" s="32"/>
      <c r="OO13" s="32"/>
      <c r="OP13" s="32"/>
      <c r="OQ13" s="32"/>
      <c r="OR13" s="32"/>
      <c r="OS13" s="32"/>
      <c r="OT13" s="32"/>
      <c r="OU13" s="32"/>
      <c r="OV13" s="32"/>
      <c r="OW13" s="32"/>
      <c r="OX13" s="32"/>
      <c r="OY13" s="32"/>
      <c r="OZ13" s="32"/>
      <c r="PA13" s="32"/>
      <c r="PB13" s="32"/>
      <c r="PC13" s="32"/>
      <c r="PD13" s="32"/>
      <c r="PE13" s="32"/>
      <c r="PF13" s="32"/>
      <c r="PG13" s="32"/>
      <c r="PH13" s="32"/>
      <c r="PI13" s="32"/>
      <c r="PJ13" s="32"/>
      <c r="PK13" s="32"/>
      <c r="PL13" s="32"/>
      <c r="PM13" s="32"/>
      <c r="PN13" s="32"/>
      <c r="PO13" s="32"/>
      <c r="PP13" s="32"/>
      <c r="PQ13" s="32"/>
      <c r="PR13" s="32"/>
      <c r="PS13" s="32"/>
      <c r="PT13" s="32"/>
    </row>
    <row r="14" spans="1:436" s="187" customFormat="1" ht="17.7" customHeight="1" x14ac:dyDescent="0.25">
      <c r="A14" s="287"/>
      <c r="B14" s="1168" t="str">
        <f>IF(SQG_1!B13="","",SQG_1!B13)</f>
        <v/>
      </c>
      <c r="C14" s="1145"/>
      <c r="D14" s="1145"/>
      <c r="E14" s="1145"/>
      <c r="F14" s="1145" t="str">
        <f>IF(SQG_1!F13="","",SQG_1!F13)</f>
        <v/>
      </c>
      <c r="G14" s="1145"/>
      <c r="H14" s="1145" t="str">
        <f>IF(SQG_1!I13="","",SQG_1!I13)</f>
        <v/>
      </c>
      <c r="I14" s="1145"/>
      <c r="J14" s="1145"/>
      <c r="K14" s="1145"/>
      <c r="L14" s="1145" t="str">
        <f>IF(SQG_1!M13="","",SQG_1!M13)</f>
        <v/>
      </c>
      <c r="M14" s="1146"/>
      <c r="N14" s="8"/>
      <c r="O14" s="1168" t="str">
        <f>IF(SQG_2!B13="","",SQG_2!B13)</f>
        <v/>
      </c>
      <c r="P14" s="1145"/>
      <c r="Q14" s="1145"/>
      <c r="R14" s="1145"/>
      <c r="S14" s="1145" t="str">
        <f>IF(SQG_2!F13="","",SQG_2!F13)</f>
        <v/>
      </c>
      <c r="T14" s="1145"/>
      <c r="U14" s="1145" t="str">
        <f>IF(SQG_2!I13="","",SQG_2!I13)</f>
        <v/>
      </c>
      <c r="V14" s="1145"/>
      <c r="W14" s="1145"/>
      <c r="X14" s="1145"/>
      <c r="Y14" s="1145" t="str">
        <f>IF(SQG_2!M13="","",SQG_2!M13)</f>
        <v/>
      </c>
      <c r="Z14" s="1146"/>
      <c r="AA14" s="8"/>
      <c r="AB14" s="1168" t="str">
        <f>IF(SQG_3!B13="","",SQG_3!B13)</f>
        <v/>
      </c>
      <c r="AC14" s="1145"/>
      <c r="AD14" s="1145"/>
      <c r="AE14" s="1145"/>
      <c r="AF14" s="1145" t="str">
        <f>IF(SQG_3!F13="","",SQG_3!F13)</f>
        <v/>
      </c>
      <c r="AG14" s="1145"/>
      <c r="AH14" s="1145" t="str">
        <f>IF(SQG_3!I13="","",SQG_3!I13)</f>
        <v/>
      </c>
      <c r="AI14" s="1145"/>
      <c r="AJ14" s="1145"/>
      <c r="AK14" s="1145"/>
      <c r="AL14" s="1145" t="str">
        <f>IF(SQG_3!M13="","",SQG_3!M13)</f>
        <v/>
      </c>
      <c r="AM14" s="1146"/>
      <c r="AN14" s="224"/>
      <c r="AO14" s="224"/>
      <c r="AP14" s="224"/>
      <c r="AQ14" s="224"/>
      <c r="AR14" s="224"/>
      <c r="AS14" s="224"/>
      <c r="AT14" s="224"/>
      <c r="AU14" s="224"/>
      <c r="AV14" s="224"/>
      <c r="AW14" s="224"/>
      <c r="AX14" s="224"/>
      <c r="AY14" s="224"/>
      <c r="AZ14" s="224"/>
      <c r="BA14" s="224"/>
      <c r="BB14" s="224"/>
      <c r="BC14" s="224"/>
      <c r="BD14" s="224"/>
      <c r="BE14" s="224"/>
      <c r="BF14" s="224"/>
      <c r="BG14" s="224"/>
      <c r="BH14" s="224"/>
      <c r="BI14" s="224"/>
      <c r="BJ14" s="224"/>
      <c r="BK14" s="224"/>
      <c r="BL14" s="224"/>
      <c r="BM14" s="224"/>
      <c r="BN14" s="224"/>
      <c r="BO14" s="224"/>
      <c r="BP14" s="224"/>
      <c r="BQ14" s="224"/>
      <c r="BR14" s="224"/>
      <c r="BS14" s="224"/>
      <c r="BT14" s="224"/>
      <c r="BU14" s="224"/>
      <c r="BV14" s="224"/>
      <c r="BW14" s="224"/>
      <c r="BX14" s="224"/>
      <c r="BY14" s="224"/>
      <c r="BZ14" s="224"/>
      <c r="CA14" s="224"/>
      <c r="CB14" s="224"/>
      <c r="CC14" s="224"/>
      <c r="CD14" s="224"/>
      <c r="CE14" s="224"/>
      <c r="CF14" s="224"/>
      <c r="CG14" s="224"/>
      <c r="CH14" s="224"/>
      <c r="CI14" s="224"/>
      <c r="CJ14" s="224"/>
      <c r="CK14" s="36"/>
      <c r="CL14" s="36"/>
      <c r="CM14" s="36"/>
      <c r="CN14" s="36"/>
      <c r="CO14" s="36"/>
      <c r="CP14" s="36"/>
      <c r="CQ14" s="36"/>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c r="IY14" s="32"/>
      <c r="IZ14" s="32"/>
      <c r="JA14" s="32"/>
      <c r="JB14" s="32"/>
      <c r="JC14" s="32"/>
      <c r="JD14" s="32"/>
      <c r="JE14" s="32"/>
      <c r="JF14" s="32"/>
      <c r="JG14" s="32"/>
      <c r="JH14" s="32"/>
      <c r="JI14" s="32"/>
      <c r="JJ14" s="32"/>
      <c r="JK14" s="32"/>
      <c r="JL14" s="32"/>
      <c r="JM14" s="32"/>
      <c r="JN14" s="32"/>
      <c r="JO14" s="32"/>
      <c r="JP14" s="32"/>
      <c r="JQ14" s="32"/>
      <c r="JR14" s="32"/>
      <c r="JS14" s="32"/>
      <c r="JT14" s="32"/>
      <c r="JU14" s="32"/>
      <c r="JV14" s="32"/>
      <c r="JW14" s="32"/>
      <c r="JX14" s="32"/>
      <c r="JY14" s="32"/>
      <c r="JZ14" s="32"/>
      <c r="KA14" s="32"/>
      <c r="KB14" s="32"/>
      <c r="KC14" s="32"/>
      <c r="KD14" s="32"/>
      <c r="KE14" s="32"/>
      <c r="KF14" s="32"/>
      <c r="KG14" s="32"/>
      <c r="KH14" s="32"/>
      <c r="KI14" s="32"/>
      <c r="KJ14" s="32"/>
      <c r="KK14" s="32"/>
      <c r="KL14" s="32"/>
      <c r="KM14" s="32"/>
      <c r="KN14" s="32"/>
      <c r="KO14" s="32"/>
      <c r="KP14" s="32"/>
      <c r="KQ14" s="32"/>
      <c r="KR14" s="32"/>
      <c r="KS14" s="32"/>
      <c r="KT14" s="32"/>
      <c r="KU14" s="32"/>
      <c r="KV14" s="32"/>
      <c r="KW14" s="32"/>
      <c r="KX14" s="32"/>
      <c r="KY14" s="32"/>
      <c r="KZ14" s="32"/>
      <c r="LA14" s="32"/>
      <c r="LB14" s="32"/>
      <c r="LC14" s="32"/>
      <c r="LD14" s="32"/>
      <c r="LE14" s="32"/>
      <c r="LF14" s="32"/>
      <c r="LG14" s="32"/>
      <c r="LH14" s="32"/>
      <c r="LI14" s="32"/>
      <c r="LJ14" s="32"/>
      <c r="LK14" s="32"/>
      <c r="LL14" s="32"/>
      <c r="LM14" s="32"/>
      <c r="LN14" s="32"/>
      <c r="LO14" s="32"/>
      <c r="LP14" s="32"/>
      <c r="LQ14" s="32"/>
      <c r="LR14" s="32"/>
      <c r="LS14" s="32"/>
      <c r="LT14" s="32"/>
      <c r="LU14" s="32"/>
      <c r="LV14" s="32"/>
      <c r="LW14" s="32"/>
      <c r="LX14" s="32"/>
      <c r="LY14" s="32"/>
      <c r="LZ14" s="32"/>
      <c r="MA14" s="32"/>
      <c r="MB14" s="32"/>
      <c r="MC14" s="32"/>
      <c r="MD14" s="32"/>
      <c r="ME14" s="32"/>
      <c r="MF14" s="32"/>
      <c r="MG14" s="32"/>
      <c r="MH14" s="32"/>
      <c r="MI14" s="32"/>
      <c r="MJ14" s="32"/>
      <c r="MK14" s="32"/>
      <c r="ML14" s="32"/>
      <c r="MM14" s="32"/>
      <c r="MN14" s="32"/>
      <c r="MO14" s="32"/>
      <c r="MP14" s="32"/>
      <c r="MQ14" s="32"/>
      <c r="MR14" s="32"/>
      <c r="MS14" s="32"/>
      <c r="MT14" s="32"/>
      <c r="MU14" s="32"/>
      <c r="MV14" s="32"/>
      <c r="MW14" s="32"/>
      <c r="MX14" s="32"/>
      <c r="MY14" s="32"/>
      <c r="MZ14" s="32"/>
      <c r="NA14" s="32"/>
      <c r="NB14" s="32"/>
      <c r="NC14" s="32"/>
      <c r="ND14" s="32"/>
      <c r="NE14" s="32"/>
      <c r="NF14" s="32"/>
      <c r="NG14" s="32"/>
      <c r="NH14" s="32"/>
      <c r="NI14" s="32"/>
      <c r="NJ14" s="32"/>
      <c r="NK14" s="32"/>
      <c r="NL14" s="32"/>
      <c r="NM14" s="32"/>
      <c r="NN14" s="32"/>
      <c r="NO14" s="32"/>
      <c r="NP14" s="32"/>
      <c r="NQ14" s="32"/>
      <c r="NR14" s="32"/>
      <c r="NS14" s="32"/>
      <c r="NT14" s="32"/>
      <c r="NU14" s="32"/>
      <c r="NV14" s="32"/>
      <c r="NW14" s="32"/>
      <c r="NX14" s="32"/>
      <c r="NY14" s="32"/>
      <c r="NZ14" s="32"/>
      <c r="OA14" s="32"/>
      <c r="OB14" s="32"/>
      <c r="OC14" s="32"/>
      <c r="OD14" s="32"/>
      <c r="OE14" s="32"/>
      <c r="OF14" s="32"/>
      <c r="OG14" s="32"/>
      <c r="OH14" s="32"/>
      <c r="OI14" s="32"/>
      <c r="OJ14" s="32"/>
      <c r="OK14" s="32"/>
      <c r="OL14" s="32"/>
      <c r="OM14" s="32"/>
      <c r="ON14" s="32"/>
      <c r="OO14" s="32"/>
      <c r="OP14" s="32"/>
      <c r="OQ14" s="32"/>
      <c r="OR14" s="32"/>
      <c r="OS14" s="32"/>
      <c r="OT14" s="32"/>
      <c r="OU14" s="32"/>
      <c r="OV14" s="32"/>
      <c r="OW14" s="32"/>
      <c r="OX14" s="32"/>
      <c r="OY14" s="32"/>
      <c r="OZ14" s="32"/>
      <c r="PA14" s="32"/>
      <c r="PB14" s="32"/>
      <c r="PC14" s="32"/>
      <c r="PD14" s="32"/>
      <c r="PE14" s="32"/>
      <c r="PF14" s="32"/>
      <c r="PG14" s="32"/>
      <c r="PH14" s="32"/>
      <c r="PI14" s="32"/>
      <c r="PJ14" s="32"/>
      <c r="PK14" s="32"/>
      <c r="PL14" s="32"/>
      <c r="PM14" s="32"/>
      <c r="PN14" s="32"/>
      <c r="PO14" s="32"/>
      <c r="PP14" s="32"/>
      <c r="PQ14" s="32"/>
      <c r="PR14" s="32"/>
      <c r="PS14" s="32"/>
      <c r="PT14" s="32"/>
    </row>
    <row r="15" spans="1:436" s="187" customFormat="1" ht="17.7" customHeight="1" x14ac:dyDescent="0.25">
      <c r="A15" s="287"/>
      <c r="B15" s="1168" t="str">
        <f>IF(SQG_1!B14="","",SQG_1!B14)</f>
        <v/>
      </c>
      <c r="C15" s="1145"/>
      <c r="D15" s="1145"/>
      <c r="E15" s="1145"/>
      <c r="F15" s="1145" t="str">
        <f>IF(SQG_1!F14="","",SQG_1!F14)</f>
        <v/>
      </c>
      <c r="G15" s="1145"/>
      <c r="H15" s="1145" t="str">
        <f>IF(SQG_1!I14="","",SQG_1!I14)</f>
        <v/>
      </c>
      <c r="I15" s="1145"/>
      <c r="J15" s="1145"/>
      <c r="K15" s="1145"/>
      <c r="L15" s="1145" t="str">
        <f>IF(SQG_1!M14="","",SQG_1!M14)</f>
        <v/>
      </c>
      <c r="M15" s="1146"/>
      <c r="N15" s="8"/>
      <c r="O15" s="1168" t="str">
        <f>IF(SQG_2!B14="","",SQG_2!B14)</f>
        <v/>
      </c>
      <c r="P15" s="1145"/>
      <c r="Q15" s="1145"/>
      <c r="R15" s="1145"/>
      <c r="S15" s="1145" t="str">
        <f>IF(SQG_2!F14="","",SQG_2!F14)</f>
        <v/>
      </c>
      <c r="T15" s="1145"/>
      <c r="U15" s="1145" t="str">
        <f>IF(SQG_2!I14="","",SQG_2!I14)</f>
        <v/>
      </c>
      <c r="V15" s="1145"/>
      <c r="W15" s="1145"/>
      <c r="X15" s="1145"/>
      <c r="Y15" s="1145" t="str">
        <f>IF(SQG_2!M14="","",SQG_2!M14)</f>
        <v/>
      </c>
      <c r="Z15" s="1146"/>
      <c r="AA15" s="8"/>
      <c r="AB15" s="1168" t="str">
        <f>IF(SQG_3!B14="","",SQG_3!B14)</f>
        <v/>
      </c>
      <c r="AC15" s="1145"/>
      <c r="AD15" s="1145"/>
      <c r="AE15" s="1145"/>
      <c r="AF15" s="1145" t="str">
        <f>IF(SQG_3!F14="","",SQG_3!F14)</f>
        <v/>
      </c>
      <c r="AG15" s="1145"/>
      <c r="AH15" s="1145" t="str">
        <f>IF(SQG_3!I14="","",SQG_3!I14)</f>
        <v/>
      </c>
      <c r="AI15" s="1145"/>
      <c r="AJ15" s="1145"/>
      <c r="AK15" s="1145"/>
      <c r="AL15" s="1145" t="str">
        <f>IF(SQG_3!M14="","",SQG_3!M14)</f>
        <v/>
      </c>
      <c r="AM15" s="1146"/>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c r="CF15" s="224"/>
      <c r="CG15" s="224"/>
      <c r="CH15" s="224"/>
      <c r="CI15" s="224"/>
      <c r="CJ15" s="224"/>
      <c r="CK15" s="36"/>
      <c r="CL15" s="36"/>
      <c r="CM15" s="36"/>
      <c r="CN15" s="36"/>
      <c r="CO15" s="36"/>
      <c r="CP15" s="36"/>
      <c r="CQ15" s="36"/>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c r="IV15" s="32"/>
      <c r="IW15" s="32"/>
      <c r="IX15" s="32"/>
      <c r="IY15" s="32"/>
      <c r="IZ15" s="32"/>
      <c r="JA15" s="32"/>
      <c r="JB15" s="32"/>
      <c r="JC15" s="32"/>
      <c r="JD15" s="32"/>
      <c r="JE15" s="32"/>
      <c r="JF15" s="32"/>
      <c r="JG15" s="32"/>
      <c r="JH15" s="32"/>
      <c r="JI15" s="32"/>
      <c r="JJ15" s="32"/>
      <c r="JK15" s="32"/>
      <c r="JL15" s="32"/>
      <c r="JM15" s="32"/>
      <c r="JN15" s="32"/>
      <c r="JO15" s="32"/>
      <c r="JP15" s="32"/>
      <c r="JQ15" s="32"/>
      <c r="JR15" s="32"/>
      <c r="JS15" s="32"/>
      <c r="JT15" s="32"/>
      <c r="JU15" s="32"/>
      <c r="JV15" s="32"/>
      <c r="JW15" s="32"/>
      <c r="JX15" s="32"/>
      <c r="JY15" s="32"/>
      <c r="JZ15" s="32"/>
      <c r="KA15" s="32"/>
      <c r="KB15" s="32"/>
      <c r="KC15" s="32"/>
      <c r="KD15" s="32"/>
      <c r="KE15" s="32"/>
      <c r="KF15" s="32"/>
      <c r="KG15" s="32"/>
      <c r="KH15" s="32"/>
      <c r="KI15" s="32"/>
      <c r="KJ15" s="32"/>
      <c r="KK15" s="32"/>
      <c r="KL15" s="32"/>
      <c r="KM15" s="32"/>
      <c r="KN15" s="32"/>
      <c r="KO15" s="32"/>
      <c r="KP15" s="32"/>
      <c r="KQ15" s="32"/>
      <c r="KR15" s="32"/>
      <c r="KS15" s="32"/>
      <c r="KT15" s="32"/>
      <c r="KU15" s="32"/>
      <c r="KV15" s="32"/>
      <c r="KW15" s="32"/>
      <c r="KX15" s="32"/>
      <c r="KY15" s="32"/>
      <c r="KZ15" s="32"/>
      <c r="LA15" s="32"/>
      <c r="LB15" s="32"/>
      <c r="LC15" s="32"/>
      <c r="LD15" s="32"/>
      <c r="LE15" s="32"/>
      <c r="LF15" s="32"/>
      <c r="LG15" s="32"/>
      <c r="LH15" s="32"/>
      <c r="LI15" s="32"/>
      <c r="LJ15" s="32"/>
      <c r="LK15" s="32"/>
      <c r="LL15" s="32"/>
      <c r="LM15" s="32"/>
      <c r="LN15" s="32"/>
      <c r="LO15" s="32"/>
      <c r="LP15" s="32"/>
      <c r="LQ15" s="32"/>
      <c r="LR15" s="32"/>
      <c r="LS15" s="32"/>
      <c r="LT15" s="32"/>
      <c r="LU15" s="32"/>
      <c r="LV15" s="32"/>
      <c r="LW15" s="32"/>
      <c r="LX15" s="32"/>
      <c r="LY15" s="32"/>
      <c r="LZ15" s="32"/>
      <c r="MA15" s="32"/>
      <c r="MB15" s="32"/>
      <c r="MC15" s="32"/>
      <c r="MD15" s="32"/>
      <c r="ME15" s="32"/>
      <c r="MF15" s="32"/>
      <c r="MG15" s="32"/>
      <c r="MH15" s="32"/>
      <c r="MI15" s="32"/>
      <c r="MJ15" s="32"/>
      <c r="MK15" s="32"/>
      <c r="ML15" s="32"/>
      <c r="MM15" s="32"/>
      <c r="MN15" s="32"/>
      <c r="MO15" s="32"/>
      <c r="MP15" s="32"/>
      <c r="MQ15" s="32"/>
      <c r="MR15" s="32"/>
      <c r="MS15" s="32"/>
      <c r="MT15" s="32"/>
      <c r="MU15" s="32"/>
      <c r="MV15" s="32"/>
      <c r="MW15" s="32"/>
      <c r="MX15" s="32"/>
      <c r="MY15" s="32"/>
      <c r="MZ15" s="32"/>
      <c r="NA15" s="32"/>
      <c r="NB15" s="32"/>
      <c r="NC15" s="32"/>
      <c r="ND15" s="32"/>
      <c r="NE15" s="32"/>
      <c r="NF15" s="32"/>
      <c r="NG15" s="32"/>
      <c r="NH15" s="32"/>
      <c r="NI15" s="32"/>
      <c r="NJ15" s="32"/>
      <c r="NK15" s="32"/>
      <c r="NL15" s="32"/>
      <c r="NM15" s="32"/>
      <c r="NN15" s="32"/>
      <c r="NO15" s="32"/>
      <c r="NP15" s="32"/>
      <c r="NQ15" s="32"/>
      <c r="NR15" s="32"/>
      <c r="NS15" s="32"/>
      <c r="NT15" s="32"/>
      <c r="NU15" s="32"/>
      <c r="NV15" s="32"/>
      <c r="NW15" s="32"/>
      <c r="NX15" s="32"/>
      <c r="NY15" s="32"/>
      <c r="NZ15" s="32"/>
      <c r="OA15" s="32"/>
      <c r="OB15" s="32"/>
      <c r="OC15" s="32"/>
      <c r="OD15" s="32"/>
      <c r="OE15" s="32"/>
      <c r="OF15" s="32"/>
      <c r="OG15" s="32"/>
      <c r="OH15" s="32"/>
      <c r="OI15" s="32"/>
      <c r="OJ15" s="32"/>
      <c r="OK15" s="32"/>
      <c r="OL15" s="32"/>
      <c r="OM15" s="32"/>
      <c r="ON15" s="32"/>
      <c r="OO15" s="32"/>
      <c r="OP15" s="32"/>
      <c r="OQ15" s="32"/>
      <c r="OR15" s="32"/>
      <c r="OS15" s="32"/>
      <c r="OT15" s="32"/>
      <c r="OU15" s="32"/>
      <c r="OV15" s="32"/>
      <c r="OW15" s="32"/>
      <c r="OX15" s="32"/>
      <c r="OY15" s="32"/>
      <c r="OZ15" s="32"/>
      <c r="PA15" s="32"/>
      <c r="PB15" s="32"/>
      <c r="PC15" s="32"/>
      <c r="PD15" s="32"/>
      <c r="PE15" s="32"/>
      <c r="PF15" s="32"/>
      <c r="PG15" s="32"/>
      <c r="PH15" s="32"/>
      <c r="PI15" s="32"/>
      <c r="PJ15" s="32"/>
      <c r="PK15" s="32"/>
      <c r="PL15" s="32"/>
      <c r="PM15" s="32"/>
      <c r="PN15" s="32"/>
      <c r="PO15" s="32"/>
      <c r="PP15" s="32"/>
      <c r="PQ15" s="32"/>
      <c r="PR15" s="32"/>
      <c r="PS15" s="32"/>
      <c r="PT15" s="32"/>
    </row>
    <row r="16" spans="1:436" s="187" customFormat="1" ht="17.7" customHeight="1" thickBot="1" x14ac:dyDescent="0.3">
      <c r="A16" s="287"/>
      <c r="B16" s="2769" t="str">
        <f>IF(SQG_1!B15="","",SQG_1!B15)</f>
        <v/>
      </c>
      <c r="C16" s="2770"/>
      <c r="D16" s="2770"/>
      <c r="E16" s="2770"/>
      <c r="F16" s="2770" t="str">
        <f>IF(SQG_1!F15="","",SQG_1!F15)</f>
        <v/>
      </c>
      <c r="G16" s="2770"/>
      <c r="H16" s="2770" t="str">
        <f>IF(SQG_1!I15="","",SQG_1!I15)</f>
        <v/>
      </c>
      <c r="I16" s="2770"/>
      <c r="J16" s="2770"/>
      <c r="K16" s="2770"/>
      <c r="L16" s="2770" t="str">
        <f>IF(SQG_1!M15="","",SQG_1!M15)</f>
        <v/>
      </c>
      <c r="M16" s="2771"/>
      <c r="N16" s="8"/>
      <c r="O16" s="2769" t="str">
        <f>IF(SQG_2!B15="","",SQG_2!B15)</f>
        <v/>
      </c>
      <c r="P16" s="2770"/>
      <c r="Q16" s="2770"/>
      <c r="R16" s="2770"/>
      <c r="S16" s="2770" t="str">
        <f>IF(SQG_2!F15="","",SQG_2!F15)</f>
        <v/>
      </c>
      <c r="T16" s="2770"/>
      <c r="U16" s="2770" t="str">
        <f>IF(SQG_2!I15="","",SQG_2!I15)</f>
        <v/>
      </c>
      <c r="V16" s="2770"/>
      <c r="W16" s="2770"/>
      <c r="X16" s="2770"/>
      <c r="Y16" s="2770" t="str">
        <f>IF(SQG_2!M15="","",SQG_2!M15)</f>
        <v/>
      </c>
      <c r="Z16" s="2771"/>
      <c r="AA16" s="8"/>
      <c r="AB16" s="2769" t="str">
        <f>IF(SQG_3!B15="","",SQG_3!B15)</f>
        <v/>
      </c>
      <c r="AC16" s="2770"/>
      <c r="AD16" s="2770"/>
      <c r="AE16" s="2770"/>
      <c r="AF16" s="2770" t="str">
        <f>IF(SQG_3!F15="","",SQG_3!F15)</f>
        <v/>
      </c>
      <c r="AG16" s="2770"/>
      <c r="AH16" s="2770" t="str">
        <f>IF(SQG_3!I15="","",SQG_3!I15)</f>
        <v/>
      </c>
      <c r="AI16" s="2770"/>
      <c r="AJ16" s="2770"/>
      <c r="AK16" s="2770"/>
      <c r="AL16" s="2770" t="str">
        <f>IF(SQG_3!M15="","",SQG_3!M15)</f>
        <v/>
      </c>
      <c r="AM16" s="2771"/>
      <c r="AN16" s="224"/>
      <c r="AO16" s="224"/>
      <c r="AP16" s="224"/>
      <c r="AQ16" s="224"/>
      <c r="AR16" s="224"/>
      <c r="AS16" s="224"/>
      <c r="AT16" s="224"/>
      <c r="AU16" s="224"/>
      <c r="AV16" s="224"/>
      <c r="AW16" s="224"/>
      <c r="AX16" s="224"/>
      <c r="AY16" s="224"/>
      <c r="AZ16" s="224"/>
      <c r="BA16" s="224"/>
      <c r="BB16" s="224"/>
      <c r="BC16" s="224"/>
      <c r="BD16" s="224"/>
      <c r="BE16" s="224"/>
      <c r="BF16" s="224"/>
      <c r="BG16" s="224"/>
      <c r="BH16" s="224"/>
      <c r="BI16" s="224"/>
      <c r="BJ16" s="224"/>
      <c r="BK16" s="224"/>
      <c r="BL16" s="224"/>
      <c r="BM16" s="224"/>
      <c r="BN16" s="224"/>
      <c r="BO16" s="224"/>
      <c r="BP16" s="224"/>
      <c r="BQ16" s="224"/>
      <c r="BR16" s="224"/>
      <c r="BS16" s="224"/>
      <c r="BT16" s="224"/>
      <c r="BU16" s="224"/>
      <c r="BV16" s="224"/>
      <c r="BW16" s="224"/>
      <c r="BX16" s="224"/>
      <c r="BY16" s="224"/>
      <c r="BZ16" s="224"/>
      <c r="CA16" s="224"/>
      <c r="CB16" s="224"/>
      <c r="CC16" s="224"/>
      <c r="CD16" s="224"/>
      <c r="CE16" s="224"/>
      <c r="CF16" s="224"/>
      <c r="CG16" s="224"/>
      <c r="CH16" s="224"/>
      <c r="CI16" s="224"/>
      <c r="CJ16" s="224"/>
      <c r="CK16" s="36"/>
      <c r="CL16" s="36"/>
      <c r="CM16" s="36"/>
      <c r="CN16" s="36"/>
      <c r="CO16" s="36"/>
      <c r="CP16" s="36"/>
      <c r="CQ16" s="36"/>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row>
    <row r="17" spans="1:436" s="187" customFormat="1" ht="17.7" customHeight="1" x14ac:dyDescent="0.25">
      <c r="A17" s="287"/>
      <c r="B17" s="287"/>
      <c r="C17" s="288"/>
      <c r="D17" s="288"/>
      <c r="E17" s="288"/>
      <c r="F17" s="288"/>
      <c r="G17" s="289"/>
      <c r="H17" s="289"/>
      <c r="I17" s="289"/>
      <c r="J17" s="289"/>
      <c r="K17" s="289"/>
      <c r="L17" s="289"/>
      <c r="M17" s="289"/>
      <c r="N17" s="289"/>
      <c r="O17" s="289"/>
      <c r="P17" s="289"/>
      <c r="Q17" s="287"/>
      <c r="R17" s="287"/>
      <c r="S17" s="290"/>
      <c r="T17" s="290"/>
      <c r="U17" s="190"/>
      <c r="V17" s="190"/>
      <c r="W17" s="190"/>
      <c r="X17" s="190"/>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4"/>
      <c r="BW17" s="224"/>
      <c r="BX17" s="224"/>
      <c r="BY17" s="224"/>
      <c r="BZ17" s="224"/>
      <c r="CA17" s="224"/>
      <c r="CB17" s="224"/>
      <c r="CC17" s="224"/>
      <c r="CD17" s="224"/>
      <c r="CE17" s="224"/>
      <c r="CF17" s="224"/>
      <c r="CG17" s="224"/>
      <c r="CH17" s="224"/>
      <c r="CI17" s="224"/>
      <c r="CJ17" s="224"/>
      <c r="CK17" s="36"/>
      <c r="CL17" s="36"/>
      <c r="CM17" s="36"/>
      <c r="CN17" s="36"/>
      <c r="CO17" s="36"/>
      <c r="CP17" s="36"/>
      <c r="CQ17" s="36"/>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c r="IV17" s="32"/>
      <c r="IW17" s="32"/>
      <c r="IX17" s="32"/>
      <c r="IY17" s="32"/>
      <c r="IZ17" s="32"/>
      <c r="JA17" s="32"/>
      <c r="JB17" s="32"/>
      <c r="JC17" s="32"/>
      <c r="JD17" s="32"/>
      <c r="JE17" s="32"/>
      <c r="JF17" s="32"/>
      <c r="JG17" s="32"/>
      <c r="JH17" s="32"/>
      <c r="JI17" s="32"/>
      <c r="JJ17" s="32"/>
      <c r="JK17" s="32"/>
      <c r="JL17" s="32"/>
      <c r="JM17" s="32"/>
      <c r="JN17" s="32"/>
      <c r="JO17" s="32"/>
      <c r="JP17" s="32"/>
      <c r="JQ17" s="32"/>
      <c r="JR17" s="32"/>
      <c r="JS17" s="32"/>
      <c r="JT17" s="32"/>
      <c r="JU17" s="32"/>
      <c r="JV17" s="32"/>
      <c r="JW17" s="32"/>
      <c r="JX17" s="32"/>
      <c r="JY17" s="32"/>
      <c r="JZ17" s="32"/>
      <c r="KA17" s="32"/>
      <c r="KB17" s="32"/>
      <c r="KC17" s="32"/>
      <c r="KD17" s="32"/>
      <c r="KE17" s="32"/>
      <c r="KF17" s="32"/>
      <c r="KG17" s="32"/>
      <c r="KH17" s="32"/>
      <c r="KI17" s="32"/>
      <c r="KJ17" s="32"/>
      <c r="KK17" s="32"/>
      <c r="KL17" s="32"/>
      <c r="KM17" s="32"/>
      <c r="KN17" s="32"/>
      <c r="KO17" s="32"/>
      <c r="KP17" s="32"/>
      <c r="KQ17" s="32"/>
      <c r="KR17" s="32"/>
      <c r="KS17" s="32"/>
      <c r="KT17" s="32"/>
      <c r="KU17" s="32"/>
      <c r="KV17" s="32"/>
      <c r="KW17" s="32"/>
      <c r="KX17" s="32"/>
      <c r="KY17" s="32"/>
      <c r="KZ17" s="32"/>
      <c r="LA17" s="32"/>
      <c r="LB17" s="32"/>
      <c r="LC17" s="32"/>
      <c r="LD17" s="32"/>
      <c r="LE17" s="32"/>
      <c r="LF17" s="32"/>
      <c r="LG17" s="32"/>
      <c r="LH17" s="32"/>
      <c r="LI17" s="32"/>
      <c r="LJ17" s="32"/>
      <c r="LK17" s="32"/>
      <c r="LL17" s="32"/>
      <c r="LM17" s="32"/>
      <c r="LN17" s="32"/>
      <c r="LO17" s="32"/>
      <c r="LP17" s="32"/>
      <c r="LQ17" s="32"/>
      <c r="LR17" s="32"/>
      <c r="LS17" s="32"/>
      <c r="LT17" s="32"/>
      <c r="LU17" s="32"/>
      <c r="LV17" s="32"/>
      <c r="LW17" s="32"/>
      <c r="LX17" s="32"/>
      <c r="LY17" s="32"/>
      <c r="LZ17" s="32"/>
      <c r="MA17" s="32"/>
      <c r="MB17" s="32"/>
      <c r="MC17" s="32"/>
      <c r="MD17" s="32"/>
      <c r="ME17" s="32"/>
      <c r="MF17" s="32"/>
      <c r="MG17" s="32"/>
      <c r="MH17" s="32"/>
      <c r="MI17" s="32"/>
      <c r="MJ17" s="32"/>
      <c r="MK17" s="32"/>
      <c r="ML17" s="32"/>
      <c r="MM17" s="32"/>
      <c r="MN17" s="32"/>
      <c r="MO17" s="32"/>
      <c r="MP17" s="32"/>
      <c r="MQ17" s="32"/>
      <c r="MR17" s="32"/>
      <c r="MS17" s="32"/>
      <c r="MT17" s="32"/>
      <c r="MU17" s="32"/>
      <c r="MV17" s="32"/>
      <c r="MW17" s="32"/>
      <c r="MX17" s="32"/>
      <c r="MY17" s="32"/>
      <c r="MZ17" s="32"/>
      <c r="NA17" s="32"/>
      <c r="NB17" s="32"/>
      <c r="NC17" s="32"/>
      <c r="ND17" s="32"/>
      <c r="NE17" s="32"/>
      <c r="NF17" s="32"/>
      <c r="NG17" s="32"/>
      <c r="NH17" s="32"/>
      <c r="NI17" s="32"/>
      <c r="NJ17" s="32"/>
      <c r="NK17" s="32"/>
      <c r="NL17" s="32"/>
      <c r="NM17" s="32"/>
      <c r="NN17" s="32"/>
      <c r="NO17" s="32"/>
      <c r="NP17" s="32"/>
      <c r="NQ17" s="32"/>
      <c r="NR17" s="32"/>
      <c r="NS17" s="32"/>
      <c r="NT17" s="32"/>
      <c r="NU17" s="32"/>
      <c r="NV17" s="32"/>
      <c r="NW17" s="32"/>
      <c r="NX17" s="32"/>
      <c r="NY17" s="32"/>
      <c r="NZ17" s="32"/>
      <c r="OA17" s="32"/>
      <c r="OB17" s="32"/>
      <c r="OC17" s="32"/>
      <c r="OD17" s="32"/>
      <c r="OE17" s="32"/>
      <c r="OF17" s="32"/>
      <c r="OG17" s="32"/>
      <c r="OH17" s="32"/>
      <c r="OI17" s="32"/>
      <c r="OJ17" s="32"/>
      <c r="OK17" s="32"/>
      <c r="OL17" s="32"/>
      <c r="OM17" s="32"/>
      <c r="ON17" s="32"/>
      <c r="OO17" s="32"/>
      <c r="OP17" s="32"/>
      <c r="OQ17" s="32"/>
      <c r="OR17" s="32"/>
      <c r="OS17" s="32"/>
      <c r="OT17" s="32"/>
      <c r="OU17" s="32"/>
      <c r="OV17" s="32"/>
      <c r="OW17" s="32"/>
      <c r="OX17" s="32"/>
      <c r="OY17" s="32"/>
      <c r="OZ17" s="32"/>
      <c r="PA17" s="32"/>
      <c r="PB17" s="32"/>
      <c r="PC17" s="32"/>
      <c r="PD17" s="32"/>
      <c r="PE17" s="32"/>
      <c r="PF17" s="32"/>
      <c r="PG17" s="32"/>
      <c r="PH17" s="32"/>
      <c r="PI17" s="32"/>
      <c r="PJ17" s="32"/>
      <c r="PK17" s="32"/>
      <c r="PL17" s="32"/>
      <c r="PM17" s="32"/>
      <c r="PN17" s="32"/>
      <c r="PO17" s="32"/>
      <c r="PP17" s="32"/>
      <c r="PQ17" s="32"/>
      <c r="PR17" s="32"/>
      <c r="PS17" s="32"/>
      <c r="PT17" s="32"/>
    </row>
    <row r="18" spans="1:436" ht="17.7" customHeight="1" thickBot="1" x14ac:dyDescent="0.3">
      <c r="D18" s="243"/>
      <c r="F18" s="242"/>
      <c r="G18" s="8"/>
      <c r="H18" s="8"/>
      <c r="I18" s="8"/>
      <c r="J18" s="8"/>
      <c r="K18" s="8"/>
      <c r="L18" s="8"/>
      <c r="M18" s="8"/>
      <c r="N18" s="8"/>
      <c r="O18" s="8"/>
      <c r="P18" s="8"/>
      <c r="Q18" s="8"/>
      <c r="R18" s="8"/>
      <c r="S18" s="8"/>
      <c r="T18" s="8"/>
      <c r="U18" s="8"/>
      <c r="V18" s="8"/>
      <c r="W18" s="8"/>
      <c r="X18" s="8"/>
      <c r="Y18" s="242"/>
      <c r="Z18" s="242"/>
      <c r="AA18" s="242"/>
      <c r="AB18" s="242"/>
      <c r="AC18" s="242"/>
      <c r="AD18" s="242"/>
    </row>
    <row r="19" spans="1:436" ht="17.25" customHeight="1" x14ac:dyDescent="0.25">
      <c r="B19" s="2788" t="str">
        <f>HLOOKUP(LANGUAGE!$B$2,LANGUAGE!$C$14:$G$3008,1571)</f>
        <v>Drawing review</v>
      </c>
      <c r="C19" s="2789"/>
      <c r="D19" s="2789"/>
      <c r="E19" s="2789"/>
      <c r="F19" s="2789"/>
      <c r="G19" s="2789"/>
      <c r="H19" s="2789"/>
      <c r="I19" s="2789"/>
      <c r="J19" s="2789"/>
      <c r="K19" s="2790"/>
      <c r="L19" s="2794" t="str">
        <f>HLOOKUP(LANGUAGE!$B$2,LANGUAGE!$C$14:$G$1500,335)</f>
        <v>SQG 1</v>
      </c>
      <c r="M19" s="2795"/>
      <c r="N19" s="2795"/>
      <c r="O19" s="2795"/>
      <c r="P19" s="2795"/>
      <c r="Q19" s="2796"/>
      <c r="R19" s="2794" t="str">
        <f>HLOOKUP(LANGUAGE!$B$2,LANGUAGE!$C$14:$G$1500,336)</f>
        <v>SQG 2</v>
      </c>
      <c r="S19" s="2795"/>
      <c r="T19" s="2795"/>
      <c r="U19" s="2795"/>
      <c r="V19" s="2795"/>
      <c r="W19" s="2796"/>
      <c r="X19" s="2794" t="str">
        <f>HLOOKUP(LANGUAGE!$B$2,LANGUAGE!$C$14:$G$1500,337)</f>
        <v>SQG 3</v>
      </c>
      <c r="Y19" s="2795"/>
      <c r="Z19" s="2795"/>
      <c r="AA19" s="2795"/>
      <c r="AB19" s="2795"/>
      <c r="AC19" s="2796"/>
      <c r="AD19" s="291"/>
      <c r="AE19" s="291"/>
      <c r="AF19" s="291"/>
      <c r="AG19" s="291"/>
    </row>
    <row r="20" spans="1:436" ht="13.5" customHeight="1" x14ac:dyDescent="0.25">
      <c r="B20" s="2791"/>
      <c r="C20" s="2792"/>
      <c r="D20" s="2792"/>
      <c r="E20" s="2792"/>
      <c r="F20" s="2792"/>
      <c r="G20" s="2792"/>
      <c r="H20" s="2792"/>
      <c r="I20" s="2792"/>
      <c r="J20" s="2792"/>
      <c r="K20" s="2793"/>
      <c r="L20" s="2735" t="str">
        <f>LANGUAGE!$I$4</f>
        <v>Yes</v>
      </c>
      <c r="M20" s="2735"/>
      <c r="N20" s="2735" t="str">
        <f>LANGUAGE!$I$5</f>
        <v>No</v>
      </c>
      <c r="O20" s="2735"/>
      <c r="P20" s="2735" t="str">
        <f>HLOOKUP(LANGUAGE!$B$2,LANGUAGE!$C$14:$G$3008,1515)</f>
        <v>n.r.</v>
      </c>
      <c r="Q20" s="2735"/>
      <c r="R20" s="2735" t="str">
        <f>LANGUAGE!$I$4</f>
        <v>Yes</v>
      </c>
      <c r="S20" s="2735"/>
      <c r="T20" s="2735" t="str">
        <f>LANGUAGE!$I$5</f>
        <v>No</v>
      </c>
      <c r="U20" s="2735"/>
      <c r="V20" s="2735" t="str">
        <f>HLOOKUP(LANGUAGE!$B$2,LANGUAGE!$C$14:$G$3008,1515)</f>
        <v>n.r.</v>
      </c>
      <c r="W20" s="2735"/>
      <c r="X20" s="2735" t="str">
        <f>LANGUAGE!$I$4</f>
        <v>Yes</v>
      </c>
      <c r="Y20" s="2735"/>
      <c r="Z20" s="2735" t="str">
        <f>LANGUAGE!$I$5</f>
        <v>No</v>
      </c>
      <c r="AA20" s="2735"/>
      <c r="AB20" s="2735" t="str">
        <f>HLOOKUP(LANGUAGE!$B$2,LANGUAGE!$C$14:$G$3008,1515)</f>
        <v>n.r.</v>
      </c>
      <c r="AC20" s="2735"/>
      <c r="AD20" s="292"/>
      <c r="AE20" s="292"/>
      <c r="AF20" s="292"/>
      <c r="AG20" s="292"/>
    </row>
    <row r="21" spans="1:436" ht="23.35" customHeight="1" x14ac:dyDescent="0.25">
      <c r="B21" s="2787" t="str">
        <f>HLOOKUP(LANGUAGE!$B$2,LANGUAGE!$C$14:$G$3008,1579)</f>
        <v>Has the supplier the current revision of the drawings?</v>
      </c>
      <c r="C21" s="2787"/>
      <c r="D21" s="2787"/>
      <c r="E21" s="2787"/>
      <c r="F21" s="2787"/>
      <c r="G21" s="2787"/>
      <c r="H21" s="2787"/>
      <c r="I21" s="2787"/>
      <c r="J21" s="2787"/>
      <c r="K21" s="2787"/>
      <c r="L21" s="2732"/>
      <c r="M21" s="2732"/>
      <c r="N21" s="2732"/>
      <c r="O21" s="2732"/>
      <c r="P21" s="2732"/>
      <c r="Q21" s="2732"/>
      <c r="R21" s="2732"/>
      <c r="S21" s="2732"/>
      <c r="T21" s="2732"/>
      <c r="U21" s="2732"/>
      <c r="V21" s="2732"/>
      <c r="W21" s="2732"/>
      <c r="X21" s="2732"/>
      <c r="Y21" s="2732"/>
      <c r="Z21" s="2732"/>
      <c r="AA21" s="2732"/>
      <c r="AB21" s="2732"/>
      <c r="AC21" s="2732"/>
      <c r="AD21" s="242"/>
    </row>
    <row r="22" spans="1:436" ht="23.35" customHeight="1" x14ac:dyDescent="0.25">
      <c r="B22" s="2787" t="str">
        <f>HLOOKUP(LANGUAGE!$B$2,LANGUAGE!$C$14:$G$3008,1582)</f>
        <v>Has the supplier the current revision of the CAD data?</v>
      </c>
      <c r="C22" s="2787"/>
      <c r="D22" s="2787"/>
      <c r="E22" s="2787"/>
      <c r="F22" s="2787"/>
      <c r="G22" s="2787"/>
      <c r="H22" s="2787"/>
      <c r="I22" s="2787"/>
      <c r="J22" s="2787"/>
      <c r="K22" s="2787"/>
      <c r="L22" s="2732"/>
      <c r="M22" s="2732"/>
      <c r="N22" s="2732"/>
      <c r="O22" s="2732"/>
      <c r="P22" s="2732"/>
      <c r="Q22" s="2732"/>
      <c r="R22" s="2732"/>
      <c r="S22" s="2732"/>
      <c r="T22" s="2732"/>
      <c r="U22" s="2732"/>
      <c r="V22" s="2732"/>
      <c r="W22" s="2732"/>
      <c r="X22" s="2732"/>
      <c r="Y22" s="2732"/>
      <c r="Z22" s="2732"/>
      <c r="AA22" s="2732"/>
      <c r="AB22" s="2732"/>
      <c r="AC22" s="2732"/>
      <c r="AD22" s="242"/>
    </row>
    <row r="23" spans="1:436" ht="24.75" customHeight="1" x14ac:dyDescent="0.25">
      <c r="B23" s="2787" t="str">
        <f>HLOOKUP(LANGUAGE!$B$2,LANGUAGE!$C$14:$G$3008,1585)</f>
        <v>Has the D-FMEA been reviewed with the supplier?</v>
      </c>
      <c r="C23" s="2787"/>
      <c r="D23" s="2787"/>
      <c r="E23" s="2787"/>
      <c r="F23" s="2787"/>
      <c r="G23" s="2787"/>
      <c r="H23" s="2787"/>
      <c r="I23" s="2787"/>
      <c r="J23" s="2787"/>
      <c r="K23" s="2787"/>
      <c r="L23" s="2732"/>
      <c r="M23" s="2732"/>
      <c r="N23" s="2732"/>
      <c r="O23" s="2732"/>
      <c r="P23" s="2732"/>
      <c r="Q23" s="2732"/>
      <c r="R23" s="2732"/>
      <c r="S23" s="2732"/>
      <c r="T23" s="2732"/>
      <c r="U23" s="2732"/>
      <c r="V23" s="2732"/>
      <c r="W23" s="2732"/>
      <c r="X23" s="2732"/>
      <c r="Y23" s="2732"/>
      <c r="Z23" s="2732"/>
      <c r="AA23" s="2732"/>
      <c r="AB23" s="2732"/>
      <c r="AC23" s="2732"/>
      <c r="AD23" s="242"/>
    </row>
    <row r="24" spans="1:436" ht="34.450000000000003" customHeight="1" x14ac:dyDescent="0.25">
      <c r="B24" s="2787" t="str">
        <f>HLOOKUP(LANGUAGE!$B$2,LANGUAGE!$C$14:$G$3008,1588)</f>
        <v>Does the supplier understand the functional and critical characteristics of the part?</v>
      </c>
      <c r="C24" s="2787"/>
      <c r="D24" s="2787"/>
      <c r="E24" s="2787"/>
      <c r="F24" s="2787"/>
      <c r="G24" s="2787"/>
      <c r="H24" s="2787"/>
      <c r="I24" s="2787"/>
      <c r="J24" s="2787"/>
      <c r="K24" s="2787"/>
      <c r="L24" s="2732"/>
      <c r="M24" s="2732"/>
      <c r="N24" s="2732"/>
      <c r="O24" s="2732"/>
      <c r="P24" s="2732"/>
      <c r="Q24" s="2732"/>
      <c r="R24" s="2732"/>
      <c r="S24" s="2732"/>
      <c r="T24" s="2732"/>
      <c r="U24" s="2732"/>
      <c r="V24" s="2732"/>
      <c r="W24" s="2732"/>
      <c r="X24" s="2732"/>
      <c r="Y24" s="2732"/>
      <c r="Z24" s="2732"/>
      <c r="AA24" s="2732"/>
      <c r="AB24" s="2732"/>
      <c r="AC24" s="2732"/>
      <c r="AD24" s="242"/>
    </row>
    <row r="25" spans="1:436" ht="30.7" customHeight="1" x14ac:dyDescent="0.25">
      <c r="B25" s="2787" t="str">
        <f>HLOOKUP(LANGUAGE!$B$2,LANGUAGE!$C$14:$G$3008,1591)</f>
        <v>Is the material properly specified and does the supplier know the requirements?</v>
      </c>
      <c r="C25" s="2787"/>
      <c r="D25" s="2787"/>
      <c r="E25" s="2787"/>
      <c r="F25" s="2787"/>
      <c r="G25" s="2787"/>
      <c r="H25" s="2787"/>
      <c r="I25" s="2787"/>
      <c r="J25" s="2787"/>
      <c r="K25" s="2787"/>
      <c r="L25" s="2732"/>
      <c r="M25" s="2732"/>
      <c r="N25" s="2732"/>
      <c r="O25" s="2732"/>
      <c r="P25" s="2732"/>
      <c r="Q25" s="2732"/>
      <c r="R25" s="2732"/>
      <c r="S25" s="2732"/>
      <c r="T25" s="2732"/>
      <c r="U25" s="2732"/>
      <c r="V25" s="2732"/>
      <c r="W25" s="2732"/>
      <c r="X25" s="2732"/>
      <c r="Y25" s="2732"/>
      <c r="Z25" s="2732"/>
      <c r="AA25" s="2732"/>
      <c r="AB25" s="2732"/>
      <c r="AC25" s="2732"/>
      <c r="AD25" s="242"/>
    </row>
    <row r="26" spans="1:436" ht="31.5" customHeight="1" x14ac:dyDescent="0.25">
      <c r="B26" s="2781" t="str">
        <f>HLOOKUP(LANGUAGE!$B$2,LANGUAGE!$C$14:$G$3008,1594)</f>
        <v>Are Brose special processes clearly understood by the supplier? (Heat treatment, rivets, tox, paint, …)</v>
      </c>
      <c r="C26" s="2782"/>
      <c r="D26" s="2782"/>
      <c r="E26" s="2782"/>
      <c r="F26" s="2782"/>
      <c r="G26" s="2782"/>
      <c r="H26" s="2782"/>
      <c r="I26" s="2782"/>
      <c r="J26" s="2782"/>
      <c r="K26" s="2783"/>
      <c r="L26" s="2732"/>
      <c r="M26" s="2732"/>
      <c r="N26" s="2732"/>
      <c r="O26" s="2732"/>
      <c r="P26" s="2732"/>
      <c r="Q26" s="2732"/>
      <c r="R26" s="2732"/>
      <c r="S26" s="2732"/>
      <c r="T26" s="2732"/>
      <c r="U26" s="2732"/>
      <c r="V26" s="2732"/>
      <c r="W26" s="2732"/>
      <c r="X26" s="2732"/>
      <c r="Y26" s="2732"/>
      <c r="Z26" s="2732"/>
      <c r="AA26" s="2732"/>
      <c r="AB26" s="2732"/>
      <c r="AC26" s="2732"/>
      <c r="AD26" s="242"/>
    </row>
    <row r="27" spans="1:436" ht="29.3" customHeight="1" x14ac:dyDescent="0.25">
      <c r="B27" s="2781" t="str">
        <f>HLOOKUP(LANGUAGE!$B$2,LANGUAGE!$C$14:$G$3008,1597)</f>
        <v>If special processes are required, is the supplier ceritified for the special processes?</v>
      </c>
      <c r="C27" s="2782"/>
      <c r="D27" s="2782"/>
      <c r="E27" s="2782"/>
      <c r="F27" s="2782"/>
      <c r="G27" s="2782"/>
      <c r="H27" s="2782"/>
      <c r="I27" s="2782"/>
      <c r="J27" s="2782"/>
      <c r="K27" s="2783"/>
      <c r="L27" s="2732"/>
      <c r="M27" s="2732"/>
      <c r="N27" s="2732"/>
      <c r="O27" s="2732"/>
      <c r="P27" s="2732"/>
      <c r="Q27" s="2732"/>
      <c r="R27" s="2732"/>
      <c r="S27" s="2732"/>
      <c r="T27" s="2732"/>
      <c r="U27" s="2732"/>
      <c r="V27" s="2732"/>
      <c r="W27" s="2732"/>
      <c r="X27" s="2732"/>
      <c r="Y27" s="2732"/>
      <c r="Z27" s="2732"/>
      <c r="AA27" s="2732"/>
      <c r="AB27" s="2732"/>
      <c r="AC27" s="2732"/>
      <c r="AD27" s="242"/>
    </row>
    <row r="28" spans="1:436" ht="32.25" customHeight="1" x14ac:dyDescent="0.25">
      <c r="B28" s="2781" t="str">
        <f>HLOOKUP(LANGUAGE!$B$2,LANGUAGE!$C$14:$G$3008,1600)</f>
        <v>Are all remarks understood and will the supplier conform to all remarks?</v>
      </c>
      <c r="C28" s="2782"/>
      <c r="D28" s="2782"/>
      <c r="E28" s="2782"/>
      <c r="F28" s="2782"/>
      <c r="G28" s="2782"/>
      <c r="H28" s="2782"/>
      <c r="I28" s="2782"/>
      <c r="J28" s="2782"/>
      <c r="K28" s="2783"/>
      <c r="L28" s="2732"/>
      <c r="M28" s="2732"/>
      <c r="N28" s="2732"/>
      <c r="O28" s="2732"/>
      <c r="P28" s="2732"/>
      <c r="Q28" s="2732"/>
      <c r="R28" s="2732"/>
      <c r="S28" s="2732"/>
      <c r="T28" s="2732"/>
      <c r="U28" s="2732"/>
      <c r="V28" s="2732"/>
      <c r="W28" s="2732"/>
      <c r="X28" s="2732"/>
      <c r="Y28" s="2732"/>
      <c r="Z28" s="2732"/>
      <c r="AA28" s="2732"/>
      <c r="AB28" s="2732"/>
      <c r="AC28" s="2732"/>
      <c r="AD28" s="242"/>
    </row>
    <row r="29" spans="1:436" ht="31.5" customHeight="1" x14ac:dyDescent="0.25">
      <c r="B29" s="2781" t="str">
        <f>HLOOKUP(LANGUAGE!$B$2,LANGUAGE!$C$14:$G$3008,1603)</f>
        <v>Are all dimensions, GD&amp;T and tolerances understood and agreed by the supplier?</v>
      </c>
      <c r="C29" s="2782"/>
      <c r="D29" s="2782"/>
      <c r="E29" s="2782"/>
      <c r="F29" s="2782"/>
      <c r="G29" s="2782"/>
      <c r="H29" s="2782"/>
      <c r="I29" s="2782"/>
      <c r="J29" s="2782"/>
      <c r="K29" s="2783"/>
      <c r="L29" s="2732"/>
      <c r="M29" s="2732"/>
      <c r="N29" s="2732"/>
      <c r="O29" s="2732"/>
      <c r="P29" s="2732"/>
      <c r="Q29" s="2732"/>
      <c r="R29" s="2732"/>
      <c r="S29" s="2732"/>
      <c r="T29" s="2732"/>
      <c r="U29" s="2732"/>
      <c r="V29" s="2732"/>
      <c r="W29" s="2732"/>
      <c r="X29" s="2732"/>
      <c r="Y29" s="2732"/>
      <c r="Z29" s="2732"/>
      <c r="AA29" s="2732"/>
      <c r="AB29" s="2732"/>
      <c r="AC29" s="2732"/>
      <c r="AD29" s="242"/>
    </row>
    <row r="30" spans="1:436" ht="17.25" customHeight="1" x14ac:dyDescent="0.25">
      <c r="B30" s="2781" t="str">
        <f>HLOOKUP(LANGUAGE!$B$2,LANGUAGE!$C$14:$G$3008,1606)</f>
        <v>Does the supplier have any concerns with feasability of the part?</v>
      </c>
      <c r="C30" s="2782"/>
      <c r="D30" s="2782"/>
      <c r="E30" s="2782"/>
      <c r="F30" s="2782"/>
      <c r="G30" s="2782"/>
      <c r="H30" s="2782"/>
      <c r="I30" s="2782"/>
      <c r="J30" s="2782"/>
      <c r="K30" s="2783"/>
      <c r="L30" s="2732"/>
      <c r="M30" s="2732"/>
      <c r="N30" s="2732"/>
      <c r="O30" s="2732"/>
      <c r="P30" s="2732"/>
      <c r="Q30" s="2732"/>
      <c r="R30" s="2732"/>
      <c r="S30" s="2732"/>
      <c r="T30" s="2732"/>
      <c r="U30" s="2732"/>
      <c r="V30" s="2732"/>
      <c r="W30" s="2732"/>
      <c r="X30" s="2732"/>
      <c r="Y30" s="2732"/>
      <c r="Z30" s="2732"/>
      <c r="AA30" s="2732"/>
      <c r="AB30" s="2732"/>
      <c r="AC30" s="2732"/>
      <c r="AD30" s="242"/>
    </row>
    <row r="31" spans="1:436" ht="25.55" customHeight="1" x14ac:dyDescent="0.25">
      <c r="B31" s="2784" t="str">
        <f>HLOOKUP(LANGUAGE!$B$2,LANGUAGE!$C$14:$G$3008,1609)</f>
        <v>Does the timing plan represent the functionality and manufacturability of the part?</v>
      </c>
      <c r="C31" s="2785"/>
      <c r="D31" s="2785"/>
      <c r="E31" s="2785"/>
      <c r="F31" s="2785"/>
      <c r="G31" s="2785"/>
      <c r="H31" s="2785"/>
      <c r="I31" s="2785"/>
      <c r="J31" s="2785"/>
      <c r="K31" s="2786"/>
      <c r="L31" s="2732"/>
      <c r="M31" s="2732"/>
      <c r="N31" s="2732"/>
      <c r="O31" s="2732"/>
      <c r="P31" s="2732"/>
      <c r="Q31" s="2732"/>
      <c r="R31" s="2732"/>
      <c r="S31" s="2732"/>
      <c r="T31" s="2732"/>
      <c r="U31" s="2732"/>
      <c r="V31" s="2732"/>
      <c r="W31" s="2732"/>
      <c r="X31" s="2732"/>
      <c r="Y31" s="2732"/>
      <c r="Z31" s="2732"/>
      <c r="AA31" s="2732"/>
      <c r="AB31" s="2732"/>
      <c r="AC31" s="2732"/>
      <c r="AD31" s="242"/>
    </row>
    <row r="32" spans="1:436" ht="21" customHeight="1" x14ac:dyDescent="0.25">
      <c r="B32" s="2784" t="str">
        <f>HLOOKUP(LANGUAGE!$B$2,LANGUAGE!$C$14:$G$3008,1612)</f>
        <v>Are there any pending engineering changes?</v>
      </c>
      <c r="C32" s="2785"/>
      <c r="D32" s="2785"/>
      <c r="E32" s="2785"/>
      <c r="F32" s="2785"/>
      <c r="G32" s="2785"/>
      <c r="H32" s="2785"/>
      <c r="I32" s="2785"/>
      <c r="J32" s="2785"/>
      <c r="K32" s="2786"/>
      <c r="L32" s="2732"/>
      <c r="M32" s="2732"/>
      <c r="N32" s="2732"/>
      <c r="O32" s="2732"/>
      <c r="P32" s="2732"/>
      <c r="Q32" s="2732"/>
      <c r="R32" s="2732"/>
      <c r="S32" s="2732"/>
      <c r="T32" s="2732"/>
      <c r="U32" s="2732"/>
      <c r="V32" s="2732"/>
      <c r="W32" s="2732"/>
      <c r="X32" s="2732"/>
      <c r="Y32" s="2732"/>
      <c r="Z32" s="2732"/>
      <c r="AA32" s="2732"/>
      <c r="AB32" s="2732"/>
      <c r="AC32" s="2732"/>
      <c r="AD32" s="242"/>
    </row>
    <row r="33" spans="2:69" ht="21" customHeight="1" x14ac:dyDescent="0.25">
      <c r="B33" s="2784" t="str">
        <f>HLOOKUP(LANGUAGE!$B$2,LANGUAGE!$C$14:$G$3008,1615)</f>
        <v>Are requirements for visable surfaces clearly understood?</v>
      </c>
      <c r="C33" s="2785"/>
      <c r="D33" s="2785"/>
      <c r="E33" s="2785"/>
      <c r="F33" s="2785"/>
      <c r="G33" s="2785"/>
      <c r="H33" s="2785"/>
      <c r="I33" s="2785"/>
      <c r="J33" s="2785"/>
      <c r="K33" s="2786"/>
      <c r="L33" s="2732"/>
      <c r="M33" s="2732"/>
      <c r="N33" s="2732"/>
      <c r="O33" s="2732"/>
      <c r="P33" s="2732"/>
      <c r="Q33" s="2732"/>
      <c r="R33" s="2732"/>
      <c r="S33" s="2732"/>
      <c r="T33" s="2732"/>
      <c r="U33" s="2732"/>
      <c r="V33" s="2732"/>
      <c r="W33" s="2732"/>
      <c r="X33" s="2732"/>
      <c r="Y33" s="2732"/>
      <c r="Z33" s="2732"/>
      <c r="AA33" s="2732"/>
      <c r="AB33" s="2732"/>
      <c r="AC33" s="2732"/>
      <c r="AD33" s="242"/>
    </row>
    <row r="34" spans="2:69" ht="21.8" customHeight="1" x14ac:dyDescent="0.25">
      <c r="B34" s="2784" t="str">
        <f>HLOOKUP(LANGUAGE!$B$2,LANGUAGE!$C$14:$G$3008,1618)</f>
        <v>Are the engineering specifications available and understood?</v>
      </c>
      <c r="C34" s="2785"/>
      <c r="D34" s="2785"/>
      <c r="E34" s="2785"/>
      <c r="F34" s="2785"/>
      <c r="G34" s="2785"/>
      <c r="H34" s="2785"/>
      <c r="I34" s="2785"/>
      <c r="J34" s="2785"/>
      <c r="K34" s="2786"/>
      <c r="L34" s="2732"/>
      <c r="M34" s="2732"/>
      <c r="N34" s="2732"/>
      <c r="O34" s="2732"/>
      <c r="P34" s="2732"/>
      <c r="Q34" s="2732"/>
      <c r="R34" s="2732"/>
      <c r="S34" s="2732"/>
      <c r="T34" s="2732"/>
      <c r="U34" s="2732"/>
      <c r="V34" s="2732"/>
      <c r="W34" s="2732"/>
      <c r="X34" s="2732"/>
      <c r="Y34" s="2732"/>
      <c r="Z34" s="2732"/>
      <c r="AA34" s="2732"/>
      <c r="AB34" s="2732"/>
      <c r="AC34" s="2732"/>
      <c r="AD34" s="242"/>
    </row>
    <row r="35" spans="2:69" ht="27.7" customHeight="1" x14ac:dyDescent="0.25">
      <c r="B35" s="2784" t="str">
        <f>HLOOKUP(LANGUAGE!$B$2,LANGUAGE!$C$14:$G$3008,1621)</f>
        <v>Are the part number, date code and lot number required on the part?</v>
      </c>
      <c r="C35" s="2785"/>
      <c r="D35" s="2785"/>
      <c r="E35" s="2785"/>
      <c r="F35" s="2785"/>
      <c r="G35" s="2785"/>
      <c r="H35" s="2785"/>
      <c r="I35" s="2785"/>
      <c r="J35" s="2785"/>
      <c r="K35" s="2786"/>
      <c r="L35" s="2732"/>
      <c r="M35" s="2732"/>
      <c r="N35" s="2732"/>
      <c r="O35" s="2732"/>
      <c r="P35" s="2732"/>
      <c r="Q35" s="2732"/>
      <c r="R35" s="2732"/>
      <c r="S35" s="2732"/>
      <c r="T35" s="2732"/>
      <c r="U35" s="2732"/>
      <c r="V35" s="2732"/>
      <c r="W35" s="2732"/>
      <c r="X35" s="2732"/>
      <c r="Y35" s="2732"/>
      <c r="Z35" s="2732"/>
      <c r="AA35" s="2732"/>
      <c r="AB35" s="2732"/>
      <c r="AC35" s="2732"/>
      <c r="AD35" s="242"/>
    </row>
    <row r="36" spans="2:69" ht="33.049999999999997" customHeight="1" x14ac:dyDescent="0.25">
      <c r="B36" s="2784" t="str">
        <f>HLOOKUP(LANGUAGE!$B$2,LANGUAGE!$C$14:$G$3008,1624)</f>
        <v>Are Pass Through Characteristics (PTC, Diamond with C inside) clearly identified and understood?</v>
      </c>
      <c r="C36" s="2785"/>
      <c r="D36" s="2785"/>
      <c r="E36" s="2785"/>
      <c r="F36" s="2785"/>
      <c r="G36" s="2785"/>
      <c r="H36" s="2785"/>
      <c r="I36" s="2785"/>
      <c r="J36" s="2785"/>
      <c r="K36" s="2786"/>
      <c r="L36" s="2732"/>
      <c r="M36" s="2732"/>
      <c r="N36" s="2732"/>
      <c r="O36" s="2732"/>
      <c r="P36" s="2732"/>
      <c r="Q36" s="2732"/>
      <c r="R36" s="2732"/>
      <c r="S36" s="2732"/>
      <c r="T36" s="2732"/>
      <c r="U36" s="2732"/>
      <c r="V36" s="2732"/>
      <c r="W36" s="2732"/>
      <c r="X36" s="2732"/>
      <c r="Y36" s="2732"/>
      <c r="Z36" s="2732"/>
      <c r="AA36" s="2732"/>
      <c r="AB36" s="2732"/>
      <c r="AC36" s="2732"/>
      <c r="AD36" s="242"/>
    </row>
    <row r="37" spans="2:69" ht="29.3" customHeight="1" x14ac:dyDescent="0.25">
      <c r="B37" s="2784" t="str">
        <f>HLOOKUP(LANGUAGE!$B$2,LANGUAGE!$C$14:$G$3008,1627)</f>
        <v>Does the supplier has controls and assurances for the  PTC's / Diamond with C?</v>
      </c>
      <c r="C37" s="2785"/>
      <c r="D37" s="2785"/>
      <c r="E37" s="2785"/>
      <c r="F37" s="2785"/>
      <c r="G37" s="2785"/>
      <c r="H37" s="2785"/>
      <c r="I37" s="2785"/>
      <c r="J37" s="2785"/>
      <c r="K37" s="2786"/>
      <c r="L37" s="2732"/>
      <c r="M37" s="2732"/>
      <c r="N37" s="2732"/>
      <c r="O37" s="2732"/>
      <c r="P37" s="2732"/>
      <c r="Q37" s="2732"/>
      <c r="R37" s="2732"/>
      <c r="S37" s="2732"/>
      <c r="T37" s="2732"/>
      <c r="U37" s="2732"/>
      <c r="V37" s="2732"/>
      <c r="W37" s="2732"/>
      <c r="X37" s="2732"/>
      <c r="Y37" s="2732"/>
      <c r="Z37" s="2732"/>
      <c r="AA37" s="2732"/>
      <c r="AB37" s="2732"/>
      <c r="AC37" s="2732"/>
      <c r="AD37" s="242"/>
    </row>
    <row r="38" spans="2:69" ht="25.55" customHeight="1" x14ac:dyDescent="0.25">
      <c r="B38" s="2784" t="str">
        <f>HLOOKUP(LANGUAGE!$B$2,LANGUAGE!$C$14:$G$3008,1630)</f>
        <v>Does the supplier has controls to meet technical cleanliness requirements?</v>
      </c>
      <c r="C38" s="2785"/>
      <c r="D38" s="2785"/>
      <c r="E38" s="2785"/>
      <c r="F38" s="2785"/>
      <c r="G38" s="2785"/>
      <c r="H38" s="2785"/>
      <c r="I38" s="2785"/>
      <c r="J38" s="2785"/>
      <c r="K38" s="2786"/>
      <c r="L38" s="2797"/>
      <c r="M38" s="2798"/>
      <c r="N38" s="2798"/>
      <c r="O38" s="2798"/>
      <c r="P38" s="2798"/>
      <c r="Q38" s="2799"/>
      <c r="R38" s="2797"/>
      <c r="S38" s="2798"/>
      <c r="T38" s="2798"/>
      <c r="U38" s="2798"/>
      <c r="V38" s="2798"/>
      <c r="W38" s="2799"/>
      <c r="X38" s="2797"/>
      <c r="Y38" s="2798"/>
      <c r="Z38" s="2798"/>
      <c r="AA38" s="2798"/>
      <c r="AB38" s="2798"/>
      <c r="AC38" s="2799"/>
      <c r="AD38" s="242"/>
    </row>
    <row r="39" spans="2:69" ht="17.25" customHeight="1" x14ac:dyDescent="0.25">
      <c r="B39" s="238"/>
      <c r="C39" s="238"/>
      <c r="D39" s="238"/>
      <c r="E39" s="238"/>
      <c r="F39" s="238"/>
      <c r="G39" s="238"/>
      <c r="H39" s="238"/>
      <c r="I39" s="238"/>
      <c r="J39" s="238"/>
      <c r="K39" s="238"/>
      <c r="L39" s="2803" t="str">
        <f>HLOOKUP(LANGUAGE!$B$2,LANGUAGE!$C$14:$G$3008,1633)</f>
        <v>Please insert result</v>
      </c>
      <c r="M39" s="2803"/>
      <c r="N39" s="2803"/>
      <c r="O39" s="2803"/>
      <c r="P39" s="2803"/>
      <c r="Q39" s="2803"/>
      <c r="R39" s="2803"/>
      <c r="S39" s="2803"/>
      <c r="T39" s="2803"/>
      <c r="U39" s="2803"/>
      <c r="V39" s="2803"/>
      <c r="W39" s="2803"/>
      <c r="X39" s="294"/>
      <c r="Y39" s="294"/>
      <c r="Z39" s="294"/>
      <c r="AA39" s="239"/>
      <c r="AB39" s="239"/>
      <c r="AC39" s="239"/>
      <c r="AD39" s="239"/>
      <c r="AE39" s="239"/>
      <c r="AF39" s="239"/>
    </row>
    <row r="40" spans="2:69" ht="17.25" customHeight="1" x14ac:dyDescent="0.25">
      <c r="B40" s="2800" t="str">
        <f>HLOOKUP(LANGUAGE!$B$2,LANGUAGE!$C$14:$G$3008,991)</f>
        <v>Overall result:</v>
      </c>
      <c r="C40" s="2801"/>
      <c r="D40" s="2801"/>
      <c r="E40" s="2801"/>
      <c r="F40" s="2801"/>
      <c r="G40" s="2801"/>
      <c r="H40" s="2801"/>
      <c r="I40" s="2801"/>
      <c r="J40" s="2801"/>
      <c r="K40" s="2802"/>
      <c r="L40" s="1510"/>
      <c r="M40" s="1510"/>
      <c r="N40" s="1510"/>
      <c r="O40" s="1510"/>
      <c r="P40" s="1510"/>
      <c r="Q40" s="1510"/>
      <c r="R40" s="1510"/>
      <c r="S40" s="1510"/>
      <c r="T40" s="1510"/>
      <c r="U40" s="1510"/>
      <c r="V40" s="1510"/>
      <c r="W40" s="1510"/>
      <c r="X40" s="1510"/>
      <c r="Y40" s="1510"/>
      <c r="Z40" s="1510"/>
      <c r="AA40" s="1510"/>
      <c r="AB40" s="1510"/>
      <c r="AC40" s="1510"/>
      <c r="AD40" s="293"/>
      <c r="AE40" s="293"/>
      <c r="AF40" s="293"/>
      <c r="AZ40" s="2768">
        <f>IF(ISNUMBER(MATCH(L40,LANGUAGE!$C$138:$G$138,0)),1,IF(ISNUMBER(MATCH(L40,LANGUAGE!$C$139:$G$139,0)),2,IF(ISNUMBER(MATCH(L40,LANGUAGE!$C$140:$G$140,0)),3,0)))</f>
        <v>0</v>
      </c>
      <c r="BA40" s="2768"/>
      <c r="BB40" s="2768"/>
      <c r="BC40" s="2768"/>
      <c r="BD40" s="2768"/>
      <c r="BE40" s="2768"/>
      <c r="BF40" s="2768">
        <f>IF(ISNUMBER(MATCH(R40,LANGUAGE!$C$138:$G$138,0)),1,IF(ISNUMBER(MATCH(R40,LANGUAGE!$C$139:$G$139,0)),2,IF(ISNUMBER(MATCH(R40,LANGUAGE!$C$140:$G$140,0)),3,0)))</f>
        <v>0</v>
      </c>
      <c r="BG40" s="2768"/>
      <c r="BH40" s="2768"/>
      <c r="BI40" s="2768"/>
      <c r="BJ40" s="2768"/>
      <c r="BK40" s="2768"/>
      <c r="BL40" s="2768">
        <f>IF(ISNUMBER(MATCH(X40,LANGUAGE!$C$138:$G$138,0)),1,IF(ISNUMBER(MATCH(X40,LANGUAGE!$C$139:$G$139,0)),2,IF(ISNUMBER(MATCH(X40,LANGUAGE!$C$140:$G$140,0)),3,0)))</f>
        <v>0</v>
      </c>
      <c r="BM40" s="2768"/>
      <c r="BN40" s="2768"/>
      <c r="BO40" s="2768"/>
      <c r="BP40" s="2768"/>
      <c r="BQ40" s="2768"/>
    </row>
    <row r="41" spans="2:69" ht="17.25" customHeight="1" x14ac:dyDescent="0.25">
      <c r="C41" s="244"/>
      <c r="G41" s="242"/>
      <c r="H41" s="242"/>
      <c r="I41" s="242"/>
      <c r="J41" s="242"/>
      <c r="K41" s="242"/>
      <c r="L41" s="242"/>
      <c r="M41" s="242"/>
      <c r="N41" s="242"/>
      <c r="O41" s="242"/>
      <c r="P41" s="242"/>
      <c r="Q41" s="242"/>
      <c r="R41" s="242"/>
      <c r="S41" s="242"/>
      <c r="T41" s="242"/>
      <c r="U41" s="242"/>
      <c r="V41" s="242"/>
      <c r="W41" s="242"/>
      <c r="X41" s="242"/>
      <c r="Y41" s="242"/>
      <c r="Z41" s="242"/>
      <c r="AA41" s="242"/>
    </row>
    <row r="42" spans="2:69" x14ac:dyDescent="0.25">
      <c r="C42" s="244"/>
    </row>
    <row r="43" spans="2:69" x14ac:dyDescent="0.25">
      <c r="C43" s="244"/>
    </row>
    <row r="44" spans="2:69" x14ac:dyDescent="0.25">
      <c r="C44" s="244"/>
    </row>
    <row r="45" spans="2:69" x14ac:dyDescent="0.25">
      <c r="C45" s="244"/>
    </row>
    <row r="46" spans="2:69" x14ac:dyDescent="0.25">
      <c r="C46" s="244"/>
    </row>
    <row r="47" spans="2:69" x14ac:dyDescent="0.25">
      <c r="C47" s="244"/>
    </row>
    <row r="48" spans="2:69" x14ac:dyDescent="0.25">
      <c r="C48" s="244"/>
    </row>
    <row r="49" spans="3:3" x14ac:dyDescent="0.25">
      <c r="C49" s="244"/>
    </row>
    <row r="50" spans="3:3" x14ac:dyDescent="0.25">
      <c r="C50" s="244"/>
    </row>
    <row r="51" spans="3:3" x14ac:dyDescent="0.25">
      <c r="C51" s="244"/>
    </row>
    <row r="52" spans="3:3" x14ac:dyDescent="0.25">
      <c r="C52" s="244"/>
    </row>
    <row r="53" spans="3:3" x14ac:dyDescent="0.25">
      <c r="C53" s="244"/>
    </row>
    <row r="54" spans="3:3" x14ac:dyDescent="0.25">
      <c r="C54" s="244"/>
    </row>
    <row r="55" spans="3:3" x14ac:dyDescent="0.25">
      <c r="C55" s="244"/>
    </row>
    <row r="56" spans="3:3" x14ac:dyDescent="0.25">
      <c r="C56" s="244"/>
    </row>
    <row r="57" spans="3:3" x14ac:dyDescent="0.25">
      <c r="C57" s="244"/>
    </row>
    <row r="58" spans="3:3" x14ac:dyDescent="0.25">
      <c r="C58" s="244"/>
    </row>
    <row r="59" spans="3:3" x14ac:dyDescent="0.25">
      <c r="C59" s="244"/>
    </row>
    <row r="60" spans="3:3" x14ac:dyDescent="0.25">
      <c r="C60" s="244"/>
    </row>
    <row r="61" spans="3:3" x14ac:dyDescent="0.25">
      <c r="C61" s="244"/>
    </row>
    <row r="62" spans="3:3" x14ac:dyDescent="0.25">
      <c r="C62" s="244"/>
    </row>
    <row r="63" spans="3:3" x14ac:dyDescent="0.25">
      <c r="C63" s="244"/>
    </row>
    <row r="64" spans="3:3" x14ac:dyDescent="0.25">
      <c r="C64" s="244"/>
    </row>
    <row r="65" spans="3:3" x14ac:dyDescent="0.25">
      <c r="C65" s="244"/>
    </row>
    <row r="66" spans="3:3" x14ac:dyDescent="0.25">
      <c r="C66" s="244"/>
    </row>
    <row r="67" spans="3:3" x14ac:dyDescent="0.25">
      <c r="C67" s="244"/>
    </row>
    <row r="68" spans="3:3" x14ac:dyDescent="0.25">
      <c r="C68" s="244"/>
    </row>
    <row r="69" spans="3:3" x14ac:dyDescent="0.25">
      <c r="C69" s="244"/>
    </row>
    <row r="70" spans="3:3" x14ac:dyDescent="0.25">
      <c r="C70" s="244"/>
    </row>
    <row r="71" spans="3:3" x14ac:dyDescent="0.25">
      <c r="C71" s="244"/>
    </row>
    <row r="72" spans="3:3" x14ac:dyDescent="0.25">
      <c r="C72" s="244"/>
    </row>
    <row r="73" spans="3:3" x14ac:dyDescent="0.25">
      <c r="C73" s="244"/>
    </row>
    <row r="74" spans="3:3" x14ac:dyDescent="0.25">
      <c r="C74" s="244"/>
    </row>
    <row r="75" spans="3:3" x14ac:dyDescent="0.25">
      <c r="C75" s="244"/>
    </row>
    <row r="76" spans="3:3" x14ac:dyDescent="0.25">
      <c r="C76" s="244"/>
    </row>
    <row r="77" spans="3:3" x14ac:dyDescent="0.25">
      <c r="C77" s="244"/>
    </row>
    <row r="78" spans="3:3" x14ac:dyDescent="0.25">
      <c r="C78" s="244"/>
    </row>
    <row r="79" spans="3:3" x14ac:dyDescent="0.25">
      <c r="C79" s="244"/>
    </row>
    <row r="80" spans="3:3" x14ac:dyDescent="0.25">
      <c r="C80" s="244"/>
    </row>
    <row r="81" spans="3:3" x14ac:dyDescent="0.25">
      <c r="C81" s="244"/>
    </row>
    <row r="82" spans="3:3" x14ac:dyDescent="0.25">
      <c r="C82" s="244"/>
    </row>
    <row r="83" spans="3:3" x14ac:dyDescent="0.25">
      <c r="C83" s="244"/>
    </row>
    <row r="84" spans="3:3" x14ac:dyDescent="0.25">
      <c r="C84" s="244"/>
    </row>
    <row r="85" spans="3:3" x14ac:dyDescent="0.25">
      <c r="C85" s="244"/>
    </row>
    <row r="86" spans="3:3" x14ac:dyDescent="0.25">
      <c r="C86" s="244"/>
    </row>
    <row r="87" spans="3:3" x14ac:dyDescent="0.25">
      <c r="C87" s="244"/>
    </row>
    <row r="88" spans="3:3" x14ac:dyDescent="0.25">
      <c r="C88" s="244"/>
    </row>
  </sheetData>
  <sheetProtection algorithmName="SHA-512" hashValue="Ig2n5ZUnxrm9SUP4CGFPVf/e2sT5nWLxra6/1EK/SI3jjxd0ICb1HAfLLrON+XzMG+lf9AgW9XXdS/ZjKDb95w==" saltValue="3YPmI5TIWhO3Nq1ghm7T8w==" spinCount="100000" sheet="1" objects="1" scenarios="1" formatCells="0" formatRows="0"/>
  <mergeCells count="184">
    <mergeCell ref="P1:R1"/>
    <mergeCell ref="P2:R2"/>
    <mergeCell ref="AB14:AE14"/>
    <mergeCell ref="AF12:AG12"/>
    <mergeCell ref="AB5:AF5"/>
    <mergeCell ref="AB6:AF7"/>
    <mergeCell ref="B9:M9"/>
    <mergeCell ref="O9:Z9"/>
    <mergeCell ref="AB9:AM9"/>
    <mergeCell ref="B10:E11"/>
    <mergeCell ref="F10:G11"/>
    <mergeCell ref="H10:K11"/>
    <mergeCell ref="L10:M11"/>
    <mergeCell ref="O10:R11"/>
    <mergeCell ref="S10:T11"/>
    <mergeCell ref="U10:X11"/>
    <mergeCell ref="Y10:Z11"/>
    <mergeCell ref="AB10:AE11"/>
    <mergeCell ref="AF10:AG11"/>
    <mergeCell ref="S13:T13"/>
    <mergeCell ref="U13:X13"/>
    <mergeCell ref="Y13:Z13"/>
    <mergeCell ref="AB13:AE13"/>
    <mergeCell ref="AF13:AG13"/>
    <mergeCell ref="AB16:AE16"/>
    <mergeCell ref="S6:Z6"/>
    <mergeCell ref="B7:E7"/>
    <mergeCell ref="F7:M7"/>
    <mergeCell ref="O7:R7"/>
    <mergeCell ref="S7:Z7"/>
    <mergeCell ref="AZ40:BE40"/>
    <mergeCell ref="BF40:BK40"/>
    <mergeCell ref="AH10:AK11"/>
    <mergeCell ref="AL10:AM11"/>
    <mergeCell ref="AL12:AM12"/>
    <mergeCell ref="AF14:AG14"/>
    <mergeCell ref="AH14:AK14"/>
    <mergeCell ref="AL14:AM14"/>
    <mergeCell ref="B15:E15"/>
    <mergeCell ref="F15:G15"/>
    <mergeCell ref="H15:K15"/>
    <mergeCell ref="L15:M15"/>
    <mergeCell ref="O15:R15"/>
    <mergeCell ref="S15:T15"/>
    <mergeCell ref="U15:X15"/>
    <mergeCell ref="Y15:Z15"/>
    <mergeCell ref="AB15:AE15"/>
    <mergeCell ref="AF15:AG15"/>
    <mergeCell ref="BL40:BQ40"/>
    <mergeCell ref="B35:K35"/>
    <mergeCell ref="B36:K36"/>
    <mergeCell ref="B37:K37"/>
    <mergeCell ref="B38:K38"/>
    <mergeCell ref="L37:Q37"/>
    <mergeCell ref="B32:K32"/>
    <mergeCell ref="B33:K33"/>
    <mergeCell ref="B34:K34"/>
    <mergeCell ref="L38:Q38"/>
    <mergeCell ref="R38:W38"/>
    <mergeCell ref="X38:AC38"/>
    <mergeCell ref="B40:K40"/>
    <mergeCell ref="L40:Q40"/>
    <mergeCell ref="R40:W40"/>
    <mergeCell ref="X40:AC40"/>
    <mergeCell ref="L39:W39"/>
    <mergeCell ref="X33:AC33"/>
    <mergeCell ref="L34:Q34"/>
    <mergeCell ref="R34:W34"/>
    <mergeCell ref="X34:AC34"/>
    <mergeCell ref="L35:Q35"/>
    <mergeCell ref="R35:W35"/>
    <mergeCell ref="X35:AC35"/>
    <mergeCell ref="B5:M5"/>
    <mergeCell ref="O5:Z5"/>
    <mergeCell ref="B6:E6"/>
    <mergeCell ref="F6:M6"/>
    <mergeCell ref="O6:R6"/>
    <mergeCell ref="AH13:AK13"/>
    <mergeCell ref="AL13:AM13"/>
    <mergeCell ref="B12:E12"/>
    <mergeCell ref="F12:G12"/>
    <mergeCell ref="H12:K12"/>
    <mergeCell ref="L12:M12"/>
    <mergeCell ref="O12:R12"/>
    <mergeCell ref="S12:T12"/>
    <mergeCell ref="U12:X12"/>
    <mergeCell ref="Y12:Z12"/>
    <mergeCell ref="AH12:AK12"/>
    <mergeCell ref="B13:E13"/>
    <mergeCell ref="F13:G13"/>
    <mergeCell ref="H13:K13"/>
    <mergeCell ref="L13:M13"/>
    <mergeCell ref="O13:R13"/>
    <mergeCell ref="AB12:AE12"/>
    <mergeCell ref="AH15:AK15"/>
    <mergeCell ref="AL15:AM15"/>
    <mergeCell ref="B14:E14"/>
    <mergeCell ref="F14:G14"/>
    <mergeCell ref="H14:K14"/>
    <mergeCell ref="L14:M14"/>
    <mergeCell ref="O14:R14"/>
    <mergeCell ref="S14:T14"/>
    <mergeCell ref="U14:X14"/>
    <mergeCell ref="Y14:Z14"/>
    <mergeCell ref="AF16:AG16"/>
    <mergeCell ref="AH16:AK16"/>
    <mergeCell ref="AL16:AM16"/>
    <mergeCell ref="B21:K21"/>
    <mergeCell ref="B22:K22"/>
    <mergeCell ref="B23:K23"/>
    <mergeCell ref="B24:K24"/>
    <mergeCell ref="B25:K25"/>
    <mergeCell ref="L24:Q24"/>
    <mergeCell ref="R24:W24"/>
    <mergeCell ref="X24:AC24"/>
    <mergeCell ref="B19:K19"/>
    <mergeCell ref="B20:K20"/>
    <mergeCell ref="B16:E16"/>
    <mergeCell ref="F16:G16"/>
    <mergeCell ref="H16:K16"/>
    <mergeCell ref="L16:M16"/>
    <mergeCell ref="O16:R16"/>
    <mergeCell ref="S16:T16"/>
    <mergeCell ref="U16:X16"/>
    <mergeCell ref="Y16:Z16"/>
    <mergeCell ref="L19:Q19"/>
    <mergeCell ref="R19:W19"/>
    <mergeCell ref="X19:AC19"/>
    <mergeCell ref="AB20:AC20"/>
    <mergeCell ref="L21:Q21"/>
    <mergeCell ref="R21:W21"/>
    <mergeCell ref="X21:AC21"/>
    <mergeCell ref="B29:K29"/>
    <mergeCell ref="B30:K30"/>
    <mergeCell ref="B31:K31"/>
    <mergeCell ref="N20:O20"/>
    <mergeCell ref="L22:Q22"/>
    <mergeCell ref="R22:W22"/>
    <mergeCell ref="L25:Q25"/>
    <mergeCell ref="R25:W25"/>
    <mergeCell ref="L29:Q29"/>
    <mergeCell ref="R29:W29"/>
    <mergeCell ref="T20:U20"/>
    <mergeCell ref="B26:K26"/>
    <mergeCell ref="B27:K27"/>
    <mergeCell ref="B28:K28"/>
    <mergeCell ref="L30:Q30"/>
    <mergeCell ref="R30:W30"/>
    <mergeCell ref="B1:L2"/>
    <mergeCell ref="R37:W37"/>
    <mergeCell ref="X37:AC37"/>
    <mergeCell ref="X29:AC29"/>
    <mergeCell ref="X25:AC25"/>
    <mergeCell ref="L26:Q26"/>
    <mergeCell ref="R26:W26"/>
    <mergeCell ref="X26:AC26"/>
    <mergeCell ref="L27:Q27"/>
    <mergeCell ref="R27:W27"/>
    <mergeCell ref="X27:AC27"/>
    <mergeCell ref="L28:Q28"/>
    <mergeCell ref="R28:W28"/>
    <mergeCell ref="X28:AC28"/>
    <mergeCell ref="X22:AC22"/>
    <mergeCell ref="L23:Q23"/>
    <mergeCell ref="R23:W23"/>
    <mergeCell ref="X23:AC23"/>
    <mergeCell ref="L20:M20"/>
    <mergeCell ref="P20:Q20"/>
    <mergeCell ref="R20:S20"/>
    <mergeCell ref="V20:W20"/>
    <mergeCell ref="X20:Y20"/>
    <mergeCell ref="Z20:AA20"/>
    <mergeCell ref="L36:Q36"/>
    <mergeCell ref="R36:W36"/>
    <mergeCell ref="X36:AC36"/>
    <mergeCell ref="L33:Q33"/>
    <mergeCell ref="R33:W33"/>
    <mergeCell ref="X30:AC30"/>
    <mergeCell ref="L31:Q31"/>
    <mergeCell ref="R31:W31"/>
    <mergeCell ref="X31:AC31"/>
    <mergeCell ref="L32:Q32"/>
    <mergeCell ref="R32:W32"/>
    <mergeCell ref="X32:AC32"/>
  </mergeCells>
  <conditionalFormatting sqref="L40 O40:AC40">
    <cfRule type="expression" dxfId="15" priority="1">
      <formula>AZ40=3</formula>
    </cfRule>
    <cfRule type="expression" dxfId="14" priority="2">
      <formula>AZ40=2</formula>
    </cfRule>
    <cfRule type="expression" dxfId="13" priority="3">
      <formula>AZ40=1</formula>
    </cfRule>
  </conditionalFormatting>
  <conditionalFormatting sqref="M40:N40">
    <cfRule type="expression" dxfId="12" priority="946">
      <formula>#REF!=3</formula>
    </cfRule>
    <cfRule type="expression" dxfId="11" priority="947">
      <formula>#REF!=2</formula>
    </cfRule>
    <cfRule type="expression" dxfId="10" priority="948">
      <formula>#REF!=1</formula>
    </cfRule>
  </conditionalFormatting>
  <dataValidations disablePrompts="1" count="1">
    <dataValidation type="list" allowBlank="1" showInputMessage="1" showErrorMessage="1" sqref="L40 R40 X40" xr:uid="{00000000-0002-0000-1600-000000000000}">
      <formula1>Status_Bewertung</formula1>
    </dataValidation>
  </dataValidations>
  <printOptions horizontalCentered="1"/>
  <pageMargins left="0.70866141732283472" right="0.55118110236220474" top="0.98425196850393704" bottom="0.9055118110236221" header="0.23622047244094491" footer="0.27559055118110237"/>
  <pageSetup paperSize="9" scale="5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65558" r:id="rId6" name="Check Box 22">
              <controlPr locked="0" defaultSize="0" autoFill="0" autoLine="0" autoPict="0">
                <anchor moveWithCells="1">
                  <from>
                    <xdr:col>13</xdr:col>
                    <xdr:colOff>341906</xdr:colOff>
                    <xdr:row>20</xdr:row>
                    <xdr:rowOff>55659</xdr:rowOff>
                  </from>
                  <to>
                    <xdr:col>14</xdr:col>
                    <xdr:colOff>79513</xdr:colOff>
                    <xdr:row>20</xdr:row>
                    <xdr:rowOff>254442</xdr:rowOff>
                  </to>
                </anchor>
              </controlPr>
            </control>
          </mc:Choice>
        </mc:AlternateContent>
        <mc:AlternateContent xmlns:mc="http://schemas.openxmlformats.org/markup-compatibility/2006">
          <mc:Choice Requires="x14">
            <control shapeId="65559" r:id="rId7" name="Check Box 23">
              <controlPr locked="0" defaultSize="0" autoFill="0" autoLine="0" autoPict="0">
                <anchor moveWithCells="1">
                  <from>
                    <xdr:col>15</xdr:col>
                    <xdr:colOff>333955</xdr:colOff>
                    <xdr:row>20</xdr:row>
                    <xdr:rowOff>55659</xdr:rowOff>
                  </from>
                  <to>
                    <xdr:col>16</xdr:col>
                    <xdr:colOff>79513</xdr:colOff>
                    <xdr:row>20</xdr:row>
                    <xdr:rowOff>254442</xdr:rowOff>
                  </to>
                </anchor>
              </controlPr>
            </control>
          </mc:Choice>
        </mc:AlternateContent>
        <mc:AlternateContent xmlns:mc="http://schemas.openxmlformats.org/markup-compatibility/2006">
          <mc:Choice Requires="x14">
            <control shapeId="65560" r:id="rId8" name="Check Box 24">
              <controlPr locked="0" defaultSize="0" autoFill="0" autoLine="0" autoPict="0">
                <anchor moveWithCells="1">
                  <from>
                    <xdr:col>11</xdr:col>
                    <xdr:colOff>365760</xdr:colOff>
                    <xdr:row>20</xdr:row>
                    <xdr:rowOff>55659</xdr:rowOff>
                  </from>
                  <to>
                    <xdr:col>12</xdr:col>
                    <xdr:colOff>103367</xdr:colOff>
                    <xdr:row>20</xdr:row>
                    <xdr:rowOff>254442</xdr:rowOff>
                  </to>
                </anchor>
              </controlPr>
            </control>
          </mc:Choice>
        </mc:AlternateContent>
        <mc:AlternateContent xmlns:mc="http://schemas.openxmlformats.org/markup-compatibility/2006">
          <mc:Choice Requires="x14">
            <control shapeId="65561" r:id="rId9" name="Check Box 25">
              <controlPr locked="0" defaultSize="0" autoFill="0" autoLine="0" autoPict="0">
                <anchor moveWithCells="1">
                  <from>
                    <xdr:col>19</xdr:col>
                    <xdr:colOff>341906</xdr:colOff>
                    <xdr:row>20</xdr:row>
                    <xdr:rowOff>55659</xdr:rowOff>
                  </from>
                  <to>
                    <xdr:col>20</xdr:col>
                    <xdr:colOff>95416</xdr:colOff>
                    <xdr:row>20</xdr:row>
                    <xdr:rowOff>254442</xdr:rowOff>
                  </to>
                </anchor>
              </controlPr>
            </control>
          </mc:Choice>
        </mc:AlternateContent>
        <mc:AlternateContent xmlns:mc="http://schemas.openxmlformats.org/markup-compatibility/2006">
          <mc:Choice Requires="x14">
            <control shapeId="65562" r:id="rId10" name="Check Box 26">
              <controlPr locked="0" defaultSize="0" autoFill="0" autoLine="0" autoPict="0">
                <anchor moveWithCells="1">
                  <from>
                    <xdr:col>21</xdr:col>
                    <xdr:colOff>333955</xdr:colOff>
                    <xdr:row>20</xdr:row>
                    <xdr:rowOff>55659</xdr:rowOff>
                  </from>
                  <to>
                    <xdr:col>22</xdr:col>
                    <xdr:colOff>79513</xdr:colOff>
                    <xdr:row>20</xdr:row>
                    <xdr:rowOff>254442</xdr:rowOff>
                  </to>
                </anchor>
              </controlPr>
            </control>
          </mc:Choice>
        </mc:AlternateContent>
        <mc:AlternateContent xmlns:mc="http://schemas.openxmlformats.org/markup-compatibility/2006">
          <mc:Choice Requires="x14">
            <control shapeId="65563" r:id="rId11" name="Check Box 27">
              <controlPr locked="0" defaultSize="0" autoFill="0" autoLine="0" autoPict="0">
                <anchor moveWithCells="1">
                  <from>
                    <xdr:col>17</xdr:col>
                    <xdr:colOff>365760</xdr:colOff>
                    <xdr:row>20</xdr:row>
                    <xdr:rowOff>55659</xdr:rowOff>
                  </from>
                  <to>
                    <xdr:col>18</xdr:col>
                    <xdr:colOff>103367</xdr:colOff>
                    <xdr:row>20</xdr:row>
                    <xdr:rowOff>254442</xdr:rowOff>
                  </to>
                </anchor>
              </controlPr>
            </control>
          </mc:Choice>
        </mc:AlternateContent>
        <mc:AlternateContent xmlns:mc="http://schemas.openxmlformats.org/markup-compatibility/2006">
          <mc:Choice Requires="x14">
            <control shapeId="65564" r:id="rId12" name="Check Box 28">
              <controlPr locked="0" defaultSize="0" autoFill="0" autoLine="0" autoPict="0">
                <anchor moveWithCells="1">
                  <from>
                    <xdr:col>25</xdr:col>
                    <xdr:colOff>341906</xdr:colOff>
                    <xdr:row>20</xdr:row>
                    <xdr:rowOff>55659</xdr:rowOff>
                  </from>
                  <to>
                    <xdr:col>26</xdr:col>
                    <xdr:colOff>95416</xdr:colOff>
                    <xdr:row>20</xdr:row>
                    <xdr:rowOff>254442</xdr:rowOff>
                  </to>
                </anchor>
              </controlPr>
            </control>
          </mc:Choice>
        </mc:AlternateContent>
        <mc:AlternateContent xmlns:mc="http://schemas.openxmlformats.org/markup-compatibility/2006">
          <mc:Choice Requires="x14">
            <control shapeId="65565" r:id="rId13" name="Check Box 29">
              <controlPr locked="0" defaultSize="0" autoFill="0" autoLine="0" autoPict="0">
                <anchor moveWithCells="1">
                  <from>
                    <xdr:col>27</xdr:col>
                    <xdr:colOff>333955</xdr:colOff>
                    <xdr:row>20</xdr:row>
                    <xdr:rowOff>55659</xdr:rowOff>
                  </from>
                  <to>
                    <xdr:col>28</xdr:col>
                    <xdr:colOff>79513</xdr:colOff>
                    <xdr:row>20</xdr:row>
                    <xdr:rowOff>254442</xdr:rowOff>
                  </to>
                </anchor>
              </controlPr>
            </control>
          </mc:Choice>
        </mc:AlternateContent>
        <mc:AlternateContent xmlns:mc="http://schemas.openxmlformats.org/markup-compatibility/2006">
          <mc:Choice Requires="x14">
            <control shapeId="65566" r:id="rId14" name="Check Box 30">
              <controlPr locked="0" defaultSize="0" autoFill="0" autoLine="0" autoPict="0">
                <anchor moveWithCells="1">
                  <from>
                    <xdr:col>23</xdr:col>
                    <xdr:colOff>365760</xdr:colOff>
                    <xdr:row>20</xdr:row>
                    <xdr:rowOff>55659</xdr:rowOff>
                  </from>
                  <to>
                    <xdr:col>24</xdr:col>
                    <xdr:colOff>103367</xdr:colOff>
                    <xdr:row>20</xdr:row>
                    <xdr:rowOff>254442</xdr:rowOff>
                  </to>
                </anchor>
              </controlPr>
            </control>
          </mc:Choice>
        </mc:AlternateContent>
        <mc:AlternateContent xmlns:mc="http://schemas.openxmlformats.org/markup-compatibility/2006">
          <mc:Choice Requires="x14">
            <control shapeId="65567" r:id="rId15" name="Check Box 31">
              <controlPr locked="0" defaultSize="0" autoFill="0" autoLine="0" autoPict="0">
                <anchor moveWithCells="1">
                  <from>
                    <xdr:col>13</xdr:col>
                    <xdr:colOff>341906</xdr:colOff>
                    <xdr:row>21</xdr:row>
                    <xdr:rowOff>55659</xdr:rowOff>
                  </from>
                  <to>
                    <xdr:col>14</xdr:col>
                    <xdr:colOff>95416</xdr:colOff>
                    <xdr:row>21</xdr:row>
                    <xdr:rowOff>254442</xdr:rowOff>
                  </to>
                </anchor>
              </controlPr>
            </control>
          </mc:Choice>
        </mc:AlternateContent>
        <mc:AlternateContent xmlns:mc="http://schemas.openxmlformats.org/markup-compatibility/2006">
          <mc:Choice Requires="x14">
            <control shapeId="65568" r:id="rId16" name="Check Box 32">
              <controlPr locked="0" defaultSize="0" autoFill="0" autoLine="0" autoPict="0">
                <anchor moveWithCells="1">
                  <from>
                    <xdr:col>15</xdr:col>
                    <xdr:colOff>333955</xdr:colOff>
                    <xdr:row>21</xdr:row>
                    <xdr:rowOff>55659</xdr:rowOff>
                  </from>
                  <to>
                    <xdr:col>16</xdr:col>
                    <xdr:colOff>79513</xdr:colOff>
                    <xdr:row>21</xdr:row>
                    <xdr:rowOff>254442</xdr:rowOff>
                  </to>
                </anchor>
              </controlPr>
            </control>
          </mc:Choice>
        </mc:AlternateContent>
        <mc:AlternateContent xmlns:mc="http://schemas.openxmlformats.org/markup-compatibility/2006">
          <mc:Choice Requires="x14">
            <control shapeId="65569" r:id="rId17" name="Check Box 33">
              <controlPr locked="0" defaultSize="0" autoFill="0" autoLine="0" autoPict="0">
                <anchor moveWithCells="1">
                  <from>
                    <xdr:col>11</xdr:col>
                    <xdr:colOff>365760</xdr:colOff>
                    <xdr:row>21</xdr:row>
                    <xdr:rowOff>55659</xdr:rowOff>
                  </from>
                  <to>
                    <xdr:col>12</xdr:col>
                    <xdr:colOff>103367</xdr:colOff>
                    <xdr:row>21</xdr:row>
                    <xdr:rowOff>254442</xdr:rowOff>
                  </to>
                </anchor>
              </controlPr>
            </control>
          </mc:Choice>
        </mc:AlternateContent>
        <mc:AlternateContent xmlns:mc="http://schemas.openxmlformats.org/markup-compatibility/2006">
          <mc:Choice Requires="x14">
            <control shapeId="65570" r:id="rId18" name="Check Box 34">
              <controlPr locked="0" defaultSize="0" autoFill="0" autoLine="0" autoPict="0">
                <anchor moveWithCells="1">
                  <from>
                    <xdr:col>19</xdr:col>
                    <xdr:colOff>341906</xdr:colOff>
                    <xdr:row>21</xdr:row>
                    <xdr:rowOff>55659</xdr:rowOff>
                  </from>
                  <to>
                    <xdr:col>20</xdr:col>
                    <xdr:colOff>95416</xdr:colOff>
                    <xdr:row>21</xdr:row>
                    <xdr:rowOff>254442</xdr:rowOff>
                  </to>
                </anchor>
              </controlPr>
            </control>
          </mc:Choice>
        </mc:AlternateContent>
        <mc:AlternateContent xmlns:mc="http://schemas.openxmlformats.org/markup-compatibility/2006">
          <mc:Choice Requires="x14">
            <control shapeId="65571" r:id="rId19" name="Check Box 35">
              <controlPr locked="0" defaultSize="0" autoFill="0" autoLine="0" autoPict="0">
                <anchor moveWithCells="1">
                  <from>
                    <xdr:col>21</xdr:col>
                    <xdr:colOff>333955</xdr:colOff>
                    <xdr:row>21</xdr:row>
                    <xdr:rowOff>55659</xdr:rowOff>
                  </from>
                  <to>
                    <xdr:col>22</xdr:col>
                    <xdr:colOff>79513</xdr:colOff>
                    <xdr:row>21</xdr:row>
                    <xdr:rowOff>254442</xdr:rowOff>
                  </to>
                </anchor>
              </controlPr>
            </control>
          </mc:Choice>
        </mc:AlternateContent>
        <mc:AlternateContent xmlns:mc="http://schemas.openxmlformats.org/markup-compatibility/2006">
          <mc:Choice Requires="x14">
            <control shapeId="65572" r:id="rId20" name="Check Box 36">
              <controlPr locked="0" defaultSize="0" autoFill="0" autoLine="0" autoPict="0">
                <anchor moveWithCells="1">
                  <from>
                    <xdr:col>17</xdr:col>
                    <xdr:colOff>365760</xdr:colOff>
                    <xdr:row>21</xdr:row>
                    <xdr:rowOff>55659</xdr:rowOff>
                  </from>
                  <to>
                    <xdr:col>18</xdr:col>
                    <xdr:colOff>103367</xdr:colOff>
                    <xdr:row>21</xdr:row>
                    <xdr:rowOff>254442</xdr:rowOff>
                  </to>
                </anchor>
              </controlPr>
            </control>
          </mc:Choice>
        </mc:AlternateContent>
        <mc:AlternateContent xmlns:mc="http://schemas.openxmlformats.org/markup-compatibility/2006">
          <mc:Choice Requires="x14">
            <control shapeId="65573" r:id="rId21" name="Check Box 37">
              <controlPr locked="0" defaultSize="0" autoFill="0" autoLine="0" autoPict="0">
                <anchor moveWithCells="1">
                  <from>
                    <xdr:col>25</xdr:col>
                    <xdr:colOff>341906</xdr:colOff>
                    <xdr:row>21</xdr:row>
                    <xdr:rowOff>55659</xdr:rowOff>
                  </from>
                  <to>
                    <xdr:col>26</xdr:col>
                    <xdr:colOff>95416</xdr:colOff>
                    <xdr:row>21</xdr:row>
                    <xdr:rowOff>254442</xdr:rowOff>
                  </to>
                </anchor>
              </controlPr>
            </control>
          </mc:Choice>
        </mc:AlternateContent>
        <mc:AlternateContent xmlns:mc="http://schemas.openxmlformats.org/markup-compatibility/2006">
          <mc:Choice Requires="x14">
            <control shapeId="65574" r:id="rId22" name="Check Box 38">
              <controlPr locked="0" defaultSize="0" autoFill="0" autoLine="0" autoPict="0">
                <anchor moveWithCells="1">
                  <from>
                    <xdr:col>27</xdr:col>
                    <xdr:colOff>333955</xdr:colOff>
                    <xdr:row>21</xdr:row>
                    <xdr:rowOff>55659</xdr:rowOff>
                  </from>
                  <to>
                    <xdr:col>28</xdr:col>
                    <xdr:colOff>79513</xdr:colOff>
                    <xdr:row>21</xdr:row>
                    <xdr:rowOff>254442</xdr:rowOff>
                  </to>
                </anchor>
              </controlPr>
            </control>
          </mc:Choice>
        </mc:AlternateContent>
        <mc:AlternateContent xmlns:mc="http://schemas.openxmlformats.org/markup-compatibility/2006">
          <mc:Choice Requires="x14">
            <control shapeId="65575" r:id="rId23" name="Check Box 39">
              <controlPr locked="0" defaultSize="0" autoFill="0" autoLine="0" autoPict="0">
                <anchor moveWithCells="1">
                  <from>
                    <xdr:col>23</xdr:col>
                    <xdr:colOff>365760</xdr:colOff>
                    <xdr:row>21</xdr:row>
                    <xdr:rowOff>55659</xdr:rowOff>
                  </from>
                  <to>
                    <xdr:col>24</xdr:col>
                    <xdr:colOff>103367</xdr:colOff>
                    <xdr:row>21</xdr:row>
                    <xdr:rowOff>254442</xdr:rowOff>
                  </to>
                </anchor>
              </controlPr>
            </control>
          </mc:Choice>
        </mc:AlternateContent>
        <mc:AlternateContent xmlns:mc="http://schemas.openxmlformats.org/markup-compatibility/2006">
          <mc:Choice Requires="x14">
            <control shapeId="65576" r:id="rId24" name="Check Box 40">
              <controlPr locked="0" defaultSize="0" autoFill="0" autoLine="0" autoPict="0">
                <anchor moveWithCells="1">
                  <from>
                    <xdr:col>13</xdr:col>
                    <xdr:colOff>341906</xdr:colOff>
                    <xdr:row>22</xdr:row>
                    <xdr:rowOff>55659</xdr:rowOff>
                  </from>
                  <to>
                    <xdr:col>14</xdr:col>
                    <xdr:colOff>95416</xdr:colOff>
                    <xdr:row>22</xdr:row>
                    <xdr:rowOff>254442</xdr:rowOff>
                  </to>
                </anchor>
              </controlPr>
            </control>
          </mc:Choice>
        </mc:AlternateContent>
        <mc:AlternateContent xmlns:mc="http://schemas.openxmlformats.org/markup-compatibility/2006">
          <mc:Choice Requires="x14">
            <control shapeId="65577" r:id="rId25" name="Check Box 41">
              <controlPr locked="0" defaultSize="0" autoFill="0" autoLine="0" autoPict="0">
                <anchor moveWithCells="1">
                  <from>
                    <xdr:col>15</xdr:col>
                    <xdr:colOff>333955</xdr:colOff>
                    <xdr:row>22</xdr:row>
                    <xdr:rowOff>55659</xdr:rowOff>
                  </from>
                  <to>
                    <xdr:col>16</xdr:col>
                    <xdr:colOff>79513</xdr:colOff>
                    <xdr:row>22</xdr:row>
                    <xdr:rowOff>254442</xdr:rowOff>
                  </to>
                </anchor>
              </controlPr>
            </control>
          </mc:Choice>
        </mc:AlternateContent>
        <mc:AlternateContent xmlns:mc="http://schemas.openxmlformats.org/markup-compatibility/2006">
          <mc:Choice Requires="x14">
            <control shapeId="65578" r:id="rId26" name="Check Box 42">
              <controlPr locked="0" defaultSize="0" autoFill="0" autoLine="0" autoPict="0">
                <anchor moveWithCells="1">
                  <from>
                    <xdr:col>11</xdr:col>
                    <xdr:colOff>365760</xdr:colOff>
                    <xdr:row>22</xdr:row>
                    <xdr:rowOff>55659</xdr:rowOff>
                  </from>
                  <to>
                    <xdr:col>12</xdr:col>
                    <xdr:colOff>103367</xdr:colOff>
                    <xdr:row>22</xdr:row>
                    <xdr:rowOff>254442</xdr:rowOff>
                  </to>
                </anchor>
              </controlPr>
            </control>
          </mc:Choice>
        </mc:AlternateContent>
        <mc:AlternateContent xmlns:mc="http://schemas.openxmlformats.org/markup-compatibility/2006">
          <mc:Choice Requires="x14">
            <control shapeId="65579" r:id="rId27" name="Check Box 43">
              <controlPr locked="0" defaultSize="0" autoFill="0" autoLine="0" autoPict="0">
                <anchor moveWithCells="1">
                  <from>
                    <xdr:col>19</xdr:col>
                    <xdr:colOff>341906</xdr:colOff>
                    <xdr:row>22</xdr:row>
                    <xdr:rowOff>55659</xdr:rowOff>
                  </from>
                  <to>
                    <xdr:col>20</xdr:col>
                    <xdr:colOff>95416</xdr:colOff>
                    <xdr:row>22</xdr:row>
                    <xdr:rowOff>254442</xdr:rowOff>
                  </to>
                </anchor>
              </controlPr>
            </control>
          </mc:Choice>
        </mc:AlternateContent>
        <mc:AlternateContent xmlns:mc="http://schemas.openxmlformats.org/markup-compatibility/2006">
          <mc:Choice Requires="x14">
            <control shapeId="65580" r:id="rId28" name="Check Box 44">
              <controlPr locked="0" defaultSize="0" autoFill="0" autoLine="0" autoPict="0">
                <anchor moveWithCells="1">
                  <from>
                    <xdr:col>21</xdr:col>
                    <xdr:colOff>333955</xdr:colOff>
                    <xdr:row>22</xdr:row>
                    <xdr:rowOff>55659</xdr:rowOff>
                  </from>
                  <to>
                    <xdr:col>22</xdr:col>
                    <xdr:colOff>79513</xdr:colOff>
                    <xdr:row>22</xdr:row>
                    <xdr:rowOff>254442</xdr:rowOff>
                  </to>
                </anchor>
              </controlPr>
            </control>
          </mc:Choice>
        </mc:AlternateContent>
        <mc:AlternateContent xmlns:mc="http://schemas.openxmlformats.org/markup-compatibility/2006">
          <mc:Choice Requires="x14">
            <control shapeId="65581" r:id="rId29" name="Check Box 45">
              <controlPr locked="0" defaultSize="0" autoFill="0" autoLine="0" autoPict="0">
                <anchor moveWithCells="1">
                  <from>
                    <xdr:col>17</xdr:col>
                    <xdr:colOff>365760</xdr:colOff>
                    <xdr:row>22</xdr:row>
                    <xdr:rowOff>55659</xdr:rowOff>
                  </from>
                  <to>
                    <xdr:col>18</xdr:col>
                    <xdr:colOff>103367</xdr:colOff>
                    <xdr:row>22</xdr:row>
                    <xdr:rowOff>254442</xdr:rowOff>
                  </to>
                </anchor>
              </controlPr>
            </control>
          </mc:Choice>
        </mc:AlternateContent>
        <mc:AlternateContent xmlns:mc="http://schemas.openxmlformats.org/markup-compatibility/2006">
          <mc:Choice Requires="x14">
            <control shapeId="65582" r:id="rId30" name="Check Box 46">
              <controlPr locked="0" defaultSize="0" autoFill="0" autoLine="0" autoPict="0">
                <anchor moveWithCells="1">
                  <from>
                    <xdr:col>25</xdr:col>
                    <xdr:colOff>341906</xdr:colOff>
                    <xdr:row>22</xdr:row>
                    <xdr:rowOff>55659</xdr:rowOff>
                  </from>
                  <to>
                    <xdr:col>26</xdr:col>
                    <xdr:colOff>95416</xdr:colOff>
                    <xdr:row>22</xdr:row>
                    <xdr:rowOff>254442</xdr:rowOff>
                  </to>
                </anchor>
              </controlPr>
            </control>
          </mc:Choice>
        </mc:AlternateContent>
        <mc:AlternateContent xmlns:mc="http://schemas.openxmlformats.org/markup-compatibility/2006">
          <mc:Choice Requires="x14">
            <control shapeId="65583" r:id="rId31" name="Check Box 47">
              <controlPr locked="0" defaultSize="0" autoFill="0" autoLine="0" autoPict="0">
                <anchor moveWithCells="1">
                  <from>
                    <xdr:col>27</xdr:col>
                    <xdr:colOff>333955</xdr:colOff>
                    <xdr:row>22</xdr:row>
                    <xdr:rowOff>55659</xdr:rowOff>
                  </from>
                  <to>
                    <xdr:col>28</xdr:col>
                    <xdr:colOff>79513</xdr:colOff>
                    <xdr:row>22</xdr:row>
                    <xdr:rowOff>254442</xdr:rowOff>
                  </to>
                </anchor>
              </controlPr>
            </control>
          </mc:Choice>
        </mc:AlternateContent>
        <mc:AlternateContent xmlns:mc="http://schemas.openxmlformats.org/markup-compatibility/2006">
          <mc:Choice Requires="x14">
            <control shapeId="65584" r:id="rId32" name="Check Box 48">
              <controlPr locked="0" defaultSize="0" autoFill="0" autoLine="0" autoPict="0">
                <anchor moveWithCells="1">
                  <from>
                    <xdr:col>23</xdr:col>
                    <xdr:colOff>365760</xdr:colOff>
                    <xdr:row>22</xdr:row>
                    <xdr:rowOff>55659</xdr:rowOff>
                  </from>
                  <to>
                    <xdr:col>24</xdr:col>
                    <xdr:colOff>103367</xdr:colOff>
                    <xdr:row>22</xdr:row>
                    <xdr:rowOff>254442</xdr:rowOff>
                  </to>
                </anchor>
              </controlPr>
            </control>
          </mc:Choice>
        </mc:AlternateContent>
        <mc:AlternateContent xmlns:mc="http://schemas.openxmlformats.org/markup-compatibility/2006">
          <mc:Choice Requires="x14">
            <control shapeId="65585" r:id="rId33" name="Check Box 49">
              <controlPr locked="0" defaultSize="0" autoFill="0" autoLine="0" autoPict="0">
                <anchor moveWithCells="1">
                  <from>
                    <xdr:col>13</xdr:col>
                    <xdr:colOff>341906</xdr:colOff>
                    <xdr:row>23</xdr:row>
                    <xdr:rowOff>111318</xdr:rowOff>
                  </from>
                  <to>
                    <xdr:col>14</xdr:col>
                    <xdr:colOff>95416</xdr:colOff>
                    <xdr:row>23</xdr:row>
                    <xdr:rowOff>333955</xdr:rowOff>
                  </to>
                </anchor>
              </controlPr>
            </control>
          </mc:Choice>
        </mc:AlternateContent>
        <mc:AlternateContent xmlns:mc="http://schemas.openxmlformats.org/markup-compatibility/2006">
          <mc:Choice Requires="x14">
            <control shapeId="65586" r:id="rId34" name="Check Box 50">
              <controlPr locked="0" defaultSize="0" autoFill="0" autoLine="0" autoPict="0">
                <anchor moveWithCells="1">
                  <from>
                    <xdr:col>15</xdr:col>
                    <xdr:colOff>333955</xdr:colOff>
                    <xdr:row>23</xdr:row>
                    <xdr:rowOff>111318</xdr:rowOff>
                  </from>
                  <to>
                    <xdr:col>16</xdr:col>
                    <xdr:colOff>79513</xdr:colOff>
                    <xdr:row>23</xdr:row>
                    <xdr:rowOff>333955</xdr:rowOff>
                  </to>
                </anchor>
              </controlPr>
            </control>
          </mc:Choice>
        </mc:AlternateContent>
        <mc:AlternateContent xmlns:mc="http://schemas.openxmlformats.org/markup-compatibility/2006">
          <mc:Choice Requires="x14">
            <control shapeId="65587" r:id="rId35" name="Check Box 51">
              <controlPr locked="0" defaultSize="0" autoFill="0" autoLine="0" autoPict="0">
                <anchor moveWithCells="1">
                  <from>
                    <xdr:col>11</xdr:col>
                    <xdr:colOff>365760</xdr:colOff>
                    <xdr:row>23</xdr:row>
                    <xdr:rowOff>111318</xdr:rowOff>
                  </from>
                  <to>
                    <xdr:col>12</xdr:col>
                    <xdr:colOff>103367</xdr:colOff>
                    <xdr:row>23</xdr:row>
                    <xdr:rowOff>333955</xdr:rowOff>
                  </to>
                </anchor>
              </controlPr>
            </control>
          </mc:Choice>
        </mc:AlternateContent>
        <mc:AlternateContent xmlns:mc="http://schemas.openxmlformats.org/markup-compatibility/2006">
          <mc:Choice Requires="x14">
            <control shapeId="65588" r:id="rId36" name="Check Box 52">
              <controlPr locked="0" defaultSize="0" autoFill="0" autoLine="0" autoPict="0">
                <anchor moveWithCells="1">
                  <from>
                    <xdr:col>19</xdr:col>
                    <xdr:colOff>341906</xdr:colOff>
                    <xdr:row>23</xdr:row>
                    <xdr:rowOff>111318</xdr:rowOff>
                  </from>
                  <to>
                    <xdr:col>20</xdr:col>
                    <xdr:colOff>95416</xdr:colOff>
                    <xdr:row>23</xdr:row>
                    <xdr:rowOff>333955</xdr:rowOff>
                  </to>
                </anchor>
              </controlPr>
            </control>
          </mc:Choice>
        </mc:AlternateContent>
        <mc:AlternateContent xmlns:mc="http://schemas.openxmlformats.org/markup-compatibility/2006">
          <mc:Choice Requires="x14">
            <control shapeId="65589" r:id="rId37" name="Check Box 53">
              <controlPr locked="0" defaultSize="0" autoFill="0" autoLine="0" autoPict="0">
                <anchor moveWithCells="1">
                  <from>
                    <xdr:col>21</xdr:col>
                    <xdr:colOff>333955</xdr:colOff>
                    <xdr:row>23</xdr:row>
                    <xdr:rowOff>111318</xdr:rowOff>
                  </from>
                  <to>
                    <xdr:col>22</xdr:col>
                    <xdr:colOff>79513</xdr:colOff>
                    <xdr:row>23</xdr:row>
                    <xdr:rowOff>333955</xdr:rowOff>
                  </to>
                </anchor>
              </controlPr>
            </control>
          </mc:Choice>
        </mc:AlternateContent>
        <mc:AlternateContent xmlns:mc="http://schemas.openxmlformats.org/markup-compatibility/2006">
          <mc:Choice Requires="x14">
            <control shapeId="65590" r:id="rId38" name="Check Box 54">
              <controlPr locked="0" defaultSize="0" autoFill="0" autoLine="0" autoPict="0">
                <anchor moveWithCells="1">
                  <from>
                    <xdr:col>17</xdr:col>
                    <xdr:colOff>365760</xdr:colOff>
                    <xdr:row>23</xdr:row>
                    <xdr:rowOff>111318</xdr:rowOff>
                  </from>
                  <to>
                    <xdr:col>18</xdr:col>
                    <xdr:colOff>103367</xdr:colOff>
                    <xdr:row>23</xdr:row>
                    <xdr:rowOff>333955</xdr:rowOff>
                  </to>
                </anchor>
              </controlPr>
            </control>
          </mc:Choice>
        </mc:AlternateContent>
        <mc:AlternateContent xmlns:mc="http://schemas.openxmlformats.org/markup-compatibility/2006">
          <mc:Choice Requires="x14">
            <control shapeId="65591" r:id="rId39" name="Check Box 55">
              <controlPr locked="0" defaultSize="0" autoFill="0" autoLine="0" autoPict="0">
                <anchor moveWithCells="1">
                  <from>
                    <xdr:col>25</xdr:col>
                    <xdr:colOff>341906</xdr:colOff>
                    <xdr:row>23</xdr:row>
                    <xdr:rowOff>111318</xdr:rowOff>
                  </from>
                  <to>
                    <xdr:col>26</xdr:col>
                    <xdr:colOff>95416</xdr:colOff>
                    <xdr:row>23</xdr:row>
                    <xdr:rowOff>333955</xdr:rowOff>
                  </to>
                </anchor>
              </controlPr>
            </control>
          </mc:Choice>
        </mc:AlternateContent>
        <mc:AlternateContent xmlns:mc="http://schemas.openxmlformats.org/markup-compatibility/2006">
          <mc:Choice Requires="x14">
            <control shapeId="65592" r:id="rId40" name="Check Box 56">
              <controlPr locked="0" defaultSize="0" autoFill="0" autoLine="0" autoPict="0">
                <anchor moveWithCells="1">
                  <from>
                    <xdr:col>27</xdr:col>
                    <xdr:colOff>333955</xdr:colOff>
                    <xdr:row>23</xdr:row>
                    <xdr:rowOff>111318</xdr:rowOff>
                  </from>
                  <to>
                    <xdr:col>28</xdr:col>
                    <xdr:colOff>79513</xdr:colOff>
                    <xdr:row>23</xdr:row>
                    <xdr:rowOff>333955</xdr:rowOff>
                  </to>
                </anchor>
              </controlPr>
            </control>
          </mc:Choice>
        </mc:AlternateContent>
        <mc:AlternateContent xmlns:mc="http://schemas.openxmlformats.org/markup-compatibility/2006">
          <mc:Choice Requires="x14">
            <control shapeId="65593" r:id="rId41" name="Check Box 57">
              <controlPr locked="0" defaultSize="0" autoFill="0" autoLine="0" autoPict="0">
                <anchor moveWithCells="1">
                  <from>
                    <xdr:col>23</xdr:col>
                    <xdr:colOff>365760</xdr:colOff>
                    <xdr:row>23</xdr:row>
                    <xdr:rowOff>111318</xdr:rowOff>
                  </from>
                  <to>
                    <xdr:col>24</xdr:col>
                    <xdr:colOff>103367</xdr:colOff>
                    <xdr:row>23</xdr:row>
                    <xdr:rowOff>333955</xdr:rowOff>
                  </to>
                </anchor>
              </controlPr>
            </control>
          </mc:Choice>
        </mc:AlternateContent>
        <mc:AlternateContent xmlns:mc="http://schemas.openxmlformats.org/markup-compatibility/2006">
          <mc:Choice Requires="x14">
            <control shapeId="65594" r:id="rId42" name="Check Box 58">
              <controlPr locked="0" defaultSize="0" autoFill="0" autoLine="0" autoPict="0">
                <anchor moveWithCells="1">
                  <from>
                    <xdr:col>13</xdr:col>
                    <xdr:colOff>341906</xdr:colOff>
                    <xdr:row>24</xdr:row>
                    <xdr:rowOff>55659</xdr:rowOff>
                  </from>
                  <to>
                    <xdr:col>14</xdr:col>
                    <xdr:colOff>95416</xdr:colOff>
                    <xdr:row>24</xdr:row>
                    <xdr:rowOff>254442</xdr:rowOff>
                  </to>
                </anchor>
              </controlPr>
            </control>
          </mc:Choice>
        </mc:AlternateContent>
        <mc:AlternateContent xmlns:mc="http://schemas.openxmlformats.org/markup-compatibility/2006">
          <mc:Choice Requires="x14">
            <control shapeId="65595" r:id="rId43" name="Check Box 59">
              <controlPr locked="0" defaultSize="0" autoFill="0" autoLine="0" autoPict="0">
                <anchor moveWithCells="1">
                  <from>
                    <xdr:col>15</xdr:col>
                    <xdr:colOff>333955</xdr:colOff>
                    <xdr:row>24</xdr:row>
                    <xdr:rowOff>55659</xdr:rowOff>
                  </from>
                  <to>
                    <xdr:col>16</xdr:col>
                    <xdr:colOff>79513</xdr:colOff>
                    <xdr:row>24</xdr:row>
                    <xdr:rowOff>254442</xdr:rowOff>
                  </to>
                </anchor>
              </controlPr>
            </control>
          </mc:Choice>
        </mc:AlternateContent>
        <mc:AlternateContent xmlns:mc="http://schemas.openxmlformats.org/markup-compatibility/2006">
          <mc:Choice Requires="x14">
            <control shapeId="65596" r:id="rId44" name="Check Box 60">
              <controlPr locked="0" defaultSize="0" autoFill="0" autoLine="0" autoPict="0">
                <anchor moveWithCells="1">
                  <from>
                    <xdr:col>11</xdr:col>
                    <xdr:colOff>365760</xdr:colOff>
                    <xdr:row>24</xdr:row>
                    <xdr:rowOff>55659</xdr:rowOff>
                  </from>
                  <to>
                    <xdr:col>12</xdr:col>
                    <xdr:colOff>103367</xdr:colOff>
                    <xdr:row>24</xdr:row>
                    <xdr:rowOff>254442</xdr:rowOff>
                  </to>
                </anchor>
              </controlPr>
            </control>
          </mc:Choice>
        </mc:AlternateContent>
        <mc:AlternateContent xmlns:mc="http://schemas.openxmlformats.org/markup-compatibility/2006">
          <mc:Choice Requires="x14">
            <control shapeId="65597" r:id="rId45" name="Check Box 61">
              <controlPr locked="0" defaultSize="0" autoFill="0" autoLine="0" autoPict="0">
                <anchor moveWithCells="1">
                  <from>
                    <xdr:col>19</xdr:col>
                    <xdr:colOff>341906</xdr:colOff>
                    <xdr:row>24</xdr:row>
                    <xdr:rowOff>55659</xdr:rowOff>
                  </from>
                  <to>
                    <xdr:col>20</xdr:col>
                    <xdr:colOff>95416</xdr:colOff>
                    <xdr:row>24</xdr:row>
                    <xdr:rowOff>254442</xdr:rowOff>
                  </to>
                </anchor>
              </controlPr>
            </control>
          </mc:Choice>
        </mc:AlternateContent>
        <mc:AlternateContent xmlns:mc="http://schemas.openxmlformats.org/markup-compatibility/2006">
          <mc:Choice Requires="x14">
            <control shapeId="65598" r:id="rId46" name="Check Box 62">
              <controlPr locked="0" defaultSize="0" autoFill="0" autoLine="0" autoPict="0">
                <anchor moveWithCells="1">
                  <from>
                    <xdr:col>21</xdr:col>
                    <xdr:colOff>333955</xdr:colOff>
                    <xdr:row>24</xdr:row>
                    <xdr:rowOff>55659</xdr:rowOff>
                  </from>
                  <to>
                    <xdr:col>22</xdr:col>
                    <xdr:colOff>79513</xdr:colOff>
                    <xdr:row>24</xdr:row>
                    <xdr:rowOff>254442</xdr:rowOff>
                  </to>
                </anchor>
              </controlPr>
            </control>
          </mc:Choice>
        </mc:AlternateContent>
        <mc:AlternateContent xmlns:mc="http://schemas.openxmlformats.org/markup-compatibility/2006">
          <mc:Choice Requires="x14">
            <control shapeId="65599" r:id="rId47" name="Check Box 63">
              <controlPr locked="0" defaultSize="0" autoFill="0" autoLine="0" autoPict="0">
                <anchor moveWithCells="1">
                  <from>
                    <xdr:col>17</xdr:col>
                    <xdr:colOff>365760</xdr:colOff>
                    <xdr:row>24</xdr:row>
                    <xdr:rowOff>55659</xdr:rowOff>
                  </from>
                  <to>
                    <xdr:col>18</xdr:col>
                    <xdr:colOff>103367</xdr:colOff>
                    <xdr:row>24</xdr:row>
                    <xdr:rowOff>254442</xdr:rowOff>
                  </to>
                </anchor>
              </controlPr>
            </control>
          </mc:Choice>
        </mc:AlternateContent>
        <mc:AlternateContent xmlns:mc="http://schemas.openxmlformats.org/markup-compatibility/2006">
          <mc:Choice Requires="x14">
            <control shapeId="65600" r:id="rId48" name="Check Box 64">
              <controlPr locked="0" defaultSize="0" autoFill="0" autoLine="0" autoPict="0">
                <anchor moveWithCells="1">
                  <from>
                    <xdr:col>25</xdr:col>
                    <xdr:colOff>341906</xdr:colOff>
                    <xdr:row>24</xdr:row>
                    <xdr:rowOff>55659</xdr:rowOff>
                  </from>
                  <to>
                    <xdr:col>26</xdr:col>
                    <xdr:colOff>95416</xdr:colOff>
                    <xdr:row>24</xdr:row>
                    <xdr:rowOff>254442</xdr:rowOff>
                  </to>
                </anchor>
              </controlPr>
            </control>
          </mc:Choice>
        </mc:AlternateContent>
        <mc:AlternateContent xmlns:mc="http://schemas.openxmlformats.org/markup-compatibility/2006">
          <mc:Choice Requires="x14">
            <control shapeId="65601" r:id="rId49" name="Check Box 65">
              <controlPr locked="0" defaultSize="0" autoFill="0" autoLine="0" autoPict="0">
                <anchor moveWithCells="1">
                  <from>
                    <xdr:col>27</xdr:col>
                    <xdr:colOff>333955</xdr:colOff>
                    <xdr:row>24</xdr:row>
                    <xdr:rowOff>55659</xdr:rowOff>
                  </from>
                  <to>
                    <xdr:col>28</xdr:col>
                    <xdr:colOff>79513</xdr:colOff>
                    <xdr:row>24</xdr:row>
                    <xdr:rowOff>254442</xdr:rowOff>
                  </to>
                </anchor>
              </controlPr>
            </control>
          </mc:Choice>
        </mc:AlternateContent>
        <mc:AlternateContent xmlns:mc="http://schemas.openxmlformats.org/markup-compatibility/2006">
          <mc:Choice Requires="x14">
            <control shapeId="65602" r:id="rId50" name="Check Box 66">
              <controlPr locked="0" defaultSize="0" autoFill="0" autoLine="0" autoPict="0">
                <anchor moveWithCells="1">
                  <from>
                    <xdr:col>23</xdr:col>
                    <xdr:colOff>365760</xdr:colOff>
                    <xdr:row>24</xdr:row>
                    <xdr:rowOff>55659</xdr:rowOff>
                  </from>
                  <to>
                    <xdr:col>24</xdr:col>
                    <xdr:colOff>103367</xdr:colOff>
                    <xdr:row>24</xdr:row>
                    <xdr:rowOff>254442</xdr:rowOff>
                  </to>
                </anchor>
              </controlPr>
            </control>
          </mc:Choice>
        </mc:AlternateContent>
        <mc:AlternateContent xmlns:mc="http://schemas.openxmlformats.org/markup-compatibility/2006">
          <mc:Choice Requires="x14">
            <control shapeId="65603" r:id="rId51" name="Check Box 67">
              <controlPr locked="0" defaultSize="0" autoFill="0" autoLine="0" autoPict="0">
                <anchor moveWithCells="1">
                  <from>
                    <xdr:col>13</xdr:col>
                    <xdr:colOff>341906</xdr:colOff>
                    <xdr:row>25</xdr:row>
                    <xdr:rowOff>95416</xdr:rowOff>
                  </from>
                  <to>
                    <xdr:col>14</xdr:col>
                    <xdr:colOff>95416</xdr:colOff>
                    <xdr:row>25</xdr:row>
                    <xdr:rowOff>294198</xdr:rowOff>
                  </to>
                </anchor>
              </controlPr>
            </control>
          </mc:Choice>
        </mc:AlternateContent>
        <mc:AlternateContent xmlns:mc="http://schemas.openxmlformats.org/markup-compatibility/2006">
          <mc:Choice Requires="x14">
            <control shapeId="65604" r:id="rId52" name="Check Box 68">
              <controlPr locked="0" defaultSize="0" autoFill="0" autoLine="0" autoPict="0">
                <anchor moveWithCells="1">
                  <from>
                    <xdr:col>15</xdr:col>
                    <xdr:colOff>333955</xdr:colOff>
                    <xdr:row>25</xdr:row>
                    <xdr:rowOff>95416</xdr:rowOff>
                  </from>
                  <to>
                    <xdr:col>16</xdr:col>
                    <xdr:colOff>79513</xdr:colOff>
                    <xdr:row>25</xdr:row>
                    <xdr:rowOff>294198</xdr:rowOff>
                  </to>
                </anchor>
              </controlPr>
            </control>
          </mc:Choice>
        </mc:AlternateContent>
        <mc:AlternateContent xmlns:mc="http://schemas.openxmlformats.org/markup-compatibility/2006">
          <mc:Choice Requires="x14">
            <control shapeId="65605" r:id="rId53" name="Check Box 69">
              <controlPr locked="0" defaultSize="0" autoFill="0" autoLine="0" autoPict="0">
                <anchor moveWithCells="1">
                  <from>
                    <xdr:col>11</xdr:col>
                    <xdr:colOff>365760</xdr:colOff>
                    <xdr:row>25</xdr:row>
                    <xdr:rowOff>95416</xdr:rowOff>
                  </from>
                  <to>
                    <xdr:col>12</xdr:col>
                    <xdr:colOff>103367</xdr:colOff>
                    <xdr:row>25</xdr:row>
                    <xdr:rowOff>294198</xdr:rowOff>
                  </to>
                </anchor>
              </controlPr>
            </control>
          </mc:Choice>
        </mc:AlternateContent>
        <mc:AlternateContent xmlns:mc="http://schemas.openxmlformats.org/markup-compatibility/2006">
          <mc:Choice Requires="x14">
            <control shapeId="65606" r:id="rId54" name="Check Box 70">
              <controlPr locked="0" defaultSize="0" autoFill="0" autoLine="0" autoPict="0">
                <anchor moveWithCells="1">
                  <from>
                    <xdr:col>19</xdr:col>
                    <xdr:colOff>341906</xdr:colOff>
                    <xdr:row>25</xdr:row>
                    <xdr:rowOff>95416</xdr:rowOff>
                  </from>
                  <to>
                    <xdr:col>20</xdr:col>
                    <xdr:colOff>95416</xdr:colOff>
                    <xdr:row>25</xdr:row>
                    <xdr:rowOff>294198</xdr:rowOff>
                  </to>
                </anchor>
              </controlPr>
            </control>
          </mc:Choice>
        </mc:AlternateContent>
        <mc:AlternateContent xmlns:mc="http://schemas.openxmlformats.org/markup-compatibility/2006">
          <mc:Choice Requires="x14">
            <control shapeId="65607" r:id="rId55" name="Check Box 71">
              <controlPr locked="0" defaultSize="0" autoFill="0" autoLine="0" autoPict="0">
                <anchor moveWithCells="1">
                  <from>
                    <xdr:col>21</xdr:col>
                    <xdr:colOff>333955</xdr:colOff>
                    <xdr:row>25</xdr:row>
                    <xdr:rowOff>95416</xdr:rowOff>
                  </from>
                  <to>
                    <xdr:col>22</xdr:col>
                    <xdr:colOff>79513</xdr:colOff>
                    <xdr:row>25</xdr:row>
                    <xdr:rowOff>294198</xdr:rowOff>
                  </to>
                </anchor>
              </controlPr>
            </control>
          </mc:Choice>
        </mc:AlternateContent>
        <mc:AlternateContent xmlns:mc="http://schemas.openxmlformats.org/markup-compatibility/2006">
          <mc:Choice Requires="x14">
            <control shapeId="65608" r:id="rId56" name="Check Box 72">
              <controlPr locked="0" defaultSize="0" autoFill="0" autoLine="0" autoPict="0">
                <anchor moveWithCells="1">
                  <from>
                    <xdr:col>17</xdr:col>
                    <xdr:colOff>365760</xdr:colOff>
                    <xdr:row>25</xdr:row>
                    <xdr:rowOff>95416</xdr:rowOff>
                  </from>
                  <to>
                    <xdr:col>18</xdr:col>
                    <xdr:colOff>103367</xdr:colOff>
                    <xdr:row>25</xdr:row>
                    <xdr:rowOff>294198</xdr:rowOff>
                  </to>
                </anchor>
              </controlPr>
            </control>
          </mc:Choice>
        </mc:AlternateContent>
        <mc:AlternateContent xmlns:mc="http://schemas.openxmlformats.org/markup-compatibility/2006">
          <mc:Choice Requires="x14">
            <control shapeId="65609" r:id="rId57" name="Check Box 73">
              <controlPr locked="0" defaultSize="0" autoFill="0" autoLine="0" autoPict="0">
                <anchor moveWithCells="1">
                  <from>
                    <xdr:col>25</xdr:col>
                    <xdr:colOff>341906</xdr:colOff>
                    <xdr:row>25</xdr:row>
                    <xdr:rowOff>95416</xdr:rowOff>
                  </from>
                  <to>
                    <xdr:col>26</xdr:col>
                    <xdr:colOff>95416</xdr:colOff>
                    <xdr:row>25</xdr:row>
                    <xdr:rowOff>294198</xdr:rowOff>
                  </to>
                </anchor>
              </controlPr>
            </control>
          </mc:Choice>
        </mc:AlternateContent>
        <mc:AlternateContent xmlns:mc="http://schemas.openxmlformats.org/markup-compatibility/2006">
          <mc:Choice Requires="x14">
            <control shapeId="65610" r:id="rId58" name="Check Box 74">
              <controlPr locked="0" defaultSize="0" autoFill="0" autoLine="0" autoPict="0">
                <anchor moveWithCells="1">
                  <from>
                    <xdr:col>27</xdr:col>
                    <xdr:colOff>333955</xdr:colOff>
                    <xdr:row>25</xdr:row>
                    <xdr:rowOff>95416</xdr:rowOff>
                  </from>
                  <to>
                    <xdr:col>28</xdr:col>
                    <xdr:colOff>79513</xdr:colOff>
                    <xdr:row>25</xdr:row>
                    <xdr:rowOff>294198</xdr:rowOff>
                  </to>
                </anchor>
              </controlPr>
            </control>
          </mc:Choice>
        </mc:AlternateContent>
        <mc:AlternateContent xmlns:mc="http://schemas.openxmlformats.org/markup-compatibility/2006">
          <mc:Choice Requires="x14">
            <control shapeId="65611" r:id="rId59" name="Check Box 75">
              <controlPr locked="0" defaultSize="0" autoFill="0" autoLine="0" autoPict="0">
                <anchor moveWithCells="1">
                  <from>
                    <xdr:col>23</xdr:col>
                    <xdr:colOff>365760</xdr:colOff>
                    <xdr:row>25</xdr:row>
                    <xdr:rowOff>95416</xdr:rowOff>
                  </from>
                  <to>
                    <xdr:col>24</xdr:col>
                    <xdr:colOff>103367</xdr:colOff>
                    <xdr:row>25</xdr:row>
                    <xdr:rowOff>294198</xdr:rowOff>
                  </to>
                </anchor>
              </controlPr>
            </control>
          </mc:Choice>
        </mc:AlternateContent>
        <mc:AlternateContent xmlns:mc="http://schemas.openxmlformats.org/markup-compatibility/2006">
          <mc:Choice Requires="x14">
            <control shapeId="65612" r:id="rId60" name="Check Box 76">
              <controlPr locked="0" defaultSize="0" autoFill="0" autoLine="0" autoPict="0">
                <anchor moveWithCells="1">
                  <from>
                    <xdr:col>13</xdr:col>
                    <xdr:colOff>341906</xdr:colOff>
                    <xdr:row>26</xdr:row>
                    <xdr:rowOff>55659</xdr:rowOff>
                  </from>
                  <to>
                    <xdr:col>14</xdr:col>
                    <xdr:colOff>95416</xdr:colOff>
                    <xdr:row>26</xdr:row>
                    <xdr:rowOff>254442</xdr:rowOff>
                  </to>
                </anchor>
              </controlPr>
            </control>
          </mc:Choice>
        </mc:AlternateContent>
        <mc:AlternateContent xmlns:mc="http://schemas.openxmlformats.org/markup-compatibility/2006">
          <mc:Choice Requires="x14">
            <control shapeId="65613" r:id="rId61" name="Check Box 77">
              <controlPr locked="0" defaultSize="0" autoFill="0" autoLine="0" autoPict="0">
                <anchor moveWithCells="1">
                  <from>
                    <xdr:col>15</xdr:col>
                    <xdr:colOff>333955</xdr:colOff>
                    <xdr:row>26</xdr:row>
                    <xdr:rowOff>55659</xdr:rowOff>
                  </from>
                  <to>
                    <xdr:col>16</xdr:col>
                    <xdr:colOff>79513</xdr:colOff>
                    <xdr:row>26</xdr:row>
                    <xdr:rowOff>254442</xdr:rowOff>
                  </to>
                </anchor>
              </controlPr>
            </control>
          </mc:Choice>
        </mc:AlternateContent>
        <mc:AlternateContent xmlns:mc="http://schemas.openxmlformats.org/markup-compatibility/2006">
          <mc:Choice Requires="x14">
            <control shapeId="65614" r:id="rId62" name="Check Box 78">
              <controlPr locked="0" defaultSize="0" autoFill="0" autoLine="0" autoPict="0">
                <anchor moveWithCells="1">
                  <from>
                    <xdr:col>11</xdr:col>
                    <xdr:colOff>365760</xdr:colOff>
                    <xdr:row>26</xdr:row>
                    <xdr:rowOff>55659</xdr:rowOff>
                  </from>
                  <to>
                    <xdr:col>12</xdr:col>
                    <xdr:colOff>103367</xdr:colOff>
                    <xdr:row>26</xdr:row>
                    <xdr:rowOff>254442</xdr:rowOff>
                  </to>
                </anchor>
              </controlPr>
            </control>
          </mc:Choice>
        </mc:AlternateContent>
        <mc:AlternateContent xmlns:mc="http://schemas.openxmlformats.org/markup-compatibility/2006">
          <mc:Choice Requires="x14">
            <control shapeId="65615" r:id="rId63" name="Check Box 79">
              <controlPr locked="0" defaultSize="0" autoFill="0" autoLine="0" autoPict="0">
                <anchor moveWithCells="1">
                  <from>
                    <xdr:col>19</xdr:col>
                    <xdr:colOff>341906</xdr:colOff>
                    <xdr:row>26</xdr:row>
                    <xdr:rowOff>55659</xdr:rowOff>
                  </from>
                  <to>
                    <xdr:col>20</xdr:col>
                    <xdr:colOff>95416</xdr:colOff>
                    <xdr:row>26</xdr:row>
                    <xdr:rowOff>254442</xdr:rowOff>
                  </to>
                </anchor>
              </controlPr>
            </control>
          </mc:Choice>
        </mc:AlternateContent>
        <mc:AlternateContent xmlns:mc="http://schemas.openxmlformats.org/markup-compatibility/2006">
          <mc:Choice Requires="x14">
            <control shapeId="65616" r:id="rId64" name="Check Box 80">
              <controlPr locked="0" defaultSize="0" autoFill="0" autoLine="0" autoPict="0">
                <anchor moveWithCells="1">
                  <from>
                    <xdr:col>21</xdr:col>
                    <xdr:colOff>333955</xdr:colOff>
                    <xdr:row>26</xdr:row>
                    <xdr:rowOff>55659</xdr:rowOff>
                  </from>
                  <to>
                    <xdr:col>22</xdr:col>
                    <xdr:colOff>79513</xdr:colOff>
                    <xdr:row>26</xdr:row>
                    <xdr:rowOff>254442</xdr:rowOff>
                  </to>
                </anchor>
              </controlPr>
            </control>
          </mc:Choice>
        </mc:AlternateContent>
        <mc:AlternateContent xmlns:mc="http://schemas.openxmlformats.org/markup-compatibility/2006">
          <mc:Choice Requires="x14">
            <control shapeId="65617" r:id="rId65" name="Check Box 81">
              <controlPr locked="0" defaultSize="0" autoFill="0" autoLine="0" autoPict="0">
                <anchor moveWithCells="1">
                  <from>
                    <xdr:col>17</xdr:col>
                    <xdr:colOff>365760</xdr:colOff>
                    <xdr:row>26</xdr:row>
                    <xdr:rowOff>55659</xdr:rowOff>
                  </from>
                  <to>
                    <xdr:col>18</xdr:col>
                    <xdr:colOff>103367</xdr:colOff>
                    <xdr:row>26</xdr:row>
                    <xdr:rowOff>254442</xdr:rowOff>
                  </to>
                </anchor>
              </controlPr>
            </control>
          </mc:Choice>
        </mc:AlternateContent>
        <mc:AlternateContent xmlns:mc="http://schemas.openxmlformats.org/markup-compatibility/2006">
          <mc:Choice Requires="x14">
            <control shapeId="65618" r:id="rId66" name="Check Box 82">
              <controlPr locked="0" defaultSize="0" autoFill="0" autoLine="0" autoPict="0">
                <anchor moveWithCells="1">
                  <from>
                    <xdr:col>25</xdr:col>
                    <xdr:colOff>341906</xdr:colOff>
                    <xdr:row>26</xdr:row>
                    <xdr:rowOff>55659</xdr:rowOff>
                  </from>
                  <to>
                    <xdr:col>26</xdr:col>
                    <xdr:colOff>95416</xdr:colOff>
                    <xdr:row>26</xdr:row>
                    <xdr:rowOff>254442</xdr:rowOff>
                  </to>
                </anchor>
              </controlPr>
            </control>
          </mc:Choice>
        </mc:AlternateContent>
        <mc:AlternateContent xmlns:mc="http://schemas.openxmlformats.org/markup-compatibility/2006">
          <mc:Choice Requires="x14">
            <control shapeId="65619" r:id="rId67" name="Check Box 83">
              <controlPr locked="0" defaultSize="0" autoFill="0" autoLine="0" autoPict="0">
                <anchor moveWithCells="1">
                  <from>
                    <xdr:col>27</xdr:col>
                    <xdr:colOff>333955</xdr:colOff>
                    <xdr:row>26</xdr:row>
                    <xdr:rowOff>55659</xdr:rowOff>
                  </from>
                  <to>
                    <xdr:col>28</xdr:col>
                    <xdr:colOff>79513</xdr:colOff>
                    <xdr:row>26</xdr:row>
                    <xdr:rowOff>254442</xdr:rowOff>
                  </to>
                </anchor>
              </controlPr>
            </control>
          </mc:Choice>
        </mc:AlternateContent>
        <mc:AlternateContent xmlns:mc="http://schemas.openxmlformats.org/markup-compatibility/2006">
          <mc:Choice Requires="x14">
            <control shapeId="65620" r:id="rId68" name="Check Box 84">
              <controlPr locked="0" defaultSize="0" autoFill="0" autoLine="0" autoPict="0">
                <anchor moveWithCells="1">
                  <from>
                    <xdr:col>23</xdr:col>
                    <xdr:colOff>365760</xdr:colOff>
                    <xdr:row>26</xdr:row>
                    <xdr:rowOff>55659</xdr:rowOff>
                  </from>
                  <to>
                    <xdr:col>24</xdr:col>
                    <xdr:colOff>103367</xdr:colOff>
                    <xdr:row>26</xdr:row>
                    <xdr:rowOff>254442</xdr:rowOff>
                  </to>
                </anchor>
              </controlPr>
            </control>
          </mc:Choice>
        </mc:AlternateContent>
        <mc:AlternateContent xmlns:mc="http://schemas.openxmlformats.org/markup-compatibility/2006">
          <mc:Choice Requires="x14">
            <control shapeId="65621" r:id="rId69" name="Check Box 85">
              <controlPr locked="0" defaultSize="0" autoFill="0" autoLine="0" autoPict="0">
                <anchor moveWithCells="1">
                  <from>
                    <xdr:col>13</xdr:col>
                    <xdr:colOff>341906</xdr:colOff>
                    <xdr:row>27</xdr:row>
                    <xdr:rowOff>111318</xdr:rowOff>
                  </from>
                  <to>
                    <xdr:col>14</xdr:col>
                    <xdr:colOff>95416</xdr:colOff>
                    <xdr:row>27</xdr:row>
                    <xdr:rowOff>333955</xdr:rowOff>
                  </to>
                </anchor>
              </controlPr>
            </control>
          </mc:Choice>
        </mc:AlternateContent>
        <mc:AlternateContent xmlns:mc="http://schemas.openxmlformats.org/markup-compatibility/2006">
          <mc:Choice Requires="x14">
            <control shapeId="65622" r:id="rId70" name="Check Box 86">
              <controlPr locked="0" defaultSize="0" autoFill="0" autoLine="0" autoPict="0">
                <anchor moveWithCells="1">
                  <from>
                    <xdr:col>15</xdr:col>
                    <xdr:colOff>333955</xdr:colOff>
                    <xdr:row>27</xdr:row>
                    <xdr:rowOff>111318</xdr:rowOff>
                  </from>
                  <to>
                    <xdr:col>16</xdr:col>
                    <xdr:colOff>79513</xdr:colOff>
                    <xdr:row>27</xdr:row>
                    <xdr:rowOff>333955</xdr:rowOff>
                  </to>
                </anchor>
              </controlPr>
            </control>
          </mc:Choice>
        </mc:AlternateContent>
        <mc:AlternateContent xmlns:mc="http://schemas.openxmlformats.org/markup-compatibility/2006">
          <mc:Choice Requires="x14">
            <control shapeId="65623" r:id="rId71" name="Check Box 87">
              <controlPr locked="0" defaultSize="0" autoFill="0" autoLine="0" autoPict="0">
                <anchor moveWithCells="1">
                  <from>
                    <xdr:col>11</xdr:col>
                    <xdr:colOff>365760</xdr:colOff>
                    <xdr:row>27</xdr:row>
                    <xdr:rowOff>111318</xdr:rowOff>
                  </from>
                  <to>
                    <xdr:col>12</xdr:col>
                    <xdr:colOff>103367</xdr:colOff>
                    <xdr:row>27</xdr:row>
                    <xdr:rowOff>333955</xdr:rowOff>
                  </to>
                </anchor>
              </controlPr>
            </control>
          </mc:Choice>
        </mc:AlternateContent>
        <mc:AlternateContent xmlns:mc="http://schemas.openxmlformats.org/markup-compatibility/2006">
          <mc:Choice Requires="x14">
            <control shapeId="65624" r:id="rId72" name="Check Box 88">
              <controlPr locked="0" defaultSize="0" autoFill="0" autoLine="0" autoPict="0">
                <anchor moveWithCells="1">
                  <from>
                    <xdr:col>19</xdr:col>
                    <xdr:colOff>341906</xdr:colOff>
                    <xdr:row>27</xdr:row>
                    <xdr:rowOff>111318</xdr:rowOff>
                  </from>
                  <to>
                    <xdr:col>20</xdr:col>
                    <xdr:colOff>95416</xdr:colOff>
                    <xdr:row>27</xdr:row>
                    <xdr:rowOff>333955</xdr:rowOff>
                  </to>
                </anchor>
              </controlPr>
            </control>
          </mc:Choice>
        </mc:AlternateContent>
        <mc:AlternateContent xmlns:mc="http://schemas.openxmlformats.org/markup-compatibility/2006">
          <mc:Choice Requires="x14">
            <control shapeId="65625" r:id="rId73" name="Check Box 89">
              <controlPr locked="0" defaultSize="0" autoFill="0" autoLine="0" autoPict="0">
                <anchor moveWithCells="1">
                  <from>
                    <xdr:col>21</xdr:col>
                    <xdr:colOff>333955</xdr:colOff>
                    <xdr:row>27</xdr:row>
                    <xdr:rowOff>111318</xdr:rowOff>
                  </from>
                  <to>
                    <xdr:col>22</xdr:col>
                    <xdr:colOff>79513</xdr:colOff>
                    <xdr:row>27</xdr:row>
                    <xdr:rowOff>333955</xdr:rowOff>
                  </to>
                </anchor>
              </controlPr>
            </control>
          </mc:Choice>
        </mc:AlternateContent>
        <mc:AlternateContent xmlns:mc="http://schemas.openxmlformats.org/markup-compatibility/2006">
          <mc:Choice Requires="x14">
            <control shapeId="65626" r:id="rId74" name="Check Box 90">
              <controlPr locked="0" defaultSize="0" autoFill="0" autoLine="0" autoPict="0">
                <anchor moveWithCells="1">
                  <from>
                    <xdr:col>17</xdr:col>
                    <xdr:colOff>365760</xdr:colOff>
                    <xdr:row>27</xdr:row>
                    <xdr:rowOff>111318</xdr:rowOff>
                  </from>
                  <to>
                    <xdr:col>18</xdr:col>
                    <xdr:colOff>103367</xdr:colOff>
                    <xdr:row>27</xdr:row>
                    <xdr:rowOff>333955</xdr:rowOff>
                  </to>
                </anchor>
              </controlPr>
            </control>
          </mc:Choice>
        </mc:AlternateContent>
        <mc:AlternateContent xmlns:mc="http://schemas.openxmlformats.org/markup-compatibility/2006">
          <mc:Choice Requires="x14">
            <control shapeId="65627" r:id="rId75" name="Check Box 91">
              <controlPr locked="0" defaultSize="0" autoFill="0" autoLine="0" autoPict="0">
                <anchor moveWithCells="1">
                  <from>
                    <xdr:col>25</xdr:col>
                    <xdr:colOff>341906</xdr:colOff>
                    <xdr:row>27</xdr:row>
                    <xdr:rowOff>111318</xdr:rowOff>
                  </from>
                  <to>
                    <xdr:col>26</xdr:col>
                    <xdr:colOff>95416</xdr:colOff>
                    <xdr:row>27</xdr:row>
                    <xdr:rowOff>333955</xdr:rowOff>
                  </to>
                </anchor>
              </controlPr>
            </control>
          </mc:Choice>
        </mc:AlternateContent>
        <mc:AlternateContent xmlns:mc="http://schemas.openxmlformats.org/markup-compatibility/2006">
          <mc:Choice Requires="x14">
            <control shapeId="65628" r:id="rId76" name="Check Box 92">
              <controlPr locked="0" defaultSize="0" autoFill="0" autoLine="0" autoPict="0">
                <anchor moveWithCells="1">
                  <from>
                    <xdr:col>27</xdr:col>
                    <xdr:colOff>333955</xdr:colOff>
                    <xdr:row>27</xdr:row>
                    <xdr:rowOff>111318</xdr:rowOff>
                  </from>
                  <to>
                    <xdr:col>28</xdr:col>
                    <xdr:colOff>79513</xdr:colOff>
                    <xdr:row>27</xdr:row>
                    <xdr:rowOff>333955</xdr:rowOff>
                  </to>
                </anchor>
              </controlPr>
            </control>
          </mc:Choice>
        </mc:AlternateContent>
        <mc:AlternateContent xmlns:mc="http://schemas.openxmlformats.org/markup-compatibility/2006">
          <mc:Choice Requires="x14">
            <control shapeId="65629" r:id="rId77" name="Check Box 93">
              <controlPr locked="0" defaultSize="0" autoFill="0" autoLine="0" autoPict="0">
                <anchor moveWithCells="1">
                  <from>
                    <xdr:col>23</xdr:col>
                    <xdr:colOff>365760</xdr:colOff>
                    <xdr:row>27</xdr:row>
                    <xdr:rowOff>111318</xdr:rowOff>
                  </from>
                  <to>
                    <xdr:col>24</xdr:col>
                    <xdr:colOff>103367</xdr:colOff>
                    <xdr:row>27</xdr:row>
                    <xdr:rowOff>333955</xdr:rowOff>
                  </to>
                </anchor>
              </controlPr>
            </control>
          </mc:Choice>
        </mc:AlternateContent>
        <mc:AlternateContent xmlns:mc="http://schemas.openxmlformats.org/markup-compatibility/2006">
          <mc:Choice Requires="x14">
            <control shapeId="65630" r:id="rId78" name="Check Box 94">
              <controlPr locked="0" defaultSize="0" autoFill="0" autoLine="0" autoPict="0">
                <anchor moveWithCells="1">
                  <from>
                    <xdr:col>13</xdr:col>
                    <xdr:colOff>341906</xdr:colOff>
                    <xdr:row>28</xdr:row>
                    <xdr:rowOff>103367</xdr:rowOff>
                  </from>
                  <to>
                    <xdr:col>14</xdr:col>
                    <xdr:colOff>95416</xdr:colOff>
                    <xdr:row>28</xdr:row>
                    <xdr:rowOff>326003</xdr:rowOff>
                  </to>
                </anchor>
              </controlPr>
            </control>
          </mc:Choice>
        </mc:AlternateContent>
        <mc:AlternateContent xmlns:mc="http://schemas.openxmlformats.org/markup-compatibility/2006">
          <mc:Choice Requires="x14">
            <control shapeId="65631" r:id="rId79" name="Check Box 95">
              <controlPr locked="0" defaultSize="0" autoFill="0" autoLine="0" autoPict="0">
                <anchor moveWithCells="1">
                  <from>
                    <xdr:col>15</xdr:col>
                    <xdr:colOff>333955</xdr:colOff>
                    <xdr:row>28</xdr:row>
                    <xdr:rowOff>103367</xdr:rowOff>
                  </from>
                  <to>
                    <xdr:col>16</xdr:col>
                    <xdr:colOff>79513</xdr:colOff>
                    <xdr:row>28</xdr:row>
                    <xdr:rowOff>326003</xdr:rowOff>
                  </to>
                </anchor>
              </controlPr>
            </control>
          </mc:Choice>
        </mc:AlternateContent>
        <mc:AlternateContent xmlns:mc="http://schemas.openxmlformats.org/markup-compatibility/2006">
          <mc:Choice Requires="x14">
            <control shapeId="65632" r:id="rId80" name="Check Box 96">
              <controlPr locked="0" defaultSize="0" autoFill="0" autoLine="0" autoPict="0">
                <anchor moveWithCells="1">
                  <from>
                    <xdr:col>11</xdr:col>
                    <xdr:colOff>365760</xdr:colOff>
                    <xdr:row>28</xdr:row>
                    <xdr:rowOff>103367</xdr:rowOff>
                  </from>
                  <to>
                    <xdr:col>12</xdr:col>
                    <xdr:colOff>103367</xdr:colOff>
                    <xdr:row>28</xdr:row>
                    <xdr:rowOff>326003</xdr:rowOff>
                  </to>
                </anchor>
              </controlPr>
            </control>
          </mc:Choice>
        </mc:AlternateContent>
        <mc:AlternateContent xmlns:mc="http://schemas.openxmlformats.org/markup-compatibility/2006">
          <mc:Choice Requires="x14">
            <control shapeId="65633" r:id="rId81" name="Check Box 97">
              <controlPr locked="0" defaultSize="0" autoFill="0" autoLine="0" autoPict="0">
                <anchor moveWithCells="1">
                  <from>
                    <xdr:col>19</xdr:col>
                    <xdr:colOff>341906</xdr:colOff>
                    <xdr:row>28</xdr:row>
                    <xdr:rowOff>103367</xdr:rowOff>
                  </from>
                  <to>
                    <xdr:col>20</xdr:col>
                    <xdr:colOff>95416</xdr:colOff>
                    <xdr:row>28</xdr:row>
                    <xdr:rowOff>326003</xdr:rowOff>
                  </to>
                </anchor>
              </controlPr>
            </control>
          </mc:Choice>
        </mc:AlternateContent>
        <mc:AlternateContent xmlns:mc="http://schemas.openxmlformats.org/markup-compatibility/2006">
          <mc:Choice Requires="x14">
            <control shapeId="65634" r:id="rId82" name="Check Box 98">
              <controlPr locked="0" defaultSize="0" autoFill="0" autoLine="0" autoPict="0">
                <anchor moveWithCells="1">
                  <from>
                    <xdr:col>21</xdr:col>
                    <xdr:colOff>333955</xdr:colOff>
                    <xdr:row>28</xdr:row>
                    <xdr:rowOff>103367</xdr:rowOff>
                  </from>
                  <to>
                    <xdr:col>22</xdr:col>
                    <xdr:colOff>79513</xdr:colOff>
                    <xdr:row>28</xdr:row>
                    <xdr:rowOff>326003</xdr:rowOff>
                  </to>
                </anchor>
              </controlPr>
            </control>
          </mc:Choice>
        </mc:AlternateContent>
        <mc:AlternateContent xmlns:mc="http://schemas.openxmlformats.org/markup-compatibility/2006">
          <mc:Choice Requires="x14">
            <control shapeId="65635" r:id="rId83" name="Check Box 99">
              <controlPr locked="0" defaultSize="0" autoFill="0" autoLine="0" autoPict="0">
                <anchor moveWithCells="1">
                  <from>
                    <xdr:col>17</xdr:col>
                    <xdr:colOff>365760</xdr:colOff>
                    <xdr:row>28</xdr:row>
                    <xdr:rowOff>103367</xdr:rowOff>
                  </from>
                  <to>
                    <xdr:col>18</xdr:col>
                    <xdr:colOff>103367</xdr:colOff>
                    <xdr:row>28</xdr:row>
                    <xdr:rowOff>326003</xdr:rowOff>
                  </to>
                </anchor>
              </controlPr>
            </control>
          </mc:Choice>
        </mc:AlternateContent>
        <mc:AlternateContent xmlns:mc="http://schemas.openxmlformats.org/markup-compatibility/2006">
          <mc:Choice Requires="x14">
            <control shapeId="65636" r:id="rId84" name="Check Box 100">
              <controlPr locked="0" defaultSize="0" autoFill="0" autoLine="0" autoPict="0">
                <anchor moveWithCells="1">
                  <from>
                    <xdr:col>25</xdr:col>
                    <xdr:colOff>341906</xdr:colOff>
                    <xdr:row>28</xdr:row>
                    <xdr:rowOff>103367</xdr:rowOff>
                  </from>
                  <to>
                    <xdr:col>26</xdr:col>
                    <xdr:colOff>95416</xdr:colOff>
                    <xdr:row>28</xdr:row>
                    <xdr:rowOff>326003</xdr:rowOff>
                  </to>
                </anchor>
              </controlPr>
            </control>
          </mc:Choice>
        </mc:AlternateContent>
        <mc:AlternateContent xmlns:mc="http://schemas.openxmlformats.org/markup-compatibility/2006">
          <mc:Choice Requires="x14">
            <control shapeId="65637" r:id="rId85" name="Check Box 101">
              <controlPr locked="0" defaultSize="0" autoFill="0" autoLine="0" autoPict="0">
                <anchor moveWithCells="1">
                  <from>
                    <xdr:col>27</xdr:col>
                    <xdr:colOff>333955</xdr:colOff>
                    <xdr:row>28</xdr:row>
                    <xdr:rowOff>103367</xdr:rowOff>
                  </from>
                  <to>
                    <xdr:col>28</xdr:col>
                    <xdr:colOff>79513</xdr:colOff>
                    <xdr:row>28</xdr:row>
                    <xdr:rowOff>326003</xdr:rowOff>
                  </to>
                </anchor>
              </controlPr>
            </control>
          </mc:Choice>
        </mc:AlternateContent>
        <mc:AlternateContent xmlns:mc="http://schemas.openxmlformats.org/markup-compatibility/2006">
          <mc:Choice Requires="x14">
            <control shapeId="65638" r:id="rId86" name="Check Box 102">
              <controlPr locked="0" defaultSize="0" autoFill="0" autoLine="0" autoPict="0">
                <anchor moveWithCells="1">
                  <from>
                    <xdr:col>23</xdr:col>
                    <xdr:colOff>365760</xdr:colOff>
                    <xdr:row>28</xdr:row>
                    <xdr:rowOff>103367</xdr:rowOff>
                  </from>
                  <to>
                    <xdr:col>24</xdr:col>
                    <xdr:colOff>103367</xdr:colOff>
                    <xdr:row>28</xdr:row>
                    <xdr:rowOff>326003</xdr:rowOff>
                  </to>
                </anchor>
              </controlPr>
            </control>
          </mc:Choice>
        </mc:AlternateContent>
        <mc:AlternateContent xmlns:mc="http://schemas.openxmlformats.org/markup-compatibility/2006">
          <mc:Choice Requires="x14">
            <control shapeId="65639" r:id="rId87" name="Check Box 103">
              <controlPr locked="0" defaultSize="0" autoFill="0" autoLine="0" autoPict="0">
                <anchor moveWithCells="1">
                  <from>
                    <xdr:col>13</xdr:col>
                    <xdr:colOff>341906</xdr:colOff>
                    <xdr:row>29</xdr:row>
                    <xdr:rowOff>31805</xdr:rowOff>
                  </from>
                  <to>
                    <xdr:col>14</xdr:col>
                    <xdr:colOff>95416</xdr:colOff>
                    <xdr:row>30</xdr:row>
                    <xdr:rowOff>15903</xdr:rowOff>
                  </to>
                </anchor>
              </controlPr>
            </control>
          </mc:Choice>
        </mc:AlternateContent>
        <mc:AlternateContent xmlns:mc="http://schemas.openxmlformats.org/markup-compatibility/2006">
          <mc:Choice Requires="x14">
            <control shapeId="65640" r:id="rId88" name="Check Box 104">
              <controlPr locked="0" defaultSize="0" autoFill="0" autoLine="0" autoPict="0">
                <anchor moveWithCells="1">
                  <from>
                    <xdr:col>15</xdr:col>
                    <xdr:colOff>333955</xdr:colOff>
                    <xdr:row>29</xdr:row>
                    <xdr:rowOff>31805</xdr:rowOff>
                  </from>
                  <to>
                    <xdr:col>16</xdr:col>
                    <xdr:colOff>79513</xdr:colOff>
                    <xdr:row>30</xdr:row>
                    <xdr:rowOff>15903</xdr:rowOff>
                  </to>
                </anchor>
              </controlPr>
            </control>
          </mc:Choice>
        </mc:AlternateContent>
        <mc:AlternateContent xmlns:mc="http://schemas.openxmlformats.org/markup-compatibility/2006">
          <mc:Choice Requires="x14">
            <control shapeId="65641" r:id="rId89" name="Check Box 105">
              <controlPr locked="0" defaultSize="0" autoFill="0" autoLine="0" autoPict="0">
                <anchor moveWithCells="1">
                  <from>
                    <xdr:col>11</xdr:col>
                    <xdr:colOff>365760</xdr:colOff>
                    <xdr:row>29</xdr:row>
                    <xdr:rowOff>31805</xdr:rowOff>
                  </from>
                  <to>
                    <xdr:col>12</xdr:col>
                    <xdr:colOff>103367</xdr:colOff>
                    <xdr:row>30</xdr:row>
                    <xdr:rowOff>15903</xdr:rowOff>
                  </to>
                </anchor>
              </controlPr>
            </control>
          </mc:Choice>
        </mc:AlternateContent>
        <mc:AlternateContent xmlns:mc="http://schemas.openxmlformats.org/markup-compatibility/2006">
          <mc:Choice Requires="x14">
            <control shapeId="65642" r:id="rId90" name="Check Box 106">
              <controlPr locked="0" defaultSize="0" autoFill="0" autoLine="0" autoPict="0">
                <anchor moveWithCells="1">
                  <from>
                    <xdr:col>19</xdr:col>
                    <xdr:colOff>341906</xdr:colOff>
                    <xdr:row>29</xdr:row>
                    <xdr:rowOff>31805</xdr:rowOff>
                  </from>
                  <to>
                    <xdr:col>20</xdr:col>
                    <xdr:colOff>95416</xdr:colOff>
                    <xdr:row>30</xdr:row>
                    <xdr:rowOff>15903</xdr:rowOff>
                  </to>
                </anchor>
              </controlPr>
            </control>
          </mc:Choice>
        </mc:AlternateContent>
        <mc:AlternateContent xmlns:mc="http://schemas.openxmlformats.org/markup-compatibility/2006">
          <mc:Choice Requires="x14">
            <control shapeId="65643" r:id="rId91" name="Check Box 107">
              <controlPr locked="0" defaultSize="0" autoFill="0" autoLine="0" autoPict="0">
                <anchor moveWithCells="1">
                  <from>
                    <xdr:col>21</xdr:col>
                    <xdr:colOff>333955</xdr:colOff>
                    <xdr:row>29</xdr:row>
                    <xdr:rowOff>31805</xdr:rowOff>
                  </from>
                  <to>
                    <xdr:col>22</xdr:col>
                    <xdr:colOff>79513</xdr:colOff>
                    <xdr:row>30</xdr:row>
                    <xdr:rowOff>15903</xdr:rowOff>
                  </to>
                </anchor>
              </controlPr>
            </control>
          </mc:Choice>
        </mc:AlternateContent>
        <mc:AlternateContent xmlns:mc="http://schemas.openxmlformats.org/markup-compatibility/2006">
          <mc:Choice Requires="x14">
            <control shapeId="65644" r:id="rId92" name="Check Box 108">
              <controlPr locked="0" defaultSize="0" autoFill="0" autoLine="0" autoPict="0">
                <anchor moveWithCells="1">
                  <from>
                    <xdr:col>17</xdr:col>
                    <xdr:colOff>365760</xdr:colOff>
                    <xdr:row>29</xdr:row>
                    <xdr:rowOff>31805</xdr:rowOff>
                  </from>
                  <to>
                    <xdr:col>18</xdr:col>
                    <xdr:colOff>103367</xdr:colOff>
                    <xdr:row>30</xdr:row>
                    <xdr:rowOff>15903</xdr:rowOff>
                  </to>
                </anchor>
              </controlPr>
            </control>
          </mc:Choice>
        </mc:AlternateContent>
        <mc:AlternateContent xmlns:mc="http://schemas.openxmlformats.org/markup-compatibility/2006">
          <mc:Choice Requires="x14">
            <control shapeId="65645" r:id="rId93" name="Check Box 109">
              <controlPr locked="0" defaultSize="0" autoFill="0" autoLine="0" autoPict="0">
                <anchor moveWithCells="1">
                  <from>
                    <xdr:col>25</xdr:col>
                    <xdr:colOff>341906</xdr:colOff>
                    <xdr:row>29</xdr:row>
                    <xdr:rowOff>31805</xdr:rowOff>
                  </from>
                  <to>
                    <xdr:col>26</xdr:col>
                    <xdr:colOff>95416</xdr:colOff>
                    <xdr:row>30</xdr:row>
                    <xdr:rowOff>15903</xdr:rowOff>
                  </to>
                </anchor>
              </controlPr>
            </control>
          </mc:Choice>
        </mc:AlternateContent>
        <mc:AlternateContent xmlns:mc="http://schemas.openxmlformats.org/markup-compatibility/2006">
          <mc:Choice Requires="x14">
            <control shapeId="65646" r:id="rId94" name="Check Box 110">
              <controlPr locked="0" defaultSize="0" autoFill="0" autoLine="0" autoPict="0">
                <anchor moveWithCells="1">
                  <from>
                    <xdr:col>27</xdr:col>
                    <xdr:colOff>333955</xdr:colOff>
                    <xdr:row>29</xdr:row>
                    <xdr:rowOff>31805</xdr:rowOff>
                  </from>
                  <to>
                    <xdr:col>28</xdr:col>
                    <xdr:colOff>79513</xdr:colOff>
                    <xdr:row>30</xdr:row>
                    <xdr:rowOff>15903</xdr:rowOff>
                  </to>
                </anchor>
              </controlPr>
            </control>
          </mc:Choice>
        </mc:AlternateContent>
        <mc:AlternateContent xmlns:mc="http://schemas.openxmlformats.org/markup-compatibility/2006">
          <mc:Choice Requires="x14">
            <control shapeId="65647" r:id="rId95" name="Check Box 111">
              <controlPr locked="0" defaultSize="0" autoFill="0" autoLine="0" autoPict="0">
                <anchor moveWithCells="1">
                  <from>
                    <xdr:col>23</xdr:col>
                    <xdr:colOff>365760</xdr:colOff>
                    <xdr:row>29</xdr:row>
                    <xdr:rowOff>31805</xdr:rowOff>
                  </from>
                  <to>
                    <xdr:col>24</xdr:col>
                    <xdr:colOff>103367</xdr:colOff>
                    <xdr:row>30</xdr:row>
                    <xdr:rowOff>15903</xdr:rowOff>
                  </to>
                </anchor>
              </controlPr>
            </control>
          </mc:Choice>
        </mc:AlternateContent>
        <mc:AlternateContent xmlns:mc="http://schemas.openxmlformats.org/markup-compatibility/2006">
          <mc:Choice Requires="x14">
            <control shapeId="65648" r:id="rId96" name="Check Box 112">
              <controlPr locked="0" defaultSize="0" autoFill="0" autoLine="0" autoPict="0">
                <anchor moveWithCells="1">
                  <from>
                    <xdr:col>13</xdr:col>
                    <xdr:colOff>341906</xdr:colOff>
                    <xdr:row>30</xdr:row>
                    <xdr:rowOff>55659</xdr:rowOff>
                  </from>
                  <to>
                    <xdr:col>14</xdr:col>
                    <xdr:colOff>95416</xdr:colOff>
                    <xdr:row>30</xdr:row>
                    <xdr:rowOff>254442</xdr:rowOff>
                  </to>
                </anchor>
              </controlPr>
            </control>
          </mc:Choice>
        </mc:AlternateContent>
        <mc:AlternateContent xmlns:mc="http://schemas.openxmlformats.org/markup-compatibility/2006">
          <mc:Choice Requires="x14">
            <control shapeId="65649" r:id="rId97" name="Check Box 113">
              <controlPr locked="0" defaultSize="0" autoFill="0" autoLine="0" autoPict="0">
                <anchor moveWithCells="1">
                  <from>
                    <xdr:col>15</xdr:col>
                    <xdr:colOff>333955</xdr:colOff>
                    <xdr:row>30</xdr:row>
                    <xdr:rowOff>55659</xdr:rowOff>
                  </from>
                  <to>
                    <xdr:col>16</xdr:col>
                    <xdr:colOff>79513</xdr:colOff>
                    <xdr:row>30</xdr:row>
                    <xdr:rowOff>254442</xdr:rowOff>
                  </to>
                </anchor>
              </controlPr>
            </control>
          </mc:Choice>
        </mc:AlternateContent>
        <mc:AlternateContent xmlns:mc="http://schemas.openxmlformats.org/markup-compatibility/2006">
          <mc:Choice Requires="x14">
            <control shapeId="65650" r:id="rId98" name="Check Box 114">
              <controlPr locked="0" defaultSize="0" autoFill="0" autoLine="0" autoPict="0">
                <anchor moveWithCells="1">
                  <from>
                    <xdr:col>11</xdr:col>
                    <xdr:colOff>365760</xdr:colOff>
                    <xdr:row>30</xdr:row>
                    <xdr:rowOff>55659</xdr:rowOff>
                  </from>
                  <to>
                    <xdr:col>12</xdr:col>
                    <xdr:colOff>103367</xdr:colOff>
                    <xdr:row>30</xdr:row>
                    <xdr:rowOff>254442</xdr:rowOff>
                  </to>
                </anchor>
              </controlPr>
            </control>
          </mc:Choice>
        </mc:AlternateContent>
        <mc:AlternateContent xmlns:mc="http://schemas.openxmlformats.org/markup-compatibility/2006">
          <mc:Choice Requires="x14">
            <control shapeId="65651" r:id="rId99" name="Check Box 115">
              <controlPr locked="0" defaultSize="0" autoFill="0" autoLine="0" autoPict="0">
                <anchor moveWithCells="1">
                  <from>
                    <xdr:col>19</xdr:col>
                    <xdr:colOff>341906</xdr:colOff>
                    <xdr:row>30</xdr:row>
                    <xdr:rowOff>55659</xdr:rowOff>
                  </from>
                  <to>
                    <xdr:col>20</xdr:col>
                    <xdr:colOff>95416</xdr:colOff>
                    <xdr:row>30</xdr:row>
                    <xdr:rowOff>254442</xdr:rowOff>
                  </to>
                </anchor>
              </controlPr>
            </control>
          </mc:Choice>
        </mc:AlternateContent>
        <mc:AlternateContent xmlns:mc="http://schemas.openxmlformats.org/markup-compatibility/2006">
          <mc:Choice Requires="x14">
            <control shapeId="65652" r:id="rId100" name="Check Box 116">
              <controlPr locked="0" defaultSize="0" autoFill="0" autoLine="0" autoPict="0">
                <anchor moveWithCells="1">
                  <from>
                    <xdr:col>21</xdr:col>
                    <xdr:colOff>333955</xdr:colOff>
                    <xdr:row>30</xdr:row>
                    <xdr:rowOff>55659</xdr:rowOff>
                  </from>
                  <to>
                    <xdr:col>22</xdr:col>
                    <xdr:colOff>79513</xdr:colOff>
                    <xdr:row>30</xdr:row>
                    <xdr:rowOff>254442</xdr:rowOff>
                  </to>
                </anchor>
              </controlPr>
            </control>
          </mc:Choice>
        </mc:AlternateContent>
        <mc:AlternateContent xmlns:mc="http://schemas.openxmlformats.org/markup-compatibility/2006">
          <mc:Choice Requires="x14">
            <control shapeId="65653" r:id="rId101" name="Check Box 117">
              <controlPr locked="0" defaultSize="0" autoFill="0" autoLine="0" autoPict="0">
                <anchor moveWithCells="1">
                  <from>
                    <xdr:col>17</xdr:col>
                    <xdr:colOff>365760</xdr:colOff>
                    <xdr:row>30</xdr:row>
                    <xdr:rowOff>55659</xdr:rowOff>
                  </from>
                  <to>
                    <xdr:col>18</xdr:col>
                    <xdr:colOff>103367</xdr:colOff>
                    <xdr:row>30</xdr:row>
                    <xdr:rowOff>254442</xdr:rowOff>
                  </to>
                </anchor>
              </controlPr>
            </control>
          </mc:Choice>
        </mc:AlternateContent>
        <mc:AlternateContent xmlns:mc="http://schemas.openxmlformats.org/markup-compatibility/2006">
          <mc:Choice Requires="x14">
            <control shapeId="65654" r:id="rId102" name="Check Box 118">
              <controlPr locked="0" defaultSize="0" autoFill="0" autoLine="0" autoPict="0">
                <anchor moveWithCells="1">
                  <from>
                    <xdr:col>25</xdr:col>
                    <xdr:colOff>341906</xdr:colOff>
                    <xdr:row>30</xdr:row>
                    <xdr:rowOff>55659</xdr:rowOff>
                  </from>
                  <to>
                    <xdr:col>26</xdr:col>
                    <xdr:colOff>95416</xdr:colOff>
                    <xdr:row>30</xdr:row>
                    <xdr:rowOff>254442</xdr:rowOff>
                  </to>
                </anchor>
              </controlPr>
            </control>
          </mc:Choice>
        </mc:AlternateContent>
        <mc:AlternateContent xmlns:mc="http://schemas.openxmlformats.org/markup-compatibility/2006">
          <mc:Choice Requires="x14">
            <control shapeId="65655" r:id="rId103" name="Check Box 119">
              <controlPr locked="0" defaultSize="0" autoFill="0" autoLine="0" autoPict="0">
                <anchor moveWithCells="1">
                  <from>
                    <xdr:col>27</xdr:col>
                    <xdr:colOff>333955</xdr:colOff>
                    <xdr:row>30</xdr:row>
                    <xdr:rowOff>55659</xdr:rowOff>
                  </from>
                  <to>
                    <xdr:col>28</xdr:col>
                    <xdr:colOff>79513</xdr:colOff>
                    <xdr:row>30</xdr:row>
                    <xdr:rowOff>254442</xdr:rowOff>
                  </to>
                </anchor>
              </controlPr>
            </control>
          </mc:Choice>
        </mc:AlternateContent>
        <mc:AlternateContent xmlns:mc="http://schemas.openxmlformats.org/markup-compatibility/2006">
          <mc:Choice Requires="x14">
            <control shapeId="65656" r:id="rId104" name="Check Box 120">
              <controlPr locked="0" defaultSize="0" autoFill="0" autoLine="0" autoPict="0">
                <anchor moveWithCells="1">
                  <from>
                    <xdr:col>23</xdr:col>
                    <xdr:colOff>365760</xdr:colOff>
                    <xdr:row>30</xdr:row>
                    <xdr:rowOff>55659</xdr:rowOff>
                  </from>
                  <to>
                    <xdr:col>24</xdr:col>
                    <xdr:colOff>103367</xdr:colOff>
                    <xdr:row>30</xdr:row>
                    <xdr:rowOff>254442</xdr:rowOff>
                  </to>
                </anchor>
              </controlPr>
            </control>
          </mc:Choice>
        </mc:AlternateContent>
        <mc:AlternateContent xmlns:mc="http://schemas.openxmlformats.org/markup-compatibility/2006">
          <mc:Choice Requires="x14">
            <control shapeId="65657" r:id="rId105" name="Check Box 121">
              <controlPr locked="0" defaultSize="0" autoFill="0" autoLine="0" autoPict="0">
                <anchor moveWithCells="1">
                  <from>
                    <xdr:col>13</xdr:col>
                    <xdr:colOff>341906</xdr:colOff>
                    <xdr:row>31</xdr:row>
                    <xdr:rowOff>55659</xdr:rowOff>
                  </from>
                  <to>
                    <xdr:col>14</xdr:col>
                    <xdr:colOff>95416</xdr:colOff>
                    <xdr:row>31</xdr:row>
                    <xdr:rowOff>254442</xdr:rowOff>
                  </to>
                </anchor>
              </controlPr>
            </control>
          </mc:Choice>
        </mc:AlternateContent>
        <mc:AlternateContent xmlns:mc="http://schemas.openxmlformats.org/markup-compatibility/2006">
          <mc:Choice Requires="x14">
            <control shapeId="65658" r:id="rId106" name="Check Box 122">
              <controlPr locked="0" defaultSize="0" autoFill="0" autoLine="0" autoPict="0">
                <anchor moveWithCells="1">
                  <from>
                    <xdr:col>15</xdr:col>
                    <xdr:colOff>333955</xdr:colOff>
                    <xdr:row>31</xdr:row>
                    <xdr:rowOff>55659</xdr:rowOff>
                  </from>
                  <to>
                    <xdr:col>16</xdr:col>
                    <xdr:colOff>79513</xdr:colOff>
                    <xdr:row>31</xdr:row>
                    <xdr:rowOff>254442</xdr:rowOff>
                  </to>
                </anchor>
              </controlPr>
            </control>
          </mc:Choice>
        </mc:AlternateContent>
        <mc:AlternateContent xmlns:mc="http://schemas.openxmlformats.org/markup-compatibility/2006">
          <mc:Choice Requires="x14">
            <control shapeId="65659" r:id="rId107" name="Check Box 123">
              <controlPr locked="0" defaultSize="0" autoFill="0" autoLine="0" autoPict="0">
                <anchor moveWithCells="1">
                  <from>
                    <xdr:col>11</xdr:col>
                    <xdr:colOff>365760</xdr:colOff>
                    <xdr:row>31</xdr:row>
                    <xdr:rowOff>55659</xdr:rowOff>
                  </from>
                  <to>
                    <xdr:col>12</xdr:col>
                    <xdr:colOff>103367</xdr:colOff>
                    <xdr:row>31</xdr:row>
                    <xdr:rowOff>254442</xdr:rowOff>
                  </to>
                </anchor>
              </controlPr>
            </control>
          </mc:Choice>
        </mc:AlternateContent>
        <mc:AlternateContent xmlns:mc="http://schemas.openxmlformats.org/markup-compatibility/2006">
          <mc:Choice Requires="x14">
            <control shapeId="65660" r:id="rId108" name="Check Box 124">
              <controlPr locked="0" defaultSize="0" autoFill="0" autoLine="0" autoPict="0">
                <anchor moveWithCells="1">
                  <from>
                    <xdr:col>19</xdr:col>
                    <xdr:colOff>341906</xdr:colOff>
                    <xdr:row>31</xdr:row>
                    <xdr:rowOff>55659</xdr:rowOff>
                  </from>
                  <to>
                    <xdr:col>20</xdr:col>
                    <xdr:colOff>95416</xdr:colOff>
                    <xdr:row>31</xdr:row>
                    <xdr:rowOff>254442</xdr:rowOff>
                  </to>
                </anchor>
              </controlPr>
            </control>
          </mc:Choice>
        </mc:AlternateContent>
        <mc:AlternateContent xmlns:mc="http://schemas.openxmlformats.org/markup-compatibility/2006">
          <mc:Choice Requires="x14">
            <control shapeId="65661" r:id="rId109" name="Check Box 125">
              <controlPr locked="0" defaultSize="0" autoFill="0" autoLine="0" autoPict="0">
                <anchor moveWithCells="1">
                  <from>
                    <xdr:col>21</xdr:col>
                    <xdr:colOff>333955</xdr:colOff>
                    <xdr:row>31</xdr:row>
                    <xdr:rowOff>55659</xdr:rowOff>
                  </from>
                  <to>
                    <xdr:col>22</xdr:col>
                    <xdr:colOff>79513</xdr:colOff>
                    <xdr:row>31</xdr:row>
                    <xdr:rowOff>254442</xdr:rowOff>
                  </to>
                </anchor>
              </controlPr>
            </control>
          </mc:Choice>
        </mc:AlternateContent>
        <mc:AlternateContent xmlns:mc="http://schemas.openxmlformats.org/markup-compatibility/2006">
          <mc:Choice Requires="x14">
            <control shapeId="65662" r:id="rId110" name="Check Box 126">
              <controlPr locked="0" defaultSize="0" autoFill="0" autoLine="0" autoPict="0">
                <anchor moveWithCells="1">
                  <from>
                    <xdr:col>17</xdr:col>
                    <xdr:colOff>365760</xdr:colOff>
                    <xdr:row>31</xdr:row>
                    <xdr:rowOff>55659</xdr:rowOff>
                  </from>
                  <to>
                    <xdr:col>18</xdr:col>
                    <xdr:colOff>103367</xdr:colOff>
                    <xdr:row>31</xdr:row>
                    <xdr:rowOff>254442</xdr:rowOff>
                  </to>
                </anchor>
              </controlPr>
            </control>
          </mc:Choice>
        </mc:AlternateContent>
        <mc:AlternateContent xmlns:mc="http://schemas.openxmlformats.org/markup-compatibility/2006">
          <mc:Choice Requires="x14">
            <control shapeId="65663" r:id="rId111" name="Check Box 127">
              <controlPr locked="0" defaultSize="0" autoFill="0" autoLine="0" autoPict="0">
                <anchor moveWithCells="1">
                  <from>
                    <xdr:col>25</xdr:col>
                    <xdr:colOff>341906</xdr:colOff>
                    <xdr:row>31</xdr:row>
                    <xdr:rowOff>55659</xdr:rowOff>
                  </from>
                  <to>
                    <xdr:col>26</xdr:col>
                    <xdr:colOff>95416</xdr:colOff>
                    <xdr:row>31</xdr:row>
                    <xdr:rowOff>254442</xdr:rowOff>
                  </to>
                </anchor>
              </controlPr>
            </control>
          </mc:Choice>
        </mc:AlternateContent>
        <mc:AlternateContent xmlns:mc="http://schemas.openxmlformats.org/markup-compatibility/2006">
          <mc:Choice Requires="x14">
            <control shapeId="65664" r:id="rId112" name="Check Box 128">
              <controlPr locked="0" defaultSize="0" autoFill="0" autoLine="0" autoPict="0">
                <anchor moveWithCells="1">
                  <from>
                    <xdr:col>27</xdr:col>
                    <xdr:colOff>333955</xdr:colOff>
                    <xdr:row>31</xdr:row>
                    <xdr:rowOff>55659</xdr:rowOff>
                  </from>
                  <to>
                    <xdr:col>28</xdr:col>
                    <xdr:colOff>79513</xdr:colOff>
                    <xdr:row>31</xdr:row>
                    <xdr:rowOff>254442</xdr:rowOff>
                  </to>
                </anchor>
              </controlPr>
            </control>
          </mc:Choice>
        </mc:AlternateContent>
        <mc:AlternateContent xmlns:mc="http://schemas.openxmlformats.org/markup-compatibility/2006">
          <mc:Choice Requires="x14">
            <control shapeId="65665" r:id="rId113" name="Check Box 129">
              <controlPr locked="0" defaultSize="0" autoFill="0" autoLine="0" autoPict="0">
                <anchor moveWithCells="1">
                  <from>
                    <xdr:col>23</xdr:col>
                    <xdr:colOff>365760</xdr:colOff>
                    <xdr:row>31</xdr:row>
                    <xdr:rowOff>55659</xdr:rowOff>
                  </from>
                  <to>
                    <xdr:col>24</xdr:col>
                    <xdr:colOff>103367</xdr:colOff>
                    <xdr:row>31</xdr:row>
                    <xdr:rowOff>254442</xdr:rowOff>
                  </to>
                </anchor>
              </controlPr>
            </control>
          </mc:Choice>
        </mc:AlternateContent>
        <mc:AlternateContent xmlns:mc="http://schemas.openxmlformats.org/markup-compatibility/2006">
          <mc:Choice Requires="x14">
            <control shapeId="65666" r:id="rId114" name="Check Box 130">
              <controlPr locked="0" defaultSize="0" autoFill="0" autoLine="0" autoPict="0">
                <anchor moveWithCells="1">
                  <from>
                    <xdr:col>13</xdr:col>
                    <xdr:colOff>341906</xdr:colOff>
                    <xdr:row>32</xdr:row>
                    <xdr:rowOff>55659</xdr:rowOff>
                  </from>
                  <to>
                    <xdr:col>14</xdr:col>
                    <xdr:colOff>95416</xdr:colOff>
                    <xdr:row>32</xdr:row>
                    <xdr:rowOff>254442</xdr:rowOff>
                  </to>
                </anchor>
              </controlPr>
            </control>
          </mc:Choice>
        </mc:AlternateContent>
        <mc:AlternateContent xmlns:mc="http://schemas.openxmlformats.org/markup-compatibility/2006">
          <mc:Choice Requires="x14">
            <control shapeId="65667" r:id="rId115" name="Check Box 131">
              <controlPr locked="0" defaultSize="0" autoFill="0" autoLine="0" autoPict="0">
                <anchor moveWithCells="1">
                  <from>
                    <xdr:col>15</xdr:col>
                    <xdr:colOff>333955</xdr:colOff>
                    <xdr:row>32</xdr:row>
                    <xdr:rowOff>55659</xdr:rowOff>
                  </from>
                  <to>
                    <xdr:col>16</xdr:col>
                    <xdr:colOff>79513</xdr:colOff>
                    <xdr:row>32</xdr:row>
                    <xdr:rowOff>254442</xdr:rowOff>
                  </to>
                </anchor>
              </controlPr>
            </control>
          </mc:Choice>
        </mc:AlternateContent>
        <mc:AlternateContent xmlns:mc="http://schemas.openxmlformats.org/markup-compatibility/2006">
          <mc:Choice Requires="x14">
            <control shapeId="65668" r:id="rId116" name="Check Box 132">
              <controlPr locked="0" defaultSize="0" autoFill="0" autoLine="0" autoPict="0">
                <anchor moveWithCells="1">
                  <from>
                    <xdr:col>11</xdr:col>
                    <xdr:colOff>365760</xdr:colOff>
                    <xdr:row>32</xdr:row>
                    <xdr:rowOff>55659</xdr:rowOff>
                  </from>
                  <to>
                    <xdr:col>12</xdr:col>
                    <xdr:colOff>103367</xdr:colOff>
                    <xdr:row>32</xdr:row>
                    <xdr:rowOff>254442</xdr:rowOff>
                  </to>
                </anchor>
              </controlPr>
            </control>
          </mc:Choice>
        </mc:AlternateContent>
        <mc:AlternateContent xmlns:mc="http://schemas.openxmlformats.org/markup-compatibility/2006">
          <mc:Choice Requires="x14">
            <control shapeId="65669" r:id="rId117" name="Check Box 133">
              <controlPr locked="0" defaultSize="0" autoFill="0" autoLine="0" autoPict="0">
                <anchor moveWithCells="1">
                  <from>
                    <xdr:col>19</xdr:col>
                    <xdr:colOff>341906</xdr:colOff>
                    <xdr:row>32</xdr:row>
                    <xdr:rowOff>55659</xdr:rowOff>
                  </from>
                  <to>
                    <xdr:col>20</xdr:col>
                    <xdr:colOff>95416</xdr:colOff>
                    <xdr:row>32</xdr:row>
                    <xdr:rowOff>254442</xdr:rowOff>
                  </to>
                </anchor>
              </controlPr>
            </control>
          </mc:Choice>
        </mc:AlternateContent>
        <mc:AlternateContent xmlns:mc="http://schemas.openxmlformats.org/markup-compatibility/2006">
          <mc:Choice Requires="x14">
            <control shapeId="65670" r:id="rId118" name="Check Box 134">
              <controlPr locked="0" defaultSize="0" autoFill="0" autoLine="0" autoPict="0">
                <anchor moveWithCells="1">
                  <from>
                    <xdr:col>21</xdr:col>
                    <xdr:colOff>333955</xdr:colOff>
                    <xdr:row>32</xdr:row>
                    <xdr:rowOff>55659</xdr:rowOff>
                  </from>
                  <to>
                    <xdr:col>22</xdr:col>
                    <xdr:colOff>79513</xdr:colOff>
                    <xdr:row>32</xdr:row>
                    <xdr:rowOff>254442</xdr:rowOff>
                  </to>
                </anchor>
              </controlPr>
            </control>
          </mc:Choice>
        </mc:AlternateContent>
        <mc:AlternateContent xmlns:mc="http://schemas.openxmlformats.org/markup-compatibility/2006">
          <mc:Choice Requires="x14">
            <control shapeId="65671" r:id="rId119" name="Check Box 135">
              <controlPr locked="0" defaultSize="0" autoFill="0" autoLine="0" autoPict="0">
                <anchor moveWithCells="1">
                  <from>
                    <xdr:col>17</xdr:col>
                    <xdr:colOff>365760</xdr:colOff>
                    <xdr:row>32</xdr:row>
                    <xdr:rowOff>55659</xdr:rowOff>
                  </from>
                  <to>
                    <xdr:col>18</xdr:col>
                    <xdr:colOff>103367</xdr:colOff>
                    <xdr:row>32</xdr:row>
                    <xdr:rowOff>254442</xdr:rowOff>
                  </to>
                </anchor>
              </controlPr>
            </control>
          </mc:Choice>
        </mc:AlternateContent>
        <mc:AlternateContent xmlns:mc="http://schemas.openxmlformats.org/markup-compatibility/2006">
          <mc:Choice Requires="x14">
            <control shapeId="65672" r:id="rId120" name="Check Box 136">
              <controlPr locked="0" defaultSize="0" autoFill="0" autoLine="0" autoPict="0">
                <anchor moveWithCells="1">
                  <from>
                    <xdr:col>25</xdr:col>
                    <xdr:colOff>341906</xdr:colOff>
                    <xdr:row>32</xdr:row>
                    <xdr:rowOff>55659</xdr:rowOff>
                  </from>
                  <to>
                    <xdr:col>26</xdr:col>
                    <xdr:colOff>95416</xdr:colOff>
                    <xdr:row>32</xdr:row>
                    <xdr:rowOff>254442</xdr:rowOff>
                  </to>
                </anchor>
              </controlPr>
            </control>
          </mc:Choice>
        </mc:AlternateContent>
        <mc:AlternateContent xmlns:mc="http://schemas.openxmlformats.org/markup-compatibility/2006">
          <mc:Choice Requires="x14">
            <control shapeId="65673" r:id="rId121" name="Check Box 137">
              <controlPr locked="0" defaultSize="0" autoFill="0" autoLine="0" autoPict="0">
                <anchor moveWithCells="1">
                  <from>
                    <xdr:col>27</xdr:col>
                    <xdr:colOff>333955</xdr:colOff>
                    <xdr:row>32</xdr:row>
                    <xdr:rowOff>55659</xdr:rowOff>
                  </from>
                  <to>
                    <xdr:col>28</xdr:col>
                    <xdr:colOff>79513</xdr:colOff>
                    <xdr:row>32</xdr:row>
                    <xdr:rowOff>254442</xdr:rowOff>
                  </to>
                </anchor>
              </controlPr>
            </control>
          </mc:Choice>
        </mc:AlternateContent>
        <mc:AlternateContent xmlns:mc="http://schemas.openxmlformats.org/markup-compatibility/2006">
          <mc:Choice Requires="x14">
            <control shapeId="65674" r:id="rId122" name="Check Box 138">
              <controlPr locked="0" defaultSize="0" autoFill="0" autoLine="0" autoPict="0">
                <anchor moveWithCells="1">
                  <from>
                    <xdr:col>23</xdr:col>
                    <xdr:colOff>365760</xdr:colOff>
                    <xdr:row>32</xdr:row>
                    <xdr:rowOff>55659</xdr:rowOff>
                  </from>
                  <to>
                    <xdr:col>24</xdr:col>
                    <xdr:colOff>103367</xdr:colOff>
                    <xdr:row>32</xdr:row>
                    <xdr:rowOff>254442</xdr:rowOff>
                  </to>
                </anchor>
              </controlPr>
            </control>
          </mc:Choice>
        </mc:AlternateContent>
        <mc:AlternateContent xmlns:mc="http://schemas.openxmlformats.org/markup-compatibility/2006">
          <mc:Choice Requires="x14">
            <control shapeId="65675" r:id="rId123" name="Check Box 139">
              <controlPr locked="0" defaultSize="0" autoFill="0" autoLine="0" autoPict="0">
                <anchor moveWithCells="1">
                  <from>
                    <xdr:col>13</xdr:col>
                    <xdr:colOff>341906</xdr:colOff>
                    <xdr:row>33</xdr:row>
                    <xdr:rowOff>55659</xdr:rowOff>
                  </from>
                  <to>
                    <xdr:col>14</xdr:col>
                    <xdr:colOff>95416</xdr:colOff>
                    <xdr:row>33</xdr:row>
                    <xdr:rowOff>254442</xdr:rowOff>
                  </to>
                </anchor>
              </controlPr>
            </control>
          </mc:Choice>
        </mc:AlternateContent>
        <mc:AlternateContent xmlns:mc="http://schemas.openxmlformats.org/markup-compatibility/2006">
          <mc:Choice Requires="x14">
            <control shapeId="65676" r:id="rId124" name="Check Box 140">
              <controlPr locked="0" defaultSize="0" autoFill="0" autoLine="0" autoPict="0">
                <anchor moveWithCells="1">
                  <from>
                    <xdr:col>15</xdr:col>
                    <xdr:colOff>333955</xdr:colOff>
                    <xdr:row>33</xdr:row>
                    <xdr:rowOff>55659</xdr:rowOff>
                  </from>
                  <to>
                    <xdr:col>16</xdr:col>
                    <xdr:colOff>79513</xdr:colOff>
                    <xdr:row>33</xdr:row>
                    <xdr:rowOff>254442</xdr:rowOff>
                  </to>
                </anchor>
              </controlPr>
            </control>
          </mc:Choice>
        </mc:AlternateContent>
        <mc:AlternateContent xmlns:mc="http://schemas.openxmlformats.org/markup-compatibility/2006">
          <mc:Choice Requires="x14">
            <control shapeId="65677" r:id="rId125" name="Check Box 141">
              <controlPr locked="0" defaultSize="0" autoFill="0" autoLine="0" autoPict="0">
                <anchor moveWithCells="1">
                  <from>
                    <xdr:col>11</xdr:col>
                    <xdr:colOff>365760</xdr:colOff>
                    <xdr:row>33</xdr:row>
                    <xdr:rowOff>55659</xdr:rowOff>
                  </from>
                  <to>
                    <xdr:col>12</xdr:col>
                    <xdr:colOff>103367</xdr:colOff>
                    <xdr:row>33</xdr:row>
                    <xdr:rowOff>254442</xdr:rowOff>
                  </to>
                </anchor>
              </controlPr>
            </control>
          </mc:Choice>
        </mc:AlternateContent>
        <mc:AlternateContent xmlns:mc="http://schemas.openxmlformats.org/markup-compatibility/2006">
          <mc:Choice Requires="x14">
            <control shapeId="65678" r:id="rId126" name="Check Box 142">
              <controlPr locked="0" defaultSize="0" autoFill="0" autoLine="0" autoPict="0">
                <anchor moveWithCells="1">
                  <from>
                    <xdr:col>19</xdr:col>
                    <xdr:colOff>341906</xdr:colOff>
                    <xdr:row>33</xdr:row>
                    <xdr:rowOff>55659</xdr:rowOff>
                  </from>
                  <to>
                    <xdr:col>20</xdr:col>
                    <xdr:colOff>95416</xdr:colOff>
                    <xdr:row>33</xdr:row>
                    <xdr:rowOff>254442</xdr:rowOff>
                  </to>
                </anchor>
              </controlPr>
            </control>
          </mc:Choice>
        </mc:AlternateContent>
        <mc:AlternateContent xmlns:mc="http://schemas.openxmlformats.org/markup-compatibility/2006">
          <mc:Choice Requires="x14">
            <control shapeId="65679" r:id="rId127" name="Check Box 143">
              <controlPr locked="0" defaultSize="0" autoFill="0" autoLine="0" autoPict="0">
                <anchor moveWithCells="1">
                  <from>
                    <xdr:col>21</xdr:col>
                    <xdr:colOff>333955</xdr:colOff>
                    <xdr:row>33</xdr:row>
                    <xdr:rowOff>55659</xdr:rowOff>
                  </from>
                  <to>
                    <xdr:col>22</xdr:col>
                    <xdr:colOff>79513</xdr:colOff>
                    <xdr:row>33</xdr:row>
                    <xdr:rowOff>254442</xdr:rowOff>
                  </to>
                </anchor>
              </controlPr>
            </control>
          </mc:Choice>
        </mc:AlternateContent>
        <mc:AlternateContent xmlns:mc="http://schemas.openxmlformats.org/markup-compatibility/2006">
          <mc:Choice Requires="x14">
            <control shapeId="65680" r:id="rId128" name="Check Box 144">
              <controlPr locked="0" defaultSize="0" autoFill="0" autoLine="0" autoPict="0">
                <anchor moveWithCells="1">
                  <from>
                    <xdr:col>17</xdr:col>
                    <xdr:colOff>365760</xdr:colOff>
                    <xdr:row>33</xdr:row>
                    <xdr:rowOff>55659</xdr:rowOff>
                  </from>
                  <to>
                    <xdr:col>18</xdr:col>
                    <xdr:colOff>103367</xdr:colOff>
                    <xdr:row>33</xdr:row>
                    <xdr:rowOff>254442</xdr:rowOff>
                  </to>
                </anchor>
              </controlPr>
            </control>
          </mc:Choice>
        </mc:AlternateContent>
        <mc:AlternateContent xmlns:mc="http://schemas.openxmlformats.org/markup-compatibility/2006">
          <mc:Choice Requires="x14">
            <control shapeId="65681" r:id="rId129" name="Check Box 145">
              <controlPr locked="0" defaultSize="0" autoFill="0" autoLine="0" autoPict="0">
                <anchor moveWithCells="1">
                  <from>
                    <xdr:col>25</xdr:col>
                    <xdr:colOff>341906</xdr:colOff>
                    <xdr:row>33</xdr:row>
                    <xdr:rowOff>55659</xdr:rowOff>
                  </from>
                  <to>
                    <xdr:col>26</xdr:col>
                    <xdr:colOff>95416</xdr:colOff>
                    <xdr:row>33</xdr:row>
                    <xdr:rowOff>254442</xdr:rowOff>
                  </to>
                </anchor>
              </controlPr>
            </control>
          </mc:Choice>
        </mc:AlternateContent>
        <mc:AlternateContent xmlns:mc="http://schemas.openxmlformats.org/markup-compatibility/2006">
          <mc:Choice Requires="x14">
            <control shapeId="65682" r:id="rId130" name="Check Box 146">
              <controlPr locked="0" defaultSize="0" autoFill="0" autoLine="0" autoPict="0">
                <anchor moveWithCells="1">
                  <from>
                    <xdr:col>27</xdr:col>
                    <xdr:colOff>333955</xdr:colOff>
                    <xdr:row>33</xdr:row>
                    <xdr:rowOff>55659</xdr:rowOff>
                  </from>
                  <to>
                    <xdr:col>28</xdr:col>
                    <xdr:colOff>79513</xdr:colOff>
                    <xdr:row>33</xdr:row>
                    <xdr:rowOff>254442</xdr:rowOff>
                  </to>
                </anchor>
              </controlPr>
            </control>
          </mc:Choice>
        </mc:AlternateContent>
        <mc:AlternateContent xmlns:mc="http://schemas.openxmlformats.org/markup-compatibility/2006">
          <mc:Choice Requires="x14">
            <control shapeId="65683" r:id="rId131" name="Check Box 147">
              <controlPr locked="0" defaultSize="0" autoFill="0" autoLine="0" autoPict="0">
                <anchor moveWithCells="1">
                  <from>
                    <xdr:col>23</xdr:col>
                    <xdr:colOff>365760</xdr:colOff>
                    <xdr:row>33</xdr:row>
                    <xdr:rowOff>55659</xdr:rowOff>
                  </from>
                  <to>
                    <xdr:col>24</xdr:col>
                    <xdr:colOff>103367</xdr:colOff>
                    <xdr:row>33</xdr:row>
                    <xdr:rowOff>254442</xdr:rowOff>
                  </to>
                </anchor>
              </controlPr>
            </control>
          </mc:Choice>
        </mc:AlternateContent>
        <mc:AlternateContent xmlns:mc="http://schemas.openxmlformats.org/markup-compatibility/2006">
          <mc:Choice Requires="x14">
            <control shapeId="65684" r:id="rId132" name="Check Box 148">
              <controlPr locked="0" defaultSize="0" autoFill="0" autoLine="0" autoPict="0">
                <anchor moveWithCells="1">
                  <from>
                    <xdr:col>13</xdr:col>
                    <xdr:colOff>341906</xdr:colOff>
                    <xdr:row>34</xdr:row>
                    <xdr:rowOff>55659</xdr:rowOff>
                  </from>
                  <to>
                    <xdr:col>14</xdr:col>
                    <xdr:colOff>95416</xdr:colOff>
                    <xdr:row>34</xdr:row>
                    <xdr:rowOff>254442</xdr:rowOff>
                  </to>
                </anchor>
              </controlPr>
            </control>
          </mc:Choice>
        </mc:AlternateContent>
        <mc:AlternateContent xmlns:mc="http://schemas.openxmlformats.org/markup-compatibility/2006">
          <mc:Choice Requires="x14">
            <control shapeId="65685" r:id="rId133" name="Check Box 149">
              <controlPr locked="0" defaultSize="0" autoFill="0" autoLine="0" autoPict="0">
                <anchor moveWithCells="1">
                  <from>
                    <xdr:col>15</xdr:col>
                    <xdr:colOff>333955</xdr:colOff>
                    <xdr:row>34</xdr:row>
                    <xdr:rowOff>55659</xdr:rowOff>
                  </from>
                  <to>
                    <xdr:col>16</xdr:col>
                    <xdr:colOff>79513</xdr:colOff>
                    <xdr:row>34</xdr:row>
                    <xdr:rowOff>254442</xdr:rowOff>
                  </to>
                </anchor>
              </controlPr>
            </control>
          </mc:Choice>
        </mc:AlternateContent>
        <mc:AlternateContent xmlns:mc="http://schemas.openxmlformats.org/markup-compatibility/2006">
          <mc:Choice Requires="x14">
            <control shapeId="65686" r:id="rId134" name="Check Box 150">
              <controlPr locked="0" defaultSize="0" autoFill="0" autoLine="0" autoPict="0">
                <anchor moveWithCells="1">
                  <from>
                    <xdr:col>11</xdr:col>
                    <xdr:colOff>365760</xdr:colOff>
                    <xdr:row>34</xdr:row>
                    <xdr:rowOff>55659</xdr:rowOff>
                  </from>
                  <to>
                    <xdr:col>12</xdr:col>
                    <xdr:colOff>103367</xdr:colOff>
                    <xdr:row>34</xdr:row>
                    <xdr:rowOff>254442</xdr:rowOff>
                  </to>
                </anchor>
              </controlPr>
            </control>
          </mc:Choice>
        </mc:AlternateContent>
        <mc:AlternateContent xmlns:mc="http://schemas.openxmlformats.org/markup-compatibility/2006">
          <mc:Choice Requires="x14">
            <control shapeId="65687" r:id="rId135" name="Check Box 151">
              <controlPr locked="0" defaultSize="0" autoFill="0" autoLine="0" autoPict="0">
                <anchor moveWithCells="1">
                  <from>
                    <xdr:col>19</xdr:col>
                    <xdr:colOff>341906</xdr:colOff>
                    <xdr:row>34</xdr:row>
                    <xdr:rowOff>55659</xdr:rowOff>
                  </from>
                  <to>
                    <xdr:col>20</xdr:col>
                    <xdr:colOff>95416</xdr:colOff>
                    <xdr:row>34</xdr:row>
                    <xdr:rowOff>254442</xdr:rowOff>
                  </to>
                </anchor>
              </controlPr>
            </control>
          </mc:Choice>
        </mc:AlternateContent>
        <mc:AlternateContent xmlns:mc="http://schemas.openxmlformats.org/markup-compatibility/2006">
          <mc:Choice Requires="x14">
            <control shapeId="65688" r:id="rId136" name="Check Box 152">
              <controlPr locked="0" defaultSize="0" autoFill="0" autoLine="0" autoPict="0">
                <anchor moveWithCells="1">
                  <from>
                    <xdr:col>21</xdr:col>
                    <xdr:colOff>333955</xdr:colOff>
                    <xdr:row>34</xdr:row>
                    <xdr:rowOff>55659</xdr:rowOff>
                  </from>
                  <to>
                    <xdr:col>22</xdr:col>
                    <xdr:colOff>79513</xdr:colOff>
                    <xdr:row>34</xdr:row>
                    <xdr:rowOff>254442</xdr:rowOff>
                  </to>
                </anchor>
              </controlPr>
            </control>
          </mc:Choice>
        </mc:AlternateContent>
        <mc:AlternateContent xmlns:mc="http://schemas.openxmlformats.org/markup-compatibility/2006">
          <mc:Choice Requires="x14">
            <control shapeId="65689" r:id="rId137" name="Check Box 153">
              <controlPr locked="0" defaultSize="0" autoFill="0" autoLine="0" autoPict="0">
                <anchor moveWithCells="1">
                  <from>
                    <xdr:col>17</xdr:col>
                    <xdr:colOff>365760</xdr:colOff>
                    <xdr:row>34</xdr:row>
                    <xdr:rowOff>55659</xdr:rowOff>
                  </from>
                  <to>
                    <xdr:col>18</xdr:col>
                    <xdr:colOff>103367</xdr:colOff>
                    <xdr:row>34</xdr:row>
                    <xdr:rowOff>254442</xdr:rowOff>
                  </to>
                </anchor>
              </controlPr>
            </control>
          </mc:Choice>
        </mc:AlternateContent>
        <mc:AlternateContent xmlns:mc="http://schemas.openxmlformats.org/markup-compatibility/2006">
          <mc:Choice Requires="x14">
            <control shapeId="65690" r:id="rId138" name="Check Box 154">
              <controlPr locked="0" defaultSize="0" autoFill="0" autoLine="0" autoPict="0">
                <anchor moveWithCells="1">
                  <from>
                    <xdr:col>25</xdr:col>
                    <xdr:colOff>341906</xdr:colOff>
                    <xdr:row>34</xdr:row>
                    <xdr:rowOff>55659</xdr:rowOff>
                  </from>
                  <to>
                    <xdr:col>26</xdr:col>
                    <xdr:colOff>95416</xdr:colOff>
                    <xdr:row>34</xdr:row>
                    <xdr:rowOff>254442</xdr:rowOff>
                  </to>
                </anchor>
              </controlPr>
            </control>
          </mc:Choice>
        </mc:AlternateContent>
        <mc:AlternateContent xmlns:mc="http://schemas.openxmlformats.org/markup-compatibility/2006">
          <mc:Choice Requires="x14">
            <control shapeId="65691" r:id="rId139" name="Check Box 155">
              <controlPr locked="0" defaultSize="0" autoFill="0" autoLine="0" autoPict="0">
                <anchor moveWithCells="1">
                  <from>
                    <xdr:col>27</xdr:col>
                    <xdr:colOff>333955</xdr:colOff>
                    <xdr:row>34</xdr:row>
                    <xdr:rowOff>55659</xdr:rowOff>
                  </from>
                  <to>
                    <xdr:col>28</xdr:col>
                    <xdr:colOff>79513</xdr:colOff>
                    <xdr:row>34</xdr:row>
                    <xdr:rowOff>254442</xdr:rowOff>
                  </to>
                </anchor>
              </controlPr>
            </control>
          </mc:Choice>
        </mc:AlternateContent>
        <mc:AlternateContent xmlns:mc="http://schemas.openxmlformats.org/markup-compatibility/2006">
          <mc:Choice Requires="x14">
            <control shapeId="65692" r:id="rId140" name="Check Box 156">
              <controlPr locked="0" defaultSize="0" autoFill="0" autoLine="0" autoPict="0">
                <anchor moveWithCells="1">
                  <from>
                    <xdr:col>23</xdr:col>
                    <xdr:colOff>365760</xdr:colOff>
                    <xdr:row>34</xdr:row>
                    <xdr:rowOff>55659</xdr:rowOff>
                  </from>
                  <to>
                    <xdr:col>24</xdr:col>
                    <xdr:colOff>103367</xdr:colOff>
                    <xdr:row>34</xdr:row>
                    <xdr:rowOff>254442</xdr:rowOff>
                  </to>
                </anchor>
              </controlPr>
            </control>
          </mc:Choice>
        </mc:AlternateContent>
        <mc:AlternateContent xmlns:mc="http://schemas.openxmlformats.org/markup-compatibility/2006">
          <mc:Choice Requires="x14">
            <control shapeId="65693" r:id="rId141" name="Check Box 157">
              <controlPr locked="0" defaultSize="0" autoFill="0" autoLine="0" autoPict="0">
                <anchor moveWithCells="1">
                  <from>
                    <xdr:col>13</xdr:col>
                    <xdr:colOff>341906</xdr:colOff>
                    <xdr:row>35</xdr:row>
                    <xdr:rowOff>103367</xdr:rowOff>
                  </from>
                  <to>
                    <xdr:col>14</xdr:col>
                    <xdr:colOff>95416</xdr:colOff>
                    <xdr:row>35</xdr:row>
                    <xdr:rowOff>326003</xdr:rowOff>
                  </to>
                </anchor>
              </controlPr>
            </control>
          </mc:Choice>
        </mc:AlternateContent>
        <mc:AlternateContent xmlns:mc="http://schemas.openxmlformats.org/markup-compatibility/2006">
          <mc:Choice Requires="x14">
            <control shapeId="65694" r:id="rId142" name="Check Box 158">
              <controlPr locked="0" defaultSize="0" autoFill="0" autoLine="0" autoPict="0">
                <anchor moveWithCells="1">
                  <from>
                    <xdr:col>15</xdr:col>
                    <xdr:colOff>333955</xdr:colOff>
                    <xdr:row>35</xdr:row>
                    <xdr:rowOff>103367</xdr:rowOff>
                  </from>
                  <to>
                    <xdr:col>16</xdr:col>
                    <xdr:colOff>79513</xdr:colOff>
                    <xdr:row>35</xdr:row>
                    <xdr:rowOff>326003</xdr:rowOff>
                  </to>
                </anchor>
              </controlPr>
            </control>
          </mc:Choice>
        </mc:AlternateContent>
        <mc:AlternateContent xmlns:mc="http://schemas.openxmlformats.org/markup-compatibility/2006">
          <mc:Choice Requires="x14">
            <control shapeId="65695" r:id="rId143" name="Check Box 159">
              <controlPr locked="0" defaultSize="0" autoFill="0" autoLine="0" autoPict="0">
                <anchor moveWithCells="1">
                  <from>
                    <xdr:col>11</xdr:col>
                    <xdr:colOff>365760</xdr:colOff>
                    <xdr:row>35</xdr:row>
                    <xdr:rowOff>103367</xdr:rowOff>
                  </from>
                  <to>
                    <xdr:col>12</xdr:col>
                    <xdr:colOff>103367</xdr:colOff>
                    <xdr:row>35</xdr:row>
                    <xdr:rowOff>326003</xdr:rowOff>
                  </to>
                </anchor>
              </controlPr>
            </control>
          </mc:Choice>
        </mc:AlternateContent>
        <mc:AlternateContent xmlns:mc="http://schemas.openxmlformats.org/markup-compatibility/2006">
          <mc:Choice Requires="x14">
            <control shapeId="65696" r:id="rId144" name="Check Box 160">
              <controlPr locked="0" defaultSize="0" autoFill="0" autoLine="0" autoPict="0">
                <anchor moveWithCells="1">
                  <from>
                    <xdr:col>19</xdr:col>
                    <xdr:colOff>341906</xdr:colOff>
                    <xdr:row>35</xdr:row>
                    <xdr:rowOff>103367</xdr:rowOff>
                  </from>
                  <to>
                    <xdr:col>20</xdr:col>
                    <xdr:colOff>95416</xdr:colOff>
                    <xdr:row>35</xdr:row>
                    <xdr:rowOff>326003</xdr:rowOff>
                  </to>
                </anchor>
              </controlPr>
            </control>
          </mc:Choice>
        </mc:AlternateContent>
        <mc:AlternateContent xmlns:mc="http://schemas.openxmlformats.org/markup-compatibility/2006">
          <mc:Choice Requires="x14">
            <control shapeId="65697" r:id="rId145" name="Check Box 161">
              <controlPr locked="0" defaultSize="0" autoFill="0" autoLine="0" autoPict="0">
                <anchor moveWithCells="1">
                  <from>
                    <xdr:col>21</xdr:col>
                    <xdr:colOff>333955</xdr:colOff>
                    <xdr:row>35</xdr:row>
                    <xdr:rowOff>103367</xdr:rowOff>
                  </from>
                  <to>
                    <xdr:col>22</xdr:col>
                    <xdr:colOff>79513</xdr:colOff>
                    <xdr:row>35</xdr:row>
                    <xdr:rowOff>326003</xdr:rowOff>
                  </to>
                </anchor>
              </controlPr>
            </control>
          </mc:Choice>
        </mc:AlternateContent>
        <mc:AlternateContent xmlns:mc="http://schemas.openxmlformats.org/markup-compatibility/2006">
          <mc:Choice Requires="x14">
            <control shapeId="65698" r:id="rId146" name="Check Box 162">
              <controlPr locked="0" defaultSize="0" autoFill="0" autoLine="0" autoPict="0">
                <anchor moveWithCells="1">
                  <from>
                    <xdr:col>17</xdr:col>
                    <xdr:colOff>365760</xdr:colOff>
                    <xdr:row>35</xdr:row>
                    <xdr:rowOff>103367</xdr:rowOff>
                  </from>
                  <to>
                    <xdr:col>18</xdr:col>
                    <xdr:colOff>103367</xdr:colOff>
                    <xdr:row>35</xdr:row>
                    <xdr:rowOff>326003</xdr:rowOff>
                  </to>
                </anchor>
              </controlPr>
            </control>
          </mc:Choice>
        </mc:AlternateContent>
        <mc:AlternateContent xmlns:mc="http://schemas.openxmlformats.org/markup-compatibility/2006">
          <mc:Choice Requires="x14">
            <control shapeId="65699" r:id="rId147" name="Check Box 163">
              <controlPr locked="0" defaultSize="0" autoFill="0" autoLine="0" autoPict="0">
                <anchor moveWithCells="1">
                  <from>
                    <xdr:col>25</xdr:col>
                    <xdr:colOff>341906</xdr:colOff>
                    <xdr:row>35</xdr:row>
                    <xdr:rowOff>103367</xdr:rowOff>
                  </from>
                  <to>
                    <xdr:col>26</xdr:col>
                    <xdr:colOff>95416</xdr:colOff>
                    <xdr:row>35</xdr:row>
                    <xdr:rowOff>326003</xdr:rowOff>
                  </to>
                </anchor>
              </controlPr>
            </control>
          </mc:Choice>
        </mc:AlternateContent>
        <mc:AlternateContent xmlns:mc="http://schemas.openxmlformats.org/markup-compatibility/2006">
          <mc:Choice Requires="x14">
            <control shapeId="65700" r:id="rId148" name="Check Box 164">
              <controlPr locked="0" defaultSize="0" autoFill="0" autoLine="0" autoPict="0">
                <anchor moveWithCells="1">
                  <from>
                    <xdr:col>27</xdr:col>
                    <xdr:colOff>333955</xdr:colOff>
                    <xdr:row>35</xdr:row>
                    <xdr:rowOff>103367</xdr:rowOff>
                  </from>
                  <to>
                    <xdr:col>28</xdr:col>
                    <xdr:colOff>79513</xdr:colOff>
                    <xdr:row>35</xdr:row>
                    <xdr:rowOff>326003</xdr:rowOff>
                  </to>
                </anchor>
              </controlPr>
            </control>
          </mc:Choice>
        </mc:AlternateContent>
        <mc:AlternateContent xmlns:mc="http://schemas.openxmlformats.org/markup-compatibility/2006">
          <mc:Choice Requires="x14">
            <control shapeId="65701" r:id="rId149" name="Check Box 165">
              <controlPr locked="0" defaultSize="0" autoFill="0" autoLine="0" autoPict="0">
                <anchor moveWithCells="1">
                  <from>
                    <xdr:col>23</xdr:col>
                    <xdr:colOff>365760</xdr:colOff>
                    <xdr:row>35</xdr:row>
                    <xdr:rowOff>103367</xdr:rowOff>
                  </from>
                  <to>
                    <xdr:col>24</xdr:col>
                    <xdr:colOff>103367</xdr:colOff>
                    <xdr:row>35</xdr:row>
                    <xdr:rowOff>326003</xdr:rowOff>
                  </to>
                </anchor>
              </controlPr>
            </control>
          </mc:Choice>
        </mc:AlternateContent>
        <mc:AlternateContent xmlns:mc="http://schemas.openxmlformats.org/markup-compatibility/2006">
          <mc:Choice Requires="x14">
            <control shapeId="65702" r:id="rId150" name="Check Box 166">
              <controlPr locked="0" defaultSize="0" autoFill="0" autoLine="0" autoPict="0">
                <anchor moveWithCells="1">
                  <from>
                    <xdr:col>13</xdr:col>
                    <xdr:colOff>341906</xdr:colOff>
                    <xdr:row>36</xdr:row>
                    <xdr:rowOff>55659</xdr:rowOff>
                  </from>
                  <to>
                    <xdr:col>14</xdr:col>
                    <xdr:colOff>95416</xdr:colOff>
                    <xdr:row>36</xdr:row>
                    <xdr:rowOff>254442</xdr:rowOff>
                  </to>
                </anchor>
              </controlPr>
            </control>
          </mc:Choice>
        </mc:AlternateContent>
        <mc:AlternateContent xmlns:mc="http://schemas.openxmlformats.org/markup-compatibility/2006">
          <mc:Choice Requires="x14">
            <control shapeId="65703" r:id="rId151" name="Check Box 167">
              <controlPr locked="0" defaultSize="0" autoFill="0" autoLine="0" autoPict="0">
                <anchor moveWithCells="1">
                  <from>
                    <xdr:col>15</xdr:col>
                    <xdr:colOff>333955</xdr:colOff>
                    <xdr:row>36</xdr:row>
                    <xdr:rowOff>55659</xdr:rowOff>
                  </from>
                  <to>
                    <xdr:col>16</xdr:col>
                    <xdr:colOff>79513</xdr:colOff>
                    <xdr:row>36</xdr:row>
                    <xdr:rowOff>254442</xdr:rowOff>
                  </to>
                </anchor>
              </controlPr>
            </control>
          </mc:Choice>
        </mc:AlternateContent>
        <mc:AlternateContent xmlns:mc="http://schemas.openxmlformats.org/markup-compatibility/2006">
          <mc:Choice Requires="x14">
            <control shapeId="65704" r:id="rId152" name="Check Box 168">
              <controlPr locked="0" defaultSize="0" autoFill="0" autoLine="0" autoPict="0">
                <anchor moveWithCells="1">
                  <from>
                    <xdr:col>11</xdr:col>
                    <xdr:colOff>365760</xdr:colOff>
                    <xdr:row>36</xdr:row>
                    <xdr:rowOff>55659</xdr:rowOff>
                  </from>
                  <to>
                    <xdr:col>12</xdr:col>
                    <xdr:colOff>103367</xdr:colOff>
                    <xdr:row>36</xdr:row>
                    <xdr:rowOff>254442</xdr:rowOff>
                  </to>
                </anchor>
              </controlPr>
            </control>
          </mc:Choice>
        </mc:AlternateContent>
        <mc:AlternateContent xmlns:mc="http://schemas.openxmlformats.org/markup-compatibility/2006">
          <mc:Choice Requires="x14">
            <control shapeId="65705" r:id="rId153" name="Check Box 169">
              <controlPr locked="0" defaultSize="0" autoFill="0" autoLine="0" autoPict="0">
                <anchor moveWithCells="1">
                  <from>
                    <xdr:col>19</xdr:col>
                    <xdr:colOff>341906</xdr:colOff>
                    <xdr:row>36</xdr:row>
                    <xdr:rowOff>55659</xdr:rowOff>
                  </from>
                  <to>
                    <xdr:col>20</xdr:col>
                    <xdr:colOff>95416</xdr:colOff>
                    <xdr:row>36</xdr:row>
                    <xdr:rowOff>254442</xdr:rowOff>
                  </to>
                </anchor>
              </controlPr>
            </control>
          </mc:Choice>
        </mc:AlternateContent>
        <mc:AlternateContent xmlns:mc="http://schemas.openxmlformats.org/markup-compatibility/2006">
          <mc:Choice Requires="x14">
            <control shapeId="65706" r:id="rId154" name="Check Box 170">
              <controlPr locked="0" defaultSize="0" autoFill="0" autoLine="0" autoPict="0">
                <anchor moveWithCells="1">
                  <from>
                    <xdr:col>21</xdr:col>
                    <xdr:colOff>333955</xdr:colOff>
                    <xdr:row>36</xdr:row>
                    <xdr:rowOff>55659</xdr:rowOff>
                  </from>
                  <to>
                    <xdr:col>22</xdr:col>
                    <xdr:colOff>79513</xdr:colOff>
                    <xdr:row>36</xdr:row>
                    <xdr:rowOff>254442</xdr:rowOff>
                  </to>
                </anchor>
              </controlPr>
            </control>
          </mc:Choice>
        </mc:AlternateContent>
        <mc:AlternateContent xmlns:mc="http://schemas.openxmlformats.org/markup-compatibility/2006">
          <mc:Choice Requires="x14">
            <control shapeId="65707" r:id="rId155" name="Check Box 171">
              <controlPr locked="0" defaultSize="0" autoFill="0" autoLine="0" autoPict="0">
                <anchor moveWithCells="1">
                  <from>
                    <xdr:col>17</xdr:col>
                    <xdr:colOff>365760</xdr:colOff>
                    <xdr:row>36</xdr:row>
                    <xdr:rowOff>55659</xdr:rowOff>
                  </from>
                  <to>
                    <xdr:col>18</xdr:col>
                    <xdr:colOff>103367</xdr:colOff>
                    <xdr:row>36</xdr:row>
                    <xdr:rowOff>254442</xdr:rowOff>
                  </to>
                </anchor>
              </controlPr>
            </control>
          </mc:Choice>
        </mc:AlternateContent>
        <mc:AlternateContent xmlns:mc="http://schemas.openxmlformats.org/markup-compatibility/2006">
          <mc:Choice Requires="x14">
            <control shapeId="65708" r:id="rId156" name="Check Box 172">
              <controlPr locked="0" defaultSize="0" autoFill="0" autoLine="0" autoPict="0">
                <anchor moveWithCells="1">
                  <from>
                    <xdr:col>25</xdr:col>
                    <xdr:colOff>341906</xdr:colOff>
                    <xdr:row>36</xdr:row>
                    <xdr:rowOff>55659</xdr:rowOff>
                  </from>
                  <to>
                    <xdr:col>26</xdr:col>
                    <xdr:colOff>95416</xdr:colOff>
                    <xdr:row>36</xdr:row>
                    <xdr:rowOff>254442</xdr:rowOff>
                  </to>
                </anchor>
              </controlPr>
            </control>
          </mc:Choice>
        </mc:AlternateContent>
        <mc:AlternateContent xmlns:mc="http://schemas.openxmlformats.org/markup-compatibility/2006">
          <mc:Choice Requires="x14">
            <control shapeId="65709" r:id="rId157" name="Check Box 173">
              <controlPr locked="0" defaultSize="0" autoFill="0" autoLine="0" autoPict="0">
                <anchor moveWithCells="1">
                  <from>
                    <xdr:col>27</xdr:col>
                    <xdr:colOff>333955</xdr:colOff>
                    <xdr:row>36</xdr:row>
                    <xdr:rowOff>55659</xdr:rowOff>
                  </from>
                  <to>
                    <xdr:col>28</xdr:col>
                    <xdr:colOff>79513</xdr:colOff>
                    <xdr:row>36</xdr:row>
                    <xdr:rowOff>254442</xdr:rowOff>
                  </to>
                </anchor>
              </controlPr>
            </control>
          </mc:Choice>
        </mc:AlternateContent>
        <mc:AlternateContent xmlns:mc="http://schemas.openxmlformats.org/markup-compatibility/2006">
          <mc:Choice Requires="x14">
            <control shapeId="65710" r:id="rId158" name="Check Box 174">
              <controlPr locked="0" defaultSize="0" autoFill="0" autoLine="0" autoPict="0">
                <anchor moveWithCells="1">
                  <from>
                    <xdr:col>23</xdr:col>
                    <xdr:colOff>365760</xdr:colOff>
                    <xdr:row>36</xdr:row>
                    <xdr:rowOff>55659</xdr:rowOff>
                  </from>
                  <to>
                    <xdr:col>24</xdr:col>
                    <xdr:colOff>103367</xdr:colOff>
                    <xdr:row>36</xdr:row>
                    <xdr:rowOff>254442</xdr:rowOff>
                  </to>
                </anchor>
              </controlPr>
            </control>
          </mc:Choice>
        </mc:AlternateContent>
        <mc:AlternateContent xmlns:mc="http://schemas.openxmlformats.org/markup-compatibility/2006">
          <mc:Choice Requires="x14">
            <control shapeId="65711" r:id="rId159" name="Check Box 175">
              <controlPr locked="0" defaultSize="0" autoFill="0" autoLine="0" autoPict="0">
                <anchor moveWithCells="1">
                  <from>
                    <xdr:col>13</xdr:col>
                    <xdr:colOff>341906</xdr:colOff>
                    <xdr:row>37</xdr:row>
                    <xdr:rowOff>55659</xdr:rowOff>
                  </from>
                  <to>
                    <xdr:col>14</xdr:col>
                    <xdr:colOff>95416</xdr:colOff>
                    <xdr:row>37</xdr:row>
                    <xdr:rowOff>254442</xdr:rowOff>
                  </to>
                </anchor>
              </controlPr>
            </control>
          </mc:Choice>
        </mc:AlternateContent>
        <mc:AlternateContent xmlns:mc="http://schemas.openxmlformats.org/markup-compatibility/2006">
          <mc:Choice Requires="x14">
            <control shapeId="65712" r:id="rId160" name="Check Box 176">
              <controlPr locked="0" defaultSize="0" autoFill="0" autoLine="0" autoPict="0">
                <anchor moveWithCells="1">
                  <from>
                    <xdr:col>15</xdr:col>
                    <xdr:colOff>333955</xdr:colOff>
                    <xdr:row>37</xdr:row>
                    <xdr:rowOff>55659</xdr:rowOff>
                  </from>
                  <to>
                    <xdr:col>16</xdr:col>
                    <xdr:colOff>79513</xdr:colOff>
                    <xdr:row>37</xdr:row>
                    <xdr:rowOff>254442</xdr:rowOff>
                  </to>
                </anchor>
              </controlPr>
            </control>
          </mc:Choice>
        </mc:AlternateContent>
        <mc:AlternateContent xmlns:mc="http://schemas.openxmlformats.org/markup-compatibility/2006">
          <mc:Choice Requires="x14">
            <control shapeId="65713" r:id="rId161" name="Check Box 177">
              <controlPr locked="0" defaultSize="0" autoFill="0" autoLine="0" autoPict="0">
                <anchor moveWithCells="1">
                  <from>
                    <xdr:col>11</xdr:col>
                    <xdr:colOff>365760</xdr:colOff>
                    <xdr:row>37</xdr:row>
                    <xdr:rowOff>55659</xdr:rowOff>
                  </from>
                  <to>
                    <xdr:col>12</xdr:col>
                    <xdr:colOff>103367</xdr:colOff>
                    <xdr:row>37</xdr:row>
                    <xdr:rowOff>254442</xdr:rowOff>
                  </to>
                </anchor>
              </controlPr>
            </control>
          </mc:Choice>
        </mc:AlternateContent>
        <mc:AlternateContent xmlns:mc="http://schemas.openxmlformats.org/markup-compatibility/2006">
          <mc:Choice Requires="x14">
            <control shapeId="65714" r:id="rId162" name="Check Box 178">
              <controlPr locked="0" defaultSize="0" autoFill="0" autoLine="0" autoPict="0">
                <anchor moveWithCells="1">
                  <from>
                    <xdr:col>19</xdr:col>
                    <xdr:colOff>341906</xdr:colOff>
                    <xdr:row>37</xdr:row>
                    <xdr:rowOff>55659</xdr:rowOff>
                  </from>
                  <to>
                    <xdr:col>20</xdr:col>
                    <xdr:colOff>95416</xdr:colOff>
                    <xdr:row>37</xdr:row>
                    <xdr:rowOff>254442</xdr:rowOff>
                  </to>
                </anchor>
              </controlPr>
            </control>
          </mc:Choice>
        </mc:AlternateContent>
        <mc:AlternateContent xmlns:mc="http://schemas.openxmlformats.org/markup-compatibility/2006">
          <mc:Choice Requires="x14">
            <control shapeId="65715" r:id="rId163" name="Check Box 179">
              <controlPr locked="0" defaultSize="0" autoFill="0" autoLine="0" autoPict="0">
                <anchor moveWithCells="1">
                  <from>
                    <xdr:col>21</xdr:col>
                    <xdr:colOff>333955</xdr:colOff>
                    <xdr:row>37</xdr:row>
                    <xdr:rowOff>55659</xdr:rowOff>
                  </from>
                  <to>
                    <xdr:col>22</xdr:col>
                    <xdr:colOff>79513</xdr:colOff>
                    <xdr:row>37</xdr:row>
                    <xdr:rowOff>254442</xdr:rowOff>
                  </to>
                </anchor>
              </controlPr>
            </control>
          </mc:Choice>
        </mc:AlternateContent>
        <mc:AlternateContent xmlns:mc="http://schemas.openxmlformats.org/markup-compatibility/2006">
          <mc:Choice Requires="x14">
            <control shapeId="65716" r:id="rId164" name="Check Box 180">
              <controlPr locked="0" defaultSize="0" autoFill="0" autoLine="0" autoPict="0">
                <anchor moveWithCells="1">
                  <from>
                    <xdr:col>17</xdr:col>
                    <xdr:colOff>365760</xdr:colOff>
                    <xdr:row>37</xdr:row>
                    <xdr:rowOff>55659</xdr:rowOff>
                  </from>
                  <to>
                    <xdr:col>18</xdr:col>
                    <xdr:colOff>103367</xdr:colOff>
                    <xdr:row>37</xdr:row>
                    <xdr:rowOff>254442</xdr:rowOff>
                  </to>
                </anchor>
              </controlPr>
            </control>
          </mc:Choice>
        </mc:AlternateContent>
        <mc:AlternateContent xmlns:mc="http://schemas.openxmlformats.org/markup-compatibility/2006">
          <mc:Choice Requires="x14">
            <control shapeId="65717" r:id="rId165" name="Check Box 181">
              <controlPr locked="0" defaultSize="0" autoFill="0" autoLine="0" autoPict="0">
                <anchor moveWithCells="1">
                  <from>
                    <xdr:col>25</xdr:col>
                    <xdr:colOff>341906</xdr:colOff>
                    <xdr:row>37</xdr:row>
                    <xdr:rowOff>55659</xdr:rowOff>
                  </from>
                  <to>
                    <xdr:col>26</xdr:col>
                    <xdr:colOff>95416</xdr:colOff>
                    <xdr:row>37</xdr:row>
                    <xdr:rowOff>254442</xdr:rowOff>
                  </to>
                </anchor>
              </controlPr>
            </control>
          </mc:Choice>
        </mc:AlternateContent>
        <mc:AlternateContent xmlns:mc="http://schemas.openxmlformats.org/markup-compatibility/2006">
          <mc:Choice Requires="x14">
            <control shapeId="65718" r:id="rId166" name="Check Box 182">
              <controlPr locked="0" defaultSize="0" autoFill="0" autoLine="0" autoPict="0">
                <anchor moveWithCells="1">
                  <from>
                    <xdr:col>27</xdr:col>
                    <xdr:colOff>333955</xdr:colOff>
                    <xdr:row>37</xdr:row>
                    <xdr:rowOff>55659</xdr:rowOff>
                  </from>
                  <to>
                    <xdr:col>28</xdr:col>
                    <xdr:colOff>79513</xdr:colOff>
                    <xdr:row>37</xdr:row>
                    <xdr:rowOff>254442</xdr:rowOff>
                  </to>
                </anchor>
              </controlPr>
            </control>
          </mc:Choice>
        </mc:AlternateContent>
        <mc:AlternateContent xmlns:mc="http://schemas.openxmlformats.org/markup-compatibility/2006">
          <mc:Choice Requires="x14">
            <control shapeId="65719" r:id="rId167" name="Check Box 183">
              <controlPr locked="0" defaultSize="0" autoFill="0" autoLine="0" autoPict="0">
                <anchor moveWithCells="1">
                  <from>
                    <xdr:col>23</xdr:col>
                    <xdr:colOff>365760</xdr:colOff>
                    <xdr:row>37</xdr:row>
                    <xdr:rowOff>55659</xdr:rowOff>
                  </from>
                  <to>
                    <xdr:col>24</xdr:col>
                    <xdr:colOff>103367</xdr:colOff>
                    <xdr:row>37</xdr:row>
                    <xdr:rowOff>254442</xdr:rowOff>
                  </to>
                </anchor>
              </controlPr>
            </control>
          </mc:Choice>
        </mc:AlternateContent>
        <mc:AlternateContent xmlns:mc="http://schemas.openxmlformats.org/markup-compatibility/2006">
          <mc:Choice Requires="x14">
            <control shapeId="65722" r:id="rId168" name="Drop Down 186">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tabColor theme="6" tint="0.39997558519241921"/>
    <pageSetUpPr fitToPage="1"/>
  </sheetPr>
  <dimension ref="A1:EW361"/>
  <sheetViews>
    <sheetView showGridLines="0" topLeftCell="A21" zoomScale="85" zoomScaleNormal="85" zoomScaleSheetLayoutView="130" workbookViewId="0">
      <selection activeCell="V44" sqref="V44"/>
    </sheetView>
  </sheetViews>
  <sheetFormatPr baseColWidth="10" defaultColWidth="4.3984375" defaultRowHeight="20.05" customHeight="1" x14ac:dyDescent="0.25"/>
  <cols>
    <col min="1" max="1" width="1.3984375" style="376" customWidth="1"/>
    <col min="2" max="4" width="4.8984375" style="377" customWidth="1"/>
    <col min="5" max="5" width="6.69921875" style="377" customWidth="1"/>
    <col min="6" max="9" width="4.8984375" style="377" customWidth="1"/>
    <col min="10" max="10" width="5.19921875" style="377" customWidth="1"/>
    <col min="11" max="14" width="4.8984375" style="377" customWidth="1"/>
    <col min="15" max="15" width="2.3984375" style="377" customWidth="1"/>
    <col min="16" max="16" width="7.8984375" style="377" bestFit="1" customWidth="1"/>
    <col min="17" max="17" width="4.3984375" style="377"/>
    <col min="18" max="18" width="6.09765625" style="377" customWidth="1"/>
    <col min="19" max="21" width="4.3984375" style="377"/>
    <col min="22" max="22" width="5.8984375" style="377" customWidth="1"/>
    <col min="23" max="23" width="7.19921875" style="377" customWidth="1"/>
    <col min="24" max="24" width="6.8984375" style="377" customWidth="1"/>
    <col min="25" max="25" width="4.3984375" style="377" customWidth="1"/>
    <col min="26" max="27" width="4.3984375" style="377"/>
    <col min="28" max="28" width="6.69921875" style="377" customWidth="1"/>
    <col min="29" max="29" width="1.3984375" style="376" customWidth="1"/>
    <col min="30" max="49" width="4.3984375" style="376"/>
    <col min="50" max="50" width="7.3984375" style="376" customWidth="1"/>
    <col min="51" max="153" width="4.3984375" style="376"/>
    <col min="154" max="16384" width="4.3984375" style="377"/>
  </cols>
  <sheetData>
    <row r="1" spans="1:153" s="375" customFormat="1" ht="17.7" customHeight="1" x14ac:dyDescent="0.25">
      <c r="A1" s="2816"/>
      <c r="B1" s="2817" t="str">
        <f>HLOOKUP(LANGUAGE!$B$2,LANGUAGE!$C$14:$G$2500,1709)</f>
        <v>Measurement alignment</v>
      </c>
      <c r="C1" s="2817"/>
      <c r="D1" s="2817"/>
      <c r="E1" s="2817"/>
      <c r="F1" s="2817"/>
      <c r="G1" s="2817"/>
      <c r="H1" s="2817"/>
      <c r="I1" s="2817"/>
      <c r="J1" s="2817"/>
      <c r="K1" s="264"/>
      <c r="L1" s="264"/>
      <c r="M1" s="264"/>
      <c r="N1" s="264"/>
      <c r="O1" s="264"/>
      <c r="P1" s="2818" t="s">
        <v>2</v>
      </c>
      <c r="Q1" s="2818"/>
      <c r="R1" s="2818"/>
      <c r="S1" s="264"/>
      <c r="T1" s="264"/>
      <c r="U1" s="264"/>
      <c r="V1" s="264"/>
      <c r="W1" s="264"/>
      <c r="X1" s="264"/>
      <c r="Y1" s="372"/>
      <c r="Z1" s="373"/>
      <c r="AA1" s="373"/>
      <c r="AB1" s="373"/>
      <c r="AC1" s="374"/>
      <c r="AD1" s="374"/>
      <c r="AE1" s="374"/>
      <c r="AF1" s="374"/>
      <c r="AG1" s="374"/>
      <c r="AH1" s="374"/>
      <c r="AI1" s="374"/>
      <c r="AJ1" s="374"/>
      <c r="AK1" s="374"/>
      <c r="AL1" s="374"/>
      <c r="AM1" s="374"/>
      <c r="AN1" s="374"/>
      <c r="AO1" s="374"/>
      <c r="AP1" s="374"/>
      <c r="AQ1" s="374"/>
      <c r="AR1" s="374"/>
      <c r="AS1" s="374"/>
      <c r="AT1" s="374"/>
      <c r="AU1" s="374"/>
      <c r="AV1" s="374"/>
      <c r="AW1" s="374"/>
      <c r="AX1" s="374"/>
      <c r="AY1" s="374"/>
      <c r="AZ1" s="374"/>
      <c r="BA1" s="374"/>
      <c r="BB1" s="374"/>
      <c r="BC1" s="374"/>
      <c r="BD1" s="374"/>
      <c r="BE1" s="374"/>
      <c r="BF1" s="374"/>
      <c r="BG1" s="374"/>
      <c r="BH1" s="374"/>
      <c r="BI1" s="374"/>
      <c r="BJ1" s="374"/>
      <c r="BK1" s="374"/>
      <c r="BL1" s="374"/>
      <c r="BM1" s="374"/>
      <c r="BN1" s="374"/>
      <c r="BO1" s="374"/>
      <c r="BP1" s="374"/>
      <c r="BQ1" s="374"/>
      <c r="BR1" s="374"/>
      <c r="BS1" s="374"/>
      <c r="BT1" s="374"/>
      <c r="BU1" s="374"/>
      <c r="BV1" s="374"/>
      <c r="BW1" s="374"/>
      <c r="BX1" s="374"/>
      <c r="BY1" s="374"/>
      <c r="BZ1" s="374"/>
      <c r="CA1" s="374"/>
      <c r="CB1" s="374"/>
      <c r="CC1" s="374"/>
      <c r="CD1" s="374"/>
      <c r="CE1" s="374"/>
      <c r="CF1" s="374"/>
      <c r="CG1" s="374"/>
      <c r="CH1" s="374"/>
      <c r="CI1" s="374"/>
      <c r="CJ1" s="374"/>
      <c r="CK1" s="374"/>
      <c r="CL1" s="374"/>
      <c r="CM1" s="374"/>
      <c r="CN1" s="374"/>
      <c r="CO1" s="374"/>
      <c r="CP1" s="374"/>
      <c r="CQ1" s="374"/>
      <c r="CR1" s="374"/>
      <c r="CS1" s="374"/>
      <c r="CT1" s="374"/>
      <c r="CU1" s="374"/>
      <c r="CV1" s="374"/>
      <c r="CW1" s="374"/>
      <c r="CX1" s="374"/>
      <c r="CY1" s="374"/>
      <c r="CZ1" s="374"/>
      <c r="DA1" s="374"/>
      <c r="DB1" s="374"/>
      <c r="DC1" s="374"/>
      <c r="DD1" s="374"/>
      <c r="DE1" s="374"/>
      <c r="DF1" s="374"/>
      <c r="DG1" s="374"/>
      <c r="DH1" s="374"/>
      <c r="DI1" s="374"/>
      <c r="DJ1" s="374"/>
      <c r="DK1" s="374"/>
      <c r="DL1" s="374"/>
      <c r="DM1" s="374"/>
      <c r="DN1" s="374"/>
      <c r="DO1" s="374"/>
      <c r="DP1" s="374"/>
      <c r="DQ1" s="374"/>
      <c r="DR1" s="374"/>
      <c r="DS1" s="374"/>
      <c r="DT1" s="374"/>
      <c r="DU1" s="374"/>
      <c r="DV1" s="374"/>
      <c r="DW1" s="374"/>
      <c r="DX1" s="374"/>
      <c r="DY1" s="374"/>
      <c r="DZ1" s="374"/>
      <c r="EA1" s="374"/>
      <c r="EB1" s="374"/>
      <c r="EC1" s="374"/>
      <c r="ED1" s="374"/>
      <c r="EE1" s="374"/>
      <c r="EF1" s="374"/>
      <c r="EG1" s="374"/>
      <c r="EH1" s="374"/>
      <c r="EI1" s="374"/>
      <c r="EJ1" s="374"/>
      <c r="EK1" s="374"/>
      <c r="EL1" s="374"/>
      <c r="EM1" s="374"/>
      <c r="EN1" s="374"/>
      <c r="EO1" s="374"/>
      <c r="EP1" s="374"/>
      <c r="EQ1" s="374"/>
      <c r="ER1" s="374"/>
      <c r="ES1" s="374"/>
      <c r="ET1" s="374"/>
      <c r="EU1" s="374"/>
      <c r="EV1" s="374"/>
      <c r="EW1" s="374"/>
    </row>
    <row r="2" spans="1:153" s="375" customFormat="1" ht="17.7" customHeight="1" x14ac:dyDescent="0.25">
      <c r="A2" s="2816"/>
      <c r="B2" s="2817"/>
      <c r="C2" s="2817"/>
      <c r="D2" s="2817"/>
      <c r="E2" s="2817"/>
      <c r="F2" s="2817"/>
      <c r="G2" s="2817"/>
      <c r="H2" s="2817"/>
      <c r="I2" s="2817"/>
      <c r="J2" s="2817"/>
      <c r="K2" s="264"/>
      <c r="L2" s="264"/>
      <c r="M2" s="264"/>
      <c r="N2" s="264"/>
      <c r="O2" s="264"/>
      <c r="P2" s="2818" t="s">
        <v>1774</v>
      </c>
      <c r="Q2" s="2818"/>
      <c r="R2" s="2818"/>
      <c r="S2" s="264"/>
      <c r="T2" s="264"/>
      <c r="U2" s="264"/>
      <c r="V2" s="264"/>
      <c r="W2" s="264"/>
      <c r="X2" s="264"/>
      <c r="Y2" s="264"/>
      <c r="Z2" s="373"/>
      <c r="AA2" s="373"/>
      <c r="AB2" s="373"/>
      <c r="AC2" s="374"/>
      <c r="AD2" s="374"/>
      <c r="AE2" s="374"/>
      <c r="AF2" s="374"/>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c r="BL2" s="374"/>
      <c r="BM2" s="374"/>
      <c r="BN2" s="374"/>
      <c r="BO2" s="374"/>
      <c r="BP2" s="374"/>
      <c r="BQ2" s="374"/>
      <c r="BR2" s="374"/>
      <c r="BS2" s="374"/>
      <c r="BT2" s="374"/>
      <c r="BU2" s="374"/>
      <c r="BV2" s="374"/>
      <c r="BW2" s="374"/>
      <c r="BX2" s="374"/>
      <c r="BY2" s="374"/>
      <c r="BZ2" s="374"/>
      <c r="CA2" s="374"/>
      <c r="CB2" s="374"/>
      <c r="CC2" s="374"/>
      <c r="CD2" s="374"/>
      <c r="CE2" s="374"/>
      <c r="CF2" s="374"/>
      <c r="CG2" s="374"/>
      <c r="CH2" s="374"/>
      <c r="CI2" s="374"/>
      <c r="CJ2" s="374"/>
      <c r="CK2" s="374"/>
      <c r="CL2" s="374"/>
      <c r="CM2" s="374"/>
      <c r="CN2" s="374"/>
      <c r="CO2" s="374"/>
      <c r="CP2" s="374"/>
      <c r="CQ2" s="374"/>
      <c r="CR2" s="374"/>
      <c r="CS2" s="374"/>
      <c r="CT2" s="374"/>
      <c r="CU2" s="374"/>
      <c r="CV2" s="374"/>
      <c r="CW2" s="374"/>
      <c r="CX2" s="374"/>
      <c r="CY2" s="374"/>
      <c r="CZ2" s="374"/>
      <c r="DA2" s="374"/>
      <c r="DB2" s="374"/>
      <c r="DC2" s="374"/>
      <c r="DD2" s="374"/>
      <c r="DE2" s="374"/>
      <c r="DF2" s="374"/>
      <c r="DG2" s="374"/>
      <c r="DH2" s="374"/>
      <c r="DI2" s="374"/>
      <c r="DJ2" s="374"/>
      <c r="DK2" s="374"/>
      <c r="DL2" s="374"/>
      <c r="DM2" s="374"/>
      <c r="DN2" s="374"/>
      <c r="DO2" s="374"/>
      <c r="DP2" s="374"/>
      <c r="DQ2" s="374"/>
      <c r="DR2" s="374"/>
      <c r="DS2" s="374"/>
      <c r="DT2" s="374"/>
      <c r="DU2" s="374"/>
      <c r="DV2" s="374"/>
      <c r="DW2" s="374"/>
      <c r="DX2" s="374"/>
      <c r="DY2" s="374"/>
      <c r="DZ2" s="374"/>
      <c r="EA2" s="374"/>
      <c r="EB2" s="374"/>
      <c r="EC2" s="374"/>
      <c r="ED2" s="374"/>
      <c r="EE2" s="374"/>
      <c r="EF2" s="374"/>
      <c r="EG2" s="374"/>
      <c r="EH2" s="374"/>
      <c r="EI2" s="374"/>
      <c r="EJ2" s="374"/>
      <c r="EK2" s="374"/>
      <c r="EL2" s="374"/>
      <c r="EM2" s="374"/>
      <c r="EN2" s="374"/>
      <c r="EO2" s="374"/>
      <c r="EP2" s="374"/>
      <c r="EQ2" s="374"/>
      <c r="ER2" s="374"/>
      <c r="ES2" s="374"/>
      <c r="ET2" s="374"/>
      <c r="EU2" s="374"/>
      <c r="EV2" s="374"/>
      <c r="EW2" s="374"/>
    </row>
    <row r="3" spans="1:153" ht="10.050000000000001" customHeight="1" x14ac:dyDescent="0.25">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row>
    <row r="4" spans="1:153" ht="20.05" customHeight="1" x14ac:dyDescent="0.25">
      <c r="B4" s="564" t="str">
        <f>HLOOKUP(LANGUAGE!$B$2,LANGUAGE!$C$14:$G$2500,1719)</f>
        <v>Head data</v>
      </c>
      <c r="C4" s="376"/>
      <c r="D4" s="376"/>
      <c r="E4" s="376"/>
      <c r="F4" s="376"/>
      <c r="G4" s="376"/>
      <c r="H4" s="376"/>
      <c r="I4" s="376"/>
      <c r="J4" s="376"/>
      <c r="K4" s="376"/>
      <c r="L4" s="376"/>
      <c r="M4" s="376"/>
      <c r="N4" s="376"/>
      <c r="O4" s="376"/>
      <c r="P4" s="397"/>
      <c r="Q4" s="376"/>
      <c r="R4" s="376"/>
      <c r="S4" s="376"/>
      <c r="T4" s="376"/>
      <c r="U4" s="376"/>
      <c r="V4" s="376"/>
      <c r="W4" s="376"/>
      <c r="X4" s="376"/>
      <c r="Y4" s="376"/>
      <c r="Z4" s="376"/>
      <c r="AA4" s="376"/>
      <c r="AB4" s="376"/>
    </row>
    <row r="5" spans="1:153" ht="20.05" customHeight="1" x14ac:dyDescent="0.25">
      <c r="B5" s="392" t="str">
        <f>HLOOKUP(LANGUAGE!$B$2,LANGUAGE!$C$14:$G$2500,1721)</f>
        <v xml:space="preserve">Part-description: </v>
      </c>
      <c r="C5" s="392"/>
      <c r="D5" s="392"/>
      <c r="E5" s="392"/>
      <c r="F5" s="393"/>
      <c r="G5" s="392"/>
      <c r="H5" s="2820"/>
      <c r="I5" s="2820"/>
      <c r="J5" s="2820"/>
      <c r="K5" s="2820"/>
      <c r="L5" s="2820"/>
      <c r="M5" s="2820"/>
      <c r="N5" s="2820"/>
      <c r="O5" s="604"/>
      <c r="P5" s="389" t="str">
        <f>HLOOKUP(LANGUAGE!$B$2,LANGUAGE!$C$14:$G$2500,1723)</f>
        <v xml:space="preserve">Project: </v>
      </c>
      <c r="Q5" s="604"/>
      <c r="R5" s="604"/>
      <c r="S5" s="612"/>
      <c r="T5" s="612"/>
      <c r="U5" s="612"/>
      <c r="V5" s="2820"/>
      <c r="W5" s="2822"/>
      <c r="X5" s="2822"/>
      <c r="Y5" s="2822"/>
      <c r="Z5" s="2822"/>
      <c r="AA5" s="2822"/>
      <c r="AB5" s="2822"/>
    </row>
    <row r="6" spans="1:153" ht="20.05" customHeight="1" x14ac:dyDescent="0.25">
      <c r="B6" s="393" t="str">
        <f>HLOOKUP(LANGUAGE!$B$2,LANGUAGE!$C$14:$G$2500,1725)</f>
        <v>Material-no.+index:</v>
      </c>
      <c r="C6" s="393"/>
      <c r="D6" s="393"/>
      <c r="E6" s="393"/>
      <c r="F6" s="393"/>
      <c r="G6" s="392"/>
      <c r="H6" s="2821"/>
      <c r="I6" s="2821"/>
      <c r="J6" s="2821"/>
      <c r="K6" s="2821"/>
      <c r="L6" s="2821"/>
      <c r="M6" s="2821"/>
      <c r="N6" s="2821"/>
      <c r="O6" s="382"/>
      <c r="P6" s="379" t="str">
        <f>HLOOKUP(LANGUAGE!$B$2,LANGUAGE!$C$14:$G$2500,1727)</f>
        <v xml:space="preserve">Company/ supplier-no.: </v>
      </c>
      <c r="Q6" s="376"/>
      <c r="R6" s="376"/>
      <c r="S6" s="376"/>
      <c r="T6" s="376"/>
      <c r="U6" s="612"/>
      <c r="V6" s="2820"/>
      <c r="W6" s="2822"/>
      <c r="X6" s="2822"/>
      <c r="Y6" s="2822"/>
      <c r="Z6" s="2822"/>
      <c r="AA6" s="2822"/>
      <c r="AB6" s="2822"/>
    </row>
    <row r="7" spans="1:153" ht="20.05" customHeight="1" x14ac:dyDescent="0.25">
      <c r="B7" s="389" t="str">
        <f>HLOOKUP(LANGUAGE!$B$2,LANGUAGE!$C$14:$G$2500,1729)</f>
        <v xml:space="preserve">Drawing-no.+index: </v>
      </c>
      <c r="C7" s="611"/>
      <c r="D7" s="392"/>
      <c r="E7" s="393"/>
      <c r="F7" s="393"/>
      <c r="G7" s="392"/>
      <c r="H7" s="2821"/>
      <c r="I7" s="2821"/>
      <c r="J7" s="2821"/>
      <c r="K7" s="2821"/>
      <c r="L7" s="2821"/>
      <c r="M7" s="2821"/>
      <c r="N7" s="2821"/>
      <c r="O7" s="383"/>
      <c r="P7" s="389" t="str">
        <f>HLOOKUP(LANGUAGE!$B$2,LANGUAGE!$C$14:$G$2500,1731)</f>
        <v>Location/country:</v>
      </c>
      <c r="Q7" s="389"/>
      <c r="R7" s="389"/>
      <c r="S7" s="612"/>
      <c r="T7" s="612"/>
      <c r="U7" s="394"/>
      <c r="V7" s="2823"/>
      <c r="W7" s="2824"/>
      <c r="X7" s="2824"/>
      <c r="Y7" s="2824"/>
      <c r="Z7" s="2824"/>
      <c r="AA7" s="2824"/>
      <c r="AB7" s="2824"/>
    </row>
    <row r="8" spans="1:153" ht="20.05" customHeight="1" x14ac:dyDescent="0.25">
      <c r="B8" s="389" t="str">
        <f>HLOOKUP(LANGUAGE!$B$2,LANGUAGE!$C$14:$G$2500,1733)</f>
        <v xml:space="preserve">part index 3D-model: </v>
      </c>
      <c r="C8" s="389"/>
      <c r="D8" s="389"/>
      <c r="E8" s="389"/>
      <c r="F8" s="389"/>
      <c r="G8" s="389"/>
      <c r="H8" s="2821"/>
      <c r="I8" s="2821"/>
      <c r="J8" s="2821"/>
      <c r="K8" s="2821"/>
      <c r="L8" s="2821"/>
      <c r="M8" s="2821"/>
      <c r="N8" s="2821"/>
      <c r="O8" s="384"/>
      <c r="P8" s="389" t="str">
        <f>HLOOKUP(LANGUAGE!$B$2,LANGUAGE!$C$14:$G$2500,1735)</f>
        <v xml:space="preserve">Delivery plant Brose: </v>
      </c>
      <c r="Q8" s="553"/>
      <c r="R8" s="553"/>
      <c r="S8" s="553"/>
      <c r="T8" s="553"/>
      <c r="U8" s="394"/>
      <c r="V8" s="2821"/>
      <c r="W8" s="2819"/>
      <c r="X8" s="2819"/>
      <c r="Y8" s="2819"/>
      <c r="Z8" s="2819"/>
      <c r="AA8" s="2819"/>
      <c r="AB8" s="2819"/>
      <c r="AH8" s="385"/>
    </row>
    <row r="9" spans="1:153" ht="10.050000000000001" customHeight="1" x14ac:dyDescent="0.25">
      <c r="B9" s="376"/>
      <c r="C9" s="376"/>
      <c r="D9" s="376"/>
      <c r="E9" s="376"/>
      <c r="F9" s="376"/>
      <c r="G9" s="376"/>
      <c r="H9" s="664"/>
      <c r="I9" s="376"/>
      <c r="J9" s="376"/>
      <c r="K9" s="376"/>
      <c r="L9" s="376"/>
      <c r="M9" s="376"/>
      <c r="N9" s="376"/>
      <c r="O9" s="376"/>
      <c r="P9" s="376"/>
      <c r="Q9" s="376"/>
      <c r="R9" s="376"/>
      <c r="S9" s="376"/>
      <c r="T9" s="376"/>
      <c r="U9" s="376"/>
      <c r="V9" s="376"/>
      <c r="W9" s="376"/>
      <c r="X9" s="376"/>
      <c r="Y9" s="376"/>
      <c r="Z9" s="376"/>
      <c r="AA9" s="376"/>
      <c r="AB9" s="376"/>
    </row>
    <row r="10" spans="1:153" ht="20.05" customHeight="1" x14ac:dyDescent="0.25">
      <c r="B10" s="378" t="str">
        <f>HLOOKUP(LANGUAGE!$B$2,LANGUAGE!$C$14:$G$2500,1713)</f>
        <v>General Information</v>
      </c>
      <c r="C10" s="379"/>
      <c r="D10" s="379"/>
      <c r="E10" s="379"/>
      <c r="F10" s="379"/>
      <c r="G10" s="379"/>
      <c r="I10" s="408" t="str">
        <f>HLOOKUP(LANGUAGE!$B$2,LANGUAGE!$C$14:$G$2500,1715)</f>
        <v>Basis for the tools are the information from FS!</v>
      </c>
      <c r="J10" s="379"/>
      <c r="K10" s="379"/>
      <c r="L10" s="379"/>
      <c r="M10" s="379"/>
      <c r="N10" s="379"/>
      <c r="O10" s="379"/>
      <c r="P10" s="380"/>
      <c r="Q10" s="380"/>
      <c r="R10" s="381"/>
      <c r="S10" s="381"/>
      <c r="T10" s="381"/>
      <c r="U10" s="381"/>
      <c r="V10" s="381"/>
      <c r="W10" s="381"/>
      <c r="X10" s="376"/>
      <c r="Y10" s="376"/>
      <c r="Z10" s="376"/>
      <c r="AA10" s="376"/>
      <c r="AB10" s="376"/>
    </row>
    <row r="11" spans="1:153" ht="10.050000000000001" customHeight="1" x14ac:dyDescent="0.25">
      <c r="B11" s="376"/>
      <c r="C11" s="376"/>
      <c r="D11" s="376"/>
      <c r="E11" s="376"/>
      <c r="F11" s="376"/>
      <c r="G11" s="376"/>
      <c r="H11" s="376"/>
      <c r="I11" s="376"/>
      <c r="J11" s="376"/>
      <c r="K11" s="376"/>
      <c r="L11" s="376"/>
      <c r="M11" s="376"/>
      <c r="N11" s="376"/>
      <c r="O11" s="376"/>
      <c r="P11" s="376"/>
      <c r="Q11" s="376"/>
      <c r="R11" s="376"/>
      <c r="S11" s="376"/>
      <c r="T11" s="376"/>
      <c r="U11" s="376"/>
      <c r="V11" s="376"/>
      <c r="W11" s="376"/>
      <c r="X11" s="376"/>
      <c r="Y11" s="376"/>
      <c r="Z11" s="376"/>
      <c r="AA11" s="376"/>
      <c r="AB11" s="376"/>
    </row>
    <row r="12" spans="1:153" ht="20.05" customHeight="1" x14ac:dyDescent="0.25">
      <c r="B12" s="625" t="str">
        <f>HLOOKUP(LANGUAGE!$B$2,LANGUAGE!$C$14:$G$2500,1737)</f>
        <v>Test method - Which test method is used for the control of the component quality  (multiple answer possible)</v>
      </c>
      <c r="C12" s="620"/>
      <c r="D12" s="620"/>
      <c r="E12" s="620"/>
      <c r="F12" s="620"/>
      <c r="G12" s="620"/>
      <c r="H12" s="623"/>
      <c r="I12" s="389"/>
      <c r="J12" s="389"/>
      <c r="K12" s="389"/>
      <c r="L12" s="389"/>
      <c r="M12" s="623"/>
      <c r="N12" s="389"/>
      <c r="O12" s="384"/>
      <c r="P12" s="384"/>
      <c r="Q12" s="384"/>
      <c r="R12" s="384"/>
      <c r="S12" s="384"/>
      <c r="T12" s="384"/>
      <c r="U12" s="384"/>
      <c r="V12" s="384"/>
      <c r="W12" s="384"/>
      <c r="X12" s="384"/>
      <c r="Y12" s="384"/>
      <c r="Z12" s="384"/>
      <c r="AA12" s="384"/>
      <c r="AB12" s="384"/>
    </row>
    <row r="13" spans="1:153" ht="20.05" customHeight="1" x14ac:dyDescent="0.25">
      <c r="B13" s="619" t="str">
        <f>HLOOKUP(LANGUAGE!$B$2,LANGUAGE!$C$14:$G$2500,1739)</f>
        <v xml:space="preserve">Measuring machine - CMM: </v>
      </c>
      <c r="C13" s="620"/>
      <c r="D13" s="620"/>
      <c r="E13" s="620"/>
      <c r="F13" s="623"/>
      <c r="G13" s="622" t="str">
        <f>HLOOKUP(LANGUAGE!$B$2,LANGUAGE!$C$14:$G$2500,1741)</f>
        <v>Fill out section 1. measuring system</v>
      </c>
      <c r="H13" s="623"/>
      <c r="I13" s="389"/>
      <c r="J13" s="389"/>
      <c r="K13" s="389"/>
      <c r="L13" s="376"/>
      <c r="M13" s="376"/>
      <c r="N13" s="376"/>
      <c r="O13" s="376"/>
      <c r="P13" s="619" t="str">
        <f>HLOOKUP(LANGUAGE!$B$2,LANGUAGE!$C$14:$G$2500,1747)</f>
        <v>Further measuring devices:</v>
      </c>
      <c r="Q13" s="620"/>
      <c r="R13" s="620"/>
      <c r="S13" s="620"/>
      <c r="T13" s="2822"/>
      <c r="U13" s="2822"/>
      <c r="V13" s="2822"/>
      <c r="W13" s="2822"/>
      <c r="X13" s="622" t="str">
        <f>HLOOKUP(LANGUAGE!$B$2,LANGUAGE!$C$14:$G$2500,1741)</f>
        <v>Fill out section 1. measuring system</v>
      </c>
      <c r="Y13" s="624"/>
      <c r="Z13" s="624"/>
      <c r="AA13" s="624"/>
      <c r="AB13" s="624"/>
    </row>
    <row r="14" spans="1:153" ht="20.05" customHeight="1" x14ac:dyDescent="0.25">
      <c r="B14" s="619" t="str">
        <f>HLOOKUP(LANGUAGE!$B$2,LANGUAGE!$C$14:$G$2500,1743)</f>
        <v>Control gauge:</v>
      </c>
      <c r="C14" s="620"/>
      <c r="D14" s="620"/>
      <c r="E14" s="620"/>
      <c r="F14" s="621"/>
      <c r="G14" s="622" t="str">
        <f>HLOOKUP(LANGUAGE!$B$2,LANGUAGE!$C$14:$G$2500,1745)</f>
        <v>Fill out section 2. alternative audit</v>
      </c>
      <c r="H14" s="621"/>
      <c r="I14" s="621"/>
      <c r="J14" s="621"/>
      <c r="K14" s="384"/>
      <c r="L14" s="384"/>
      <c r="M14" s="384"/>
      <c r="N14" s="376"/>
      <c r="O14" s="376"/>
      <c r="P14" s="2825" t="str">
        <f>HLOOKUP(LANGUAGE!$B$2,LANGUAGE!$C$14:$G$2500,1749)</f>
        <v>Note: PPAP &amp; requalification needs to be done by CMM if not agreed differently in the feasability study.</v>
      </c>
      <c r="Q14" s="2825"/>
      <c r="R14" s="2825"/>
      <c r="S14" s="2825"/>
      <c r="T14" s="2825"/>
      <c r="U14" s="2825"/>
      <c r="V14" s="2825"/>
      <c r="W14" s="2825"/>
      <c r="X14" s="2825"/>
      <c r="Y14" s="2825"/>
      <c r="Z14" s="2825"/>
      <c r="AA14" s="2825"/>
      <c r="AB14" s="2825"/>
    </row>
    <row r="15" spans="1:153" ht="10.050000000000001" customHeight="1" x14ac:dyDescent="0.25">
      <c r="B15" s="619"/>
      <c r="C15" s="620"/>
      <c r="D15" s="620"/>
      <c r="E15" s="620"/>
      <c r="F15" s="376"/>
      <c r="G15" s="376"/>
      <c r="H15" s="376"/>
      <c r="I15" s="376"/>
      <c r="J15" s="376"/>
      <c r="K15" s="376"/>
      <c r="L15" s="376"/>
      <c r="M15" s="384"/>
      <c r="N15" s="376"/>
      <c r="O15" s="376"/>
      <c r="P15" s="2825"/>
      <c r="Q15" s="2825"/>
      <c r="R15" s="2825"/>
      <c r="S15" s="2825"/>
      <c r="T15" s="2825"/>
      <c r="U15" s="2825"/>
      <c r="V15" s="2825"/>
      <c r="W15" s="2825"/>
      <c r="X15" s="2825"/>
      <c r="Y15" s="2825"/>
      <c r="Z15" s="2825"/>
      <c r="AA15" s="2825"/>
      <c r="AB15" s="2825"/>
    </row>
    <row r="16" spans="1:153" ht="20.05" customHeight="1" x14ac:dyDescent="0.25">
      <c r="B16" s="649" t="str">
        <f>HLOOKUP(LANGUAGE!$B$2,LANGUAGE!$C$14:$G$2500,1751)</f>
        <v>Section 1. measuring system</v>
      </c>
      <c r="C16" s="376"/>
      <c r="D16" s="376"/>
      <c r="E16" s="376"/>
      <c r="F16" s="376"/>
      <c r="G16" s="376"/>
      <c r="H16" s="376"/>
      <c r="I16" s="376"/>
      <c r="J16" s="650"/>
      <c r="K16" s="376"/>
      <c r="L16" s="376"/>
      <c r="M16" s="376"/>
      <c r="N16" s="376"/>
      <c r="O16" s="376"/>
      <c r="P16" s="376"/>
      <c r="Q16" s="376"/>
      <c r="R16" s="376"/>
      <c r="S16" s="376"/>
      <c r="T16" s="376"/>
      <c r="U16" s="376"/>
      <c r="V16" s="376"/>
      <c r="W16" s="376"/>
      <c r="X16" s="376"/>
      <c r="Y16" s="376"/>
      <c r="Z16" s="376"/>
      <c r="AA16" s="376"/>
      <c r="AB16" s="376"/>
    </row>
    <row r="17" spans="1:31" ht="9.6999999999999993" customHeight="1" x14ac:dyDescent="0.25">
      <c r="B17" s="376"/>
      <c r="C17" s="620"/>
      <c r="D17" s="620"/>
      <c r="E17" s="620"/>
      <c r="F17" s="623"/>
      <c r="G17" s="620"/>
      <c r="H17" s="623"/>
      <c r="I17" s="389"/>
      <c r="J17" s="389"/>
      <c r="K17" s="389"/>
      <c r="L17" s="376"/>
      <c r="M17" s="376"/>
      <c r="N17" s="376"/>
      <c r="O17" s="376"/>
      <c r="P17" s="619"/>
      <c r="Q17" s="384"/>
      <c r="R17" s="384"/>
      <c r="S17" s="384"/>
      <c r="T17" s="384"/>
      <c r="U17" s="384"/>
      <c r="V17" s="624"/>
      <c r="W17" s="384"/>
      <c r="X17" s="384"/>
      <c r="Y17" s="384"/>
      <c r="Z17" s="384"/>
      <c r="AA17" s="384"/>
      <c r="AB17" s="384"/>
    </row>
    <row r="18" spans="1:31" ht="20.05" customHeight="1" x14ac:dyDescent="0.25">
      <c r="B18" s="390" t="str">
        <f>HLOOKUP(LANGUAGE!$B$2,LANGUAGE!$C$14:$G$2500,1753)</f>
        <v>Type:</v>
      </c>
      <c r="C18" s="619"/>
      <c r="D18" s="620"/>
      <c r="E18" s="620"/>
      <c r="F18" s="376"/>
      <c r="G18" s="376"/>
      <c r="H18" s="2824"/>
      <c r="I18" s="2824"/>
      <c r="J18" s="2824"/>
      <c r="K18" s="2824"/>
      <c r="L18" s="2824"/>
      <c r="M18" s="2824"/>
      <c r="N18" s="2824"/>
      <c r="O18" s="376"/>
      <c r="P18" s="625" t="str">
        <f>HLOOKUP(LANGUAGE!$B$2,LANGUAGE!$C$14:$G$2500,1775)</f>
        <v>Reference system for basic orientation:</v>
      </c>
      <c r="Q18" s="620"/>
      <c r="R18" s="620"/>
      <c r="S18" s="620"/>
      <c r="T18" s="620"/>
      <c r="U18" s="620"/>
      <c r="V18" s="623"/>
      <c r="W18" s="626" t="str">
        <f>HLOOKUP(LANGUAGE!$B$2,LANGUAGE!$C$14:$G$2500,1776)</f>
        <v xml:space="preserve">   fill out worksheet "opt. MA_3"</v>
      </c>
      <c r="X18" s="389"/>
      <c r="Y18" s="389"/>
      <c r="Z18" s="389"/>
      <c r="AA18" s="623"/>
      <c r="AB18" s="389"/>
      <c r="AE18" s="391"/>
    </row>
    <row r="19" spans="1:31" ht="20.05" customHeight="1" x14ac:dyDescent="0.25">
      <c r="B19" s="390" t="str">
        <f>HLOOKUP(LANGUAGE!$B$2,LANGUAGE!$C$14:$G$2500,1755)</f>
        <v>Employed software:</v>
      </c>
      <c r="C19" s="390"/>
      <c r="D19" s="389"/>
      <c r="E19" s="390"/>
      <c r="F19" s="376"/>
      <c r="G19" s="376"/>
      <c r="H19" s="2819"/>
      <c r="I19" s="2819"/>
      <c r="J19" s="2819"/>
      <c r="K19" s="2819"/>
      <c r="L19" s="2819"/>
      <c r="M19" s="2819"/>
      <c r="N19" s="2819"/>
      <c r="O19" s="384"/>
      <c r="P19" s="390" t="str">
        <f>HLOOKUP(LANGUAGE!$B$2,LANGUAGE!$C$14:$G$2500,1777)</f>
        <v xml:space="preserve">Measurment according: </v>
      </c>
      <c r="Q19" s="620"/>
      <c r="R19" s="620"/>
      <c r="S19" s="620"/>
      <c r="T19" s="627"/>
      <c r="U19" s="627"/>
      <c r="V19" s="628"/>
      <c r="W19" s="627"/>
      <c r="X19" s="629"/>
      <c r="Y19" s="617" t="str">
        <f>HLOOKUP(LANGUAGE!$B$2,LANGUAGE!$C$14:$G$2500,1779)</f>
        <v>ISO</v>
      </c>
      <c r="Z19" s="392"/>
      <c r="AA19" s="617" t="str">
        <f>HLOOKUP(LANGUAGE!$B$2,LANGUAGE!$C$14:$G$2500,1781)</f>
        <v>ASME</v>
      </c>
      <c r="AB19" s="392"/>
    </row>
    <row r="20" spans="1:31" ht="20.05" customHeight="1" x14ac:dyDescent="0.25">
      <c r="B20" s="390" t="str">
        <f>HLOOKUP(LANGUAGE!$B$2,LANGUAGE!$C$14:$G$2500,1757)</f>
        <v>Way of measuring:</v>
      </c>
      <c r="C20" s="620"/>
      <c r="D20" s="620"/>
      <c r="E20" s="620"/>
      <c r="F20" s="620"/>
      <c r="G20" s="620"/>
      <c r="H20" s="620" t="str">
        <f>HLOOKUP(LANGUAGE!$B$2,LANGUAGE!$C$14:$G$2500,1759)</f>
        <v>Single-point</v>
      </c>
      <c r="I20" s="376"/>
      <c r="J20" s="376"/>
      <c r="K20" s="630" t="str">
        <f>HLOOKUP(LANGUAGE!$B$2,LANGUAGE!$C$14:$G$2500,1761)</f>
        <v>Scan</v>
      </c>
      <c r="L20" s="392"/>
      <c r="M20" s="393" t="str">
        <f>HLOOKUP(LANGUAGE!$B$2,LANGUAGE!$C$14:$G$2500,1763)</f>
        <v>Optical</v>
      </c>
      <c r="N20" s="392"/>
      <c r="O20" s="384"/>
      <c r="P20" s="390" t="str">
        <f>HLOOKUP(LANGUAGE!$B$2,LANGUAGE!$C$14:$G$2500,1783)</f>
        <v>Main direction on drawing is defined by datum points?</v>
      </c>
      <c r="Q20" s="620"/>
      <c r="R20" s="620"/>
      <c r="S20" s="620"/>
      <c r="T20" s="627"/>
      <c r="U20" s="627"/>
      <c r="V20" s="628"/>
      <c r="W20" s="627"/>
      <c r="X20" s="629"/>
      <c r="Y20" s="617" t="str">
        <f>HLOOKUP(LANGUAGE!$B$2,LANGUAGE!$C$14:$G$2500,1785)</f>
        <v>Yes</v>
      </c>
      <c r="Z20" s="392"/>
      <c r="AA20" s="617" t="str">
        <f>HLOOKUP(LANGUAGE!$B$2,LANGUAGE!$C$14:$G$2500,1787)</f>
        <v>No</v>
      </c>
      <c r="AB20" s="392"/>
    </row>
    <row r="21" spans="1:31" ht="20.05" customHeight="1" x14ac:dyDescent="0.25">
      <c r="B21" s="390" t="str">
        <f>HLOOKUP(LANGUAGE!$B$2,LANGUAGE!$C$14:$G$2500,1765)</f>
        <v>Date of last calibration:</v>
      </c>
      <c r="C21" s="390"/>
      <c r="D21" s="389"/>
      <c r="E21" s="390"/>
      <c r="F21" s="394"/>
      <c r="G21" s="390"/>
      <c r="H21" s="2822"/>
      <c r="I21" s="2822"/>
      <c r="J21" s="2822"/>
      <c r="K21" s="2822"/>
      <c r="L21" s="2822"/>
      <c r="M21" s="2822"/>
      <c r="N21" s="2822"/>
      <c r="O21" s="384"/>
      <c r="P21" s="631" t="str">
        <f>HLOOKUP(LANGUAGE!$B$2,LANGUAGE!$C$14:$G$2500,1789)</f>
        <v>in case the answer is no:</v>
      </c>
      <c r="Q21" s="376"/>
      <c r="R21" s="620"/>
      <c r="S21" s="620"/>
      <c r="T21" s="632"/>
      <c r="U21" s="627"/>
      <c r="V21" s="628"/>
      <c r="W21" s="627"/>
      <c r="X21" s="629"/>
      <c r="Y21" s="617"/>
      <c r="Z21" s="392"/>
      <c r="AA21" s="617"/>
      <c r="AB21" s="392"/>
    </row>
    <row r="22" spans="1:31" ht="20.05" customHeight="1" x14ac:dyDescent="0.25">
      <c r="B22" s="376" t="str">
        <f>HLOOKUP(LANGUAGE!$B$2,LANGUAGE!$C$14:$G$2500,1767)</f>
        <v xml:space="preserve">Datum orientation: </v>
      </c>
      <c r="C22" s="376"/>
      <c r="D22" s="376"/>
      <c r="E22" s="376"/>
      <c r="F22" s="376"/>
      <c r="G22" s="376"/>
      <c r="H22" s="376" t="str">
        <f>HLOOKUP(LANGUAGE!$B$2,LANGUAGE!$C$14:$G$2500,1769)</f>
        <v>acc. drawing / coordinates</v>
      </c>
      <c r="I22" s="376"/>
      <c r="J22" s="376"/>
      <c r="K22" s="376"/>
      <c r="L22" s="376"/>
      <c r="M22" s="376"/>
      <c r="N22" s="376"/>
      <c r="O22" s="384"/>
      <c r="P22" s="390" t="str">
        <f>HLOOKUP(LANGUAGE!$B$2,LANGUAGE!$C$14:$G$2500,1791)</f>
        <v>Main direction is determined by:</v>
      </c>
      <c r="Q22" s="579"/>
      <c r="R22" s="390"/>
      <c r="S22" s="623"/>
      <c r="T22" s="623"/>
      <c r="U22" s="620"/>
      <c r="V22" s="633" t="s">
        <v>2285</v>
      </c>
      <c r="W22" s="390" t="str">
        <f>HLOOKUP(LANGUAGE!$B$2,LANGUAGE!$C$14:$G$2500,1793)</f>
        <v>outer tangential element</v>
      </c>
      <c r="X22" s="623"/>
      <c r="Y22" s="617"/>
      <c r="Z22" s="392"/>
      <c r="AA22" s="617"/>
      <c r="AB22" s="392"/>
      <c r="AC22" s="395"/>
    </row>
    <row r="23" spans="1:31" ht="20.05" customHeight="1" x14ac:dyDescent="0.25">
      <c r="B23" s="390"/>
      <c r="C23" s="376"/>
      <c r="D23" s="376"/>
      <c r="E23" s="376"/>
      <c r="F23" s="376"/>
      <c r="G23" s="376"/>
      <c r="H23" s="376" t="str">
        <f>HLOOKUP(LANGUAGE!$B$2,LANGUAGE!$C$14:$G$2500,1771)</f>
        <v>RPS-orientation</v>
      </c>
      <c r="I23" s="376"/>
      <c r="J23" s="376"/>
      <c r="K23" s="376"/>
      <c r="L23" s="376"/>
      <c r="M23" s="376"/>
      <c r="N23" s="376"/>
      <c r="O23" s="384"/>
      <c r="P23" s="390" t="s">
        <v>1567</v>
      </c>
      <c r="Q23" s="390"/>
      <c r="R23" s="390"/>
      <c r="S23" s="623"/>
      <c r="T23" s="623"/>
      <c r="U23" s="620"/>
      <c r="V23" s="633" t="s">
        <v>2285</v>
      </c>
      <c r="W23" s="390" t="str">
        <f>HLOOKUP(LANGUAGE!$B$2,LANGUAGE!$C$14:$G$2500,1795)</f>
        <v>mediated plane</v>
      </c>
      <c r="X23" s="623"/>
      <c r="Y23" s="617"/>
      <c r="Z23" s="392"/>
      <c r="AA23" s="617"/>
      <c r="AB23" s="392"/>
    </row>
    <row r="24" spans="1:31" ht="20.05" customHeight="1" x14ac:dyDescent="0.25">
      <c r="B24" s="376"/>
      <c r="C24" s="376"/>
      <c r="D24" s="376"/>
      <c r="E24" s="376"/>
      <c r="F24" s="376"/>
      <c r="G24" s="376"/>
      <c r="H24" s="376" t="str">
        <f>HLOOKUP(LANGUAGE!$B$2,LANGUAGE!$C$14:$G$2500,1773)</f>
        <v>Best-Fit</v>
      </c>
      <c r="I24" s="376"/>
      <c r="J24" s="376"/>
      <c r="K24" s="376"/>
      <c r="L24" s="376"/>
      <c r="M24" s="376"/>
      <c r="N24" s="376"/>
      <c r="O24" s="384"/>
      <c r="P24" s="390"/>
      <c r="Q24" s="390"/>
      <c r="R24" s="390"/>
      <c r="S24" s="376"/>
      <c r="T24" s="623"/>
      <c r="U24" s="623"/>
      <c r="V24" s="633" t="s">
        <v>2285</v>
      </c>
      <c r="W24" s="2822"/>
      <c r="X24" s="2822"/>
      <c r="Y24" s="2822"/>
      <c r="Z24" s="2822"/>
      <c r="AA24" s="2822"/>
      <c r="AB24" s="2822"/>
      <c r="AC24" s="384"/>
    </row>
    <row r="25" spans="1:31" ht="10.050000000000001" customHeight="1" x14ac:dyDescent="0.25">
      <c r="A25" s="392"/>
      <c r="B25" s="376"/>
      <c r="C25" s="376"/>
      <c r="D25" s="376"/>
      <c r="E25" s="376"/>
      <c r="F25" s="376"/>
      <c r="G25" s="376"/>
      <c r="H25" s="376"/>
      <c r="I25" s="376"/>
      <c r="J25" s="376"/>
      <c r="K25" s="376"/>
      <c r="L25" s="376"/>
      <c r="M25" s="376"/>
      <c r="N25" s="376"/>
      <c r="O25" s="384"/>
      <c r="P25" s="376"/>
      <c r="Q25" s="376"/>
      <c r="R25" s="376"/>
      <c r="S25" s="376"/>
      <c r="T25" s="376"/>
      <c r="U25" s="376"/>
      <c r="V25" s="376"/>
      <c r="W25" s="376"/>
      <c r="X25" s="376"/>
      <c r="Y25" s="376"/>
      <c r="Z25" s="376"/>
      <c r="AA25" s="376"/>
      <c r="AB25" s="376"/>
      <c r="AC25" s="384"/>
    </row>
    <row r="26" spans="1:31" ht="20.05" customHeight="1" x14ac:dyDescent="0.25">
      <c r="B26" s="618" t="str">
        <f>HLOOKUP(LANGUAGE!$B$2,LANGUAGE!$C$14:$G$2500,1801)</f>
        <v xml:space="preserve">Measurement-/ clamping device </v>
      </c>
      <c r="C26" s="389"/>
      <c r="D26" s="389"/>
      <c r="E26" s="389"/>
      <c r="F26" s="389"/>
      <c r="G26" s="389"/>
      <c r="H26" s="389"/>
      <c r="I26" s="389"/>
      <c r="J26" s="389"/>
      <c r="K26" s="389"/>
      <c r="L26" s="389"/>
      <c r="M26" s="389"/>
      <c r="N26" s="389"/>
      <c r="O26" s="376"/>
      <c r="P26" s="376"/>
      <c r="Q26" s="376"/>
      <c r="R26" s="376"/>
      <c r="S26" s="376"/>
      <c r="T26" s="376"/>
      <c r="U26" s="376"/>
      <c r="V26" s="376"/>
      <c r="W26" s="376"/>
      <c r="X26" s="376"/>
      <c r="Y26" s="376"/>
      <c r="Z26" s="376"/>
      <c r="AA26" s="376"/>
      <c r="AB26" s="376"/>
    </row>
    <row r="27" spans="1:31" ht="20.05" customHeight="1" x14ac:dyDescent="0.25">
      <c r="B27" s="387" t="str">
        <f>HLOOKUP(LANGUAGE!$B$2,LANGUAGE!$C$14:$G$2500,1803)</f>
        <v xml:space="preserve">Layout (image/ drawing) </v>
      </c>
      <c r="C27" s="387"/>
      <c r="D27" s="389"/>
      <c r="E27" s="389"/>
      <c r="F27" s="389"/>
      <c r="G27" s="389"/>
      <c r="H27" s="389"/>
      <c r="I27" s="389"/>
      <c r="J27" s="389"/>
      <c r="K27" s="389"/>
      <c r="L27" s="389"/>
      <c r="M27" s="389"/>
      <c r="N27" s="389"/>
      <c r="O27" s="376"/>
      <c r="P27" s="390" t="str">
        <f>HLOOKUP(LANGUAGE!$B$2,LANGUAGE!$C$14:$G$2500,1805)</f>
        <v>Component is checked in restrained condition</v>
      </c>
      <c r="Q27" s="594"/>
      <c r="R27" s="620"/>
      <c r="S27" s="620"/>
      <c r="T27" s="627"/>
      <c r="U27" s="627"/>
      <c r="V27" s="628"/>
      <c r="W27" s="627"/>
      <c r="X27" s="629"/>
      <c r="Y27" s="617" t="str">
        <f>HLOOKUP(LANGUAGE!$B$2,LANGUAGE!$C$14:$G$2500,1785)</f>
        <v>Yes</v>
      </c>
      <c r="Z27" s="392"/>
      <c r="AA27" s="617" t="str">
        <f>HLOOKUP(LANGUAGE!$B$2,LANGUAGE!$C$14:$G$2500,1787)</f>
        <v>No</v>
      </c>
      <c r="AB27" s="392"/>
      <c r="AE27" s="396"/>
    </row>
    <row r="28" spans="1:31" ht="20.05" customHeight="1" x14ac:dyDescent="0.25">
      <c r="B28" s="2807"/>
      <c r="C28" s="2808"/>
      <c r="D28" s="2808"/>
      <c r="E28" s="2808"/>
      <c r="F28" s="2808"/>
      <c r="G28" s="2808"/>
      <c r="H28" s="2808"/>
      <c r="I28" s="2808"/>
      <c r="J28" s="2808"/>
      <c r="K28" s="2808"/>
      <c r="L28" s="2808"/>
      <c r="M28" s="2808"/>
      <c r="N28" s="2809"/>
      <c r="O28" s="376"/>
      <c r="P28" s="610" t="str">
        <f>HLOOKUP(LANGUAGE!$B$2,LANGUAGE!$C$14:$G$2500,1807)</f>
        <v>Specific component measurement device</v>
      </c>
      <c r="Q28" s="620"/>
      <c r="R28" s="620"/>
      <c r="S28" s="620"/>
      <c r="T28" s="627"/>
      <c r="U28" s="627"/>
      <c r="V28" s="628"/>
      <c r="W28" s="627"/>
      <c r="X28" s="629"/>
      <c r="Y28" s="617" t="str">
        <f>HLOOKUP(LANGUAGE!$B$2,LANGUAGE!$C$14:$G$2500,1785)</f>
        <v>Yes</v>
      </c>
      <c r="Z28" s="392"/>
      <c r="AA28" s="617" t="str">
        <f>HLOOKUP(LANGUAGE!$B$2,LANGUAGE!$C$14:$G$2500,1787)</f>
        <v>No</v>
      </c>
      <c r="AB28" s="392"/>
      <c r="AE28" s="396"/>
    </row>
    <row r="29" spans="1:31" ht="20.05" customHeight="1" x14ac:dyDescent="0.25">
      <c r="B29" s="2810"/>
      <c r="C29" s="2811"/>
      <c r="D29" s="2811"/>
      <c r="E29" s="2811"/>
      <c r="F29" s="2811"/>
      <c r="G29" s="2811"/>
      <c r="H29" s="2811"/>
      <c r="I29" s="2811"/>
      <c r="J29" s="2811"/>
      <c r="K29" s="2811"/>
      <c r="L29" s="2811"/>
      <c r="M29" s="2811"/>
      <c r="N29" s="2812"/>
      <c r="O29" s="376"/>
      <c r="P29" s="390" t="str">
        <f>HLOOKUP(LANGUAGE!$B$2,LANGUAGE!$C$14:$G$2500,1809)</f>
        <v>Detailed information/ order of applying the clamping (if it´s necessary)/ orientation:</v>
      </c>
      <c r="Q29" s="389"/>
      <c r="R29" s="389"/>
      <c r="S29" s="390"/>
      <c r="T29" s="390"/>
      <c r="U29" s="390"/>
      <c r="V29" s="390"/>
      <c r="W29" s="389"/>
      <c r="X29" s="389"/>
      <c r="Y29" s="389"/>
      <c r="Z29" s="389"/>
      <c r="AA29" s="389"/>
      <c r="AB29" s="620"/>
      <c r="AE29" s="396"/>
    </row>
    <row r="30" spans="1:31" ht="20.05" customHeight="1" x14ac:dyDescent="0.25">
      <c r="B30" s="2810"/>
      <c r="C30" s="2811"/>
      <c r="D30" s="2811"/>
      <c r="E30" s="2811"/>
      <c r="F30" s="2811"/>
      <c r="G30" s="2811"/>
      <c r="H30" s="2811"/>
      <c r="I30" s="2811"/>
      <c r="J30" s="2811"/>
      <c r="K30" s="2811"/>
      <c r="L30" s="2811"/>
      <c r="M30" s="2811"/>
      <c r="N30" s="2812"/>
      <c r="O30" s="376"/>
      <c r="P30" s="2819"/>
      <c r="Q30" s="2827"/>
      <c r="R30" s="2819"/>
      <c r="S30" s="2819"/>
      <c r="T30" s="2819"/>
      <c r="U30" s="2819"/>
      <c r="V30" s="2819"/>
      <c r="W30" s="2819"/>
      <c r="X30" s="2819"/>
      <c r="Y30" s="2819"/>
      <c r="Z30" s="2819"/>
      <c r="AA30" s="2819"/>
      <c r="AB30" s="2819"/>
      <c r="AE30" s="397"/>
    </row>
    <row r="31" spans="1:31" ht="20.05" customHeight="1" x14ac:dyDescent="0.25">
      <c r="B31" s="2810"/>
      <c r="C31" s="2811"/>
      <c r="D31" s="2811"/>
      <c r="E31" s="2811"/>
      <c r="F31" s="2811"/>
      <c r="G31" s="2811"/>
      <c r="H31" s="2811"/>
      <c r="I31" s="2811"/>
      <c r="J31" s="2811"/>
      <c r="K31" s="2811"/>
      <c r="L31" s="2811"/>
      <c r="M31" s="2811"/>
      <c r="N31" s="2812"/>
      <c r="O31" s="376"/>
      <c r="P31" s="2819"/>
      <c r="Q31" s="2827"/>
      <c r="R31" s="2819"/>
      <c r="S31" s="2819"/>
      <c r="T31" s="2819"/>
      <c r="U31" s="2819"/>
      <c r="V31" s="2819"/>
      <c r="W31" s="2819"/>
      <c r="X31" s="2819"/>
      <c r="Y31" s="2819"/>
      <c r="Z31" s="2819"/>
      <c r="AA31" s="2819"/>
      <c r="AB31" s="2819"/>
      <c r="AE31" s="397"/>
    </row>
    <row r="32" spans="1:31" ht="20.05" customHeight="1" x14ac:dyDescent="0.25">
      <c r="B32" s="2810"/>
      <c r="C32" s="2811"/>
      <c r="D32" s="2811"/>
      <c r="E32" s="2811"/>
      <c r="F32" s="2811"/>
      <c r="G32" s="2811"/>
      <c r="H32" s="2811"/>
      <c r="I32" s="2811"/>
      <c r="J32" s="2811"/>
      <c r="K32" s="2811"/>
      <c r="L32" s="2811"/>
      <c r="M32" s="2811"/>
      <c r="N32" s="2812"/>
      <c r="O32" s="376"/>
      <c r="P32" s="2819"/>
      <c r="Q32" s="2827"/>
      <c r="R32" s="2819"/>
      <c r="S32" s="2819"/>
      <c r="T32" s="2819"/>
      <c r="U32" s="2819"/>
      <c r="V32" s="2819"/>
      <c r="W32" s="2819"/>
      <c r="X32" s="2819"/>
      <c r="Y32" s="2819"/>
      <c r="Z32" s="2819"/>
      <c r="AA32" s="2819"/>
      <c r="AB32" s="2819"/>
      <c r="AE32" s="397"/>
    </row>
    <row r="33" spans="2:31" ht="20.05" customHeight="1" x14ac:dyDescent="0.25">
      <c r="B33" s="2810"/>
      <c r="C33" s="2811"/>
      <c r="D33" s="2811"/>
      <c r="E33" s="2811"/>
      <c r="F33" s="2811"/>
      <c r="G33" s="2811"/>
      <c r="H33" s="2811"/>
      <c r="I33" s="2811"/>
      <c r="J33" s="2811"/>
      <c r="K33" s="2811"/>
      <c r="L33" s="2811"/>
      <c r="M33" s="2811"/>
      <c r="N33" s="2812"/>
      <c r="O33" s="376"/>
      <c r="P33" s="2822"/>
      <c r="Q33" s="2828"/>
      <c r="R33" s="2822"/>
      <c r="S33" s="2822"/>
      <c r="T33" s="2822"/>
      <c r="U33" s="2822"/>
      <c r="V33" s="2822"/>
      <c r="W33" s="2822"/>
      <c r="X33" s="2822"/>
      <c r="Y33" s="2822"/>
      <c r="Z33" s="2822"/>
      <c r="AA33" s="2822"/>
      <c r="AB33" s="2822"/>
      <c r="AE33" s="397"/>
    </row>
    <row r="34" spans="2:31" ht="20.05" customHeight="1" x14ac:dyDescent="0.25">
      <c r="B34" s="2813"/>
      <c r="C34" s="2814"/>
      <c r="D34" s="2814"/>
      <c r="E34" s="2814"/>
      <c r="F34" s="2814"/>
      <c r="G34" s="2814"/>
      <c r="H34" s="2814"/>
      <c r="I34" s="2814"/>
      <c r="J34" s="2814"/>
      <c r="K34" s="2814"/>
      <c r="L34" s="2814"/>
      <c r="M34" s="2814"/>
      <c r="N34" s="2815"/>
      <c r="O34" s="570"/>
      <c r="P34" s="2821"/>
      <c r="Q34" s="2827"/>
      <c r="R34" s="2819"/>
      <c r="S34" s="2819"/>
      <c r="T34" s="2819"/>
      <c r="U34" s="2819"/>
      <c r="V34" s="2819"/>
      <c r="W34" s="2819"/>
      <c r="X34" s="2819"/>
      <c r="Y34" s="2819"/>
      <c r="Z34" s="2819"/>
      <c r="AA34" s="2819"/>
      <c r="AB34" s="2819"/>
    </row>
    <row r="35" spans="2:31" ht="15.05" customHeight="1" x14ac:dyDescent="0.25">
      <c r="B35" s="567"/>
      <c r="C35" s="376"/>
      <c r="D35" s="376"/>
      <c r="E35" s="376"/>
      <c r="F35" s="376"/>
      <c r="G35" s="376"/>
      <c r="H35" s="376"/>
      <c r="I35" s="376"/>
      <c r="J35" s="376"/>
      <c r="K35" s="376"/>
      <c r="L35" s="376"/>
      <c r="M35" s="376"/>
      <c r="N35" s="376"/>
      <c r="O35" s="376"/>
      <c r="P35" s="376"/>
      <c r="Q35" s="376"/>
      <c r="R35" s="376"/>
      <c r="S35" s="376"/>
      <c r="T35" s="376"/>
      <c r="U35" s="376"/>
      <c r="V35" s="376"/>
      <c r="W35" s="376"/>
      <c r="X35" s="376"/>
      <c r="Y35" s="376"/>
      <c r="Z35" s="376"/>
      <c r="AA35" s="376"/>
      <c r="AB35" s="376"/>
    </row>
    <row r="36" spans="2:31" ht="20.05" customHeight="1" x14ac:dyDescent="0.25">
      <c r="B36" s="649" t="str">
        <f>HLOOKUP(LANGUAGE!$B$2,LANGUAGE!$C$14:$G$2500,1811)</f>
        <v xml:space="preserve">Section 2. Alternative check to CMM: control gauge/ measuring tool </v>
      </c>
      <c r="C36" s="376"/>
      <c r="D36" s="376"/>
      <c r="E36" s="376"/>
      <c r="F36" s="376"/>
      <c r="G36" s="376"/>
      <c r="H36" s="376"/>
      <c r="I36" s="376"/>
      <c r="J36" s="376"/>
      <c r="K36" s="376"/>
      <c r="L36" s="376"/>
      <c r="O36" s="376"/>
      <c r="P36" s="389" t="str">
        <f>HLOOKUP(LANGUAGE!$B$2,LANGUAGE!$C$14:$G$2500,1819)</f>
        <v>Gauge ID/ gauge number:</v>
      </c>
      <c r="Q36" s="607"/>
      <c r="R36" s="389"/>
      <c r="S36" s="389"/>
      <c r="T36" s="389"/>
      <c r="U36" s="389"/>
      <c r="V36" s="2826"/>
      <c r="W36" s="2826"/>
      <c r="X36" s="2826"/>
      <c r="Y36" s="2826"/>
      <c r="Z36" s="2826"/>
      <c r="AA36" s="2826"/>
      <c r="AB36" s="2826"/>
    </row>
    <row r="37" spans="2:31" ht="20.05" customHeight="1" x14ac:dyDescent="0.25">
      <c r="B37" s="564" t="str">
        <f>HLOOKUP(LANGUAGE!$B$2,LANGUAGE!$C$14:$G$2500,1743)</f>
        <v>Control gauge:</v>
      </c>
      <c r="C37" s="393"/>
      <c r="D37" s="393"/>
      <c r="E37" s="393"/>
      <c r="F37" s="392"/>
      <c r="G37" s="392"/>
      <c r="H37" s="392"/>
      <c r="I37" s="392"/>
      <c r="J37" s="392"/>
      <c r="K37" s="568"/>
      <c r="L37" s="392"/>
      <c r="M37" s="393"/>
      <c r="N37" s="392"/>
      <c r="O37" s="384"/>
      <c r="P37" s="390" t="str">
        <f>HLOOKUP(LANGUAGE!$B$2,LANGUAGE!$C$14:$G$2500,1813)</f>
        <v>Maximum-material-principle on drawing</v>
      </c>
      <c r="Q37" s="620"/>
      <c r="R37" s="620"/>
      <c r="S37" s="620"/>
      <c r="T37" s="627"/>
      <c r="U37" s="627"/>
      <c r="V37" s="628"/>
      <c r="W37" s="627"/>
      <c r="X37" s="629"/>
      <c r="Y37" s="617" t="str">
        <f>HLOOKUP(LANGUAGE!$B$2,LANGUAGE!$C$14:$G$2500,1785)</f>
        <v>Yes</v>
      </c>
      <c r="Z37" s="392"/>
      <c r="AA37" s="617" t="str">
        <f>HLOOKUP(LANGUAGE!$B$2,LANGUAGE!$C$14:$G$2500,1787)</f>
        <v>No</v>
      </c>
      <c r="AB37" s="392"/>
      <c r="AE37" s="396"/>
    </row>
    <row r="38" spans="2:31" ht="20.05" customHeight="1" x14ac:dyDescent="0.25">
      <c r="B38" s="616" t="str">
        <f>HLOOKUP(LANGUAGE!$B$2,LANGUAGE!$C$14:$G$2500,1815)</f>
        <v>Model of the control gauge/ test concept (image/ drawing)</v>
      </c>
      <c r="C38" s="386"/>
      <c r="D38" s="386"/>
      <c r="E38" s="386"/>
      <c r="F38" s="592"/>
      <c r="G38" s="592"/>
      <c r="H38" s="593"/>
      <c r="I38" s="592"/>
      <c r="J38" s="592"/>
      <c r="K38" s="608"/>
      <c r="L38" s="2832"/>
      <c r="M38" s="2832"/>
      <c r="N38" s="2832"/>
      <c r="O38" s="635"/>
      <c r="P38" s="393" t="str">
        <f>HLOOKUP(LANGUAGE!$B$2,LANGUAGE!$C$14:$G$2500,1821)</f>
        <v xml:space="preserve">Gauge instruction (illustrated) available and up-to-date: </v>
      </c>
      <c r="Q38" s="606"/>
      <c r="R38" s="393"/>
      <c r="S38" s="393"/>
      <c r="T38" s="393"/>
      <c r="U38" s="393"/>
      <c r="V38" s="393"/>
      <c r="W38" s="393"/>
      <c r="X38" s="393"/>
      <c r="Y38" s="617" t="str">
        <f>HLOOKUP(LANGUAGE!$B$2,LANGUAGE!$C$14:$G$2500,1785)</f>
        <v>Yes</v>
      </c>
      <c r="Z38" s="392"/>
      <c r="AA38" s="617" t="str">
        <f>HLOOKUP(LANGUAGE!$B$2,LANGUAGE!$C$14:$G$2500,1787)</f>
        <v>No</v>
      </c>
      <c r="AB38" s="392"/>
      <c r="AE38" s="397"/>
    </row>
    <row r="39" spans="2:31" ht="20.05" customHeight="1" x14ac:dyDescent="0.25">
      <c r="B39" s="2807"/>
      <c r="C39" s="2808"/>
      <c r="D39" s="2808"/>
      <c r="E39" s="2808"/>
      <c r="F39" s="2808"/>
      <c r="G39" s="2808"/>
      <c r="H39" s="2808"/>
      <c r="I39" s="2808"/>
      <c r="J39" s="2808"/>
      <c r="K39" s="2808"/>
      <c r="L39" s="2808"/>
      <c r="M39" s="2808"/>
      <c r="N39" s="2809"/>
      <c r="O39" s="635"/>
      <c r="P39" s="393" t="str">
        <f>HLOOKUP(LANGUAGE!$B$2,LANGUAGE!$C$14:$G$2500,1823)</f>
        <v>Gauge measurement available and OK:</v>
      </c>
      <c r="Q39" s="594"/>
      <c r="R39" s="620"/>
      <c r="S39" s="620"/>
      <c r="T39" s="627"/>
      <c r="U39" s="627"/>
      <c r="V39" s="628"/>
      <c r="W39" s="627"/>
      <c r="X39" s="627"/>
      <c r="Y39" s="617" t="str">
        <f>HLOOKUP(LANGUAGE!$B$2,LANGUAGE!$C$14:$G$2500,1785)</f>
        <v>Yes</v>
      </c>
      <c r="Z39" s="392"/>
      <c r="AA39" s="617" t="str">
        <f>HLOOKUP(LANGUAGE!$B$2,LANGUAGE!$C$14:$G$2500,1787)</f>
        <v>No</v>
      </c>
      <c r="AB39" s="392"/>
      <c r="AE39" s="397"/>
    </row>
    <row r="40" spans="2:31" ht="20.05" customHeight="1" x14ac:dyDescent="0.25">
      <c r="B40" s="2810"/>
      <c r="C40" s="2811"/>
      <c r="D40" s="2811"/>
      <c r="E40" s="2811"/>
      <c r="F40" s="2811"/>
      <c r="G40" s="2811"/>
      <c r="H40" s="2811"/>
      <c r="I40" s="2811"/>
      <c r="J40" s="2811"/>
      <c r="K40" s="2811"/>
      <c r="L40" s="2811"/>
      <c r="M40" s="2811"/>
      <c r="N40" s="2812"/>
      <c r="O40" s="635"/>
      <c r="P40" s="393" t="str">
        <f>HLOOKUP(LANGUAGE!$B$2,LANGUAGE!$C$14:$G$2500,1825)</f>
        <v>Measuring device capability (MSA / VDA 5) available and OK:</v>
      </c>
      <c r="Q40" s="594"/>
      <c r="R40" s="620"/>
      <c r="S40" s="620"/>
      <c r="T40" s="627"/>
      <c r="U40" s="627"/>
      <c r="V40" s="628"/>
      <c r="W40" s="627"/>
      <c r="X40" s="627"/>
      <c r="Y40" s="617" t="str">
        <f>HLOOKUP(LANGUAGE!$B$2,LANGUAGE!$C$14:$G$2500,1785)</f>
        <v>Yes</v>
      </c>
      <c r="Z40" s="392"/>
      <c r="AA40" s="617" t="str">
        <f>HLOOKUP(LANGUAGE!$B$2,LANGUAGE!$C$14:$G$2500,1787)</f>
        <v>No</v>
      </c>
      <c r="AB40" s="392"/>
      <c r="AE40" s="397"/>
    </row>
    <row r="41" spans="2:31" ht="20.05" customHeight="1" x14ac:dyDescent="0.25">
      <c r="B41" s="2810"/>
      <c r="C41" s="2811"/>
      <c r="D41" s="2811"/>
      <c r="E41" s="2811"/>
      <c r="F41" s="2811"/>
      <c r="G41" s="2811"/>
      <c r="H41" s="2811"/>
      <c r="I41" s="2811"/>
      <c r="J41" s="2811"/>
      <c r="K41" s="2811"/>
      <c r="L41" s="2811"/>
      <c r="M41" s="2811"/>
      <c r="N41" s="2812"/>
      <c r="O41" s="635"/>
      <c r="P41" s="393" t="str">
        <f>HLOOKUP(LANGUAGE!$B$2,LANGUAGE!$C$14:$G$2500,1827)</f>
        <v>Gauge concept:</v>
      </c>
      <c r="Q41" s="594"/>
      <c r="R41" s="620"/>
      <c r="S41" s="620"/>
      <c r="T41" s="627"/>
      <c r="U41" s="629"/>
      <c r="V41" s="632" t="str">
        <f>HLOOKUP(LANGUAGE!$B$2,LANGUAGE!$C$14:$G$2500,1829)</f>
        <v>Attributive check</v>
      </c>
      <c r="W41" s="632"/>
      <c r="X41" s="627"/>
      <c r="Y41" s="393"/>
      <c r="Z41" s="393" t="str">
        <f>HLOOKUP(LANGUAGE!$B$2,LANGUAGE!$C$14:$G$2500,1831)</f>
        <v>Measuring</v>
      </c>
      <c r="AA41" s="393"/>
      <c r="AB41" s="392"/>
    </row>
    <row r="42" spans="2:31" ht="20.05" customHeight="1" x14ac:dyDescent="0.25">
      <c r="B42" s="2810"/>
      <c r="C42" s="2811"/>
      <c r="D42" s="2811"/>
      <c r="E42" s="2811"/>
      <c r="F42" s="2811"/>
      <c r="G42" s="2811"/>
      <c r="H42" s="2811"/>
      <c r="I42" s="2811"/>
      <c r="J42" s="2811"/>
      <c r="K42" s="2811"/>
      <c r="L42" s="2811"/>
      <c r="M42" s="2811"/>
      <c r="N42" s="2812"/>
      <c r="O42" s="635"/>
      <c r="P42" s="393" t="str">
        <f>HLOOKUP(LANGUAGE!$B$2,LANGUAGE!$C$14:$G$2500,1832)</f>
        <v>Comment:</v>
      </c>
      <c r="Q42" s="609"/>
      <c r="R42" s="396"/>
      <c r="S42" s="376"/>
      <c r="T42" s="376"/>
      <c r="U42" s="376"/>
      <c r="V42" s="2834"/>
      <c r="W42" s="2834"/>
      <c r="X42" s="2834"/>
      <c r="Y42" s="2834"/>
      <c r="Z42" s="2834"/>
      <c r="AA42" s="2834"/>
      <c r="AB42" s="2834"/>
    </row>
    <row r="43" spans="2:31" ht="20.05" customHeight="1" x14ac:dyDescent="0.25">
      <c r="B43" s="2810"/>
      <c r="C43" s="2811"/>
      <c r="D43" s="2811"/>
      <c r="E43" s="2811"/>
      <c r="F43" s="2811"/>
      <c r="G43" s="2811"/>
      <c r="H43" s="2811"/>
      <c r="I43" s="2811"/>
      <c r="J43" s="2811"/>
      <c r="K43" s="2811"/>
      <c r="L43" s="2811"/>
      <c r="M43" s="2811"/>
      <c r="N43" s="2812"/>
      <c r="O43" s="635"/>
      <c r="P43" s="393"/>
      <c r="Q43" s="396"/>
      <c r="R43" s="396"/>
      <c r="S43" s="376"/>
      <c r="T43" s="376"/>
      <c r="U43" s="376"/>
      <c r="V43" s="2835"/>
      <c r="W43" s="2835"/>
      <c r="X43" s="2835"/>
      <c r="Y43" s="2835"/>
      <c r="Z43" s="2835"/>
      <c r="AA43" s="2835"/>
      <c r="AB43" s="2835"/>
    </row>
    <row r="44" spans="2:31" ht="20.05" customHeight="1" x14ac:dyDescent="0.25">
      <c r="B44" s="2810"/>
      <c r="C44" s="2811"/>
      <c r="D44" s="2811"/>
      <c r="E44" s="2811"/>
      <c r="F44" s="2811"/>
      <c r="G44" s="2811"/>
      <c r="H44" s="2811"/>
      <c r="I44" s="2811"/>
      <c r="J44" s="2811"/>
      <c r="K44" s="2811"/>
      <c r="L44" s="2811"/>
      <c r="M44" s="2811"/>
      <c r="N44" s="2812"/>
      <c r="O44" s="635"/>
      <c r="P44" s="393" t="str">
        <f>HLOOKUP(LANGUAGE!$B$2,LANGUAGE!$C$14:$G$2500,1833)</f>
        <v>Date of last calibration:</v>
      </c>
      <c r="Q44" s="594"/>
      <c r="R44" s="620"/>
      <c r="S44" s="620"/>
      <c r="T44" s="627"/>
      <c r="U44" s="629"/>
      <c r="V44" s="2819"/>
      <c r="W44" s="2819"/>
      <c r="X44" s="2819"/>
      <c r="Y44" s="2819"/>
      <c r="Z44" s="2819"/>
      <c r="AA44" s="2819"/>
      <c r="AB44" s="2819"/>
    </row>
    <row r="45" spans="2:31" ht="20.05" customHeight="1" x14ac:dyDescent="0.25">
      <c r="B45" s="2813"/>
      <c r="C45" s="2814"/>
      <c r="D45" s="2814"/>
      <c r="E45" s="2814"/>
      <c r="F45" s="2814"/>
      <c r="G45" s="2814"/>
      <c r="H45" s="2814"/>
      <c r="I45" s="2814"/>
      <c r="J45" s="2814"/>
      <c r="K45" s="2814"/>
      <c r="L45" s="2814"/>
      <c r="M45" s="2814"/>
      <c r="N45" s="2815"/>
      <c r="O45" s="635"/>
      <c r="P45" s="2833" t="str">
        <f>HLOOKUP(LANGUAGE!$B$2,LANGUAGE!$C$14:$G$2500,1837)</f>
        <v>Duplication of the gauges/ clamping device available at Brose?</v>
      </c>
      <c r="Q45" s="2833"/>
      <c r="R45" s="2833"/>
      <c r="S45" s="2833"/>
      <c r="T45" s="2833"/>
      <c r="U45" s="2833"/>
      <c r="V45" s="2833"/>
      <c r="W45" s="2833"/>
      <c r="X45" s="2833"/>
      <c r="Y45" s="636" t="str">
        <f>HLOOKUP(LANGUAGE!$B$2,LANGUAGE!$C$14:$G$2500,1785)</f>
        <v>Yes</v>
      </c>
      <c r="Z45" s="637"/>
      <c r="AA45" s="636" t="str">
        <f>HLOOKUP(LANGUAGE!$B$2,LANGUAGE!$C$14:$G$2500,1787)</f>
        <v>No</v>
      </c>
      <c r="AB45" s="637"/>
    </row>
    <row r="46" spans="2:31" ht="10.050000000000001" customHeight="1" x14ac:dyDescent="0.25">
      <c r="B46" s="625"/>
      <c r="C46" s="376"/>
      <c r="D46" s="376"/>
      <c r="E46" s="376"/>
      <c r="F46" s="376"/>
      <c r="G46" s="376"/>
      <c r="H46" s="376"/>
      <c r="I46" s="376"/>
      <c r="J46" s="376"/>
      <c r="K46" s="376"/>
      <c r="L46" s="376"/>
      <c r="M46" s="376"/>
      <c r="N46" s="376"/>
      <c r="O46" s="376"/>
      <c r="P46" s="638"/>
      <c r="Q46" s="639"/>
      <c r="R46" s="640"/>
      <c r="S46" s="640"/>
      <c r="T46" s="638"/>
      <c r="U46" s="638"/>
      <c r="V46" s="638"/>
      <c r="W46" s="640"/>
      <c r="X46" s="640"/>
      <c r="Y46" s="638"/>
      <c r="Z46" s="638"/>
      <c r="AA46" s="638"/>
      <c r="AB46" s="641"/>
    </row>
    <row r="47" spans="2:31" ht="21" customHeight="1" x14ac:dyDescent="0.25">
      <c r="B47" s="625" t="str">
        <f>HLOOKUP(LANGUAGE!$B$2,LANGUAGE!$C$14:$G$2500,1839)</f>
        <v>Supplier</v>
      </c>
      <c r="C47" s="376"/>
      <c r="D47" s="376"/>
      <c r="E47" s="376"/>
      <c r="F47" s="376"/>
      <c r="G47" s="376"/>
      <c r="H47" s="376"/>
      <c r="I47" s="376"/>
      <c r="J47" s="376"/>
      <c r="K47" s="376"/>
      <c r="L47" s="376"/>
      <c r="M47" s="376"/>
      <c r="N47" s="376"/>
      <c r="O47" s="376"/>
      <c r="P47" s="641"/>
      <c r="Q47" s="642"/>
      <c r="R47" s="376"/>
      <c r="S47" s="376"/>
      <c r="T47" s="641"/>
      <c r="U47" s="641"/>
      <c r="V47" s="641"/>
      <c r="W47" s="376"/>
      <c r="X47" s="376"/>
      <c r="Y47" s="641"/>
      <c r="Z47" s="641"/>
      <c r="AA47" s="641"/>
      <c r="AB47" s="641"/>
    </row>
    <row r="48" spans="2:31" ht="20.05" customHeight="1" x14ac:dyDescent="0.25">
      <c r="B48" s="2822"/>
      <c r="C48" s="2822"/>
      <c r="D48" s="2822"/>
      <c r="E48" s="2822"/>
      <c r="F48" s="392"/>
      <c r="G48" s="376"/>
      <c r="H48" s="2822"/>
      <c r="I48" s="2822"/>
      <c r="J48" s="2822"/>
      <c r="K48" s="2822"/>
      <c r="L48" s="2822"/>
      <c r="M48" s="376"/>
      <c r="N48" s="2820"/>
      <c r="O48" s="2820"/>
      <c r="P48" s="2820"/>
      <c r="Q48" s="2820"/>
      <c r="R48" s="2820"/>
      <c r="S48" s="376"/>
      <c r="T48" s="2829"/>
      <c r="U48" s="2829"/>
      <c r="V48" s="2829"/>
      <c r="W48" s="2829"/>
      <c r="Y48" s="2822"/>
      <c r="Z48" s="2822"/>
      <c r="AA48" s="2822"/>
      <c r="AB48" s="2822"/>
    </row>
    <row r="49" spans="1:153" s="398" customFormat="1" ht="13.15" x14ac:dyDescent="0.25">
      <c r="A49" s="391"/>
      <c r="B49" s="643" t="str">
        <f>HLOOKUP(LANGUAGE!$B$2,LANGUAGE!$C$14:$G$2500,1841)</f>
        <v>Function</v>
      </c>
      <c r="C49" s="643"/>
      <c r="D49" s="643"/>
      <c r="E49" s="643"/>
      <c r="F49" s="643"/>
      <c r="G49" s="644"/>
      <c r="H49" s="643" t="str">
        <f>HLOOKUP(LANGUAGE!$B$2,LANGUAGE!$C$14:$G$2500,1843)</f>
        <v>Name</v>
      </c>
      <c r="I49" s="643"/>
      <c r="J49" s="644"/>
      <c r="K49" s="643"/>
      <c r="L49" s="644"/>
      <c r="M49" s="644"/>
      <c r="N49" s="643" t="str">
        <f>HLOOKUP(LANGUAGE!$B$2,LANGUAGE!$C$14:$G$2500,1845)</f>
        <v>E-Mail</v>
      </c>
      <c r="O49" s="645"/>
      <c r="P49" s="643"/>
      <c r="Q49" s="639"/>
      <c r="R49" s="644"/>
      <c r="S49" s="644"/>
      <c r="T49" s="643" t="str">
        <f>HLOOKUP(LANGUAGE!$B$2,LANGUAGE!$C$14:$G$2500,1717)</f>
        <v>Date</v>
      </c>
      <c r="U49" s="643"/>
      <c r="V49" s="643"/>
      <c r="W49" s="644"/>
      <c r="X49" s="644"/>
      <c r="Y49" s="643" t="str">
        <f>HLOOKUP(LANGUAGE!$B$2,LANGUAGE!$C$14:$G$2500,1847)</f>
        <v>Signature</v>
      </c>
      <c r="Z49" s="643"/>
      <c r="AA49" s="643"/>
      <c r="AB49" s="643"/>
      <c r="AC49" s="391"/>
      <c r="AD49" s="391"/>
      <c r="AE49" s="391"/>
      <c r="AF49" s="391"/>
      <c r="AG49" s="391"/>
      <c r="AH49" s="391"/>
      <c r="AI49" s="391"/>
      <c r="AJ49" s="391"/>
      <c r="AK49" s="391"/>
      <c r="AL49" s="391"/>
      <c r="AM49" s="391"/>
      <c r="AN49" s="391"/>
      <c r="AO49" s="391"/>
      <c r="AP49" s="391"/>
      <c r="AQ49" s="391"/>
      <c r="AR49" s="391"/>
      <c r="AS49" s="391"/>
      <c r="AT49" s="391"/>
      <c r="AU49" s="391"/>
      <c r="AV49" s="391"/>
      <c r="AW49" s="391"/>
      <c r="AX49" s="391"/>
      <c r="AY49" s="391"/>
      <c r="AZ49" s="391"/>
      <c r="BA49" s="391"/>
      <c r="BB49" s="391"/>
      <c r="BC49" s="391"/>
      <c r="BD49" s="391"/>
      <c r="BE49" s="391"/>
      <c r="BF49" s="391"/>
      <c r="BG49" s="391"/>
      <c r="BH49" s="391"/>
      <c r="BI49" s="391"/>
      <c r="BJ49" s="391"/>
      <c r="BK49" s="391"/>
      <c r="BL49" s="391"/>
      <c r="BM49" s="391"/>
      <c r="BN49" s="391"/>
      <c r="BO49" s="391"/>
      <c r="BP49" s="391"/>
      <c r="BQ49" s="391"/>
      <c r="BR49" s="391"/>
      <c r="BS49" s="391"/>
      <c r="BT49" s="391"/>
      <c r="BU49" s="391"/>
      <c r="BV49" s="391"/>
      <c r="BW49" s="391"/>
      <c r="BX49" s="391"/>
      <c r="BY49" s="391"/>
      <c r="BZ49" s="391"/>
      <c r="CA49" s="391"/>
      <c r="CB49" s="391"/>
      <c r="CC49" s="391"/>
      <c r="CD49" s="391"/>
      <c r="CE49" s="391"/>
      <c r="CF49" s="391"/>
      <c r="CG49" s="391"/>
      <c r="CH49" s="391"/>
      <c r="CI49" s="391"/>
      <c r="CJ49" s="391"/>
      <c r="CK49" s="391"/>
      <c r="CL49" s="391"/>
      <c r="CM49" s="391"/>
      <c r="CN49" s="391"/>
      <c r="CO49" s="391"/>
      <c r="CP49" s="391"/>
      <c r="CQ49" s="391"/>
      <c r="CR49" s="391"/>
      <c r="CS49" s="391"/>
      <c r="CT49" s="391"/>
      <c r="CU49" s="391"/>
      <c r="CV49" s="391"/>
      <c r="CW49" s="391"/>
      <c r="CX49" s="391"/>
      <c r="CY49" s="391"/>
      <c r="CZ49" s="391"/>
      <c r="DA49" s="391"/>
      <c r="DB49" s="391"/>
      <c r="DC49" s="391"/>
      <c r="DD49" s="391"/>
      <c r="DE49" s="391"/>
      <c r="DF49" s="391"/>
      <c r="DG49" s="391"/>
      <c r="DH49" s="391"/>
      <c r="DI49" s="391"/>
      <c r="DJ49" s="391"/>
      <c r="DK49" s="391"/>
      <c r="DL49" s="391"/>
      <c r="DM49" s="391"/>
      <c r="DN49" s="391"/>
      <c r="DO49" s="391"/>
      <c r="DP49" s="391"/>
      <c r="DQ49" s="391"/>
      <c r="DR49" s="391"/>
      <c r="DS49" s="391"/>
      <c r="DT49" s="391"/>
      <c r="DU49" s="391"/>
      <c r="DV49" s="391"/>
      <c r="DW49" s="391"/>
      <c r="DX49" s="391"/>
      <c r="DY49" s="391"/>
      <c r="DZ49" s="391"/>
      <c r="EA49" s="391"/>
      <c r="EB49" s="391"/>
      <c r="EC49" s="391"/>
      <c r="ED49" s="391"/>
      <c r="EE49" s="391"/>
      <c r="EF49" s="391"/>
      <c r="EG49" s="391"/>
      <c r="EH49" s="391"/>
      <c r="EI49" s="391"/>
      <c r="EJ49" s="391"/>
      <c r="EK49" s="391"/>
      <c r="EL49" s="391"/>
      <c r="EM49" s="391"/>
      <c r="EN49" s="391"/>
      <c r="EO49" s="391"/>
      <c r="EP49" s="391"/>
      <c r="EQ49" s="391"/>
      <c r="ER49" s="391"/>
      <c r="ES49" s="391"/>
      <c r="ET49" s="391"/>
      <c r="EU49" s="391"/>
      <c r="EV49" s="391"/>
      <c r="EW49" s="391"/>
    </row>
    <row r="50" spans="1:153" ht="5.2" customHeight="1" x14ac:dyDescent="0.25">
      <c r="B50" s="641"/>
      <c r="C50" s="641"/>
      <c r="D50" s="641"/>
      <c r="E50" s="641"/>
      <c r="F50" s="641"/>
      <c r="G50" s="376"/>
      <c r="H50" s="641"/>
      <c r="I50" s="641"/>
      <c r="J50" s="376"/>
      <c r="K50" s="641"/>
      <c r="L50" s="376"/>
      <c r="M50" s="376"/>
      <c r="N50" s="641"/>
      <c r="O50" s="646"/>
      <c r="P50" s="396"/>
      <c r="Q50" s="376"/>
      <c r="R50" s="376"/>
      <c r="S50" s="376"/>
      <c r="T50" s="376"/>
      <c r="U50" s="376"/>
      <c r="V50" s="376"/>
      <c r="W50" s="376"/>
      <c r="X50" s="376"/>
      <c r="Y50" s="376"/>
      <c r="Z50" s="376"/>
      <c r="AA50" s="376"/>
      <c r="AB50" s="376"/>
    </row>
    <row r="51" spans="1:153" s="398" customFormat="1" ht="20.05" customHeight="1" x14ac:dyDescent="0.25">
      <c r="A51" s="391"/>
      <c r="B51" s="625" t="str">
        <f>HLOOKUP(LANGUAGE!$B$2,LANGUAGE!$C$14:$G$2500,1849)</f>
        <v xml:space="preserve">Brose </v>
      </c>
      <c r="C51" s="391"/>
      <c r="D51" s="647" t="str">
        <f>HLOOKUP(LANGUAGE!$B$2,LANGUAGE!$C$14:$G$2500,1855)</f>
        <v>Note: measurement alignment needs to be uploaded in A2 notification - task: 4040</v>
      </c>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1"/>
      <c r="AT51" s="391"/>
      <c r="AU51" s="391"/>
      <c r="AV51" s="391"/>
      <c r="AW51" s="391"/>
      <c r="AX51" s="391"/>
      <c r="AY51" s="391"/>
      <c r="AZ51" s="391"/>
      <c r="BA51" s="391"/>
      <c r="BB51" s="391"/>
      <c r="BC51" s="391"/>
      <c r="BD51" s="391"/>
      <c r="BE51" s="391"/>
      <c r="BF51" s="391"/>
      <c r="BG51" s="391"/>
      <c r="BH51" s="391"/>
      <c r="BI51" s="391"/>
      <c r="BJ51" s="391"/>
      <c r="BK51" s="391"/>
      <c r="BL51" s="391"/>
      <c r="BM51" s="391"/>
      <c r="BN51" s="391"/>
      <c r="BO51" s="391"/>
      <c r="BP51" s="391"/>
      <c r="BQ51" s="391"/>
      <c r="BR51" s="391"/>
      <c r="BS51" s="391"/>
      <c r="BT51" s="391"/>
      <c r="BU51" s="391"/>
      <c r="BV51" s="391"/>
      <c r="BW51" s="391"/>
      <c r="BX51" s="391"/>
      <c r="BY51" s="391"/>
      <c r="BZ51" s="391"/>
      <c r="CA51" s="391"/>
      <c r="CB51" s="391"/>
      <c r="CC51" s="391"/>
      <c r="CD51" s="391"/>
      <c r="CE51" s="391"/>
      <c r="CF51" s="391"/>
      <c r="CG51" s="391"/>
      <c r="CH51" s="391"/>
      <c r="CI51" s="391"/>
      <c r="CJ51" s="391"/>
      <c r="CK51" s="391"/>
      <c r="CL51" s="391"/>
      <c r="CM51" s="391"/>
      <c r="CN51" s="391"/>
      <c r="CO51" s="391"/>
      <c r="CP51" s="391"/>
      <c r="CQ51" s="391"/>
      <c r="CR51" s="391"/>
      <c r="CS51" s="391"/>
      <c r="CT51" s="391"/>
      <c r="CU51" s="391"/>
      <c r="CV51" s="391"/>
      <c r="CW51" s="391"/>
      <c r="CX51" s="391"/>
      <c r="CY51" s="391"/>
      <c r="CZ51" s="391"/>
      <c r="DA51" s="391"/>
      <c r="DB51" s="391"/>
      <c r="DC51" s="391"/>
      <c r="DD51" s="391"/>
      <c r="DE51" s="391"/>
      <c r="DF51" s="391"/>
      <c r="DG51" s="391"/>
      <c r="DH51" s="391"/>
      <c r="DI51" s="391"/>
      <c r="DJ51" s="391"/>
      <c r="DK51" s="391"/>
      <c r="DL51" s="391"/>
      <c r="DM51" s="391"/>
      <c r="DN51" s="391"/>
      <c r="DO51" s="391"/>
      <c r="DP51" s="391"/>
      <c r="DQ51" s="391"/>
      <c r="DR51" s="391"/>
      <c r="DS51" s="391"/>
      <c r="DT51" s="391"/>
      <c r="DU51" s="391"/>
      <c r="DV51" s="391"/>
      <c r="DW51" s="391"/>
      <c r="DX51" s="391"/>
      <c r="DY51" s="391"/>
      <c r="DZ51" s="391"/>
      <c r="EA51" s="391"/>
      <c r="EB51" s="391"/>
      <c r="EC51" s="391"/>
      <c r="ED51" s="391"/>
      <c r="EE51" s="391"/>
      <c r="EF51" s="391"/>
      <c r="EG51" s="391"/>
      <c r="EH51" s="391"/>
      <c r="EI51" s="391"/>
      <c r="EJ51" s="391"/>
      <c r="EK51" s="391"/>
      <c r="EL51" s="391"/>
      <c r="EM51" s="391"/>
      <c r="EN51" s="391"/>
      <c r="EO51" s="391"/>
      <c r="EP51" s="391"/>
      <c r="EQ51" s="391"/>
      <c r="ER51" s="391"/>
      <c r="ES51" s="391"/>
      <c r="ET51" s="391"/>
      <c r="EU51" s="391"/>
      <c r="EV51" s="391"/>
      <c r="EW51" s="391"/>
    </row>
    <row r="52" spans="1:153" ht="20.05" customHeight="1" x14ac:dyDescent="0.25">
      <c r="B52" s="634" t="str">
        <f>HLOOKUP(LANGUAGE!$B$2,LANGUAGE!$C$14:$G$2500,1851)</f>
        <v>Comparable results between Brose and Supplier determined</v>
      </c>
      <c r="C52" s="376"/>
      <c r="D52" s="376"/>
      <c r="E52" s="376"/>
      <c r="F52" s="376"/>
      <c r="G52" s="376"/>
      <c r="H52" s="376"/>
      <c r="I52" s="376"/>
      <c r="J52" s="376"/>
      <c r="K52" s="376"/>
      <c r="L52" s="376"/>
      <c r="M52" s="617" t="str">
        <f>HLOOKUP(LANGUAGE!$B$2,LANGUAGE!$C$14:$G$2500,1785)</f>
        <v>Yes</v>
      </c>
      <c r="N52" s="392"/>
      <c r="O52" s="393"/>
      <c r="P52" s="617" t="str">
        <f>HLOOKUP(LANGUAGE!$B$2,LANGUAGE!$C$14:$G$2500,1787)</f>
        <v>No</v>
      </c>
      <c r="Q52" s="376"/>
      <c r="R52" s="376"/>
      <c r="S52" s="376"/>
      <c r="T52" s="393" t="str">
        <f>HLOOKUP(LANGUAGE!$B$2,LANGUAGE!$C$14:$G$2500,1853)</f>
        <v>Note:</v>
      </c>
      <c r="U52" s="396"/>
      <c r="V52" s="2830"/>
      <c r="W52" s="2830"/>
      <c r="X52" s="2830"/>
      <c r="Y52" s="2830"/>
      <c r="Z52" s="2830"/>
      <c r="AA52" s="2830"/>
      <c r="AB52" s="2830"/>
      <c r="AC52" s="396"/>
      <c r="AD52" s="396"/>
      <c r="AE52" s="396"/>
    </row>
    <row r="53" spans="1:153" ht="20.05" customHeight="1" x14ac:dyDescent="0.25">
      <c r="B53" s="634" t="str">
        <f>HLOOKUP(LANGUAGE!$B$2,LANGUAGE!$C$14:$G$2500,1799)</f>
        <v xml:space="preserve">Measuring programm with Brose system applicable? </v>
      </c>
      <c r="C53" s="376"/>
      <c r="D53" s="376"/>
      <c r="E53" s="376"/>
      <c r="F53" s="376"/>
      <c r="G53" s="376"/>
      <c r="H53" s="376"/>
      <c r="I53" s="376"/>
      <c r="J53" s="376"/>
      <c r="K53" s="376"/>
      <c r="M53" s="648" t="str">
        <f>HLOOKUP(LANGUAGE!$B$2,LANGUAGE!$C$14:$G$2500,1785)</f>
        <v>Yes</v>
      </c>
      <c r="N53" s="637"/>
      <c r="P53" s="636" t="str">
        <f>HLOOKUP(LANGUAGE!$B$2,LANGUAGE!$C$14:$G$2500,1787)</f>
        <v>No</v>
      </c>
      <c r="Q53" s="639"/>
      <c r="R53" s="640"/>
      <c r="S53" s="376"/>
      <c r="T53" s="638"/>
      <c r="U53" s="638"/>
      <c r="V53" s="2831"/>
      <c r="W53" s="2831"/>
      <c r="X53" s="2831"/>
      <c r="Y53" s="2831"/>
      <c r="Z53" s="2831"/>
      <c r="AA53" s="2831"/>
      <c r="AB53" s="2831"/>
      <c r="AE53" s="397"/>
      <c r="AU53" s="385"/>
    </row>
    <row r="54" spans="1:153" s="376" customFormat="1" ht="20.05" customHeight="1" x14ac:dyDescent="0.25"/>
    <row r="55" spans="1:153" s="376" customFormat="1" ht="20.05" customHeight="1" x14ac:dyDescent="0.25"/>
    <row r="56" spans="1:153" s="376" customFormat="1" ht="20.05" customHeight="1" x14ac:dyDescent="0.25"/>
    <row r="57" spans="1:153" s="376" customFormat="1" ht="20.05" customHeight="1" x14ac:dyDescent="0.25"/>
    <row r="58" spans="1:153" s="376" customFormat="1" ht="20.05" customHeight="1" x14ac:dyDescent="0.25">
      <c r="AD58" s="664" t="s">
        <v>2286</v>
      </c>
    </row>
    <row r="59" spans="1:153" s="376" customFormat="1" ht="20.05" customHeight="1" x14ac:dyDescent="0.25"/>
    <row r="60" spans="1:153" s="376" customFormat="1" ht="20.05" customHeight="1" x14ac:dyDescent="0.25"/>
    <row r="61" spans="1:153" s="376" customFormat="1" ht="20.05" customHeight="1" x14ac:dyDescent="0.25"/>
    <row r="62" spans="1:153" s="376" customFormat="1" ht="20.05" customHeight="1" x14ac:dyDescent="0.25"/>
    <row r="63" spans="1:153" s="376" customFormat="1" ht="20.05" customHeight="1" x14ac:dyDescent="0.25"/>
    <row r="64" spans="1:153" s="376" customFormat="1" ht="20.05" customHeight="1" x14ac:dyDescent="0.25"/>
    <row r="65" s="376" customFormat="1" ht="20.05" customHeight="1" x14ac:dyDescent="0.25"/>
    <row r="66" s="376" customFormat="1" ht="20.05" customHeight="1" x14ac:dyDescent="0.25"/>
    <row r="67" s="376" customFormat="1" ht="20.05" customHeight="1" x14ac:dyDescent="0.25"/>
    <row r="68" s="376" customFormat="1" ht="20.05" customHeight="1" x14ac:dyDescent="0.25"/>
    <row r="69" s="376" customFormat="1" ht="20.05" customHeight="1" x14ac:dyDescent="0.25"/>
    <row r="70" s="376" customFormat="1" ht="20.05" customHeight="1" x14ac:dyDescent="0.25"/>
    <row r="71" s="376" customFormat="1" ht="20.05" customHeight="1" x14ac:dyDescent="0.25"/>
    <row r="72" s="376" customFormat="1" ht="20.05" customHeight="1" x14ac:dyDescent="0.25"/>
    <row r="73" s="376" customFormat="1" ht="20.05" customHeight="1" x14ac:dyDescent="0.25"/>
    <row r="74" s="376" customFormat="1" ht="20.05" customHeight="1" x14ac:dyDescent="0.25"/>
    <row r="75" s="376" customFormat="1" ht="20.05" customHeight="1" x14ac:dyDescent="0.25"/>
    <row r="76" s="376" customFormat="1" ht="20.05" customHeight="1" x14ac:dyDescent="0.25"/>
    <row r="77" s="376" customFormat="1" ht="20.05" customHeight="1" x14ac:dyDescent="0.25"/>
    <row r="78" s="376" customFormat="1" ht="20.05" customHeight="1" x14ac:dyDescent="0.25"/>
    <row r="79" s="376" customFormat="1" ht="20.05" customHeight="1" x14ac:dyDescent="0.25"/>
    <row r="80" s="376" customFormat="1" ht="20.05" customHeight="1" x14ac:dyDescent="0.25"/>
    <row r="81" s="376" customFormat="1" ht="20.05" customHeight="1" x14ac:dyDescent="0.25"/>
    <row r="82" s="376" customFormat="1" ht="20.05" customHeight="1" x14ac:dyDescent="0.25"/>
    <row r="83" s="376" customFormat="1" ht="20.05" customHeight="1" x14ac:dyDescent="0.25"/>
    <row r="84" s="376" customFormat="1" ht="20.05" customHeight="1" x14ac:dyDescent="0.25"/>
    <row r="85" s="376" customFormat="1" ht="20.05" customHeight="1" x14ac:dyDescent="0.25"/>
    <row r="86" s="376" customFormat="1" ht="20.05" customHeight="1" x14ac:dyDescent="0.25"/>
    <row r="87" s="376" customFormat="1" ht="20.05" customHeight="1" x14ac:dyDescent="0.25"/>
    <row r="88" s="376" customFormat="1" ht="20.05" customHeight="1" x14ac:dyDescent="0.25"/>
    <row r="89" s="376" customFormat="1" ht="20.05" customHeight="1" x14ac:dyDescent="0.25"/>
    <row r="90" s="376" customFormat="1" ht="20.05" customHeight="1" x14ac:dyDescent="0.25"/>
    <row r="91" s="376" customFormat="1" ht="20.05" customHeight="1" x14ac:dyDescent="0.25"/>
    <row r="92" s="376" customFormat="1" ht="20.05" customHeight="1" x14ac:dyDescent="0.25"/>
    <row r="93" s="376" customFormat="1" ht="20.05" customHeight="1" x14ac:dyDescent="0.25"/>
    <row r="94" s="376" customFormat="1" ht="20.05" customHeight="1" x14ac:dyDescent="0.25"/>
    <row r="95" s="376" customFormat="1" ht="20.05" customHeight="1" x14ac:dyDescent="0.25"/>
    <row r="96" s="376" customFormat="1" ht="20.05" customHeight="1" x14ac:dyDescent="0.25"/>
    <row r="97" s="376" customFormat="1" ht="20.05" customHeight="1" x14ac:dyDescent="0.25"/>
    <row r="98" s="376" customFormat="1" ht="20.05" customHeight="1" x14ac:dyDescent="0.25"/>
    <row r="99" s="376" customFormat="1" ht="20.05" customHeight="1" x14ac:dyDescent="0.25"/>
    <row r="100" s="376" customFormat="1" ht="20.05" customHeight="1" x14ac:dyDescent="0.25"/>
    <row r="101" s="376" customFormat="1" ht="20.05" customHeight="1" x14ac:dyDescent="0.25"/>
    <row r="102" s="376" customFormat="1" ht="20.05" customHeight="1" x14ac:dyDescent="0.25"/>
    <row r="103" s="376" customFormat="1" ht="20.05" customHeight="1" x14ac:dyDescent="0.25"/>
    <row r="104" s="376" customFormat="1" ht="20.05" customHeight="1" x14ac:dyDescent="0.25"/>
    <row r="105" s="376" customFormat="1" ht="20.05" customHeight="1" x14ac:dyDescent="0.25"/>
    <row r="106" s="376" customFormat="1" ht="20.05" customHeight="1" x14ac:dyDescent="0.25"/>
    <row r="107" s="376" customFormat="1" ht="20.05" customHeight="1" x14ac:dyDescent="0.25"/>
    <row r="108" s="376" customFormat="1" ht="20.05" customHeight="1" x14ac:dyDescent="0.25"/>
    <row r="109" s="376" customFormat="1" ht="20.05" customHeight="1" x14ac:dyDescent="0.25"/>
    <row r="110" s="376" customFormat="1" ht="20.05" customHeight="1" x14ac:dyDescent="0.25"/>
    <row r="111" s="376" customFormat="1" ht="20.05" customHeight="1" x14ac:dyDescent="0.25"/>
    <row r="112" s="376" customFormat="1" ht="20.05" customHeight="1" x14ac:dyDescent="0.25"/>
    <row r="113" s="376" customFormat="1" ht="20.05" customHeight="1" x14ac:dyDescent="0.25"/>
    <row r="114" s="376" customFormat="1" ht="20.05" customHeight="1" x14ac:dyDescent="0.25"/>
    <row r="115" s="376" customFormat="1" ht="20.05" customHeight="1" x14ac:dyDescent="0.25"/>
    <row r="116" s="376" customFormat="1" ht="20.05" customHeight="1" x14ac:dyDescent="0.25"/>
    <row r="117" s="376" customFormat="1" ht="20.05" customHeight="1" x14ac:dyDescent="0.25"/>
    <row r="118" s="376" customFormat="1" ht="20.05" customHeight="1" x14ac:dyDescent="0.25"/>
    <row r="119" s="376" customFormat="1" ht="20.05" customHeight="1" x14ac:dyDescent="0.25"/>
    <row r="120" s="376" customFormat="1" ht="20.05" customHeight="1" x14ac:dyDescent="0.25"/>
    <row r="121" s="376" customFormat="1" ht="20.05" customHeight="1" x14ac:dyDescent="0.25"/>
    <row r="122" s="376" customFormat="1" ht="20.05" customHeight="1" x14ac:dyDescent="0.25"/>
    <row r="123" s="376" customFormat="1" ht="20.05" customHeight="1" x14ac:dyDescent="0.25"/>
    <row r="124" s="376" customFormat="1" ht="20.05" customHeight="1" x14ac:dyDescent="0.25"/>
    <row r="125" s="376" customFormat="1" ht="20.05" customHeight="1" x14ac:dyDescent="0.25"/>
    <row r="126" s="376" customFormat="1" ht="20.05" customHeight="1" x14ac:dyDescent="0.25"/>
    <row r="127" s="376" customFormat="1" ht="20.05" customHeight="1" x14ac:dyDescent="0.25"/>
    <row r="128" s="376" customFormat="1" ht="20.05" customHeight="1" x14ac:dyDescent="0.25"/>
    <row r="129" s="376" customFormat="1" ht="20.05" customHeight="1" x14ac:dyDescent="0.25"/>
    <row r="130" s="376" customFormat="1" ht="20.05" customHeight="1" x14ac:dyDescent="0.25"/>
    <row r="131" s="376" customFormat="1" ht="20.05" customHeight="1" x14ac:dyDescent="0.25"/>
    <row r="132" s="376" customFormat="1" ht="20.05" customHeight="1" x14ac:dyDescent="0.25"/>
    <row r="133" s="376" customFormat="1" ht="20.05" customHeight="1" x14ac:dyDescent="0.25"/>
    <row r="134" s="376" customFormat="1" ht="20.05" customHeight="1" x14ac:dyDescent="0.25"/>
    <row r="135" s="376" customFormat="1" ht="20.05" customHeight="1" x14ac:dyDescent="0.25"/>
    <row r="136" s="376" customFormat="1" ht="20.05" customHeight="1" x14ac:dyDescent="0.25"/>
    <row r="137" s="376" customFormat="1" ht="20.05" customHeight="1" x14ac:dyDescent="0.25"/>
    <row r="138" s="376" customFormat="1" ht="20.05" customHeight="1" x14ac:dyDescent="0.25"/>
    <row r="139" s="376" customFormat="1" ht="20.05" customHeight="1" x14ac:dyDescent="0.25"/>
    <row r="140" s="376" customFormat="1" ht="20.05" customHeight="1" x14ac:dyDescent="0.25"/>
    <row r="141" s="376" customFormat="1" ht="20.05" customHeight="1" x14ac:dyDescent="0.25"/>
    <row r="142" s="376" customFormat="1" ht="20.05" customHeight="1" x14ac:dyDescent="0.25"/>
    <row r="143" s="376" customFormat="1" ht="20.05" customHeight="1" x14ac:dyDescent="0.25"/>
    <row r="144" s="376" customFormat="1" ht="20.05" customHeight="1" x14ac:dyDescent="0.25"/>
    <row r="145" s="376" customFormat="1" ht="20.05" customHeight="1" x14ac:dyDescent="0.25"/>
    <row r="146" s="376" customFormat="1" ht="20.05" customHeight="1" x14ac:dyDescent="0.25"/>
    <row r="147" s="376" customFormat="1" ht="20.05" customHeight="1" x14ac:dyDescent="0.25"/>
    <row r="148" s="376" customFormat="1" ht="20.05" customHeight="1" x14ac:dyDescent="0.25"/>
    <row r="149" s="376" customFormat="1" ht="20.05" customHeight="1" x14ac:dyDescent="0.25"/>
    <row r="150" s="376" customFormat="1" ht="20.05" customHeight="1" x14ac:dyDescent="0.25"/>
    <row r="151" s="376" customFormat="1" ht="20.05" customHeight="1" x14ac:dyDescent="0.25"/>
    <row r="152" s="376" customFormat="1" ht="20.05" customHeight="1" x14ac:dyDescent="0.25"/>
    <row r="153" s="376" customFormat="1" ht="20.05" customHeight="1" x14ac:dyDescent="0.25"/>
    <row r="154" s="376" customFormat="1" ht="20.05" customHeight="1" x14ac:dyDescent="0.25"/>
    <row r="155" s="376" customFormat="1" ht="20.05" customHeight="1" x14ac:dyDescent="0.25"/>
    <row r="156" s="376" customFormat="1" ht="20.05" customHeight="1" x14ac:dyDescent="0.25"/>
    <row r="157" s="376" customFormat="1" ht="20.05" customHeight="1" x14ac:dyDescent="0.25"/>
    <row r="158" s="376" customFormat="1" ht="20.05" customHeight="1" x14ac:dyDescent="0.25"/>
    <row r="159" s="376" customFormat="1" ht="20.05" customHeight="1" x14ac:dyDescent="0.25"/>
    <row r="160" s="376" customFormat="1" ht="20.05" customHeight="1" x14ac:dyDescent="0.25"/>
    <row r="161" s="376" customFormat="1" ht="20.05" customHeight="1" x14ac:dyDescent="0.25"/>
    <row r="162" s="376" customFormat="1" ht="20.05" customHeight="1" x14ac:dyDescent="0.25"/>
    <row r="163" s="376" customFormat="1" ht="20.05" customHeight="1" x14ac:dyDescent="0.25"/>
    <row r="164" s="376" customFormat="1" ht="20.05" customHeight="1" x14ac:dyDescent="0.25"/>
    <row r="165" s="376" customFormat="1" ht="20.05" customHeight="1" x14ac:dyDescent="0.25"/>
    <row r="166" s="376" customFormat="1" ht="20.05" customHeight="1" x14ac:dyDescent="0.25"/>
    <row r="167" s="376" customFormat="1" ht="20.05" customHeight="1" x14ac:dyDescent="0.25"/>
    <row r="168" s="376" customFormat="1" ht="20.05" customHeight="1" x14ac:dyDescent="0.25"/>
    <row r="169" s="376" customFormat="1" ht="20.05" customHeight="1" x14ac:dyDescent="0.25"/>
    <row r="170" s="376" customFormat="1" ht="20.05" customHeight="1" x14ac:dyDescent="0.25"/>
    <row r="171" s="376" customFormat="1" ht="20.05" customHeight="1" x14ac:dyDescent="0.25"/>
    <row r="172" s="376" customFormat="1" ht="20.05" customHeight="1" x14ac:dyDescent="0.25"/>
    <row r="173" s="376" customFormat="1" ht="20.05" customHeight="1" x14ac:dyDescent="0.25"/>
    <row r="174" s="376" customFormat="1" ht="20.05" customHeight="1" x14ac:dyDescent="0.25"/>
    <row r="175" s="376" customFormat="1" ht="20.05" customHeight="1" x14ac:dyDescent="0.25"/>
    <row r="176" s="376" customFormat="1" ht="20.05" customHeight="1" x14ac:dyDescent="0.25"/>
    <row r="177" s="376" customFormat="1" ht="20.05" customHeight="1" x14ac:dyDescent="0.25"/>
    <row r="178" s="376" customFormat="1" ht="20.05" customHeight="1" x14ac:dyDescent="0.25"/>
    <row r="179" s="376" customFormat="1" ht="20.05" customHeight="1" x14ac:dyDescent="0.25"/>
    <row r="180" s="376" customFormat="1" ht="20.05" customHeight="1" x14ac:dyDescent="0.25"/>
    <row r="181" s="376" customFormat="1" ht="20.05" customHeight="1" x14ac:dyDescent="0.25"/>
    <row r="182" s="376" customFormat="1" ht="20.05" customHeight="1" x14ac:dyDescent="0.25"/>
    <row r="183" s="376" customFormat="1" ht="20.05" customHeight="1" x14ac:dyDescent="0.25"/>
    <row r="184" s="376" customFormat="1" ht="20.05" customHeight="1" x14ac:dyDescent="0.25"/>
    <row r="185" s="376" customFormat="1" ht="20.05" customHeight="1" x14ac:dyDescent="0.25"/>
    <row r="186" s="376" customFormat="1" ht="20.05" customHeight="1" x14ac:dyDescent="0.25"/>
    <row r="187" s="376" customFormat="1" ht="20.05" customHeight="1" x14ac:dyDescent="0.25"/>
    <row r="188" s="376" customFormat="1" ht="20.05" customHeight="1" x14ac:dyDescent="0.25"/>
    <row r="189" s="376" customFormat="1" ht="20.05" customHeight="1" x14ac:dyDescent="0.25"/>
    <row r="190" s="376" customFormat="1" ht="20.05" customHeight="1" x14ac:dyDescent="0.25"/>
    <row r="191" s="376" customFormat="1" ht="20.05" customHeight="1" x14ac:dyDescent="0.25"/>
    <row r="192" s="376" customFormat="1" ht="20.05" customHeight="1" x14ac:dyDescent="0.25"/>
    <row r="193" s="376" customFormat="1" ht="20.05" customHeight="1" x14ac:dyDescent="0.25"/>
    <row r="194" s="376" customFormat="1" ht="20.05" customHeight="1" x14ac:dyDescent="0.25"/>
    <row r="195" s="376" customFormat="1" ht="20.05" customHeight="1" x14ac:dyDescent="0.25"/>
    <row r="196" s="376" customFormat="1" ht="20.05" customHeight="1" x14ac:dyDescent="0.25"/>
    <row r="197" s="376" customFormat="1" ht="20.05" customHeight="1" x14ac:dyDescent="0.25"/>
    <row r="198" s="376" customFormat="1" ht="20.05" customHeight="1" x14ac:dyDescent="0.25"/>
    <row r="199" s="376" customFormat="1" ht="20.05" customHeight="1" x14ac:dyDescent="0.25"/>
    <row r="200" s="376" customFormat="1" ht="20.05" customHeight="1" x14ac:dyDescent="0.25"/>
    <row r="201" s="376" customFormat="1" ht="20.05" customHeight="1" x14ac:dyDescent="0.25"/>
    <row r="202" s="376" customFormat="1" ht="20.05" customHeight="1" x14ac:dyDescent="0.25"/>
    <row r="203" s="376" customFormat="1" ht="20.05" customHeight="1" x14ac:dyDescent="0.25"/>
    <row r="204" s="376" customFormat="1" ht="20.05" customHeight="1" x14ac:dyDescent="0.25"/>
    <row r="205" s="376" customFormat="1" ht="20.05" customHeight="1" x14ac:dyDescent="0.25"/>
    <row r="206" s="376" customFormat="1" ht="20.05" customHeight="1" x14ac:dyDescent="0.25"/>
    <row r="207" s="376" customFormat="1" ht="20.05" customHeight="1" x14ac:dyDescent="0.25"/>
    <row r="208" s="376" customFormat="1" ht="20.05" customHeight="1" x14ac:dyDescent="0.25"/>
    <row r="209" s="376" customFormat="1" ht="20.05" customHeight="1" x14ac:dyDescent="0.25"/>
    <row r="210" s="376" customFormat="1" ht="20.05" customHeight="1" x14ac:dyDescent="0.25"/>
    <row r="211" s="376" customFormat="1" ht="20.05" customHeight="1" x14ac:dyDescent="0.25"/>
    <row r="212" s="376" customFormat="1" ht="20.05" customHeight="1" x14ac:dyDescent="0.25"/>
    <row r="213" s="376" customFormat="1" ht="20.05" customHeight="1" x14ac:dyDescent="0.25"/>
    <row r="214" s="376" customFormat="1" ht="20.05" customHeight="1" x14ac:dyDescent="0.25"/>
    <row r="215" s="376" customFormat="1" ht="20.05" customHeight="1" x14ac:dyDescent="0.25"/>
    <row r="216" s="376" customFormat="1" ht="20.05" customHeight="1" x14ac:dyDescent="0.25"/>
    <row r="217" s="376" customFormat="1" ht="20.05" customHeight="1" x14ac:dyDescent="0.25"/>
    <row r="218" s="376" customFormat="1" ht="20.05" customHeight="1" x14ac:dyDescent="0.25"/>
    <row r="219" s="376" customFormat="1" ht="20.05" customHeight="1" x14ac:dyDescent="0.25"/>
    <row r="220" s="376" customFormat="1" ht="20.05" customHeight="1" x14ac:dyDescent="0.25"/>
    <row r="221" s="376" customFormat="1" ht="20.05" customHeight="1" x14ac:dyDescent="0.25"/>
    <row r="222" s="376" customFormat="1" ht="20.05" customHeight="1" x14ac:dyDescent="0.25"/>
    <row r="223" s="376" customFormat="1" ht="20.05" customHeight="1" x14ac:dyDescent="0.25"/>
    <row r="224" s="376" customFormat="1" ht="20.05" customHeight="1" x14ac:dyDescent="0.25"/>
    <row r="225" s="376" customFormat="1" ht="20.05" customHeight="1" x14ac:dyDescent="0.25"/>
    <row r="226" s="376" customFormat="1" ht="20.05" customHeight="1" x14ac:dyDescent="0.25"/>
    <row r="227" s="376" customFormat="1" ht="20.05" customHeight="1" x14ac:dyDescent="0.25"/>
    <row r="228" s="376" customFormat="1" ht="20.05" customHeight="1" x14ac:dyDescent="0.25"/>
    <row r="229" s="376" customFormat="1" ht="20.05" customHeight="1" x14ac:dyDescent="0.25"/>
    <row r="230" s="376" customFormat="1" ht="20.05" customHeight="1" x14ac:dyDescent="0.25"/>
    <row r="231" s="376" customFormat="1" ht="20.05" customHeight="1" x14ac:dyDescent="0.25"/>
    <row r="232" s="376" customFormat="1" ht="20.05" customHeight="1" x14ac:dyDescent="0.25"/>
    <row r="233" s="376" customFormat="1" ht="20.05" customHeight="1" x14ac:dyDescent="0.25"/>
    <row r="234" s="376" customFormat="1" ht="20.05" customHeight="1" x14ac:dyDescent="0.25"/>
    <row r="235" s="376" customFormat="1" ht="20.05" customHeight="1" x14ac:dyDescent="0.25"/>
    <row r="236" s="376" customFormat="1" ht="20.05" customHeight="1" x14ac:dyDescent="0.25"/>
    <row r="237" s="376" customFormat="1" ht="20.05" customHeight="1" x14ac:dyDescent="0.25"/>
    <row r="238" s="376" customFormat="1" ht="20.05" customHeight="1" x14ac:dyDescent="0.25"/>
    <row r="239" s="376" customFormat="1" ht="20.05" customHeight="1" x14ac:dyDescent="0.25"/>
    <row r="240" s="376" customFormat="1" ht="20.05" customHeight="1" x14ac:dyDescent="0.25"/>
    <row r="241" s="376" customFormat="1" ht="20.05" customHeight="1" x14ac:dyDescent="0.25"/>
    <row r="242" s="376" customFormat="1" ht="20.05" customHeight="1" x14ac:dyDescent="0.25"/>
    <row r="243" s="376" customFormat="1" ht="20.05" customHeight="1" x14ac:dyDescent="0.25"/>
    <row r="244" s="376" customFormat="1" ht="20.05" customHeight="1" x14ac:dyDescent="0.25"/>
    <row r="245" s="376" customFormat="1" ht="20.05" customHeight="1" x14ac:dyDescent="0.25"/>
    <row r="246" s="376" customFormat="1" ht="20.05" customHeight="1" x14ac:dyDescent="0.25"/>
    <row r="247" s="376" customFormat="1" ht="20.05" customHeight="1" x14ac:dyDescent="0.25"/>
    <row r="248" s="376" customFormat="1" ht="20.05" customHeight="1" x14ac:dyDescent="0.25"/>
    <row r="249" s="376" customFormat="1" ht="20.05" customHeight="1" x14ac:dyDescent="0.25"/>
    <row r="250" s="376" customFormat="1" ht="20.05" customHeight="1" x14ac:dyDescent="0.25"/>
    <row r="251" s="376" customFormat="1" ht="20.05" customHeight="1" x14ac:dyDescent="0.25"/>
    <row r="252" s="376" customFormat="1" ht="20.05" customHeight="1" x14ac:dyDescent="0.25"/>
    <row r="253" s="376" customFormat="1" ht="20.05" customHeight="1" x14ac:dyDescent="0.25"/>
    <row r="254" s="376" customFormat="1" ht="20.05" customHeight="1" x14ac:dyDescent="0.25"/>
    <row r="255" s="376" customFormat="1" ht="20.05" customHeight="1" x14ac:dyDescent="0.25"/>
    <row r="256" s="376" customFormat="1" ht="20.05" customHeight="1" x14ac:dyDescent="0.25"/>
    <row r="257" s="376" customFormat="1" ht="20.05" customHeight="1" x14ac:dyDescent="0.25"/>
    <row r="258" s="376" customFormat="1" ht="20.05" customHeight="1" x14ac:dyDescent="0.25"/>
    <row r="259" s="376" customFormat="1" ht="20.05" customHeight="1" x14ac:dyDescent="0.25"/>
    <row r="260" s="376" customFormat="1" ht="20.05" customHeight="1" x14ac:dyDescent="0.25"/>
    <row r="261" s="376" customFormat="1" ht="20.05" customHeight="1" x14ac:dyDescent="0.25"/>
    <row r="262" s="376" customFormat="1" ht="20.05" customHeight="1" x14ac:dyDescent="0.25"/>
    <row r="263" s="376" customFormat="1" ht="20.05" customHeight="1" x14ac:dyDescent="0.25"/>
    <row r="264" s="376" customFormat="1" ht="20.05" customHeight="1" x14ac:dyDescent="0.25"/>
    <row r="265" s="376" customFormat="1" ht="20.05" customHeight="1" x14ac:dyDescent="0.25"/>
    <row r="266" s="376" customFormat="1" ht="20.05" customHeight="1" x14ac:dyDescent="0.25"/>
    <row r="267" s="376" customFormat="1" ht="20.05" customHeight="1" x14ac:dyDescent="0.25"/>
    <row r="268" s="376" customFormat="1" ht="20.05" customHeight="1" x14ac:dyDescent="0.25"/>
    <row r="269" s="376" customFormat="1" ht="20.05" customHeight="1" x14ac:dyDescent="0.25"/>
    <row r="270" s="376" customFormat="1" ht="20.05" customHeight="1" x14ac:dyDescent="0.25"/>
    <row r="271" s="376" customFormat="1" ht="20.05" customHeight="1" x14ac:dyDescent="0.25"/>
    <row r="272" s="376" customFormat="1" ht="20.05" customHeight="1" x14ac:dyDescent="0.25"/>
    <row r="273" s="376" customFormat="1" ht="20.05" customHeight="1" x14ac:dyDescent="0.25"/>
    <row r="274" s="376" customFormat="1" ht="20.05" customHeight="1" x14ac:dyDescent="0.25"/>
    <row r="275" s="376" customFormat="1" ht="20.05" customHeight="1" x14ac:dyDescent="0.25"/>
    <row r="276" s="376" customFormat="1" ht="20.05" customHeight="1" x14ac:dyDescent="0.25"/>
    <row r="277" s="376" customFormat="1" ht="20.05" customHeight="1" x14ac:dyDescent="0.25"/>
    <row r="278" s="376" customFormat="1" ht="20.05" customHeight="1" x14ac:dyDescent="0.25"/>
    <row r="279" s="376" customFormat="1" ht="20.05" customHeight="1" x14ac:dyDescent="0.25"/>
    <row r="280" s="376" customFormat="1" ht="20.05" customHeight="1" x14ac:dyDescent="0.25"/>
    <row r="281" s="376" customFormat="1" ht="20.05" customHeight="1" x14ac:dyDescent="0.25"/>
    <row r="282" s="376" customFormat="1" ht="20.05" customHeight="1" x14ac:dyDescent="0.25"/>
    <row r="283" s="376" customFormat="1" ht="20.05" customHeight="1" x14ac:dyDescent="0.25"/>
    <row r="284" s="376" customFormat="1" ht="20.05" customHeight="1" x14ac:dyDescent="0.25"/>
    <row r="285" s="376" customFormat="1" ht="20.05" customHeight="1" x14ac:dyDescent="0.25"/>
    <row r="286" s="376" customFormat="1" ht="20.05" customHeight="1" x14ac:dyDescent="0.25"/>
    <row r="287" s="376" customFormat="1" ht="20.05" customHeight="1" x14ac:dyDescent="0.25"/>
    <row r="288" s="376" customFormat="1" ht="20.05" customHeight="1" x14ac:dyDescent="0.25"/>
    <row r="289" s="376" customFormat="1" ht="20.05" customHeight="1" x14ac:dyDescent="0.25"/>
    <row r="290" s="376" customFormat="1" ht="20.05" customHeight="1" x14ac:dyDescent="0.25"/>
    <row r="291" s="376" customFormat="1" ht="20.05" customHeight="1" x14ac:dyDescent="0.25"/>
    <row r="292" s="376" customFormat="1" ht="20.05" customHeight="1" x14ac:dyDescent="0.25"/>
    <row r="293" s="376" customFormat="1" ht="20.05" customHeight="1" x14ac:dyDescent="0.25"/>
    <row r="294" s="376" customFormat="1" ht="20.05" customHeight="1" x14ac:dyDescent="0.25"/>
    <row r="295" s="376" customFormat="1" ht="20.05" customHeight="1" x14ac:dyDescent="0.25"/>
    <row r="296" s="376" customFormat="1" ht="20.05" customHeight="1" x14ac:dyDescent="0.25"/>
    <row r="297" s="376" customFormat="1" ht="20.05" customHeight="1" x14ac:dyDescent="0.25"/>
    <row r="298" s="376" customFormat="1" ht="20.05" customHeight="1" x14ac:dyDescent="0.25"/>
    <row r="299" s="376" customFormat="1" ht="20.05" customHeight="1" x14ac:dyDescent="0.25"/>
    <row r="300" s="376" customFormat="1" ht="20.05" customHeight="1" x14ac:dyDescent="0.25"/>
    <row r="301" s="376" customFormat="1" ht="20.05" customHeight="1" x14ac:dyDescent="0.25"/>
    <row r="302" s="376" customFormat="1" ht="20.05" customHeight="1" x14ac:dyDescent="0.25"/>
    <row r="303" s="376" customFormat="1" ht="20.05" customHeight="1" x14ac:dyDescent="0.25"/>
    <row r="304" s="376" customFormat="1" ht="20.05" customHeight="1" x14ac:dyDescent="0.25"/>
    <row r="305" s="376" customFormat="1" ht="20.05" customHeight="1" x14ac:dyDescent="0.25"/>
    <row r="306" s="376" customFormat="1" ht="20.05" customHeight="1" x14ac:dyDescent="0.25"/>
    <row r="307" s="376" customFormat="1" ht="20.05" customHeight="1" x14ac:dyDescent="0.25"/>
    <row r="308" s="376" customFormat="1" ht="20.05" customHeight="1" x14ac:dyDescent="0.25"/>
    <row r="309" s="376" customFormat="1" ht="20.05" customHeight="1" x14ac:dyDescent="0.25"/>
    <row r="310" s="376" customFormat="1" ht="20.05" customHeight="1" x14ac:dyDescent="0.25"/>
    <row r="311" s="376" customFormat="1" ht="20.05" customHeight="1" x14ac:dyDescent="0.25"/>
    <row r="312" s="376" customFormat="1" ht="20.05" customHeight="1" x14ac:dyDescent="0.25"/>
    <row r="313" s="376" customFormat="1" ht="20.05" customHeight="1" x14ac:dyDescent="0.25"/>
    <row r="314" s="376" customFormat="1" ht="20.05" customHeight="1" x14ac:dyDescent="0.25"/>
    <row r="315" s="376" customFormat="1" ht="20.05" customHeight="1" x14ac:dyDescent="0.25"/>
    <row r="316" s="376" customFormat="1" ht="20.05" customHeight="1" x14ac:dyDescent="0.25"/>
    <row r="317" s="376" customFormat="1" ht="20.05" customHeight="1" x14ac:dyDescent="0.25"/>
    <row r="318" s="376" customFormat="1" ht="20.05" customHeight="1" x14ac:dyDescent="0.25"/>
    <row r="319" s="376" customFormat="1" ht="20.05" customHeight="1" x14ac:dyDescent="0.25"/>
    <row r="320" s="376" customFormat="1" ht="20.05" customHeight="1" x14ac:dyDescent="0.25"/>
    <row r="321" s="376" customFormat="1" ht="20.05" customHeight="1" x14ac:dyDescent="0.25"/>
    <row r="322" s="376" customFormat="1" ht="20.05" customHeight="1" x14ac:dyDescent="0.25"/>
    <row r="323" s="376" customFormat="1" ht="20.05" customHeight="1" x14ac:dyDescent="0.25"/>
    <row r="324" s="376" customFormat="1" ht="20.05" customHeight="1" x14ac:dyDescent="0.25"/>
    <row r="325" s="376" customFormat="1" ht="20.05" customHeight="1" x14ac:dyDescent="0.25"/>
    <row r="326" s="376" customFormat="1" ht="20.05" customHeight="1" x14ac:dyDescent="0.25"/>
    <row r="327" s="376" customFormat="1" ht="20.05" customHeight="1" x14ac:dyDescent="0.25"/>
    <row r="328" s="376" customFormat="1" ht="20.05" customHeight="1" x14ac:dyDescent="0.25"/>
    <row r="329" s="376" customFormat="1" ht="20.05" customHeight="1" x14ac:dyDescent="0.25"/>
    <row r="330" s="376" customFormat="1" ht="20.05" customHeight="1" x14ac:dyDescent="0.25"/>
    <row r="331" s="376" customFormat="1" ht="20.05" customHeight="1" x14ac:dyDescent="0.25"/>
    <row r="332" s="376" customFormat="1" ht="20.05" customHeight="1" x14ac:dyDescent="0.25"/>
    <row r="333" s="376" customFormat="1" ht="20.05" customHeight="1" x14ac:dyDescent="0.25"/>
    <row r="334" s="376" customFormat="1" ht="20.05" customHeight="1" x14ac:dyDescent="0.25"/>
    <row r="335" s="376" customFormat="1" ht="20.05" customHeight="1" x14ac:dyDescent="0.25"/>
    <row r="336" s="376" customFormat="1" ht="20.05" customHeight="1" x14ac:dyDescent="0.25"/>
    <row r="337" s="376" customFormat="1" ht="20.05" customHeight="1" x14ac:dyDescent="0.25"/>
    <row r="338" s="376" customFormat="1" ht="20.05" customHeight="1" x14ac:dyDescent="0.25"/>
    <row r="339" s="376" customFormat="1" ht="20.05" customHeight="1" x14ac:dyDescent="0.25"/>
    <row r="340" s="376" customFormat="1" ht="20.05" customHeight="1" x14ac:dyDescent="0.25"/>
    <row r="341" s="376" customFormat="1" ht="20.05" customHeight="1" x14ac:dyDescent="0.25"/>
    <row r="342" s="376" customFormat="1" ht="20.05" customHeight="1" x14ac:dyDescent="0.25"/>
    <row r="343" s="376" customFormat="1" ht="20.05" customHeight="1" x14ac:dyDescent="0.25"/>
    <row r="344" s="376" customFormat="1" ht="20.05" customHeight="1" x14ac:dyDescent="0.25"/>
    <row r="345" s="376" customFormat="1" ht="20.05" customHeight="1" x14ac:dyDescent="0.25"/>
    <row r="346" s="376" customFormat="1" ht="20.05" customHeight="1" x14ac:dyDescent="0.25"/>
    <row r="347" s="376" customFormat="1" ht="20.05" customHeight="1" x14ac:dyDescent="0.25"/>
    <row r="348" s="376" customFormat="1" ht="20.05" customHeight="1" x14ac:dyDescent="0.25"/>
    <row r="349" s="376" customFormat="1" ht="20.05" customHeight="1" x14ac:dyDescent="0.25"/>
    <row r="350" s="376" customFormat="1" ht="20.05" customHeight="1" x14ac:dyDescent="0.25"/>
    <row r="351" s="376" customFormat="1" ht="20.05" customHeight="1" x14ac:dyDescent="0.25"/>
    <row r="352" s="376" customFormat="1" ht="20.05" customHeight="1" x14ac:dyDescent="0.25"/>
    <row r="353" s="376" customFormat="1" ht="20.05" customHeight="1" x14ac:dyDescent="0.25"/>
    <row r="354" s="376" customFormat="1" ht="20.05" customHeight="1" x14ac:dyDescent="0.25"/>
    <row r="355" s="376" customFormat="1" ht="20.05" customHeight="1" x14ac:dyDescent="0.25"/>
    <row r="356" s="376" customFormat="1" ht="20.05" customHeight="1" x14ac:dyDescent="0.25"/>
    <row r="357" s="376" customFormat="1" ht="20.05" customHeight="1" x14ac:dyDescent="0.25"/>
    <row r="358" s="376" customFormat="1" ht="20.05" customHeight="1" x14ac:dyDescent="0.25"/>
    <row r="359" s="376" customFormat="1" ht="20.05" customHeight="1" x14ac:dyDescent="0.25"/>
    <row r="360" s="376" customFormat="1" ht="20.05" customHeight="1" x14ac:dyDescent="0.25"/>
    <row r="361" s="376" customFormat="1" ht="20.05" customHeight="1" x14ac:dyDescent="0.25"/>
  </sheetData>
  <sheetProtection algorithmName="SHA-512" hashValue="mb7qia7tNe7m6CJXuyBLETP3eIzcY3eywNehReMe3ZrazYVPYggJ26NFB7qgB2TFeufsZ2FGtwswm9oXiAyj1Q==" saltValue="qSrDjCRPv4oYZdyviPhRXw==" spinCount="100000" sheet="1" formatCells="0"/>
  <protectedRanges>
    <protectedRange sqref="B28:N34" name="Bereich1"/>
  </protectedRanges>
  <mergeCells count="38">
    <mergeCell ref="V52:AB52"/>
    <mergeCell ref="V53:AB53"/>
    <mergeCell ref="L38:N38"/>
    <mergeCell ref="V44:AB44"/>
    <mergeCell ref="P45:X45"/>
    <mergeCell ref="V42:AB42"/>
    <mergeCell ref="V43:AB43"/>
    <mergeCell ref="B48:E48"/>
    <mergeCell ref="T48:W48"/>
    <mergeCell ref="Y48:AB48"/>
    <mergeCell ref="H48:L48"/>
    <mergeCell ref="N48:R48"/>
    <mergeCell ref="V36:AB36"/>
    <mergeCell ref="W24:AB24"/>
    <mergeCell ref="P30:AB30"/>
    <mergeCell ref="P31:AB31"/>
    <mergeCell ref="P32:AB32"/>
    <mergeCell ref="P33:AB33"/>
    <mergeCell ref="P34:AB34"/>
    <mergeCell ref="V8:AB8"/>
    <mergeCell ref="T13:W13"/>
    <mergeCell ref="P14:AB15"/>
    <mergeCell ref="H18:N18"/>
    <mergeCell ref="H21:N21"/>
    <mergeCell ref="V5:AB5"/>
    <mergeCell ref="H6:N6"/>
    <mergeCell ref="V6:AB6"/>
    <mergeCell ref="H7:N7"/>
    <mergeCell ref="V7:AB7"/>
    <mergeCell ref="B28:N34"/>
    <mergeCell ref="B39:N45"/>
    <mergeCell ref="A1:A2"/>
    <mergeCell ref="B1:J2"/>
    <mergeCell ref="P1:R1"/>
    <mergeCell ref="P2:R2"/>
    <mergeCell ref="H19:N19"/>
    <mergeCell ref="H5:N5"/>
    <mergeCell ref="H8:N8"/>
  </mergeCells>
  <pageMargins left="0.70866141732283472" right="0.55118110236220474" top="0.98425196850393704" bottom="0.9055118110236221" header="0.23622047244094491" footer="0.27559055118110237"/>
  <pageSetup paperSize="9" scale="57" fitToHeight="0" orientation="portrait"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86017" r:id="rId6" name="Check Box 1">
              <controlPr defaultSize="0" autoFill="0" autoLine="0" autoPict="0">
                <anchor moveWithCells="1" sizeWithCells="1">
                  <from>
                    <xdr:col>25</xdr:col>
                    <xdr:colOff>31805</xdr:colOff>
                    <xdr:row>37</xdr:row>
                    <xdr:rowOff>15903</xdr:rowOff>
                  </from>
                  <to>
                    <xdr:col>25</xdr:col>
                    <xdr:colOff>333955</xdr:colOff>
                    <xdr:row>37</xdr:row>
                    <xdr:rowOff>246490</xdr:rowOff>
                  </to>
                </anchor>
              </controlPr>
            </control>
          </mc:Choice>
        </mc:AlternateContent>
        <mc:AlternateContent xmlns:mc="http://schemas.openxmlformats.org/markup-compatibility/2006">
          <mc:Choice Requires="x14">
            <control shapeId="86018" r:id="rId7" name="Check Box 2">
              <controlPr defaultSize="0" autoFill="0" autoLine="0" autoPict="0">
                <anchor moveWithCells="1" sizeWithCells="1">
                  <from>
                    <xdr:col>27</xdr:col>
                    <xdr:colOff>31805</xdr:colOff>
                    <xdr:row>37</xdr:row>
                    <xdr:rowOff>15903</xdr:rowOff>
                  </from>
                  <to>
                    <xdr:col>27</xdr:col>
                    <xdr:colOff>333955</xdr:colOff>
                    <xdr:row>37</xdr:row>
                    <xdr:rowOff>246490</xdr:rowOff>
                  </to>
                </anchor>
              </controlPr>
            </control>
          </mc:Choice>
        </mc:AlternateContent>
        <mc:AlternateContent xmlns:mc="http://schemas.openxmlformats.org/markup-compatibility/2006">
          <mc:Choice Requires="x14">
            <control shapeId="86019" r:id="rId8" name="Check Box 3">
              <controlPr defaultSize="0" autoFill="0" autoLine="0" autoPict="0">
                <anchor moveWithCells="1" sizeWithCells="1">
                  <from>
                    <xdr:col>27</xdr:col>
                    <xdr:colOff>31805</xdr:colOff>
                    <xdr:row>40</xdr:row>
                    <xdr:rowOff>15903</xdr:rowOff>
                  </from>
                  <to>
                    <xdr:col>27</xdr:col>
                    <xdr:colOff>333955</xdr:colOff>
                    <xdr:row>40</xdr:row>
                    <xdr:rowOff>246490</xdr:rowOff>
                  </to>
                </anchor>
              </controlPr>
            </control>
          </mc:Choice>
        </mc:AlternateContent>
        <mc:AlternateContent xmlns:mc="http://schemas.openxmlformats.org/markup-compatibility/2006">
          <mc:Choice Requires="x14">
            <control shapeId="86020" r:id="rId9" name="Check Box 4">
              <controlPr defaultSize="0" autoFill="0" autoLine="0" autoPict="0">
                <anchor moveWithCells="1" sizeWithCells="1">
                  <from>
                    <xdr:col>23</xdr:col>
                    <xdr:colOff>31805</xdr:colOff>
                    <xdr:row>40</xdr:row>
                    <xdr:rowOff>15903</xdr:rowOff>
                  </from>
                  <to>
                    <xdr:col>23</xdr:col>
                    <xdr:colOff>333955</xdr:colOff>
                    <xdr:row>40</xdr:row>
                    <xdr:rowOff>246490</xdr:rowOff>
                  </to>
                </anchor>
              </controlPr>
            </control>
          </mc:Choice>
        </mc:AlternateContent>
        <mc:AlternateContent xmlns:mc="http://schemas.openxmlformats.org/markup-compatibility/2006">
          <mc:Choice Requires="x14">
            <control shapeId="86021" r:id="rId10" name="Check Box 5">
              <controlPr defaultSize="0" autoFill="0" autoLine="0" autoPict="0">
                <anchor moveWithCells="1" sizeWithCells="1">
                  <from>
                    <xdr:col>27</xdr:col>
                    <xdr:colOff>31805</xdr:colOff>
                    <xdr:row>21</xdr:row>
                    <xdr:rowOff>15903</xdr:rowOff>
                  </from>
                  <to>
                    <xdr:col>27</xdr:col>
                    <xdr:colOff>333955</xdr:colOff>
                    <xdr:row>21</xdr:row>
                    <xdr:rowOff>246490</xdr:rowOff>
                  </to>
                </anchor>
              </controlPr>
            </control>
          </mc:Choice>
        </mc:AlternateContent>
        <mc:AlternateContent xmlns:mc="http://schemas.openxmlformats.org/markup-compatibility/2006">
          <mc:Choice Requires="x14">
            <control shapeId="86022" r:id="rId11" name="Check Box 6">
              <controlPr defaultSize="0" autoFill="0" autoLine="0" autoPict="0">
                <anchor moveWithCells="1" sizeWithCells="1">
                  <from>
                    <xdr:col>25</xdr:col>
                    <xdr:colOff>31805</xdr:colOff>
                    <xdr:row>38</xdr:row>
                    <xdr:rowOff>15903</xdr:rowOff>
                  </from>
                  <to>
                    <xdr:col>25</xdr:col>
                    <xdr:colOff>333955</xdr:colOff>
                    <xdr:row>38</xdr:row>
                    <xdr:rowOff>246490</xdr:rowOff>
                  </to>
                </anchor>
              </controlPr>
            </control>
          </mc:Choice>
        </mc:AlternateContent>
        <mc:AlternateContent xmlns:mc="http://schemas.openxmlformats.org/markup-compatibility/2006">
          <mc:Choice Requires="x14">
            <control shapeId="86023" r:id="rId12" name="Check Box 7">
              <controlPr defaultSize="0" autoFill="0" autoLine="0" autoPict="0">
                <anchor moveWithCells="1" sizeWithCells="1">
                  <from>
                    <xdr:col>27</xdr:col>
                    <xdr:colOff>31805</xdr:colOff>
                    <xdr:row>38</xdr:row>
                    <xdr:rowOff>15903</xdr:rowOff>
                  </from>
                  <to>
                    <xdr:col>27</xdr:col>
                    <xdr:colOff>333955</xdr:colOff>
                    <xdr:row>38</xdr:row>
                    <xdr:rowOff>246490</xdr:rowOff>
                  </to>
                </anchor>
              </controlPr>
            </control>
          </mc:Choice>
        </mc:AlternateContent>
        <mc:AlternateContent xmlns:mc="http://schemas.openxmlformats.org/markup-compatibility/2006">
          <mc:Choice Requires="x14">
            <control shapeId="86024" r:id="rId13" name="Check Box 8">
              <controlPr defaultSize="0" autoFill="0" autoLine="0" autoPict="0">
                <anchor moveWithCells="1" sizeWithCells="1">
                  <from>
                    <xdr:col>25</xdr:col>
                    <xdr:colOff>31805</xdr:colOff>
                    <xdr:row>26</xdr:row>
                    <xdr:rowOff>15903</xdr:rowOff>
                  </from>
                  <to>
                    <xdr:col>25</xdr:col>
                    <xdr:colOff>333955</xdr:colOff>
                    <xdr:row>26</xdr:row>
                    <xdr:rowOff>246490</xdr:rowOff>
                  </to>
                </anchor>
              </controlPr>
            </control>
          </mc:Choice>
        </mc:AlternateContent>
        <mc:AlternateContent xmlns:mc="http://schemas.openxmlformats.org/markup-compatibility/2006">
          <mc:Choice Requires="x14">
            <control shapeId="86025" r:id="rId14" name="Check Box 9">
              <controlPr defaultSize="0" autoFill="0" autoLine="0" autoPict="0">
                <anchor moveWithCells="1" sizeWithCells="1">
                  <from>
                    <xdr:col>27</xdr:col>
                    <xdr:colOff>31805</xdr:colOff>
                    <xdr:row>26</xdr:row>
                    <xdr:rowOff>15903</xdr:rowOff>
                  </from>
                  <to>
                    <xdr:col>27</xdr:col>
                    <xdr:colOff>333955</xdr:colOff>
                    <xdr:row>26</xdr:row>
                    <xdr:rowOff>246490</xdr:rowOff>
                  </to>
                </anchor>
              </controlPr>
            </control>
          </mc:Choice>
        </mc:AlternateContent>
        <mc:AlternateContent xmlns:mc="http://schemas.openxmlformats.org/markup-compatibility/2006">
          <mc:Choice Requires="x14">
            <control shapeId="86026" r:id="rId15" name="Check Box 10">
              <controlPr defaultSize="0" autoFill="0" autoLine="0" autoPict="0">
                <anchor moveWithCells="1" sizeWithCells="1">
                  <from>
                    <xdr:col>5</xdr:col>
                    <xdr:colOff>31805</xdr:colOff>
                    <xdr:row>13</xdr:row>
                    <xdr:rowOff>15903</xdr:rowOff>
                  </from>
                  <to>
                    <xdr:col>5</xdr:col>
                    <xdr:colOff>333955</xdr:colOff>
                    <xdr:row>13</xdr:row>
                    <xdr:rowOff>246490</xdr:rowOff>
                  </to>
                </anchor>
              </controlPr>
            </control>
          </mc:Choice>
        </mc:AlternateContent>
        <mc:AlternateContent xmlns:mc="http://schemas.openxmlformats.org/markup-compatibility/2006">
          <mc:Choice Requires="x14">
            <control shapeId="86027" r:id="rId16" name="Check Box 11">
              <controlPr defaultSize="0" autoFill="0" autoLine="0" autoPict="0">
                <anchor moveWithCells="1" sizeWithCells="1">
                  <from>
                    <xdr:col>5</xdr:col>
                    <xdr:colOff>31805</xdr:colOff>
                    <xdr:row>12</xdr:row>
                    <xdr:rowOff>15903</xdr:rowOff>
                  </from>
                  <to>
                    <xdr:col>5</xdr:col>
                    <xdr:colOff>333955</xdr:colOff>
                    <xdr:row>12</xdr:row>
                    <xdr:rowOff>246490</xdr:rowOff>
                  </to>
                </anchor>
              </controlPr>
            </control>
          </mc:Choice>
        </mc:AlternateContent>
        <mc:AlternateContent xmlns:mc="http://schemas.openxmlformats.org/markup-compatibility/2006">
          <mc:Choice Requires="x14">
            <control shapeId="86028" r:id="rId17" name="Check Box 12">
              <controlPr defaultSize="0" autoFill="0" autoLine="0" autoPict="0">
                <anchor moveWithCells="1" sizeWithCells="1">
                  <from>
                    <xdr:col>25</xdr:col>
                    <xdr:colOff>31805</xdr:colOff>
                    <xdr:row>18</xdr:row>
                    <xdr:rowOff>15903</xdr:rowOff>
                  </from>
                  <to>
                    <xdr:col>25</xdr:col>
                    <xdr:colOff>333955</xdr:colOff>
                    <xdr:row>18</xdr:row>
                    <xdr:rowOff>246490</xdr:rowOff>
                  </to>
                </anchor>
              </controlPr>
            </control>
          </mc:Choice>
        </mc:AlternateContent>
        <mc:AlternateContent xmlns:mc="http://schemas.openxmlformats.org/markup-compatibility/2006">
          <mc:Choice Requires="x14">
            <control shapeId="86029" r:id="rId18" name="Check Box 13">
              <controlPr defaultSize="0" autoFill="0" autoLine="0" autoPict="0">
                <anchor moveWithCells="1" sizeWithCells="1">
                  <from>
                    <xdr:col>27</xdr:col>
                    <xdr:colOff>31805</xdr:colOff>
                    <xdr:row>18</xdr:row>
                    <xdr:rowOff>15903</xdr:rowOff>
                  </from>
                  <to>
                    <xdr:col>27</xdr:col>
                    <xdr:colOff>333955</xdr:colOff>
                    <xdr:row>18</xdr:row>
                    <xdr:rowOff>246490</xdr:rowOff>
                  </to>
                </anchor>
              </controlPr>
            </control>
          </mc:Choice>
        </mc:AlternateContent>
        <mc:AlternateContent xmlns:mc="http://schemas.openxmlformats.org/markup-compatibility/2006">
          <mc:Choice Requires="x14">
            <control shapeId="86030" r:id="rId19" name="Check Box 14">
              <controlPr defaultSize="0" autoFill="0" autoLine="0" autoPict="0">
                <anchor moveWithCells="1" sizeWithCells="1">
                  <from>
                    <xdr:col>25</xdr:col>
                    <xdr:colOff>31805</xdr:colOff>
                    <xdr:row>19</xdr:row>
                    <xdr:rowOff>15903</xdr:rowOff>
                  </from>
                  <to>
                    <xdr:col>25</xdr:col>
                    <xdr:colOff>333955</xdr:colOff>
                    <xdr:row>19</xdr:row>
                    <xdr:rowOff>246490</xdr:rowOff>
                  </to>
                </anchor>
              </controlPr>
            </control>
          </mc:Choice>
        </mc:AlternateContent>
        <mc:AlternateContent xmlns:mc="http://schemas.openxmlformats.org/markup-compatibility/2006">
          <mc:Choice Requires="x14">
            <control shapeId="86031" r:id="rId20" name="Check Box 15">
              <controlPr defaultSize="0" autoFill="0" autoLine="0" autoPict="0">
                <anchor moveWithCells="1" sizeWithCells="1">
                  <from>
                    <xdr:col>27</xdr:col>
                    <xdr:colOff>31805</xdr:colOff>
                    <xdr:row>19</xdr:row>
                    <xdr:rowOff>15903</xdr:rowOff>
                  </from>
                  <to>
                    <xdr:col>27</xdr:col>
                    <xdr:colOff>333955</xdr:colOff>
                    <xdr:row>19</xdr:row>
                    <xdr:rowOff>246490</xdr:rowOff>
                  </to>
                </anchor>
              </controlPr>
            </control>
          </mc:Choice>
        </mc:AlternateContent>
        <mc:AlternateContent xmlns:mc="http://schemas.openxmlformats.org/markup-compatibility/2006">
          <mc:Choice Requires="x14">
            <control shapeId="86032" r:id="rId21" name="Check Box 16">
              <controlPr defaultSize="0" autoFill="0" autoLine="0" autoPict="0">
                <anchor moveWithCells="1" sizeWithCells="1">
                  <from>
                    <xdr:col>27</xdr:col>
                    <xdr:colOff>31805</xdr:colOff>
                    <xdr:row>22</xdr:row>
                    <xdr:rowOff>15903</xdr:rowOff>
                  </from>
                  <to>
                    <xdr:col>27</xdr:col>
                    <xdr:colOff>333955</xdr:colOff>
                    <xdr:row>22</xdr:row>
                    <xdr:rowOff>246490</xdr:rowOff>
                  </to>
                </anchor>
              </controlPr>
            </control>
          </mc:Choice>
        </mc:AlternateContent>
        <mc:AlternateContent xmlns:mc="http://schemas.openxmlformats.org/markup-compatibility/2006">
          <mc:Choice Requires="x14">
            <control shapeId="86033" r:id="rId22" name="Check Box 17">
              <controlPr defaultSize="0" autoFill="0" autoLine="0" autoPict="0">
                <anchor moveWithCells="1" sizeWithCells="1">
                  <from>
                    <xdr:col>27</xdr:col>
                    <xdr:colOff>31805</xdr:colOff>
                    <xdr:row>21</xdr:row>
                    <xdr:rowOff>15903</xdr:rowOff>
                  </from>
                  <to>
                    <xdr:col>27</xdr:col>
                    <xdr:colOff>333955</xdr:colOff>
                    <xdr:row>21</xdr:row>
                    <xdr:rowOff>246490</xdr:rowOff>
                  </to>
                </anchor>
              </controlPr>
            </control>
          </mc:Choice>
        </mc:AlternateContent>
        <mc:AlternateContent xmlns:mc="http://schemas.openxmlformats.org/markup-compatibility/2006">
          <mc:Choice Requires="x14">
            <control shapeId="86034" r:id="rId23" name="Check Box 18">
              <controlPr defaultSize="0" autoFill="0" autoLine="0" autoPict="0">
                <anchor moveWithCells="1" sizeWithCells="1">
                  <from>
                    <xdr:col>27</xdr:col>
                    <xdr:colOff>31805</xdr:colOff>
                    <xdr:row>22</xdr:row>
                    <xdr:rowOff>15903</xdr:rowOff>
                  </from>
                  <to>
                    <xdr:col>27</xdr:col>
                    <xdr:colOff>333955</xdr:colOff>
                    <xdr:row>22</xdr:row>
                    <xdr:rowOff>246490</xdr:rowOff>
                  </to>
                </anchor>
              </controlPr>
            </control>
          </mc:Choice>
        </mc:AlternateContent>
        <mc:AlternateContent xmlns:mc="http://schemas.openxmlformats.org/markup-compatibility/2006">
          <mc:Choice Requires="x14">
            <control shapeId="86035" r:id="rId24" name="Check Box 19">
              <controlPr defaultSize="0" autoFill="0" autoLine="0" autoPict="0">
                <anchor moveWithCells="1" sizeWithCells="1">
                  <from>
                    <xdr:col>11</xdr:col>
                    <xdr:colOff>135172</xdr:colOff>
                    <xdr:row>19</xdr:row>
                    <xdr:rowOff>15903</xdr:rowOff>
                  </from>
                  <to>
                    <xdr:col>12</xdr:col>
                    <xdr:colOff>15903</xdr:colOff>
                    <xdr:row>19</xdr:row>
                    <xdr:rowOff>246490</xdr:rowOff>
                  </to>
                </anchor>
              </controlPr>
            </control>
          </mc:Choice>
        </mc:AlternateContent>
        <mc:AlternateContent xmlns:mc="http://schemas.openxmlformats.org/markup-compatibility/2006">
          <mc:Choice Requires="x14">
            <control shapeId="86036" r:id="rId25" name="Check Box 20">
              <controlPr defaultSize="0" autoFill="0" autoLine="0" autoPict="0">
                <anchor moveWithCells="1" sizeWithCells="1">
                  <from>
                    <xdr:col>9</xdr:col>
                    <xdr:colOff>31805</xdr:colOff>
                    <xdr:row>19</xdr:row>
                    <xdr:rowOff>15903</xdr:rowOff>
                  </from>
                  <to>
                    <xdr:col>9</xdr:col>
                    <xdr:colOff>294198</xdr:colOff>
                    <xdr:row>19</xdr:row>
                    <xdr:rowOff>246490</xdr:rowOff>
                  </to>
                </anchor>
              </controlPr>
            </control>
          </mc:Choice>
        </mc:AlternateContent>
        <mc:AlternateContent xmlns:mc="http://schemas.openxmlformats.org/markup-compatibility/2006">
          <mc:Choice Requires="x14">
            <control shapeId="86037" r:id="rId26" name="Check Box 21">
              <controlPr defaultSize="0" autoFill="0" autoLine="0" autoPict="0">
                <anchor moveWithCells="1" sizeWithCells="1">
                  <from>
                    <xdr:col>25</xdr:col>
                    <xdr:colOff>31805</xdr:colOff>
                    <xdr:row>36</xdr:row>
                    <xdr:rowOff>31805</xdr:rowOff>
                  </from>
                  <to>
                    <xdr:col>25</xdr:col>
                    <xdr:colOff>333955</xdr:colOff>
                    <xdr:row>36</xdr:row>
                    <xdr:rowOff>254442</xdr:rowOff>
                  </to>
                </anchor>
              </controlPr>
            </control>
          </mc:Choice>
        </mc:AlternateContent>
        <mc:AlternateContent xmlns:mc="http://schemas.openxmlformats.org/markup-compatibility/2006">
          <mc:Choice Requires="x14">
            <control shapeId="86038" r:id="rId27" name="Check Box 22">
              <controlPr defaultSize="0" autoFill="0" autoLine="0" autoPict="0">
                <anchor moveWithCells="1" sizeWithCells="1">
                  <from>
                    <xdr:col>27</xdr:col>
                    <xdr:colOff>31805</xdr:colOff>
                    <xdr:row>36</xdr:row>
                    <xdr:rowOff>31805</xdr:rowOff>
                  </from>
                  <to>
                    <xdr:col>27</xdr:col>
                    <xdr:colOff>333955</xdr:colOff>
                    <xdr:row>36</xdr:row>
                    <xdr:rowOff>254442</xdr:rowOff>
                  </to>
                </anchor>
              </controlPr>
            </control>
          </mc:Choice>
        </mc:AlternateContent>
        <mc:AlternateContent xmlns:mc="http://schemas.openxmlformats.org/markup-compatibility/2006">
          <mc:Choice Requires="x14">
            <control shapeId="86039" r:id="rId28" name="Check Box 23">
              <controlPr defaultSize="0" autoFill="0" autoLine="0" autoPict="0">
                <anchor moveWithCells="1" sizeWithCells="1">
                  <from>
                    <xdr:col>25</xdr:col>
                    <xdr:colOff>31805</xdr:colOff>
                    <xdr:row>27</xdr:row>
                    <xdr:rowOff>15903</xdr:rowOff>
                  </from>
                  <to>
                    <xdr:col>25</xdr:col>
                    <xdr:colOff>333955</xdr:colOff>
                    <xdr:row>27</xdr:row>
                    <xdr:rowOff>246490</xdr:rowOff>
                  </to>
                </anchor>
              </controlPr>
            </control>
          </mc:Choice>
        </mc:AlternateContent>
        <mc:AlternateContent xmlns:mc="http://schemas.openxmlformats.org/markup-compatibility/2006">
          <mc:Choice Requires="x14">
            <control shapeId="86040" r:id="rId29" name="Check Box 24">
              <controlPr defaultSize="0" autoFill="0" autoLine="0" autoPict="0">
                <anchor moveWithCells="1" sizeWithCells="1">
                  <from>
                    <xdr:col>27</xdr:col>
                    <xdr:colOff>31805</xdr:colOff>
                    <xdr:row>27</xdr:row>
                    <xdr:rowOff>15903</xdr:rowOff>
                  </from>
                  <to>
                    <xdr:col>27</xdr:col>
                    <xdr:colOff>333955</xdr:colOff>
                    <xdr:row>27</xdr:row>
                    <xdr:rowOff>246490</xdr:rowOff>
                  </to>
                </anchor>
              </controlPr>
            </control>
          </mc:Choice>
        </mc:AlternateContent>
        <mc:AlternateContent xmlns:mc="http://schemas.openxmlformats.org/markup-compatibility/2006">
          <mc:Choice Requires="x14">
            <control shapeId="86041" r:id="rId30" name="Check Box 25">
              <controlPr defaultSize="0" autoFill="0" autoLine="0" autoPict="0">
                <anchor moveWithCells="1" sizeWithCells="1">
                  <from>
                    <xdr:col>25</xdr:col>
                    <xdr:colOff>31805</xdr:colOff>
                    <xdr:row>39</xdr:row>
                    <xdr:rowOff>15903</xdr:rowOff>
                  </from>
                  <to>
                    <xdr:col>25</xdr:col>
                    <xdr:colOff>333955</xdr:colOff>
                    <xdr:row>39</xdr:row>
                    <xdr:rowOff>246490</xdr:rowOff>
                  </to>
                </anchor>
              </controlPr>
            </control>
          </mc:Choice>
        </mc:AlternateContent>
        <mc:AlternateContent xmlns:mc="http://schemas.openxmlformats.org/markup-compatibility/2006">
          <mc:Choice Requires="x14">
            <control shapeId="86042" r:id="rId31" name="Check Box 26">
              <controlPr defaultSize="0" autoFill="0" autoLine="0" autoPict="0">
                <anchor moveWithCells="1" sizeWithCells="1">
                  <from>
                    <xdr:col>27</xdr:col>
                    <xdr:colOff>31805</xdr:colOff>
                    <xdr:row>39</xdr:row>
                    <xdr:rowOff>15903</xdr:rowOff>
                  </from>
                  <to>
                    <xdr:col>27</xdr:col>
                    <xdr:colOff>333955</xdr:colOff>
                    <xdr:row>39</xdr:row>
                    <xdr:rowOff>246490</xdr:rowOff>
                  </to>
                </anchor>
              </controlPr>
            </control>
          </mc:Choice>
        </mc:AlternateContent>
        <mc:AlternateContent xmlns:mc="http://schemas.openxmlformats.org/markup-compatibility/2006">
          <mc:Choice Requires="x14">
            <control shapeId="86043" r:id="rId32" name="Check Box 27">
              <controlPr defaultSize="0" autoFill="0" autoLine="0" autoPict="0">
                <anchor moveWithCells="1" sizeWithCells="1">
                  <from>
                    <xdr:col>13</xdr:col>
                    <xdr:colOff>39757</xdr:colOff>
                    <xdr:row>51</xdr:row>
                    <xdr:rowOff>15903</xdr:rowOff>
                  </from>
                  <to>
                    <xdr:col>13</xdr:col>
                    <xdr:colOff>341906</xdr:colOff>
                    <xdr:row>51</xdr:row>
                    <xdr:rowOff>246490</xdr:rowOff>
                  </to>
                </anchor>
              </controlPr>
            </control>
          </mc:Choice>
        </mc:AlternateContent>
        <mc:AlternateContent xmlns:mc="http://schemas.openxmlformats.org/markup-compatibility/2006">
          <mc:Choice Requires="x14">
            <control shapeId="86044" r:id="rId33" name="Check Box 28">
              <controlPr defaultSize="0" autoFill="0" autoLine="0" autoPict="0">
                <anchor moveWithCells="1" sizeWithCells="1">
                  <from>
                    <xdr:col>12</xdr:col>
                    <xdr:colOff>55659</xdr:colOff>
                    <xdr:row>21</xdr:row>
                    <xdr:rowOff>31805</xdr:rowOff>
                  </from>
                  <to>
                    <xdr:col>12</xdr:col>
                    <xdr:colOff>365760</xdr:colOff>
                    <xdr:row>21</xdr:row>
                    <xdr:rowOff>254442</xdr:rowOff>
                  </to>
                </anchor>
              </controlPr>
            </control>
          </mc:Choice>
        </mc:AlternateContent>
        <mc:AlternateContent xmlns:mc="http://schemas.openxmlformats.org/markup-compatibility/2006">
          <mc:Choice Requires="x14">
            <control shapeId="86045" r:id="rId34" name="Check Box 29">
              <controlPr defaultSize="0" autoFill="0" autoLine="0" autoPict="0">
                <anchor moveWithCells="1" sizeWithCells="1">
                  <from>
                    <xdr:col>12</xdr:col>
                    <xdr:colOff>55659</xdr:colOff>
                    <xdr:row>22</xdr:row>
                    <xdr:rowOff>31805</xdr:rowOff>
                  </from>
                  <to>
                    <xdr:col>12</xdr:col>
                    <xdr:colOff>365760</xdr:colOff>
                    <xdr:row>22</xdr:row>
                    <xdr:rowOff>254442</xdr:rowOff>
                  </to>
                </anchor>
              </controlPr>
            </control>
          </mc:Choice>
        </mc:AlternateContent>
        <mc:AlternateContent xmlns:mc="http://schemas.openxmlformats.org/markup-compatibility/2006">
          <mc:Choice Requires="x14">
            <control shapeId="86046" r:id="rId35" name="Check Box 30">
              <controlPr defaultSize="0" autoFill="0" autoLine="0" autoPict="0">
                <anchor moveWithCells="1" sizeWithCells="1">
                  <from>
                    <xdr:col>12</xdr:col>
                    <xdr:colOff>55659</xdr:colOff>
                    <xdr:row>23</xdr:row>
                    <xdr:rowOff>0</xdr:rowOff>
                  </from>
                  <to>
                    <xdr:col>12</xdr:col>
                    <xdr:colOff>365760</xdr:colOff>
                    <xdr:row>23</xdr:row>
                    <xdr:rowOff>230588</xdr:rowOff>
                  </to>
                </anchor>
              </controlPr>
            </control>
          </mc:Choice>
        </mc:AlternateContent>
        <mc:AlternateContent xmlns:mc="http://schemas.openxmlformats.org/markup-compatibility/2006">
          <mc:Choice Requires="x14">
            <control shapeId="86047" r:id="rId36" name="Check Box 31">
              <controlPr defaultSize="0" autoFill="0" autoLine="0" autoPict="0">
                <anchor moveWithCells="1" sizeWithCells="1">
                  <from>
                    <xdr:col>16</xdr:col>
                    <xdr:colOff>55659</xdr:colOff>
                    <xdr:row>51</xdr:row>
                    <xdr:rowOff>63610</xdr:rowOff>
                  </from>
                  <to>
                    <xdr:col>16</xdr:col>
                    <xdr:colOff>365760</xdr:colOff>
                    <xdr:row>51</xdr:row>
                    <xdr:rowOff>222637</xdr:rowOff>
                  </to>
                </anchor>
              </controlPr>
            </control>
          </mc:Choice>
        </mc:AlternateContent>
        <mc:AlternateContent xmlns:mc="http://schemas.openxmlformats.org/markup-compatibility/2006">
          <mc:Choice Requires="x14">
            <control shapeId="86050" r:id="rId37" name="Check Box 34">
              <controlPr defaultSize="0" autoFill="0" autoLine="0" autoPict="0">
                <anchor moveWithCells="1" sizeWithCells="1">
                  <from>
                    <xdr:col>25</xdr:col>
                    <xdr:colOff>31805</xdr:colOff>
                    <xdr:row>44</xdr:row>
                    <xdr:rowOff>31805</xdr:rowOff>
                  </from>
                  <to>
                    <xdr:col>25</xdr:col>
                    <xdr:colOff>333955</xdr:colOff>
                    <xdr:row>44</xdr:row>
                    <xdr:rowOff>206734</xdr:rowOff>
                  </to>
                </anchor>
              </controlPr>
            </control>
          </mc:Choice>
        </mc:AlternateContent>
        <mc:AlternateContent xmlns:mc="http://schemas.openxmlformats.org/markup-compatibility/2006">
          <mc:Choice Requires="x14">
            <control shapeId="86051" r:id="rId38" name="Check Box 35">
              <controlPr defaultSize="0" autoFill="0" autoLine="0" autoPict="0">
                <anchor moveWithCells="1" sizeWithCells="1">
                  <from>
                    <xdr:col>27</xdr:col>
                    <xdr:colOff>31805</xdr:colOff>
                    <xdr:row>44</xdr:row>
                    <xdr:rowOff>31805</xdr:rowOff>
                  </from>
                  <to>
                    <xdr:col>27</xdr:col>
                    <xdr:colOff>333955</xdr:colOff>
                    <xdr:row>44</xdr:row>
                    <xdr:rowOff>206734</xdr:rowOff>
                  </to>
                </anchor>
              </controlPr>
            </control>
          </mc:Choice>
        </mc:AlternateContent>
        <mc:AlternateContent xmlns:mc="http://schemas.openxmlformats.org/markup-compatibility/2006">
          <mc:Choice Requires="x14">
            <control shapeId="86052" r:id="rId39" name="Check Box 36">
              <controlPr defaultSize="0" autoFill="0" autoLine="0" autoPict="0">
                <anchor moveWithCells="1" sizeWithCells="1">
                  <from>
                    <xdr:col>13</xdr:col>
                    <xdr:colOff>103367</xdr:colOff>
                    <xdr:row>19</xdr:row>
                    <xdr:rowOff>31805</xdr:rowOff>
                  </from>
                  <to>
                    <xdr:col>13</xdr:col>
                    <xdr:colOff>326003</xdr:colOff>
                    <xdr:row>19</xdr:row>
                    <xdr:rowOff>222637</xdr:rowOff>
                  </to>
                </anchor>
              </controlPr>
            </control>
          </mc:Choice>
        </mc:AlternateContent>
        <mc:AlternateContent xmlns:mc="http://schemas.openxmlformats.org/markup-compatibility/2006">
          <mc:Choice Requires="x14">
            <control shapeId="86053" r:id="rId40" name="Drop Down 37">
              <controlPr defaultSize="0" autoLine="0" autoPict="0">
                <anchor moveWithCells="1">
                  <from>
                    <xdr:col>18</xdr:col>
                    <xdr:colOff>238539</xdr:colOff>
                    <xdr:row>0</xdr:row>
                    <xdr:rowOff>103367</xdr:rowOff>
                  </from>
                  <to>
                    <xdr:col>22</xdr:col>
                    <xdr:colOff>230588</xdr:colOff>
                    <xdr:row>1</xdr:row>
                    <xdr:rowOff>143123</xdr:rowOff>
                  </to>
                </anchor>
              </controlPr>
            </control>
          </mc:Choice>
        </mc:AlternateContent>
        <mc:AlternateContent xmlns:mc="http://schemas.openxmlformats.org/markup-compatibility/2006">
          <mc:Choice Requires="x14">
            <control shapeId="86055" r:id="rId41" name="Check Box 39">
              <controlPr defaultSize="0" autoFill="0" autoLine="0" autoPict="0">
                <anchor moveWithCells="1" sizeWithCells="1">
                  <from>
                    <xdr:col>13</xdr:col>
                    <xdr:colOff>31805</xdr:colOff>
                    <xdr:row>52</xdr:row>
                    <xdr:rowOff>31805</xdr:rowOff>
                  </from>
                  <to>
                    <xdr:col>13</xdr:col>
                    <xdr:colOff>333955</xdr:colOff>
                    <xdr:row>52</xdr:row>
                    <xdr:rowOff>254442</xdr:rowOff>
                  </to>
                </anchor>
              </controlPr>
            </control>
          </mc:Choice>
        </mc:AlternateContent>
        <mc:AlternateContent xmlns:mc="http://schemas.openxmlformats.org/markup-compatibility/2006">
          <mc:Choice Requires="x14">
            <control shapeId="86056" r:id="rId42" name="Check Box 40">
              <controlPr defaultSize="0" autoFill="0" autoLine="0" autoPict="0">
                <anchor moveWithCells="1" sizeWithCells="1">
                  <from>
                    <xdr:col>16</xdr:col>
                    <xdr:colOff>47708</xdr:colOff>
                    <xdr:row>52</xdr:row>
                    <xdr:rowOff>55659</xdr:rowOff>
                  </from>
                  <to>
                    <xdr:col>17</xdr:col>
                    <xdr:colOff>15903</xdr:colOff>
                    <xdr:row>52</xdr:row>
                    <xdr:rowOff>286247</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tabColor theme="6" tint="0.39997558519241921"/>
    <pageSetUpPr fitToPage="1"/>
  </sheetPr>
  <dimension ref="A1:HH282"/>
  <sheetViews>
    <sheetView showGridLines="0" topLeftCell="B15" zoomScaleNormal="100" zoomScaleSheetLayoutView="55" zoomScalePageLayoutView="85" workbookViewId="0">
      <selection activeCell="V44" sqref="V44"/>
    </sheetView>
  </sheetViews>
  <sheetFormatPr baseColWidth="10" defaultColWidth="4.3984375" defaultRowHeight="20.05" customHeight="1" outlineLevelRow="1" x14ac:dyDescent="0.25"/>
  <cols>
    <col min="1" max="1" width="1.3984375" style="377" customWidth="1"/>
    <col min="2" max="2" width="7.3984375" style="377" customWidth="1"/>
    <col min="3" max="3" width="11.8984375" style="377" customWidth="1"/>
    <col min="4" max="4" width="11.69921875" style="377" customWidth="1"/>
    <col min="5" max="5" width="11.19921875" style="377" customWidth="1"/>
    <col min="6" max="7" width="10.3984375" style="377" customWidth="1"/>
    <col min="8" max="8" width="12.19921875" style="377" customWidth="1"/>
    <col min="9" max="11" width="10.3984375" style="377" customWidth="1"/>
    <col min="12" max="12" width="13" style="377" customWidth="1"/>
    <col min="13" max="13" width="16.5" style="377" customWidth="1"/>
    <col min="14" max="24" width="10.3984375" style="377" customWidth="1"/>
    <col min="25" max="25" width="33.8984375" style="377" customWidth="1"/>
    <col min="26" max="26" width="1.3984375" style="376" customWidth="1"/>
    <col min="27" max="30" width="4.3984375" style="376"/>
    <col min="31" max="32" width="0" style="376" hidden="1" customWidth="1"/>
    <col min="33" max="34" width="4.3984375" style="376" hidden="1" customWidth="1"/>
    <col min="35" max="39" width="4.3984375" style="376" customWidth="1"/>
    <col min="40" max="216" width="4.3984375" style="376"/>
    <col min="217" max="16384" width="4.3984375" style="377"/>
  </cols>
  <sheetData>
    <row r="1" spans="1:216" s="375" customFormat="1" ht="17.7" customHeight="1" x14ac:dyDescent="0.25">
      <c r="A1" s="2818"/>
      <c r="B1" s="2837" t="str">
        <f>HLOOKUP(LANGUAGE!$B$2,LANGUAGE!$C$14:$G$2500,1862)</f>
        <v>Measuring alignment</v>
      </c>
      <c r="C1" s="2837"/>
      <c r="D1" s="2837"/>
      <c r="E1" s="2837"/>
      <c r="F1" s="2837"/>
      <c r="G1" s="264"/>
      <c r="H1" s="264"/>
      <c r="I1" s="2838" t="s">
        <v>2</v>
      </c>
      <c r="J1" s="2838"/>
      <c r="K1" s="264"/>
      <c r="L1" s="264"/>
      <c r="M1" s="264"/>
      <c r="N1" s="264"/>
      <c r="O1" s="264"/>
      <c r="P1" s="264"/>
      <c r="Q1" s="264"/>
      <c r="R1" s="264"/>
      <c r="S1" s="264"/>
      <c r="T1" s="264"/>
      <c r="U1" s="264"/>
      <c r="V1" s="264"/>
      <c r="W1" s="264"/>
      <c r="X1" s="264"/>
      <c r="Y1" s="264"/>
      <c r="Z1" s="399"/>
      <c r="AA1" s="399"/>
      <c r="AB1" s="399"/>
      <c r="AC1" s="399"/>
      <c r="AD1" s="374"/>
      <c r="AE1" s="374"/>
      <c r="AF1" s="400"/>
      <c r="AG1" s="374"/>
      <c r="AH1" s="374"/>
      <c r="AI1" s="374"/>
      <c r="AJ1" s="374"/>
      <c r="AK1" s="374"/>
      <c r="AL1" s="374"/>
      <c r="AM1" s="374"/>
      <c r="AN1" s="374"/>
      <c r="AO1" s="374"/>
      <c r="AP1" s="374"/>
      <c r="AQ1" s="374"/>
      <c r="AR1" s="374"/>
      <c r="AS1" s="374"/>
      <c r="AT1" s="374"/>
      <c r="AU1" s="374"/>
      <c r="AV1" s="374"/>
      <c r="AW1" s="374"/>
      <c r="AX1" s="374"/>
      <c r="AY1" s="374"/>
      <c r="AZ1" s="374"/>
      <c r="BA1" s="374"/>
      <c r="BB1" s="374"/>
      <c r="BC1" s="374"/>
      <c r="BD1" s="374"/>
      <c r="BE1" s="374"/>
      <c r="BF1" s="374"/>
      <c r="BG1" s="374"/>
      <c r="BH1" s="374"/>
      <c r="BI1" s="374"/>
      <c r="BJ1" s="374"/>
      <c r="BK1" s="374"/>
      <c r="BL1" s="374"/>
      <c r="BM1" s="374"/>
      <c r="BN1" s="374"/>
      <c r="BO1" s="374"/>
      <c r="BP1" s="374"/>
      <c r="BQ1" s="374"/>
      <c r="BR1" s="374"/>
      <c r="BS1" s="374"/>
      <c r="BT1" s="374"/>
      <c r="BU1" s="374"/>
      <c r="BV1" s="374"/>
      <c r="BW1" s="374"/>
      <c r="BX1" s="374"/>
      <c r="BY1" s="374"/>
      <c r="BZ1" s="374"/>
      <c r="CA1" s="374"/>
      <c r="CB1" s="374"/>
      <c r="CC1" s="374"/>
      <c r="CD1" s="374"/>
      <c r="CE1" s="374"/>
      <c r="CF1" s="374"/>
      <c r="CG1" s="374"/>
      <c r="CH1" s="374"/>
      <c r="CI1" s="374"/>
      <c r="CJ1" s="374"/>
      <c r="CK1" s="374"/>
      <c r="CL1" s="374"/>
      <c r="CM1" s="374"/>
      <c r="CN1" s="374"/>
      <c r="CO1" s="374"/>
      <c r="CP1" s="374"/>
      <c r="CQ1" s="374"/>
      <c r="CR1" s="374"/>
      <c r="CS1" s="374"/>
      <c r="CT1" s="374"/>
      <c r="CU1" s="374"/>
      <c r="CV1" s="374"/>
      <c r="CW1" s="374"/>
      <c r="CX1" s="374"/>
      <c r="CY1" s="374"/>
      <c r="CZ1" s="374"/>
      <c r="DA1" s="374"/>
      <c r="DB1" s="374"/>
      <c r="DC1" s="374"/>
      <c r="DD1" s="374"/>
      <c r="DE1" s="374"/>
      <c r="DF1" s="374"/>
      <c r="DG1" s="374"/>
      <c r="DH1" s="374"/>
      <c r="DI1" s="374"/>
      <c r="DJ1" s="374"/>
      <c r="DK1" s="374"/>
      <c r="DL1" s="374"/>
      <c r="DM1" s="374"/>
      <c r="DN1" s="374"/>
      <c r="DO1" s="374"/>
      <c r="DP1" s="374"/>
      <c r="DQ1" s="374"/>
      <c r="DR1" s="374"/>
      <c r="DS1" s="374"/>
      <c r="DT1" s="374"/>
      <c r="DU1" s="374"/>
      <c r="DV1" s="374"/>
      <c r="DW1" s="374"/>
      <c r="DX1" s="374"/>
      <c r="DY1" s="374"/>
      <c r="DZ1" s="374"/>
      <c r="EA1" s="374"/>
      <c r="EB1" s="374"/>
      <c r="EC1" s="374"/>
      <c r="ED1" s="374"/>
      <c r="EE1" s="374"/>
      <c r="EF1" s="374"/>
      <c r="EG1" s="374"/>
      <c r="EH1" s="374"/>
      <c r="EI1" s="374"/>
      <c r="EJ1" s="374"/>
      <c r="EK1" s="374"/>
      <c r="EL1" s="374"/>
      <c r="EM1" s="374"/>
      <c r="EN1" s="374"/>
      <c r="EO1" s="374"/>
      <c r="EP1" s="374"/>
      <c r="EQ1" s="374"/>
      <c r="ER1" s="374"/>
      <c r="ES1" s="374"/>
      <c r="ET1" s="374"/>
      <c r="EU1" s="374"/>
      <c r="EV1" s="374"/>
      <c r="EW1" s="374"/>
      <c r="EX1" s="374"/>
      <c r="EY1" s="374"/>
      <c r="EZ1" s="374"/>
      <c r="FA1" s="374"/>
      <c r="FB1" s="374"/>
      <c r="FC1" s="374"/>
      <c r="FD1" s="374"/>
      <c r="FE1" s="374"/>
      <c r="FF1" s="374"/>
      <c r="FG1" s="374"/>
      <c r="FH1" s="374"/>
      <c r="FI1" s="374"/>
      <c r="FJ1" s="374"/>
      <c r="FK1" s="374"/>
      <c r="FL1" s="374"/>
      <c r="FM1" s="374"/>
      <c r="FN1" s="374"/>
      <c r="FO1" s="374"/>
      <c r="FP1" s="374"/>
      <c r="FQ1" s="374"/>
      <c r="FR1" s="374"/>
      <c r="FS1" s="374"/>
      <c r="FT1" s="374"/>
      <c r="FU1" s="374"/>
      <c r="FV1" s="374"/>
      <c r="FW1" s="374"/>
      <c r="FX1" s="374"/>
      <c r="FY1" s="374"/>
      <c r="FZ1" s="374"/>
      <c r="GA1" s="374"/>
      <c r="GB1" s="374"/>
      <c r="GC1" s="374"/>
      <c r="GD1" s="374"/>
      <c r="GE1" s="374"/>
      <c r="GF1" s="374"/>
      <c r="GG1" s="374"/>
      <c r="GH1" s="374"/>
      <c r="GI1" s="374"/>
      <c r="GJ1" s="374"/>
      <c r="GK1" s="374"/>
      <c r="GL1" s="374"/>
      <c r="GM1" s="374"/>
      <c r="GN1" s="374"/>
      <c r="GO1" s="374"/>
      <c r="GP1" s="374"/>
      <c r="GQ1" s="374"/>
      <c r="GR1" s="374"/>
      <c r="GS1" s="374"/>
      <c r="GT1" s="374"/>
      <c r="GU1" s="374"/>
      <c r="GV1" s="374"/>
      <c r="GW1" s="374"/>
      <c r="GX1" s="374"/>
      <c r="GY1" s="374"/>
      <c r="GZ1" s="374"/>
      <c r="HA1" s="374"/>
      <c r="HB1" s="374"/>
      <c r="HC1" s="374"/>
      <c r="HD1" s="374"/>
      <c r="HE1" s="374"/>
      <c r="HF1" s="374"/>
      <c r="HG1" s="374"/>
      <c r="HH1" s="374"/>
    </row>
    <row r="2" spans="1:216" s="375" customFormat="1" ht="17.7" customHeight="1" x14ac:dyDescent="0.25">
      <c r="A2" s="2818"/>
      <c r="B2" s="2837"/>
      <c r="C2" s="2837"/>
      <c r="D2" s="2837"/>
      <c r="E2" s="2837"/>
      <c r="F2" s="2837"/>
      <c r="G2" s="264"/>
      <c r="H2" s="264"/>
      <c r="I2" s="2838" t="s">
        <v>1774</v>
      </c>
      <c r="J2" s="2838"/>
      <c r="K2" s="264"/>
      <c r="L2" s="264"/>
      <c r="M2" s="264"/>
      <c r="N2" s="264"/>
      <c r="O2" s="264"/>
      <c r="P2" s="264"/>
      <c r="Q2" s="264"/>
      <c r="R2" s="264"/>
      <c r="S2" s="264"/>
      <c r="T2" s="264"/>
      <c r="U2" s="264"/>
      <c r="V2" s="264"/>
      <c r="W2" s="264"/>
      <c r="X2" s="264"/>
      <c r="Y2" s="264"/>
      <c r="Z2" s="399"/>
      <c r="AA2" s="399"/>
      <c r="AB2" s="399"/>
      <c r="AC2" s="399"/>
      <c r="AD2" s="374"/>
      <c r="AE2" s="374"/>
      <c r="AF2" s="400" t="s">
        <v>2287</v>
      </c>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c r="BL2" s="374"/>
      <c r="BM2" s="374"/>
      <c r="BN2" s="374"/>
      <c r="BO2" s="374"/>
      <c r="BP2" s="374"/>
      <c r="BQ2" s="374"/>
      <c r="BR2" s="374"/>
      <c r="BS2" s="374"/>
      <c r="BT2" s="374"/>
      <c r="BU2" s="374"/>
      <c r="BV2" s="374"/>
      <c r="BW2" s="374"/>
      <c r="BX2" s="374"/>
      <c r="BY2" s="374"/>
      <c r="BZ2" s="374"/>
      <c r="CA2" s="374"/>
      <c r="CB2" s="374"/>
      <c r="CC2" s="374"/>
      <c r="CD2" s="374"/>
      <c r="CE2" s="374"/>
      <c r="CF2" s="374"/>
      <c r="CG2" s="374"/>
      <c r="CH2" s="374"/>
      <c r="CI2" s="374"/>
      <c r="CJ2" s="374"/>
      <c r="CK2" s="374"/>
      <c r="CL2" s="374"/>
      <c r="CM2" s="374"/>
      <c r="CN2" s="374"/>
      <c r="CO2" s="374"/>
      <c r="CP2" s="374"/>
      <c r="CQ2" s="374"/>
      <c r="CR2" s="374"/>
      <c r="CS2" s="374"/>
      <c r="CT2" s="374"/>
      <c r="CU2" s="374"/>
      <c r="CV2" s="374"/>
      <c r="CW2" s="374"/>
      <c r="CX2" s="374"/>
      <c r="CY2" s="374"/>
      <c r="CZ2" s="374"/>
      <c r="DA2" s="374"/>
      <c r="DB2" s="374"/>
      <c r="DC2" s="374"/>
      <c r="DD2" s="374"/>
      <c r="DE2" s="374"/>
      <c r="DF2" s="374"/>
      <c r="DG2" s="374"/>
      <c r="DH2" s="374"/>
      <c r="DI2" s="374"/>
      <c r="DJ2" s="374"/>
      <c r="DK2" s="374"/>
      <c r="DL2" s="374"/>
      <c r="DM2" s="374"/>
      <c r="DN2" s="374"/>
      <c r="DO2" s="374"/>
      <c r="DP2" s="374"/>
      <c r="DQ2" s="374"/>
      <c r="DR2" s="374"/>
      <c r="DS2" s="374"/>
      <c r="DT2" s="374"/>
      <c r="DU2" s="374"/>
      <c r="DV2" s="374"/>
      <c r="DW2" s="374"/>
      <c r="DX2" s="374"/>
      <c r="DY2" s="374"/>
      <c r="DZ2" s="374"/>
      <c r="EA2" s="374"/>
      <c r="EB2" s="374"/>
      <c r="EC2" s="374"/>
      <c r="ED2" s="374"/>
      <c r="EE2" s="374"/>
      <c r="EF2" s="374"/>
      <c r="EG2" s="374"/>
      <c r="EH2" s="374"/>
      <c r="EI2" s="374"/>
      <c r="EJ2" s="374"/>
      <c r="EK2" s="374"/>
      <c r="EL2" s="374"/>
      <c r="EM2" s="374"/>
      <c r="EN2" s="374"/>
      <c r="EO2" s="374"/>
      <c r="EP2" s="374"/>
      <c r="EQ2" s="374"/>
      <c r="ER2" s="374"/>
      <c r="ES2" s="374"/>
      <c r="ET2" s="374"/>
      <c r="EU2" s="374"/>
      <c r="EV2" s="374"/>
      <c r="EW2" s="374"/>
      <c r="EX2" s="374"/>
      <c r="EY2" s="374"/>
      <c r="EZ2" s="374"/>
      <c r="FA2" s="374"/>
      <c r="FB2" s="374"/>
      <c r="FC2" s="374"/>
      <c r="FD2" s="374"/>
      <c r="FE2" s="374"/>
      <c r="FF2" s="374"/>
      <c r="FG2" s="374"/>
      <c r="FH2" s="374"/>
      <c r="FI2" s="374"/>
      <c r="FJ2" s="374"/>
      <c r="FK2" s="374"/>
      <c r="FL2" s="374"/>
      <c r="FM2" s="374"/>
      <c r="FN2" s="374"/>
      <c r="FO2" s="374"/>
      <c r="FP2" s="374"/>
      <c r="FQ2" s="374"/>
      <c r="FR2" s="374"/>
      <c r="FS2" s="374"/>
      <c r="FT2" s="374"/>
      <c r="FU2" s="374"/>
      <c r="FV2" s="374"/>
      <c r="FW2" s="374"/>
      <c r="FX2" s="374"/>
      <c r="FY2" s="374"/>
      <c r="FZ2" s="374"/>
      <c r="GA2" s="374"/>
      <c r="GB2" s="374"/>
      <c r="GC2" s="374"/>
      <c r="GD2" s="374"/>
      <c r="GE2" s="374"/>
      <c r="GF2" s="374"/>
      <c r="GG2" s="374"/>
      <c r="GH2" s="374"/>
      <c r="GI2" s="374"/>
      <c r="GJ2" s="374"/>
      <c r="GK2" s="374"/>
      <c r="GL2" s="374"/>
      <c r="GM2" s="374"/>
      <c r="GN2" s="374"/>
      <c r="GO2" s="374"/>
      <c r="GP2" s="374"/>
      <c r="GQ2" s="374"/>
      <c r="GR2" s="374"/>
      <c r="GS2" s="374"/>
      <c r="GT2" s="374"/>
      <c r="GU2" s="374"/>
      <c r="GV2" s="374"/>
      <c r="GW2" s="374"/>
      <c r="GX2" s="374"/>
      <c r="GY2" s="374"/>
      <c r="GZ2" s="374"/>
      <c r="HA2" s="374"/>
      <c r="HB2" s="374"/>
      <c r="HC2" s="374"/>
      <c r="HD2" s="374"/>
      <c r="HE2" s="374"/>
      <c r="HF2" s="374"/>
      <c r="HG2" s="374"/>
      <c r="HH2" s="374"/>
    </row>
    <row r="3" spans="1:216" s="376" customFormat="1" ht="10.050000000000001" customHeight="1" x14ac:dyDescent="0.25">
      <c r="I3" s="605"/>
      <c r="J3" s="605"/>
      <c r="N3" s="401"/>
      <c r="O3" s="401"/>
      <c r="P3" s="401"/>
      <c r="Q3" s="401"/>
      <c r="R3" s="401"/>
      <c r="S3" s="401"/>
      <c r="T3" s="401"/>
      <c r="U3" s="401"/>
      <c r="V3" s="2836"/>
      <c r="W3" s="2836"/>
      <c r="X3" s="2836"/>
      <c r="Y3" s="2836"/>
    </row>
    <row r="4" spans="1:216" s="376" customFormat="1" ht="20.05" customHeight="1" x14ac:dyDescent="0.25">
      <c r="B4" s="564" t="str">
        <f>HLOOKUP(LANGUAGE!$B$2,LANGUAGE!$C$14:$G$2500,1719)</f>
        <v>Head data</v>
      </c>
      <c r="P4" s="397"/>
    </row>
    <row r="5" spans="1:216" s="376" customFormat="1" ht="20.05" customHeight="1" x14ac:dyDescent="0.25">
      <c r="B5" s="392" t="str">
        <f>HLOOKUP(LANGUAGE!$B$2,LANGUAGE!$C$14:$G$2500,1721)</f>
        <v xml:space="preserve">Part-description: </v>
      </c>
      <c r="C5" s="392"/>
      <c r="D5" s="2863" t="str">
        <f>IF('opt. MA_1'!H5="","",'opt. MA_1'!H5)</f>
        <v/>
      </c>
      <c r="E5" s="2863"/>
      <c r="F5" s="2863"/>
      <c r="I5" s="389" t="str">
        <f>HLOOKUP(LANGUAGE!$B$2,LANGUAGE!$C$14:$G$2500,1723)</f>
        <v xml:space="preserve">Project: </v>
      </c>
      <c r="K5" s="2862" t="str">
        <f>IF('opt. MA_1'!V5="","",'opt. MA_1'!V5)</f>
        <v/>
      </c>
      <c r="L5" s="2862"/>
      <c r="M5" s="2862"/>
      <c r="N5" s="613"/>
      <c r="P5" s="554"/>
    </row>
    <row r="6" spans="1:216" s="376" customFormat="1" ht="20.05" customHeight="1" x14ac:dyDescent="0.25">
      <c r="B6" s="393" t="str">
        <f>HLOOKUP(LANGUAGE!$B$2,LANGUAGE!$C$14:$G$2500,1725)</f>
        <v>Material-no.+index:</v>
      </c>
      <c r="C6" s="393"/>
      <c r="D6" s="2863" t="str">
        <f>IF('opt. MA_1'!H6="","",'opt. MA_1'!H6)</f>
        <v/>
      </c>
      <c r="E6" s="2863"/>
      <c r="F6" s="2863"/>
      <c r="I6" s="379" t="str">
        <f>HLOOKUP(LANGUAGE!$B$2,LANGUAGE!$C$14:$G$2500,1727)</f>
        <v xml:space="preserve">Company/ supplier-no.: </v>
      </c>
      <c r="K6" s="2862" t="str">
        <f>IF('opt. MA_1'!V6="","",'opt. MA_1'!V6)</f>
        <v/>
      </c>
      <c r="L6" s="2862"/>
      <c r="M6" s="2862"/>
      <c r="N6" s="613"/>
    </row>
    <row r="7" spans="1:216" s="376" customFormat="1" ht="20.05" customHeight="1" x14ac:dyDescent="0.25">
      <c r="B7" s="389" t="str">
        <f>HLOOKUP(LANGUAGE!$B$2,LANGUAGE!$C$14:$G$2500,1729)</f>
        <v xml:space="preserve">Drawing-no.+index: </v>
      </c>
      <c r="C7" s="611"/>
      <c r="D7" s="2863" t="str">
        <f>IF('opt. MA_1'!H7="","",'opt. MA_1'!H7)</f>
        <v/>
      </c>
      <c r="E7" s="2863"/>
      <c r="F7" s="2863"/>
      <c r="I7" s="389" t="str">
        <f>HLOOKUP(LANGUAGE!$B$2,LANGUAGE!$C$14:$G$2500,1731)</f>
        <v>Location/country:</v>
      </c>
      <c r="K7" s="2862" t="str">
        <f>IF('opt. MA_1'!V7="","",'opt. MA_1'!V7)</f>
        <v/>
      </c>
      <c r="L7" s="2862"/>
      <c r="M7" s="2862"/>
      <c r="N7" s="613"/>
    </row>
    <row r="8" spans="1:216" s="376" customFormat="1" ht="20.05" customHeight="1" x14ac:dyDescent="0.25">
      <c r="B8" s="389" t="str">
        <f>HLOOKUP(LANGUAGE!$B$2,LANGUAGE!$C$14:$G$2500,1733)</f>
        <v xml:space="preserve">part index 3D-model: </v>
      </c>
      <c r="C8" s="389"/>
      <c r="D8" s="2863" t="str">
        <f>IF('opt. MA_1'!H8="","",'opt. MA_1'!H8)</f>
        <v/>
      </c>
      <c r="E8" s="2863"/>
      <c r="F8" s="2863"/>
      <c r="I8" s="389" t="str">
        <f>HLOOKUP(LANGUAGE!$B$2,LANGUAGE!$C$14:$G$2500,1735)</f>
        <v xml:space="preserve">Delivery plant Brose: </v>
      </c>
      <c r="K8" s="2862" t="str">
        <f>IF('opt. MA_1'!V8="","",'opt. MA_1'!V8)</f>
        <v/>
      </c>
      <c r="L8" s="2862"/>
      <c r="M8" s="2862"/>
      <c r="N8" s="613"/>
    </row>
    <row r="9" spans="1:216" s="376" customFormat="1" ht="10.050000000000001" customHeight="1" x14ac:dyDescent="0.25">
      <c r="B9" s="389"/>
      <c r="C9" s="389"/>
      <c r="D9" s="389"/>
      <c r="E9" s="603"/>
      <c r="F9" s="603"/>
      <c r="G9" s="603"/>
      <c r="I9" s="389"/>
      <c r="K9" s="553"/>
      <c r="L9" s="553"/>
      <c r="M9" s="553"/>
      <c r="N9" s="553"/>
      <c r="O9" s="553"/>
      <c r="P9" s="553"/>
    </row>
    <row r="10" spans="1:216" s="376" customFormat="1" ht="20.05" customHeight="1" x14ac:dyDescent="0.35">
      <c r="B10" s="614" t="str">
        <f>HLOOKUP(LANGUAGE!$B$2,LANGUAGE!$C$14:$G$2500,1864)</f>
        <v>Individual characteristics</v>
      </c>
      <c r="I10" s="615" t="str">
        <f>HLOOKUP(LANGUAGE!$B$2,LANGUAGE!$C$14:$G$2500,1866)</f>
        <v>Numbering in table of characteristics analogous to stamped drawing</v>
      </c>
    </row>
    <row r="11" spans="1:216" s="376" customFormat="1" ht="10.050000000000001" customHeight="1" x14ac:dyDescent="0.25"/>
    <row r="12" spans="1:216" s="376" customFormat="1" ht="20.05" customHeight="1" x14ac:dyDescent="0.25">
      <c r="B12" s="564" t="str">
        <f>HLOOKUP(LANGUAGE!$B$2,LANGUAGE!$C$14:$G$2500,1870)</f>
        <v>Measurement - diameter - Ø - bearing position</v>
      </c>
      <c r="C12" s="393"/>
      <c r="D12" s="393"/>
      <c r="E12" s="392"/>
      <c r="F12" s="392"/>
      <c r="G12" s="392"/>
      <c r="H12" s="392"/>
      <c r="I12" s="564" t="str">
        <f>HLOOKUP(LANGUAGE!$B$2,LANGUAGE!$C$14:$G$2500,1882)</f>
        <v>Measurement - position</v>
      </c>
      <c r="J12" s="393"/>
      <c r="K12" s="392"/>
      <c r="L12" s="392"/>
      <c r="M12" s="392"/>
      <c r="N12" s="392"/>
      <c r="O12" s="392"/>
      <c r="P12" s="392"/>
      <c r="Q12" s="392"/>
      <c r="R12" s="392"/>
      <c r="S12" s="568"/>
      <c r="T12" s="392"/>
      <c r="W12" s="392"/>
      <c r="X12" s="392"/>
      <c r="Y12" s="392"/>
    </row>
    <row r="13" spans="1:216" s="376" customFormat="1" ht="20.05" customHeight="1" x14ac:dyDescent="0.25">
      <c r="B13" s="376" t="str">
        <f>HLOOKUP(LANGUAGE!$B$2,LANGUAGE!$C$14:$G$2500,1872)</f>
        <v xml:space="preserve">If required add in column "*Comment" the following information: </v>
      </c>
      <c r="C13" s="389"/>
      <c r="D13" s="394"/>
      <c r="E13" s="394"/>
      <c r="F13" s="394"/>
      <c r="G13" s="394"/>
      <c r="H13" s="394"/>
      <c r="I13" s="390" t="str">
        <f>HLOOKUP(LANGUAGE!$B$2,LANGUAGE!$C$14:$G$2500,1884)</f>
        <v>Information for the cordinates of the position at measurement protocol column "*Comment"</v>
      </c>
    </row>
    <row r="14" spans="1:216" s="376" customFormat="1" ht="20.05" customHeight="1" x14ac:dyDescent="0.25">
      <c r="B14" s="2844" t="str">
        <f>HLOOKUP(LANGUAGE!$B$2,LANGUAGE!$C$14:$G$2500,1874)</f>
        <v>- Amount of measuring points</v>
      </c>
      <c r="C14" s="2844"/>
      <c r="D14" s="2844"/>
      <c r="E14" s="2844"/>
      <c r="F14" s="394"/>
      <c r="G14" s="394"/>
      <c r="H14" s="394"/>
      <c r="I14" s="564" t="str">
        <f>HLOOKUP(LANGUAGE!$B$2,LANGUAGE!$C$14:$G$2500,1886)</f>
        <v>Measurement - surface form/ line form/ flatness</v>
      </c>
      <c r="J14" s="393"/>
      <c r="K14" s="392"/>
      <c r="L14" s="392"/>
      <c r="M14" s="392"/>
      <c r="N14" s="392"/>
      <c r="O14" s="392"/>
      <c r="P14" s="392"/>
      <c r="Q14" s="392"/>
      <c r="R14" s="392"/>
    </row>
    <row r="15" spans="1:216" s="376" customFormat="1" ht="20.05" customHeight="1" x14ac:dyDescent="0.25">
      <c r="B15" s="402" t="str">
        <f>HLOOKUP(LANGUAGE!$B$2,LANGUAGE!$C$14:$G$2500,1876)</f>
        <v>- Measuring depth</v>
      </c>
      <c r="C15" s="389"/>
      <c r="D15" s="394"/>
      <c r="E15" s="394"/>
      <c r="F15" s="394"/>
      <c r="G15" s="394"/>
      <c r="H15" s="394"/>
      <c r="I15" s="385" t="str">
        <f>HLOOKUP(LANGUAGE!$B$2,LANGUAGE!$C$14:$G$2500,1888)</f>
        <v>Measurement is done outside of the punching funnel/ bending radii</v>
      </c>
      <c r="J15" s="393"/>
      <c r="K15" s="392"/>
      <c r="L15" s="392"/>
      <c r="M15" s="392"/>
      <c r="N15" s="392"/>
      <c r="O15" s="392"/>
      <c r="P15" s="392"/>
      <c r="Q15" s="392"/>
      <c r="S15" s="568"/>
      <c r="T15" s="392"/>
      <c r="W15" s="392"/>
      <c r="X15" s="392"/>
      <c r="Y15" s="392"/>
    </row>
    <row r="16" spans="1:216" s="376" customFormat="1" ht="20.05" customHeight="1" x14ac:dyDescent="0.25">
      <c r="B16" s="402" t="str">
        <f>HLOOKUP(LANGUAGE!$B$2,LANGUAGE!$C$14:$G$2500,1878)</f>
        <v>- Diameter of measuring sensor</v>
      </c>
      <c r="C16" s="389"/>
      <c r="D16" s="394"/>
      <c r="E16" s="394"/>
      <c r="F16" s="394"/>
      <c r="G16" s="394"/>
      <c r="H16" s="394"/>
      <c r="I16" s="402" t="str">
        <f>HLOOKUP(LANGUAGE!$B$2,LANGUAGE!$C$14:$G$2500,1890)</f>
        <v>3D-model need to be enclosed</v>
      </c>
      <c r="S16" s="568"/>
      <c r="T16" s="392"/>
      <c r="W16" s="392"/>
      <c r="X16" s="392"/>
      <c r="Y16" s="403"/>
    </row>
    <row r="17" spans="1:28" s="376" customFormat="1" ht="20.05" customHeight="1" x14ac:dyDescent="0.25">
      <c r="B17" s="402" t="str">
        <f>HLOOKUP(LANGUAGE!$B$2,LANGUAGE!$C$14:$G$2500,1880)</f>
        <v>- Evaluation method (e.g min-circumscribed-Ø/ max-inscribed Ø/ 2-point)</v>
      </c>
      <c r="C17" s="389"/>
      <c r="D17" s="394"/>
      <c r="E17" s="394"/>
      <c r="F17" s="394"/>
      <c r="G17" s="394"/>
      <c r="H17" s="394"/>
      <c r="I17" s="595" t="str">
        <f>HLOOKUP(LANGUAGE!$B$2,LANGUAGE!$C$14:$G$2500,1887)</f>
        <v>Measurement - plastic parts</v>
      </c>
      <c r="J17" s="389"/>
      <c r="K17" s="394"/>
      <c r="L17" s="394"/>
      <c r="M17" s="394"/>
      <c r="N17" s="394"/>
      <c r="O17" s="389"/>
      <c r="P17" s="389"/>
      <c r="Q17" s="389"/>
      <c r="Y17" s="403"/>
    </row>
    <row r="18" spans="1:28" s="376" customFormat="1" ht="16.45" customHeight="1" x14ac:dyDescent="0.25">
      <c r="B18" s="402" t="str">
        <f>HLOOKUP(LANGUAGE!$B$2,LANGUAGE!$C$14:$G$2500,1881)</f>
        <v>- for 2-point measurements: Min and Max shall evaluated</v>
      </c>
      <c r="C18" s="389"/>
      <c r="D18" s="394"/>
      <c r="E18" s="394"/>
      <c r="F18" s="394"/>
      <c r="G18" s="394"/>
      <c r="H18" s="394"/>
      <c r="I18" s="376" t="str">
        <f>HLOOKUP(LANGUAGE!$B$2,LANGUAGE!$C$14:$G$2500,1917)</f>
        <v>The shrinkage shall be taken into account before measurement</v>
      </c>
      <c r="J18" s="389"/>
      <c r="K18" s="394"/>
      <c r="L18" s="394"/>
      <c r="M18" s="394"/>
      <c r="N18" s="394"/>
      <c r="O18" s="389"/>
      <c r="P18" s="389"/>
      <c r="Q18" s="389"/>
      <c r="Y18" s="403"/>
    </row>
    <row r="19" spans="1:28" s="376" customFormat="1" ht="24.75" customHeight="1" thickBot="1" x14ac:dyDescent="0.35">
      <c r="B19" s="404" t="str">
        <f>HLOOKUP(LANGUAGE!$B$2,LANGUAGE!$C$14:$G$2500,1892)</f>
        <v>Characteristic overview</v>
      </c>
    </row>
    <row r="20" spans="1:28" ht="38.200000000000003" customHeight="1" x14ac:dyDescent="0.25">
      <c r="A20" s="376"/>
      <c r="B20" s="2845" t="str">
        <f>HLOOKUP(LANGUAGE!$B$2,LANGUAGE!$C$14:$G$2500,1894)</f>
        <v>Pos.</v>
      </c>
      <c r="C20" s="2847" t="str">
        <f>HLOOKUP(LANGUAGE!$B$2,LANGUAGE!$C$14:$G$2500,1896)</f>
        <v>Characteristic</v>
      </c>
      <c r="D20" s="2847" t="str">
        <f>HLOOKUP(LANGUAGE!$B$2,LANGUAGE!$C$14:$G$2500,1898)</f>
        <v>Characteristic type</v>
      </c>
      <c r="E20" s="2849" t="str">
        <f>HLOOKUP(LANGUAGE!$B$2,LANGUAGE!$C$14:$G$2500,1900)</f>
        <v>Nominal dimension</v>
      </c>
      <c r="F20" s="2847" t="str">
        <f>HLOOKUP(LANGUAGE!$B$2,LANGUAGE!$C$14:$G$2500,1902)</f>
        <v xml:space="preserve">Upper tolerance </v>
      </c>
      <c r="G20" s="2847" t="str">
        <f>HLOOKUP(LANGUAGE!$B$2,LANGUAGE!$C$14:$G$2500,1904)</f>
        <v>Lower tolerance</v>
      </c>
      <c r="H20" s="2849" t="str">
        <f>HLOOKUP(LANGUAGE!$B$2,LANGUAGE!$C$14:$G$2500,1906)</f>
        <v>Range of tolerance</v>
      </c>
      <c r="I20" s="2859" t="str">
        <f>HLOOKUP(LANGUAGE!$B$2,LANGUAGE!$C$14:$G$2500,1908)</f>
        <v>Measurement results Supplier</v>
      </c>
      <c r="J20" s="2860"/>
      <c r="K20" s="2860"/>
      <c r="L20" s="2860"/>
      <c r="M20" s="2861"/>
      <c r="N20" s="2851" t="str">
        <f>HLOOKUP(LANGUAGE!$B$2,LANGUAGE!$C$14:$G$2500,1910)</f>
        <v>Measurement results Brose</v>
      </c>
      <c r="O20" s="2852"/>
      <c r="P20" s="2853"/>
      <c r="Q20" s="2854"/>
      <c r="R20" s="2855"/>
      <c r="S20" s="2856" t="str">
        <f>HLOOKUP(LANGUAGE!$B$2,LANGUAGE!$C$14:$G$2500,1912)</f>
        <v>Comparison dim results
Total deviation/ in Percent %</v>
      </c>
      <c r="T20" s="2857"/>
      <c r="U20" s="2857"/>
      <c r="V20" s="2857"/>
      <c r="W20" s="2857"/>
      <c r="X20" s="2858"/>
      <c r="Y20" s="2839" t="str">
        <f>HLOOKUP(LANGUAGE!$B$2,LANGUAGE!$C$14:$G$2500,1853)</f>
        <v>Note:</v>
      </c>
      <c r="AB20" s="385"/>
    </row>
    <row r="21" spans="1:28" ht="26.3" customHeight="1" thickBot="1" x14ac:dyDescent="0.3">
      <c r="A21" s="376"/>
      <c r="B21" s="2846"/>
      <c r="C21" s="2848"/>
      <c r="D21" s="2848"/>
      <c r="E21" s="2850"/>
      <c r="F21" s="2848"/>
      <c r="G21" s="2848"/>
      <c r="H21" s="2850"/>
      <c r="I21" s="409">
        <v>1</v>
      </c>
      <c r="J21" s="410">
        <v>2</v>
      </c>
      <c r="K21" s="410">
        <v>3</v>
      </c>
      <c r="L21" s="410" t="str">
        <f>HLOOKUP(LANGUAGE!$B$2,LANGUAGE!$C$14:$G$2500,1914)</f>
        <v>Measuring equipment</v>
      </c>
      <c r="M21" s="411" t="str">
        <f>HLOOKUP(LANGUAGE!$B$2,LANGUAGE!$C$14:$G$2500,1915)</f>
        <v>*Comment</v>
      </c>
      <c r="N21" s="574">
        <v>1</v>
      </c>
      <c r="O21" s="571">
        <v>2</v>
      </c>
      <c r="P21" s="410">
        <v>3</v>
      </c>
      <c r="Q21" s="410" t="str">
        <f>HLOOKUP(LANGUAGE!$B$2,LANGUAGE!$C$14:$G$2500,1914)</f>
        <v>Measuring equipment</v>
      </c>
      <c r="R21" s="411" t="str">
        <f>HLOOKUP(LANGUAGE!$B$2,LANGUAGE!$C$14:$G$2500,1915)</f>
        <v>*Comment</v>
      </c>
      <c r="S21" s="2841">
        <v>1</v>
      </c>
      <c r="T21" s="2842"/>
      <c r="U21" s="2843">
        <v>2</v>
      </c>
      <c r="V21" s="2842"/>
      <c r="W21" s="2843">
        <v>3</v>
      </c>
      <c r="X21" s="2841"/>
      <c r="Y21" s="2840"/>
    </row>
    <row r="22" spans="1:28" ht="30.05" customHeight="1" x14ac:dyDescent="0.25">
      <c r="A22" s="376"/>
      <c r="B22" s="575">
        <v>1</v>
      </c>
      <c r="C22" s="665" t="s">
        <v>2287</v>
      </c>
      <c r="D22" s="576" t="s">
        <v>1470</v>
      </c>
      <c r="E22" s="666">
        <v>1</v>
      </c>
      <c r="F22" s="530">
        <v>0.01</v>
      </c>
      <c r="G22" s="530">
        <v>-0.01</v>
      </c>
      <c r="H22" s="531">
        <f>ABS(F22-G22)</f>
        <v>0.02</v>
      </c>
      <c r="I22" s="521">
        <v>1</v>
      </c>
      <c r="J22" s="522"/>
      <c r="K22" s="522"/>
      <c r="L22" s="522"/>
      <c r="M22" s="523"/>
      <c r="N22" s="577">
        <v>0.9</v>
      </c>
      <c r="O22" s="572"/>
      <c r="P22" s="522"/>
      <c r="Q22" s="522"/>
      <c r="R22" s="523"/>
      <c r="S22" s="526">
        <f>IF(ISERROR(ABS(I22-N22)),"",ABS(I22-N22))</f>
        <v>9.9999999999999978E-2</v>
      </c>
      <c r="T22" s="538">
        <f t="shared" ref="T22:T39" si="0">IF(ISERROR((ABS(I22-N22))/$H22),"",(ABS(I22-N22))/$H22)</f>
        <v>4.9999999999999991</v>
      </c>
      <c r="U22" s="528">
        <f>(ABS(J22-O22))</f>
        <v>0</v>
      </c>
      <c r="V22" s="539">
        <f>IF(ISERROR((ABS(J22-O22))/$H22),"",((ABS(J22-O22))/$H22))</f>
        <v>0</v>
      </c>
      <c r="W22" s="528">
        <f>(ABS(K22-P22))</f>
        <v>0</v>
      </c>
      <c r="X22" s="539">
        <f>IF(ISERROR((ABS(K22-P22))/$H22),"",(ABS(K22-P22))/$H22)</f>
        <v>0</v>
      </c>
      <c r="Y22" s="406"/>
    </row>
    <row r="23" spans="1:28" ht="30.05" customHeight="1" x14ac:dyDescent="0.25">
      <c r="A23" s="376"/>
      <c r="B23" s="578">
        <v>2</v>
      </c>
      <c r="C23" s="665"/>
      <c r="D23" s="405"/>
      <c r="E23" s="524"/>
      <c r="F23" s="532"/>
      <c r="G23" s="532"/>
      <c r="H23" s="531">
        <f>ABS(F23-G23)</f>
        <v>0</v>
      </c>
      <c r="I23" s="521"/>
      <c r="J23" s="522"/>
      <c r="K23" s="522"/>
      <c r="L23" s="524"/>
      <c r="M23" s="525"/>
      <c r="N23" s="577"/>
      <c r="O23" s="572"/>
      <c r="P23" s="522"/>
      <c r="Q23" s="524"/>
      <c r="R23" s="525"/>
      <c r="S23" s="527">
        <f t="shared" ref="S23:S39" si="1">IF(ISERROR(ABS(I23-N23)),"",ABS(I23-N23))</f>
        <v>0</v>
      </c>
      <c r="T23" s="538" t="str">
        <f t="shared" si="0"/>
        <v/>
      </c>
      <c r="U23" s="529">
        <f t="shared" ref="U23:U39" si="2">(ABS(J23-O23))</f>
        <v>0</v>
      </c>
      <c r="V23" s="539" t="str">
        <f t="shared" ref="V23:V39" si="3">IF(ISERROR((ABS(J23-O23))/$H23),"",((ABS(J23-O23))/$H23))</f>
        <v/>
      </c>
      <c r="W23" s="528">
        <f t="shared" ref="W23:W86" si="4">(ABS(K23-P23))</f>
        <v>0</v>
      </c>
      <c r="X23" s="539" t="str">
        <f t="shared" ref="X23:X39" si="5">IF(ISERROR((ABS(K23-P23))/$H23),"",(ABS(K23-P23))/$H23)</f>
        <v/>
      </c>
      <c r="Y23" s="407"/>
    </row>
    <row r="24" spans="1:28" ht="30.05" customHeight="1" x14ac:dyDescent="0.25">
      <c r="A24" s="376"/>
      <c r="B24" s="578">
        <v>3</v>
      </c>
      <c r="C24" s="665"/>
      <c r="D24" s="405"/>
      <c r="E24" s="524"/>
      <c r="F24" s="532"/>
      <c r="G24" s="532"/>
      <c r="H24" s="531">
        <f t="shared" ref="H24:H39" si="6">ABS(F24-G24)</f>
        <v>0</v>
      </c>
      <c r="I24" s="521"/>
      <c r="J24" s="522"/>
      <c r="K24" s="522"/>
      <c r="L24" s="524"/>
      <c r="M24" s="525"/>
      <c r="N24" s="577"/>
      <c r="O24" s="572"/>
      <c r="P24" s="522"/>
      <c r="Q24" s="524"/>
      <c r="R24" s="525"/>
      <c r="S24" s="527">
        <f t="shared" si="1"/>
        <v>0</v>
      </c>
      <c r="T24" s="538" t="str">
        <f t="shared" si="0"/>
        <v/>
      </c>
      <c r="U24" s="529">
        <f t="shared" si="2"/>
        <v>0</v>
      </c>
      <c r="V24" s="539" t="str">
        <f t="shared" si="3"/>
        <v/>
      </c>
      <c r="W24" s="528">
        <f t="shared" si="4"/>
        <v>0</v>
      </c>
      <c r="X24" s="539" t="str">
        <f t="shared" si="5"/>
        <v/>
      </c>
      <c r="Y24" s="407"/>
    </row>
    <row r="25" spans="1:28" ht="30.05" customHeight="1" x14ac:dyDescent="0.25">
      <c r="A25" s="376"/>
      <c r="B25" s="578">
        <v>4</v>
      </c>
      <c r="C25" s="665"/>
      <c r="D25" s="405"/>
      <c r="E25" s="524"/>
      <c r="F25" s="533"/>
      <c r="G25" s="532"/>
      <c r="H25" s="531">
        <f t="shared" si="6"/>
        <v>0</v>
      </c>
      <c r="I25" s="521"/>
      <c r="J25" s="522"/>
      <c r="K25" s="522"/>
      <c r="L25" s="524"/>
      <c r="M25" s="525"/>
      <c r="N25" s="577"/>
      <c r="O25" s="572"/>
      <c r="P25" s="522"/>
      <c r="Q25" s="524"/>
      <c r="R25" s="525"/>
      <c r="S25" s="527">
        <f t="shared" si="1"/>
        <v>0</v>
      </c>
      <c r="T25" s="538" t="str">
        <f t="shared" si="0"/>
        <v/>
      </c>
      <c r="U25" s="529">
        <f t="shared" si="2"/>
        <v>0</v>
      </c>
      <c r="V25" s="539" t="str">
        <f t="shared" si="3"/>
        <v/>
      </c>
      <c r="W25" s="528">
        <f t="shared" si="4"/>
        <v>0</v>
      </c>
      <c r="X25" s="539" t="str">
        <f t="shared" si="5"/>
        <v/>
      </c>
      <c r="Y25" s="407"/>
    </row>
    <row r="26" spans="1:28" ht="30.05" customHeight="1" x14ac:dyDescent="0.25">
      <c r="A26" s="376"/>
      <c r="B26" s="578">
        <v>5</v>
      </c>
      <c r="C26" s="665"/>
      <c r="D26" s="405"/>
      <c r="E26" s="524"/>
      <c r="F26" s="532"/>
      <c r="G26" s="532"/>
      <c r="H26" s="531">
        <f t="shared" si="6"/>
        <v>0</v>
      </c>
      <c r="I26" s="521"/>
      <c r="J26" s="522"/>
      <c r="K26" s="522"/>
      <c r="L26" s="524"/>
      <c r="M26" s="525"/>
      <c r="N26" s="577"/>
      <c r="O26" s="572"/>
      <c r="P26" s="522"/>
      <c r="Q26" s="524"/>
      <c r="R26" s="525"/>
      <c r="S26" s="527">
        <f t="shared" si="1"/>
        <v>0</v>
      </c>
      <c r="T26" s="538" t="str">
        <f t="shared" si="0"/>
        <v/>
      </c>
      <c r="U26" s="529">
        <f t="shared" si="2"/>
        <v>0</v>
      </c>
      <c r="V26" s="539" t="str">
        <f t="shared" si="3"/>
        <v/>
      </c>
      <c r="W26" s="528">
        <f t="shared" si="4"/>
        <v>0</v>
      </c>
      <c r="X26" s="539" t="str">
        <f t="shared" si="5"/>
        <v/>
      </c>
      <c r="Y26" s="407"/>
    </row>
    <row r="27" spans="1:28" ht="30.05" customHeight="1" x14ac:dyDescent="0.25">
      <c r="A27" s="376"/>
      <c r="B27" s="578">
        <v>6</v>
      </c>
      <c r="C27" s="665"/>
      <c r="D27" s="405"/>
      <c r="E27" s="524"/>
      <c r="F27" s="532"/>
      <c r="G27" s="532"/>
      <c r="H27" s="531">
        <f t="shared" si="6"/>
        <v>0</v>
      </c>
      <c r="I27" s="521"/>
      <c r="J27" s="522"/>
      <c r="K27" s="522"/>
      <c r="L27" s="524"/>
      <c r="M27" s="525"/>
      <c r="N27" s="577"/>
      <c r="O27" s="572"/>
      <c r="P27" s="522"/>
      <c r="Q27" s="524"/>
      <c r="R27" s="525"/>
      <c r="S27" s="527">
        <f t="shared" si="1"/>
        <v>0</v>
      </c>
      <c r="T27" s="538" t="str">
        <f t="shared" si="0"/>
        <v/>
      </c>
      <c r="U27" s="529">
        <f t="shared" si="2"/>
        <v>0</v>
      </c>
      <c r="V27" s="539" t="str">
        <f t="shared" si="3"/>
        <v/>
      </c>
      <c r="W27" s="528">
        <f t="shared" si="4"/>
        <v>0</v>
      </c>
      <c r="X27" s="539" t="str">
        <f t="shared" si="5"/>
        <v/>
      </c>
      <c r="Y27" s="407" t="s">
        <v>1567</v>
      </c>
    </row>
    <row r="28" spans="1:28" ht="30.05" customHeight="1" x14ac:dyDescent="0.25">
      <c r="A28" s="376"/>
      <c r="B28" s="578">
        <v>7</v>
      </c>
      <c r="C28" s="665"/>
      <c r="D28" s="405"/>
      <c r="E28" s="524"/>
      <c r="F28" s="532"/>
      <c r="G28" s="532"/>
      <c r="H28" s="531">
        <f t="shared" si="6"/>
        <v>0</v>
      </c>
      <c r="I28" s="521"/>
      <c r="J28" s="522"/>
      <c r="K28" s="522"/>
      <c r="L28" s="524"/>
      <c r="M28" s="525"/>
      <c r="N28" s="577"/>
      <c r="O28" s="572"/>
      <c r="P28" s="522"/>
      <c r="Q28" s="524"/>
      <c r="R28" s="525"/>
      <c r="S28" s="527">
        <f t="shared" si="1"/>
        <v>0</v>
      </c>
      <c r="T28" s="538" t="str">
        <f t="shared" si="0"/>
        <v/>
      </c>
      <c r="U28" s="529">
        <f t="shared" si="2"/>
        <v>0</v>
      </c>
      <c r="V28" s="539" t="str">
        <f t="shared" si="3"/>
        <v/>
      </c>
      <c r="W28" s="528">
        <f t="shared" si="4"/>
        <v>0</v>
      </c>
      <c r="X28" s="539" t="str">
        <f t="shared" si="5"/>
        <v/>
      </c>
      <c r="Y28" s="407" t="s">
        <v>1567</v>
      </c>
    </row>
    <row r="29" spans="1:28" ht="30.05" customHeight="1" x14ac:dyDescent="0.25">
      <c r="A29" s="376"/>
      <c r="B29" s="602">
        <v>8</v>
      </c>
      <c r="C29" s="665"/>
      <c r="D29" s="405"/>
      <c r="E29" s="524"/>
      <c r="F29" s="532"/>
      <c r="G29" s="532"/>
      <c r="H29" s="531">
        <f t="shared" si="6"/>
        <v>0</v>
      </c>
      <c r="I29" s="521"/>
      <c r="J29" s="522"/>
      <c r="K29" s="522"/>
      <c r="L29" s="524"/>
      <c r="M29" s="525"/>
      <c r="N29" s="577"/>
      <c r="O29" s="572"/>
      <c r="P29" s="522"/>
      <c r="Q29" s="524"/>
      <c r="R29" s="525"/>
      <c r="S29" s="527">
        <f t="shared" si="1"/>
        <v>0</v>
      </c>
      <c r="T29" s="538" t="str">
        <f t="shared" si="0"/>
        <v/>
      </c>
      <c r="U29" s="529">
        <f t="shared" si="2"/>
        <v>0</v>
      </c>
      <c r="V29" s="539" t="str">
        <f t="shared" si="3"/>
        <v/>
      </c>
      <c r="W29" s="528">
        <f t="shared" si="4"/>
        <v>0</v>
      </c>
      <c r="X29" s="539" t="str">
        <f t="shared" si="5"/>
        <v/>
      </c>
      <c r="Y29" s="667" t="s">
        <v>1567</v>
      </c>
    </row>
    <row r="30" spans="1:28" ht="30.05" customHeight="1" x14ac:dyDescent="0.25">
      <c r="A30" s="376"/>
      <c r="B30" s="601">
        <v>9</v>
      </c>
      <c r="C30" s="668"/>
      <c r="D30" s="580"/>
      <c r="E30" s="581"/>
      <c r="F30" s="582"/>
      <c r="G30" s="582"/>
      <c r="H30" s="583">
        <f t="shared" si="6"/>
        <v>0</v>
      </c>
      <c r="I30" s="584"/>
      <c r="J30" s="581"/>
      <c r="K30" s="581"/>
      <c r="L30" s="581"/>
      <c r="M30" s="585"/>
      <c r="N30" s="584"/>
      <c r="O30" s="522"/>
      <c r="P30" s="522"/>
      <c r="Q30" s="581"/>
      <c r="R30" s="585"/>
      <c r="S30" s="586">
        <f t="shared" si="1"/>
        <v>0</v>
      </c>
      <c r="T30" s="587" t="str">
        <f t="shared" si="0"/>
        <v/>
      </c>
      <c r="U30" s="588">
        <f t="shared" si="2"/>
        <v>0</v>
      </c>
      <c r="V30" s="587" t="str">
        <f t="shared" si="3"/>
        <v/>
      </c>
      <c r="W30" s="588">
        <f t="shared" si="4"/>
        <v>0</v>
      </c>
      <c r="X30" s="587" t="str">
        <f t="shared" si="5"/>
        <v/>
      </c>
      <c r="Y30" s="667" t="s">
        <v>1567</v>
      </c>
    </row>
    <row r="31" spans="1:28" ht="30.05" customHeight="1" x14ac:dyDescent="0.25">
      <c r="A31" s="376"/>
      <c r="B31" s="575">
        <v>10</v>
      </c>
      <c r="C31" s="669"/>
      <c r="D31" s="405"/>
      <c r="E31" s="524"/>
      <c r="F31" s="532"/>
      <c r="G31" s="532"/>
      <c r="H31" s="589">
        <f t="shared" si="6"/>
        <v>0</v>
      </c>
      <c r="I31" s="590"/>
      <c r="J31" s="524"/>
      <c r="K31" s="524"/>
      <c r="L31" s="524"/>
      <c r="M31" s="525"/>
      <c r="N31" s="591"/>
      <c r="O31" s="572"/>
      <c r="P31" s="522"/>
      <c r="Q31" s="524"/>
      <c r="R31" s="525"/>
      <c r="S31" s="527">
        <f t="shared" si="1"/>
        <v>0</v>
      </c>
      <c r="T31" s="538" t="str">
        <f t="shared" si="0"/>
        <v/>
      </c>
      <c r="U31" s="529">
        <f t="shared" si="2"/>
        <v>0</v>
      </c>
      <c r="V31" s="538" t="str">
        <f t="shared" si="3"/>
        <v/>
      </c>
      <c r="W31" s="529">
        <f t="shared" si="4"/>
        <v>0</v>
      </c>
      <c r="X31" s="599" t="str">
        <f t="shared" si="5"/>
        <v/>
      </c>
      <c r="Y31" s="667" t="s">
        <v>1567</v>
      </c>
    </row>
    <row r="32" spans="1:28" ht="30.05" customHeight="1" x14ac:dyDescent="0.25">
      <c r="A32" s="376"/>
      <c r="B32" s="578">
        <v>11</v>
      </c>
      <c r="C32" s="665"/>
      <c r="D32" s="405"/>
      <c r="E32" s="524"/>
      <c r="F32" s="532"/>
      <c r="G32" s="532"/>
      <c r="H32" s="531">
        <f t="shared" si="6"/>
        <v>0</v>
      </c>
      <c r="I32" s="521"/>
      <c r="J32" s="522"/>
      <c r="K32" s="522"/>
      <c r="L32" s="524"/>
      <c r="M32" s="525"/>
      <c r="N32" s="577"/>
      <c r="O32" s="572"/>
      <c r="P32" s="522"/>
      <c r="Q32" s="524"/>
      <c r="R32" s="525"/>
      <c r="S32" s="527">
        <f t="shared" si="1"/>
        <v>0</v>
      </c>
      <c r="T32" s="538" t="str">
        <f t="shared" si="0"/>
        <v/>
      </c>
      <c r="U32" s="529">
        <f t="shared" si="2"/>
        <v>0</v>
      </c>
      <c r="V32" s="539" t="str">
        <f t="shared" si="3"/>
        <v/>
      </c>
      <c r="W32" s="598">
        <f t="shared" si="4"/>
        <v>0</v>
      </c>
      <c r="X32" s="670" t="str">
        <f t="shared" si="5"/>
        <v/>
      </c>
      <c r="Y32" s="667" t="s">
        <v>1567</v>
      </c>
    </row>
    <row r="33" spans="1:25" ht="30.05" customHeight="1" x14ac:dyDescent="0.25">
      <c r="A33" s="376"/>
      <c r="B33" s="578">
        <v>12</v>
      </c>
      <c r="C33" s="665"/>
      <c r="D33" s="405"/>
      <c r="E33" s="524"/>
      <c r="F33" s="532"/>
      <c r="G33" s="532"/>
      <c r="H33" s="531">
        <f t="shared" si="6"/>
        <v>0</v>
      </c>
      <c r="I33" s="521"/>
      <c r="J33" s="522"/>
      <c r="K33" s="522"/>
      <c r="L33" s="524"/>
      <c r="M33" s="525"/>
      <c r="N33" s="577"/>
      <c r="O33" s="572"/>
      <c r="P33" s="522"/>
      <c r="Q33" s="524"/>
      <c r="R33" s="525"/>
      <c r="S33" s="527">
        <f t="shared" si="1"/>
        <v>0</v>
      </c>
      <c r="T33" s="538" t="str">
        <f t="shared" si="0"/>
        <v/>
      </c>
      <c r="U33" s="529">
        <f t="shared" si="2"/>
        <v>0</v>
      </c>
      <c r="V33" s="539" t="str">
        <f t="shared" si="3"/>
        <v/>
      </c>
      <c r="W33" s="598">
        <f t="shared" si="4"/>
        <v>0</v>
      </c>
      <c r="X33" s="538" t="str">
        <f t="shared" si="5"/>
        <v/>
      </c>
      <c r="Y33" s="671" t="s">
        <v>1567</v>
      </c>
    </row>
    <row r="34" spans="1:25" ht="30.05" customHeight="1" x14ac:dyDescent="0.25">
      <c r="A34" s="376"/>
      <c r="B34" s="578">
        <v>13</v>
      </c>
      <c r="C34" s="665"/>
      <c r="D34" s="405"/>
      <c r="E34" s="524"/>
      <c r="F34" s="532"/>
      <c r="G34" s="532"/>
      <c r="H34" s="531">
        <f t="shared" si="6"/>
        <v>0</v>
      </c>
      <c r="I34" s="521"/>
      <c r="J34" s="522"/>
      <c r="K34" s="522"/>
      <c r="L34" s="524"/>
      <c r="M34" s="525"/>
      <c r="N34" s="577"/>
      <c r="O34" s="572"/>
      <c r="P34" s="522"/>
      <c r="Q34" s="524"/>
      <c r="R34" s="525"/>
      <c r="S34" s="527">
        <f t="shared" si="1"/>
        <v>0</v>
      </c>
      <c r="T34" s="538" t="str">
        <f t="shared" si="0"/>
        <v/>
      </c>
      <c r="U34" s="529">
        <f t="shared" si="2"/>
        <v>0</v>
      </c>
      <c r="V34" s="539" t="str">
        <f t="shared" si="3"/>
        <v/>
      </c>
      <c r="W34" s="528">
        <f t="shared" si="4"/>
        <v>0</v>
      </c>
      <c r="X34" s="596" t="str">
        <f t="shared" si="5"/>
        <v/>
      </c>
      <c r="Y34" s="600" t="s">
        <v>1567</v>
      </c>
    </row>
    <row r="35" spans="1:25" ht="30.05" customHeight="1" x14ac:dyDescent="0.25">
      <c r="A35" s="376"/>
      <c r="B35" s="578">
        <v>14</v>
      </c>
      <c r="C35" s="665"/>
      <c r="D35" s="405"/>
      <c r="E35" s="524"/>
      <c r="F35" s="532"/>
      <c r="G35" s="532"/>
      <c r="H35" s="531">
        <f t="shared" si="6"/>
        <v>0</v>
      </c>
      <c r="I35" s="521"/>
      <c r="J35" s="522"/>
      <c r="K35" s="522"/>
      <c r="L35" s="524"/>
      <c r="M35" s="525"/>
      <c r="N35" s="577"/>
      <c r="O35" s="572"/>
      <c r="P35" s="522"/>
      <c r="Q35" s="524"/>
      <c r="R35" s="525"/>
      <c r="S35" s="527">
        <f t="shared" si="1"/>
        <v>0</v>
      </c>
      <c r="T35" s="538" t="str">
        <f t="shared" si="0"/>
        <v/>
      </c>
      <c r="U35" s="529">
        <f t="shared" si="2"/>
        <v>0</v>
      </c>
      <c r="V35" s="539" t="str">
        <f t="shared" si="3"/>
        <v/>
      </c>
      <c r="W35" s="528">
        <f t="shared" si="4"/>
        <v>0</v>
      </c>
      <c r="X35" s="539" t="str">
        <f t="shared" si="5"/>
        <v/>
      </c>
      <c r="Y35" s="406" t="s">
        <v>1567</v>
      </c>
    </row>
    <row r="36" spans="1:25" ht="30.05" customHeight="1" x14ac:dyDescent="0.25">
      <c r="A36" s="376"/>
      <c r="B36" s="578">
        <v>15</v>
      </c>
      <c r="C36" s="665"/>
      <c r="D36" s="405"/>
      <c r="E36" s="524"/>
      <c r="F36" s="532"/>
      <c r="G36" s="532"/>
      <c r="H36" s="531">
        <f t="shared" si="6"/>
        <v>0</v>
      </c>
      <c r="I36" s="521"/>
      <c r="J36" s="522"/>
      <c r="K36" s="522"/>
      <c r="L36" s="524"/>
      <c r="M36" s="525"/>
      <c r="N36" s="577"/>
      <c r="O36" s="572"/>
      <c r="P36" s="522"/>
      <c r="Q36" s="524"/>
      <c r="R36" s="525"/>
      <c r="S36" s="527">
        <f t="shared" si="1"/>
        <v>0</v>
      </c>
      <c r="T36" s="538" t="str">
        <f t="shared" si="0"/>
        <v/>
      </c>
      <c r="U36" s="529">
        <f t="shared" si="2"/>
        <v>0</v>
      </c>
      <c r="V36" s="539" t="str">
        <f t="shared" si="3"/>
        <v/>
      </c>
      <c r="W36" s="528">
        <f t="shared" si="4"/>
        <v>0</v>
      </c>
      <c r="X36" s="539" t="str">
        <f t="shared" si="5"/>
        <v/>
      </c>
      <c r="Y36" s="597" t="s">
        <v>1567</v>
      </c>
    </row>
    <row r="37" spans="1:25" ht="30.05" customHeight="1" x14ac:dyDescent="0.25">
      <c r="A37" s="376"/>
      <c r="B37" s="578">
        <v>16</v>
      </c>
      <c r="C37" s="665"/>
      <c r="D37" s="405"/>
      <c r="E37" s="524"/>
      <c r="F37" s="532"/>
      <c r="G37" s="532"/>
      <c r="H37" s="531">
        <f t="shared" si="6"/>
        <v>0</v>
      </c>
      <c r="I37" s="521"/>
      <c r="J37" s="522"/>
      <c r="K37" s="522"/>
      <c r="L37" s="524"/>
      <c r="M37" s="525"/>
      <c r="N37" s="577"/>
      <c r="O37" s="572"/>
      <c r="P37" s="522"/>
      <c r="Q37" s="524"/>
      <c r="R37" s="525"/>
      <c r="S37" s="527">
        <f t="shared" si="1"/>
        <v>0</v>
      </c>
      <c r="T37" s="538" t="str">
        <f t="shared" si="0"/>
        <v/>
      </c>
      <c r="U37" s="529">
        <f t="shared" si="2"/>
        <v>0</v>
      </c>
      <c r="V37" s="539" t="str">
        <f t="shared" si="3"/>
        <v/>
      </c>
      <c r="W37" s="528">
        <f t="shared" si="4"/>
        <v>0</v>
      </c>
      <c r="X37" s="596" t="str">
        <f t="shared" si="5"/>
        <v/>
      </c>
      <c r="Y37" s="600" t="s">
        <v>1567</v>
      </c>
    </row>
    <row r="38" spans="1:25" ht="30.05" customHeight="1" x14ac:dyDescent="0.25">
      <c r="A38" s="376"/>
      <c r="B38" s="578">
        <v>17</v>
      </c>
      <c r="C38" s="665"/>
      <c r="D38" s="405"/>
      <c r="E38" s="524"/>
      <c r="F38" s="532"/>
      <c r="G38" s="532"/>
      <c r="H38" s="531">
        <f t="shared" si="6"/>
        <v>0</v>
      </c>
      <c r="I38" s="521"/>
      <c r="J38" s="522"/>
      <c r="K38" s="522"/>
      <c r="L38" s="524"/>
      <c r="M38" s="525"/>
      <c r="N38" s="577"/>
      <c r="O38" s="572"/>
      <c r="P38" s="522"/>
      <c r="Q38" s="524"/>
      <c r="R38" s="525"/>
      <c r="S38" s="527">
        <f t="shared" si="1"/>
        <v>0</v>
      </c>
      <c r="T38" s="538" t="str">
        <f t="shared" si="0"/>
        <v/>
      </c>
      <c r="U38" s="529">
        <f t="shared" si="2"/>
        <v>0</v>
      </c>
      <c r="V38" s="539" t="str">
        <f t="shared" si="3"/>
        <v/>
      </c>
      <c r="W38" s="528">
        <f t="shared" si="4"/>
        <v>0</v>
      </c>
      <c r="X38" s="539" t="str">
        <f t="shared" si="5"/>
        <v/>
      </c>
      <c r="Y38" s="406" t="s">
        <v>1567</v>
      </c>
    </row>
    <row r="39" spans="1:25" ht="30.05" customHeight="1" x14ac:dyDescent="0.25">
      <c r="A39" s="376"/>
      <c r="B39" s="601">
        <v>18</v>
      </c>
      <c r="C39" s="665"/>
      <c r="D39" s="405"/>
      <c r="E39" s="524"/>
      <c r="F39" s="532"/>
      <c r="G39" s="532"/>
      <c r="H39" s="531">
        <f t="shared" si="6"/>
        <v>0</v>
      </c>
      <c r="I39" s="521"/>
      <c r="J39" s="522"/>
      <c r="K39" s="522"/>
      <c r="L39" s="524"/>
      <c r="M39" s="525"/>
      <c r="N39" s="577"/>
      <c r="O39" s="572"/>
      <c r="P39" s="522"/>
      <c r="Q39" s="524"/>
      <c r="R39" s="525"/>
      <c r="S39" s="527">
        <f t="shared" si="1"/>
        <v>0</v>
      </c>
      <c r="T39" s="538" t="str">
        <f t="shared" si="0"/>
        <v/>
      </c>
      <c r="U39" s="529">
        <f t="shared" si="2"/>
        <v>0</v>
      </c>
      <c r="V39" s="539" t="str">
        <f t="shared" si="3"/>
        <v/>
      </c>
      <c r="W39" s="528">
        <f t="shared" si="4"/>
        <v>0</v>
      </c>
      <c r="X39" s="539" t="str">
        <f t="shared" si="5"/>
        <v/>
      </c>
      <c r="Y39" s="667" t="s">
        <v>1567</v>
      </c>
    </row>
    <row r="40" spans="1:25" ht="30.05" customHeight="1" x14ac:dyDescent="0.25">
      <c r="A40" s="376"/>
      <c r="B40" s="601">
        <v>19</v>
      </c>
      <c r="C40" s="668"/>
      <c r="D40" s="580"/>
      <c r="E40" s="581"/>
      <c r="F40" s="582"/>
      <c r="G40" s="582"/>
      <c r="H40" s="583">
        <f t="shared" ref="H40:H79" si="7">ABS(F40-G40)</f>
        <v>0</v>
      </c>
      <c r="I40" s="584"/>
      <c r="J40" s="581"/>
      <c r="K40" s="581"/>
      <c r="L40" s="581"/>
      <c r="M40" s="585"/>
      <c r="N40" s="584"/>
      <c r="O40" s="522"/>
      <c r="P40" s="522"/>
      <c r="Q40" s="581"/>
      <c r="R40" s="585"/>
      <c r="S40" s="586">
        <f t="shared" ref="S40:S79" si="8">IF(ISERROR(ABS(I40-N40)),"",ABS(I40-N40))</f>
        <v>0</v>
      </c>
      <c r="T40" s="587" t="str">
        <f t="shared" ref="T40:T79" si="9">IF(ISERROR((ABS(I40-N40))/$H40),"",(ABS(I40-N40))/$H40)</f>
        <v/>
      </c>
      <c r="U40" s="588">
        <f t="shared" ref="U40:U79" si="10">(ABS(J40-O40))</f>
        <v>0</v>
      </c>
      <c r="V40" s="587" t="str">
        <f t="shared" ref="V40:V79" si="11">IF(ISERROR((ABS(J40-O40))/$H40),"",((ABS(J40-O40))/$H40))</f>
        <v/>
      </c>
      <c r="W40" s="588">
        <f t="shared" si="4"/>
        <v>0</v>
      </c>
      <c r="X40" s="587" t="str">
        <f t="shared" ref="X40:X79" si="12">IF(ISERROR((ABS(K40-P40))/$H40),"",(ABS(K40-P40))/$H40)</f>
        <v/>
      </c>
      <c r="Y40" s="667" t="s">
        <v>1567</v>
      </c>
    </row>
    <row r="41" spans="1:25" ht="24.9" customHeight="1" x14ac:dyDescent="0.25">
      <c r="A41" s="376"/>
      <c r="B41" s="575">
        <v>20</v>
      </c>
      <c r="C41" s="669"/>
      <c r="D41" s="405"/>
      <c r="E41" s="524"/>
      <c r="F41" s="532"/>
      <c r="G41" s="532"/>
      <c r="H41" s="589">
        <f t="shared" si="7"/>
        <v>0</v>
      </c>
      <c r="I41" s="590"/>
      <c r="J41" s="524"/>
      <c r="K41" s="524"/>
      <c r="L41" s="524"/>
      <c r="M41" s="525"/>
      <c r="N41" s="591"/>
      <c r="O41" s="572"/>
      <c r="P41" s="522"/>
      <c r="Q41" s="524"/>
      <c r="R41" s="525"/>
      <c r="S41" s="527">
        <f t="shared" si="8"/>
        <v>0</v>
      </c>
      <c r="T41" s="538" t="str">
        <f t="shared" si="9"/>
        <v/>
      </c>
      <c r="U41" s="529">
        <f t="shared" si="10"/>
        <v>0</v>
      </c>
      <c r="V41" s="538" t="str">
        <f t="shared" si="11"/>
        <v/>
      </c>
      <c r="W41" s="529">
        <f t="shared" si="4"/>
        <v>0</v>
      </c>
      <c r="X41" s="538" t="str">
        <f t="shared" si="12"/>
        <v/>
      </c>
      <c r="Y41" s="407" t="s">
        <v>1567</v>
      </c>
    </row>
    <row r="42" spans="1:25" ht="30.05" customHeight="1" x14ac:dyDescent="0.25">
      <c r="A42" s="376"/>
      <c r="B42" s="578">
        <v>21</v>
      </c>
      <c r="C42" s="665"/>
      <c r="D42" s="405"/>
      <c r="E42" s="524"/>
      <c r="F42" s="532"/>
      <c r="G42" s="532"/>
      <c r="H42" s="531">
        <f t="shared" si="7"/>
        <v>0</v>
      </c>
      <c r="I42" s="521"/>
      <c r="J42" s="522"/>
      <c r="K42" s="522"/>
      <c r="L42" s="524"/>
      <c r="M42" s="525"/>
      <c r="N42" s="577"/>
      <c r="O42" s="572"/>
      <c r="P42" s="522"/>
      <c r="Q42" s="524"/>
      <c r="R42" s="525"/>
      <c r="S42" s="527">
        <f t="shared" si="8"/>
        <v>0</v>
      </c>
      <c r="T42" s="538" t="str">
        <f t="shared" si="9"/>
        <v/>
      </c>
      <c r="U42" s="529">
        <f t="shared" si="10"/>
        <v>0</v>
      </c>
      <c r="V42" s="539" t="str">
        <f t="shared" si="11"/>
        <v/>
      </c>
      <c r="W42" s="528">
        <f t="shared" si="4"/>
        <v>0</v>
      </c>
      <c r="X42" s="539" t="str">
        <f t="shared" si="12"/>
        <v/>
      </c>
      <c r="Y42" s="407"/>
    </row>
    <row r="43" spans="1:25" ht="30.05" customHeight="1" x14ac:dyDescent="0.25">
      <c r="A43" s="376"/>
      <c r="B43" s="578">
        <v>22</v>
      </c>
      <c r="C43" s="669"/>
      <c r="D43" s="405"/>
      <c r="E43" s="524"/>
      <c r="F43" s="532"/>
      <c r="G43" s="532"/>
      <c r="H43" s="589">
        <f t="shared" si="7"/>
        <v>0</v>
      </c>
      <c r="I43" s="590"/>
      <c r="J43" s="524"/>
      <c r="K43" s="524"/>
      <c r="L43" s="524"/>
      <c r="M43" s="525"/>
      <c r="N43" s="591"/>
      <c r="O43" s="651"/>
      <c r="P43" s="524"/>
      <c r="Q43" s="524"/>
      <c r="R43" s="525"/>
      <c r="S43" s="527">
        <f t="shared" si="8"/>
        <v>0</v>
      </c>
      <c r="T43" s="538" t="str">
        <f t="shared" si="9"/>
        <v/>
      </c>
      <c r="U43" s="529">
        <f t="shared" si="10"/>
        <v>0</v>
      </c>
      <c r="V43" s="538" t="str">
        <f t="shared" si="11"/>
        <v/>
      </c>
      <c r="W43" s="529">
        <f t="shared" si="4"/>
        <v>0</v>
      </c>
      <c r="X43" s="538" t="str">
        <f t="shared" si="12"/>
        <v/>
      </c>
      <c r="Y43" s="407"/>
    </row>
    <row r="44" spans="1:25" ht="30.05" customHeight="1" x14ac:dyDescent="0.25">
      <c r="A44" s="376"/>
      <c r="B44" s="578">
        <v>23</v>
      </c>
      <c r="C44" s="665"/>
      <c r="D44" s="405"/>
      <c r="E44" s="524"/>
      <c r="F44" s="532"/>
      <c r="G44" s="532"/>
      <c r="H44" s="531">
        <f t="shared" si="7"/>
        <v>0</v>
      </c>
      <c r="I44" s="521"/>
      <c r="J44" s="522"/>
      <c r="K44" s="522"/>
      <c r="L44" s="524"/>
      <c r="M44" s="525"/>
      <c r="N44" s="577"/>
      <c r="O44" s="572"/>
      <c r="P44" s="522"/>
      <c r="Q44" s="524"/>
      <c r="R44" s="525"/>
      <c r="S44" s="527">
        <f t="shared" si="8"/>
        <v>0</v>
      </c>
      <c r="T44" s="538" t="str">
        <f t="shared" si="9"/>
        <v/>
      </c>
      <c r="U44" s="529">
        <f t="shared" si="10"/>
        <v>0</v>
      </c>
      <c r="V44" s="539" t="str">
        <f t="shared" si="11"/>
        <v/>
      </c>
      <c r="W44" s="528">
        <f t="shared" si="4"/>
        <v>0</v>
      </c>
      <c r="X44" s="539" t="str">
        <f t="shared" si="12"/>
        <v/>
      </c>
      <c r="Y44" s="407"/>
    </row>
    <row r="45" spans="1:25" ht="30.05" customHeight="1" x14ac:dyDescent="0.25">
      <c r="A45" s="376"/>
      <c r="B45" s="578">
        <v>24</v>
      </c>
      <c r="C45" s="665"/>
      <c r="D45" s="405"/>
      <c r="E45" s="524"/>
      <c r="F45" s="532"/>
      <c r="G45" s="532"/>
      <c r="H45" s="531">
        <f t="shared" si="7"/>
        <v>0</v>
      </c>
      <c r="I45" s="521"/>
      <c r="J45" s="522"/>
      <c r="K45" s="522"/>
      <c r="L45" s="524"/>
      <c r="M45" s="525"/>
      <c r="N45" s="577"/>
      <c r="O45" s="572"/>
      <c r="P45" s="522"/>
      <c r="Q45" s="524"/>
      <c r="R45" s="525"/>
      <c r="S45" s="527">
        <f t="shared" si="8"/>
        <v>0</v>
      </c>
      <c r="T45" s="538" t="str">
        <f t="shared" si="9"/>
        <v/>
      </c>
      <c r="U45" s="529">
        <f t="shared" si="10"/>
        <v>0</v>
      </c>
      <c r="V45" s="539" t="str">
        <f t="shared" si="11"/>
        <v/>
      </c>
      <c r="W45" s="528">
        <f t="shared" si="4"/>
        <v>0</v>
      </c>
      <c r="X45" s="539" t="str">
        <f t="shared" si="12"/>
        <v/>
      </c>
      <c r="Y45" s="407"/>
    </row>
    <row r="46" spans="1:25" ht="30.05" customHeight="1" x14ac:dyDescent="0.25">
      <c r="A46" s="376"/>
      <c r="B46" s="578">
        <v>25</v>
      </c>
      <c r="C46" s="665"/>
      <c r="D46" s="405"/>
      <c r="E46" s="524"/>
      <c r="F46" s="532"/>
      <c r="G46" s="532"/>
      <c r="H46" s="531">
        <f t="shared" si="7"/>
        <v>0</v>
      </c>
      <c r="I46" s="521"/>
      <c r="J46" s="522"/>
      <c r="K46" s="522"/>
      <c r="L46" s="524"/>
      <c r="M46" s="525"/>
      <c r="N46" s="577"/>
      <c r="O46" s="572"/>
      <c r="P46" s="522"/>
      <c r="Q46" s="524"/>
      <c r="R46" s="525"/>
      <c r="S46" s="527">
        <f t="shared" si="8"/>
        <v>0</v>
      </c>
      <c r="T46" s="538" t="str">
        <f t="shared" si="9"/>
        <v/>
      </c>
      <c r="U46" s="529">
        <f t="shared" si="10"/>
        <v>0</v>
      </c>
      <c r="V46" s="539" t="str">
        <f t="shared" si="11"/>
        <v/>
      </c>
      <c r="W46" s="528">
        <f t="shared" si="4"/>
        <v>0</v>
      </c>
      <c r="X46" s="539" t="str">
        <f t="shared" si="12"/>
        <v/>
      </c>
      <c r="Y46" s="407"/>
    </row>
    <row r="47" spans="1:25" ht="30.05" customHeight="1" x14ac:dyDescent="0.25">
      <c r="A47" s="376"/>
      <c r="B47" s="578">
        <v>26</v>
      </c>
      <c r="C47" s="665"/>
      <c r="D47" s="405"/>
      <c r="E47" s="524"/>
      <c r="F47" s="532"/>
      <c r="G47" s="532"/>
      <c r="H47" s="531">
        <f t="shared" si="7"/>
        <v>0</v>
      </c>
      <c r="I47" s="521"/>
      <c r="J47" s="522"/>
      <c r="K47" s="522"/>
      <c r="L47" s="524"/>
      <c r="M47" s="525"/>
      <c r="N47" s="577"/>
      <c r="O47" s="572"/>
      <c r="P47" s="522"/>
      <c r="Q47" s="524"/>
      <c r="R47" s="525"/>
      <c r="S47" s="527">
        <f t="shared" si="8"/>
        <v>0</v>
      </c>
      <c r="T47" s="538" t="str">
        <f t="shared" si="9"/>
        <v/>
      </c>
      <c r="U47" s="529">
        <f t="shared" si="10"/>
        <v>0</v>
      </c>
      <c r="V47" s="539" t="str">
        <f t="shared" si="11"/>
        <v/>
      </c>
      <c r="W47" s="528">
        <f t="shared" si="4"/>
        <v>0</v>
      </c>
      <c r="X47" s="539" t="str">
        <f t="shared" si="12"/>
        <v/>
      </c>
      <c r="Y47" s="407"/>
    </row>
    <row r="48" spans="1:25" ht="30.05" customHeight="1" x14ac:dyDescent="0.25">
      <c r="A48" s="376"/>
      <c r="B48" s="578">
        <v>27</v>
      </c>
      <c r="C48" s="665"/>
      <c r="D48" s="405"/>
      <c r="E48" s="524"/>
      <c r="F48" s="532"/>
      <c r="G48" s="532"/>
      <c r="H48" s="531">
        <f t="shared" si="7"/>
        <v>0</v>
      </c>
      <c r="I48" s="521"/>
      <c r="J48" s="522"/>
      <c r="K48" s="522"/>
      <c r="L48" s="524"/>
      <c r="M48" s="525"/>
      <c r="N48" s="577"/>
      <c r="O48" s="572"/>
      <c r="P48" s="522"/>
      <c r="Q48" s="524"/>
      <c r="R48" s="525"/>
      <c r="S48" s="527">
        <f t="shared" si="8"/>
        <v>0</v>
      </c>
      <c r="T48" s="538" t="str">
        <f t="shared" si="9"/>
        <v/>
      </c>
      <c r="U48" s="529">
        <f t="shared" si="10"/>
        <v>0</v>
      </c>
      <c r="V48" s="539" t="str">
        <f t="shared" si="11"/>
        <v/>
      </c>
      <c r="W48" s="528">
        <f t="shared" si="4"/>
        <v>0</v>
      </c>
      <c r="X48" s="539" t="str">
        <f t="shared" si="12"/>
        <v/>
      </c>
      <c r="Y48" s="407"/>
    </row>
    <row r="49" spans="1:26" ht="30.05" customHeight="1" x14ac:dyDescent="0.25">
      <c r="A49" s="376"/>
      <c r="B49" s="578">
        <v>28</v>
      </c>
      <c r="C49" s="665"/>
      <c r="D49" s="405"/>
      <c r="E49" s="524"/>
      <c r="F49" s="532"/>
      <c r="G49" s="532"/>
      <c r="H49" s="531">
        <f t="shared" si="7"/>
        <v>0</v>
      </c>
      <c r="I49" s="521"/>
      <c r="J49" s="522"/>
      <c r="K49" s="522"/>
      <c r="L49" s="524"/>
      <c r="M49" s="525"/>
      <c r="N49" s="577"/>
      <c r="O49" s="572"/>
      <c r="P49" s="522"/>
      <c r="Q49" s="524"/>
      <c r="R49" s="525"/>
      <c r="S49" s="527">
        <f t="shared" si="8"/>
        <v>0</v>
      </c>
      <c r="T49" s="538" t="str">
        <f t="shared" si="9"/>
        <v/>
      </c>
      <c r="U49" s="529">
        <f t="shared" si="10"/>
        <v>0</v>
      </c>
      <c r="V49" s="539" t="str">
        <f t="shared" si="11"/>
        <v/>
      </c>
      <c r="W49" s="528">
        <f t="shared" si="4"/>
        <v>0</v>
      </c>
      <c r="X49" s="539" t="str">
        <f t="shared" si="12"/>
        <v/>
      </c>
      <c r="Y49" s="407"/>
      <c r="Z49" s="388"/>
    </row>
    <row r="50" spans="1:26" ht="30.05" customHeight="1" x14ac:dyDescent="0.25">
      <c r="A50" s="569"/>
      <c r="B50" s="601">
        <v>29</v>
      </c>
      <c r="C50" s="665"/>
      <c r="D50" s="573"/>
      <c r="E50" s="522"/>
      <c r="F50" s="530"/>
      <c r="G50" s="530"/>
      <c r="H50" s="531">
        <f t="shared" si="7"/>
        <v>0</v>
      </c>
      <c r="I50" s="521"/>
      <c r="J50" s="522"/>
      <c r="K50" s="522"/>
      <c r="L50" s="522"/>
      <c r="M50" s="523"/>
      <c r="N50" s="521"/>
      <c r="O50" s="522"/>
      <c r="P50" s="522"/>
      <c r="Q50" s="522"/>
      <c r="R50" s="523"/>
      <c r="S50" s="526">
        <f t="shared" si="8"/>
        <v>0</v>
      </c>
      <c r="T50" s="539" t="str">
        <f t="shared" si="9"/>
        <v/>
      </c>
      <c r="U50" s="528">
        <f t="shared" si="10"/>
        <v>0</v>
      </c>
      <c r="V50" s="539" t="str">
        <f t="shared" si="11"/>
        <v/>
      </c>
      <c r="W50" s="528">
        <f t="shared" si="4"/>
        <v>0</v>
      </c>
      <c r="X50" s="539" t="str">
        <f t="shared" si="12"/>
        <v/>
      </c>
      <c r="Y50" s="406"/>
    </row>
    <row r="51" spans="1:26" ht="30.05" customHeight="1" x14ac:dyDescent="0.25">
      <c r="A51" s="569"/>
      <c r="B51" s="601">
        <v>30</v>
      </c>
      <c r="C51" s="665"/>
      <c r="D51" s="405"/>
      <c r="E51" s="524"/>
      <c r="F51" s="532"/>
      <c r="G51" s="532"/>
      <c r="H51" s="531">
        <f t="shared" si="7"/>
        <v>0</v>
      </c>
      <c r="I51" s="521"/>
      <c r="J51" s="522"/>
      <c r="K51" s="522"/>
      <c r="L51" s="524"/>
      <c r="M51" s="525"/>
      <c r="N51" s="521"/>
      <c r="O51" s="522"/>
      <c r="P51" s="522"/>
      <c r="Q51" s="524"/>
      <c r="R51" s="525"/>
      <c r="S51" s="527">
        <f t="shared" si="8"/>
        <v>0</v>
      </c>
      <c r="T51" s="538" t="str">
        <f t="shared" si="9"/>
        <v/>
      </c>
      <c r="U51" s="529">
        <f t="shared" si="10"/>
        <v>0</v>
      </c>
      <c r="V51" s="539" t="str">
        <f t="shared" si="11"/>
        <v/>
      </c>
      <c r="W51" s="528">
        <f t="shared" si="4"/>
        <v>0</v>
      </c>
      <c r="X51" s="539" t="str">
        <f t="shared" si="12"/>
        <v/>
      </c>
      <c r="Y51" s="407"/>
    </row>
    <row r="52" spans="1:26" ht="30.05" customHeight="1" x14ac:dyDescent="0.25">
      <c r="A52" s="569"/>
      <c r="B52" s="601">
        <v>31</v>
      </c>
      <c r="C52" s="665"/>
      <c r="D52" s="405"/>
      <c r="E52" s="524"/>
      <c r="F52" s="532"/>
      <c r="G52" s="532"/>
      <c r="H52" s="531">
        <f t="shared" si="7"/>
        <v>0</v>
      </c>
      <c r="I52" s="521"/>
      <c r="J52" s="522"/>
      <c r="K52" s="522"/>
      <c r="L52" s="524"/>
      <c r="M52" s="525"/>
      <c r="N52" s="521"/>
      <c r="O52" s="522"/>
      <c r="P52" s="522"/>
      <c r="Q52" s="524"/>
      <c r="R52" s="525"/>
      <c r="S52" s="527">
        <f t="shared" si="8"/>
        <v>0</v>
      </c>
      <c r="T52" s="538" t="str">
        <f t="shared" si="9"/>
        <v/>
      </c>
      <c r="U52" s="529">
        <f t="shared" si="10"/>
        <v>0</v>
      </c>
      <c r="V52" s="539" t="str">
        <f t="shared" si="11"/>
        <v/>
      </c>
      <c r="W52" s="528">
        <f t="shared" si="4"/>
        <v>0</v>
      </c>
      <c r="X52" s="539" t="str">
        <f t="shared" si="12"/>
        <v/>
      </c>
      <c r="Y52" s="407"/>
    </row>
    <row r="53" spans="1:26" ht="30.05" customHeight="1" x14ac:dyDescent="0.25">
      <c r="A53" s="569"/>
      <c r="B53" s="601">
        <v>32</v>
      </c>
      <c r="C53" s="665"/>
      <c r="D53" s="405"/>
      <c r="E53" s="524"/>
      <c r="F53" s="532"/>
      <c r="G53" s="532"/>
      <c r="H53" s="531">
        <f t="shared" si="7"/>
        <v>0</v>
      </c>
      <c r="I53" s="521"/>
      <c r="J53" s="522"/>
      <c r="K53" s="522"/>
      <c r="L53" s="524"/>
      <c r="M53" s="525"/>
      <c r="N53" s="521"/>
      <c r="O53" s="522"/>
      <c r="P53" s="522"/>
      <c r="Q53" s="524"/>
      <c r="R53" s="525"/>
      <c r="S53" s="527">
        <f t="shared" si="8"/>
        <v>0</v>
      </c>
      <c r="T53" s="538" t="str">
        <f t="shared" si="9"/>
        <v/>
      </c>
      <c r="U53" s="529">
        <f t="shared" si="10"/>
        <v>0</v>
      </c>
      <c r="V53" s="539" t="str">
        <f t="shared" si="11"/>
        <v/>
      </c>
      <c r="W53" s="528">
        <f t="shared" si="4"/>
        <v>0</v>
      </c>
      <c r="X53" s="539" t="str">
        <f t="shared" si="12"/>
        <v/>
      </c>
      <c r="Y53" s="407"/>
    </row>
    <row r="54" spans="1:26" ht="30.05" customHeight="1" x14ac:dyDescent="0.25">
      <c r="A54" s="569"/>
      <c r="B54" s="601">
        <v>33</v>
      </c>
      <c r="C54" s="665"/>
      <c r="D54" s="405"/>
      <c r="E54" s="524"/>
      <c r="F54" s="532"/>
      <c r="G54" s="532"/>
      <c r="H54" s="531">
        <f t="shared" si="7"/>
        <v>0</v>
      </c>
      <c r="I54" s="521"/>
      <c r="J54" s="522"/>
      <c r="K54" s="522"/>
      <c r="L54" s="524"/>
      <c r="M54" s="525"/>
      <c r="N54" s="521"/>
      <c r="O54" s="522"/>
      <c r="P54" s="522"/>
      <c r="Q54" s="524"/>
      <c r="R54" s="525"/>
      <c r="S54" s="527">
        <f t="shared" si="8"/>
        <v>0</v>
      </c>
      <c r="T54" s="538" t="str">
        <f t="shared" si="9"/>
        <v/>
      </c>
      <c r="U54" s="529">
        <f t="shared" si="10"/>
        <v>0</v>
      </c>
      <c r="V54" s="539" t="str">
        <f t="shared" si="11"/>
        <v/>
      </c>
      <c r="W54" s="528">
        <f t="shared" si="4"/>
        <v>0</v>
      </c>
      <c r="X54" s="539" t="str">
        <f t="shared" si="12"/>
        <v/>
      </c>
      <c r="Y54" s="407"/>
    </row>
    <row r="55" spans="1:26" ht="30.05" customHeight="1" x14ac:dyDescent="0.25">
      <c r="A55" s="569"/>
      <c r="B55" s="652">
        <v>34</v>
      </c>
      <c r="C55" s="665"/>
      <c r="D55" s="405"/>
      <c r="E55" s="524"/>
      <c r="F55" s="532"/>
      <c r="G55" s="532"/>
      <c r="H55" s="531">
        <f t="shared" si="7"/>
        <v>0</v>
      </c>
      <c r="I55" s="521"/>
      <c r="J55" s="522"/>
      <c r="K55" s="522"/>
      <c r="L55" s="524"/>
      <c r="M55" s="525"/>
      <c r="N55" s="521"/>
      <c r="O55" s="522"/>
      <c r="P55" s="522"/>
      <c r="Q55" s="524"/>
      <c r="R55" s="525"/>
      <c r="S55" s="527">
        <f t="shared" si="8"/>
        <v>0</v>
      </c>
      <c r="T55" s="538" t="str">
        <f t="shared" si="9"/>
        <v/>
      </c>
      <c r="U55" s="529">
        <f t="shared" si="10"/>
        <v>0</v>
      </c>
      <c r="V55" s="539" t="str">
        <f t="shared" si="11"/>
        <v/>
      </c>
      <c r="W55" s="528">
        <f t="shared" si="4"/>
        <v>0</v>
      </c>
      <c r="X55" s="539" t="str">
        <f t="shared" si="12"/>
        <v/>
      </c>
      <c r="Y55" s="407"/>
    </row>
    <row r="56" spans="1:26" ht="30.05" customHeight="1" x14ac:dyDescent="0.25">
      <c r="A56" s="376"/>
      <c r="B56" s="601">
        <v>35</v>
      </c>
      <c r="C56" s="672"/>
      <c r="D56" s="405"/>
      <c r="E56" s="524"/>
      <c r="F56" s="532"/>
      <c r="G56" s="532"/>
      <c r="H56" s="531">
        <f t="shared" si="7"/>
        <v>0</v>
      </c>
      <c r="I56" s="521"/>
      <c r="J56" s="522"/>
      <c r="K56" s="522"/>
      <c r="L56" s="524"/>
      <c r="M56" s="525"/>
      <c r="N56" s="521"/>
      <c r="O56" s="522"/>
      <c r="P56" s="522"/>
      <c r="Q56" s="524"/>
      <c r="R56" s="525"/>
      <c r="S56" s="527">
        <f t="shared" si="8"/>
        <v>0</v>
      </c>
      <c r="T56" s="538" t="str">
        <f t="shared" si="9"/>
        <v/>
      </c>
      <c r="U56" s="529">
        <f t="shared" si="10"/>
        <v>0</v>
      </c>
      <c r="V56" s="539" t="str">
        <f t="shared" si="11"/>
        <v/>
      </c>
      <c r="W56" s="528">
        <f t="shared" si="4"/>
        <v>0</v>
      </c>
      <c r="X56" s="539" t="str">
        <f t="shared" si="12"/>
        <v/>
      </c>
      <c r="Y56" s="407"/>
    </row>
    <row r="57" spans="1:26" ht="30.05" customHeight="1" x14ac:dyDescent="0.25">
      <c r="A57" s="376"/>
      <c r="B57" s="542">
        <v>36</v>
      </c>
      <c r="C57" s="665"/>
      <c r="D57" s="405"/>
      <c r="E57" s="524"/>
      <c r="F57" s="532"/>
      <c r="G57" s="532"/>
      <c r="H57" s="531">
        <f t="shared" si="7"/>
        <v>0</v>
      </c>
      <c r="I57" s="521"/>
      <c r="J57" s="522"/>
      <c r="K57" s="522"/>
      <c r="L57" s="524"/>
      <c r="M57" s="525"/>
      <c r="N57" s="521"/>
      <c r="O57" s="522"/>
      <c r="P57" s="522"/>
      <c r="Q57" s="524"/>
      <c r="R57" s="525"/>
      <c r="S57" s="527">
        <f t="shared" si="8"/>
        <v>0</v>
      </c>
      <c r="T57" s="538" t="str">
        <f t="shared" si="9"/>
        <v/>
      </c>
      <c r="U57" s="529">
        <f t="shared" si="10"/>
        <v>0</v>
      </c>
      <c r="V57" s="539" t="str">
        <f t="shared" si="11"/>
        <v/>
      </c>
      <c r="W57" s="528">
        <f t="shared" si="4"/>
        <v>0</v>
      </c>
      <c r="X57" s="539" t="str">
        <f t="shared" si="12"/>
        <v/>
      </c>
      <c r="Y57" s="407"/>
    </row>
    <row r="58" spans="1:26" ht="30.05" customHeight="1" x14ac:dyDescent="0.25">
      <c r="A58" s="376"/>
      <c r="B58" s="543">
        <v>37</v>
      </c>
      <c r="C58" s="665"/>
      <c r="D58" s="405"/>
      <c r="E58" s="524"/>
      <c r="F58" s="532"/>
      <c r="G58" s="532"/>
      <c r="H58" s="531">
        <f t="shared" si="7"/>
        <v>0</v>
      </c>
      <c r="I58" s="521"/>
      <c r="J58" s="522"/>
      <c r="K58" s="522"/>
      <c r="L58" s="524"/>
      <c r="M58" s="525"/>
      <c r="N58" s="521"/>
      <c r="O58" s="522"/>
      <c r="P58" s="522"/>
      <c r="Q58" s="524"/>
      <c r="R58" s="525"/>
      <c r="S58" s="527">
        <f t="shared" si="8"/>
        <v>0</v>
      </c>
      <c r="T58" s="538" t="str">
        <f t="shared" si="9"/>
        <v/>
      </c>
      <c r="U58" s="529">
        <f t="shared" si="10"/>
        <v>0</v>
      </c>
      <c r="V58" s="539" t="str">
        <f t="shared" si="11"/>
        <v/>
      </c>
      <c r="W58" s="528">
        <f t="shared" si="4"/>
        <v>0</v>
      </c>
      <c r="X58" s="539" t="str">
        <f t="shared" si="12"/>
        <v/>
      </c>
      <c r="Y58" s="407"/>
    </row>
    <row r="59" spans="1:26" ht="30.05" customHeight="1" x14ac:dyDescent="0.25">
      <c r="A59" s="376"/>
      <c r="B59" s="543">
        <v>38</v>
      </c>
      <c r="C59" s="665"/>
      <c r="D59" s="405"/>
      <c r="E59" s="524"/>
      <c r="F59" s="532"/>
      <c r="G59" s="532"/>
      <c r="H59" s="531">
        <f t="shared" si="7"/>
        <v>0</v>
      </c>
      <c r="I59" s="521"/>
      <c r="J59" s="522"/>
      <c r="K59" s="522"/>
      <c r="L59" s="524"/>
      <c r="M59" s="525"/>
      <c r="N59" s="521"/>
      <c r="O59" s="522"/>
      <c r="P59" s="522"/>
      <c r="Q59" s="524"/>
      <c r="R59" s="525"/>
      <c r="S59" s="527">
        <f t="shared" si="8"/>
        <v>0</v>
      </c>
      <c r="T59" s="538" t="str">
        <f t="shared" si="9"/>
        <v/>
      </c>
      <c r="U59" s="529">
        <f t="shared" si="10"/>
        <v>0</v>
      </c>
      <c r="V59" s="539" t="str">
        <f t="shared" si="11"/>
        <v/>
      </c>
      <c r="W59" s="528">
        <f t="shared" si="4"/>
        <v>0</v>
      </c>
      <c r="X59" s="539" t="str">
        <f t="shared" si="12"/>
        <v/>
      </c>
      <c r="Y59" s="407"/>
    </row>
    <row r="60" spans="1:26" ht="30.05" customHeight="1" x14ac:dyDescent="0.25">
      <c r="A60" s="376"/>
      <c r="B60" s="543">
        <v>39</v>
      </c>
      <c r="C60" s="665"/>
      <c r="D60" s="405"/>
      <c r="E60" s="524"/>
      <c r="F60" s="532"/>
      <c r="G60" s="532"/>
      <c r="H60" s="531">
        <f t="shared" si="7"/>
        <v>0</v>
      </c>
      <c r="I60" s="521"/>
      <c r="J60" s="522"/>
      <c r="K60" s="522"/>
      <c r="L60" s="524"/>
      <c r="M60" s="525"/>
      <c r="N60" s="521"/>
      <c r="O60" s="522"/>
      <c r="P60" s="522"/>
      <c r="Q60" s="524"/>
      <c r="R60" s="525"/>
      <c r="S60" s="527">
        <f t="shared" si="8"/>
        <v>0</v>
      </c>
      <c r="T60" s="538" t="str">
        <f t="shared" si="9"/>
        <v/>
      </c>
      <c r="U60" s="529">
        <f t="shared" si="10"/>
        <v>0</v>
      </c>
      <c r="V60" s="539" t="str">
        <f t="shared" si="11"/>
        <v/>
      </c>
      <c r="W60" s="528">
        <f t="shared" si="4"/>
        <v>0</v>
      </c>
      <c r="X60" s="539" t="str">
        <f t="shared" si="12"/>
        <v/>
      </c>
      <c r="Y60" s="407"/>
    </row>
    <row r="61" spans="1:26" ht="30.05" customHeight="1" x14ac:dyDescent="0.25">
      <c r="A61" s="376"/>
      <c r="B61" s="543">
        <v>40</v>
      </c>
      <c r="C61" s="665"/>
      <c r="D61" s="405"/>
      <c r="E61" s="524"/>
      <c r="F61" s="532"/>
      <c r="G61" s="532"/>
      <c r="H61" s="531">
        <f t="shared" si="7"/>
        <v>0</v>
      </c>
      <c r="I61" s="521"/>
      <c r="J61" s="522"/>
      <c r="K61" s="522"/>
      <c r="L61" s="524"/>
      <c r="M61" s="525"/>
      <c r="N61" s="521"/>
      <c r="O61" s="522"/>
      <c r="P61" s="522"/>
      <c r="Q61" s="524"/>
      <c r="R61" s="525"/>
      <c r="S61" s="527">
        <f t="shared" si="8"/>
        <v>0</v>
      </c>
      <c r="T61" s="538" t="str">
        <f t="shared" si="9"/>
        <v/>
      </c>
      <c r="U61" s="529">
        <f t="shared" si="10"/>
        <v>0</v>
      </c>
      <c r="V61" s="539" t="str">
        <f t="shared" si="11"/>
        <v/>
      </c>
      <c r="W61" s="528">
        <f t="shared" si="4"/>
        <v>0</v>
      </c>
      <c r="X61" s="539" t="str">
        <f t="shared" si="12"/>
        <v/>
      </c>
      <c r="Y61" s="407"/>
    </row>
    <row r="62" spans="1:26" ht="30.05" customHeight="1" x14ac:dyDescent="0.25">
      <c r="A62" s="376"/>
      <c r="B62" s="543">
        <v>41</v>
      </c>
      <c r="C62" s="665"/>
      <c r="D62" s="405"/>
      <c r="E62" s="524"/>
      <c r="F62" s="532"/>
      <c r="G62" s="532"/>
      <c r="H62" s="531">
        <f t="shared" si="7"/>
        <v>0</v>
      </c>
      <c r="I62" s="521"/>
      <c r="J62" s="522"/>
      <c r="K62" s="522"/>
      <c r="L62" s="524"/>
      <c r="M62" s="525"/>
      <c r="N62" s="521"/>
      <c r="O62" s="522"/>
      <c r="P62" s="522"/>
      <c r="Q62" s="524"/>
      <c r="R62" s="525"/>
      <c r="S62" s="527">
        <f t="shared" si="8"/>
        <v>0</v>
      </c>
      <c r="T62" s="538" t="str">
        <f t="shared" si="9"/>
        <v/>
      </c>
      <c r="U62" s="529">
        <f t="shared" si="10"/>
        <v>0</v>
      </c>
      <c r="V62" s="539" t="str">
        <f t="shared" si="11"/>
        <v/>
      </c>
      <c r="W62" s="528">
        <f t="shared" si="4"/>
        <v>0</v>
      </c>
      <c r="X62" s="539" t="str">
        <f t="shared" si="12"/>
        <v/>
      </c>
      <c r="Y62" s="407"/>
    </row>
    <row r="63" spans="1:26" ht="30.05" customHeight="1" x14ac:dyDescent="0.25">
      <c r="A63" s="376"/>
      <c r="B63" s="543">
        <v>42</v>
      </c>
      <c r="C63" s="665"/>
      <c r="D63" s="405"/>
      <c r="E63" s="524"/>
      <c r="F63" s="532"/>
      <c r="G63" s="532"/>
      <c r="H63" s="531">
        <f t="shared" si="7"/>
        <v>0</v>
      </c>
      <c r="I63" s="521"/>
      <c r="J63" s="522"/>
      <c r="K63" s="522"/>
      <c r="L63" s="524"/>
      <c r="M63" s="525"/>
      <c r="N63" s="521"/>
      <c r="O63" s="522"/>
      <c r="P63" s="522"/>
      <c r="Q63" s="524"/>
      <c r="R63" s="525"/>
      <c r="S63" s="527">
        <f t="shared" si="8"/>
        <v>0</v>
      </c>
      <c r="T63" s="538" t="str">
        <f t="shared" si="9"/>
        <v/>
      </c>
      <c r="U63" s="529">
        <f t="shared" si="10"/>
        <v>0</v>
      </c>
      <c r="V63" s="539" t="str">
        <f t="shared" si="11"/>
        <v/>
      </c>
      <c r="W63" s="528">
        <f t="shared" si="4"/>
        <v>0</v>
      </c>
      <c r="X63" s="539" t="str">
        <f t="shared" si="12"/>
        <v/>
      </c>
      <c r="Y63" s="407"/>
    </row>
    <row r="64" spans="1:26" ht="30.05" customHeight="1" x14ac:dyDescent="0.25">
      <c r="A64" s="376"/>
      <c r="B64" s="543">
        <v>43</v>
      </c>
      <c r="C64" s="665"/>
      <c r="D64" s="405"/>
      <c r="E64" s="524"/>
      <c r="F64" s="532"/>
      <c r="G64" s="532"/>
      <c r="H64" s="531">
        <f t="shared" si="7"/>
        <v>0</v>
      </c>
      <c r="I64" s="521"/>
      <c r="J64" s="522"/>
      <c r="K64" s="522"/>
      <c r="L64" s="524"/>
      <c r="M64" s="525"/>
      <c r="N64" s="521"/>
      <c r="O64" s="522"/>
      <c r="P64" s="522"/>
      <c r="Q64" s="524"/>
      <c r="R64" s="525"/>
      <c r="S64" s="527">
        <f t="shared" si="8"/>
        <v>0</v>
      </c>
      <c r="T64" s="538" t="str">
        <f t="shared" si="9"/>
        <v/>
      </c>
      <c r="U64" s="529">
        <f t="shared" si="10"/>
        <v>0</v>
      </c>
      <c r="V64" s="539" t="str">
        <f t="shared" si="11"/>
        <v/>
      </c>
      <c r="W64" s="528">
        <f t="shared" si="4"/>
        <v>0</v>
      </c>
      <c r="X64" s="539" t="str">
        <f t="shared" si="12"/>
        <v/>
      </c>
      <c r="Y64" s="407"/>
    </row>
    <row r="65" spans="1:25" ht="30.05" customHeight="1" x14ac:dyDescent="0.25">
      <c r="A65" s="376"/>
      <c r="B65" s="543">
        <v>44</v>
      </c>
      <c r="C65" s="665"/>
      <c r="D65" s="405"/>
      <c r="E65" s="524"/>
      <c r="F65" s="532"/>
      <c r="G65" s="532"/>
      <c r="H65" s="531">
        <f t="shared" si="7"/>
        <v>0</v>
      </c>
      <c r="I65" s="521"/>
      <c r="J65" s="522"/>
      <c r="K65" s="522"/>
      <c r="L65" s="524"/>
      <c r="M65" s="525"/>
      <c r="N65" s="521"/>
      <c r="O65" s="522"/>
      <c r="P65" s="522"/>
      <c r="Q65" s="524"/>
      <c r="R65" s="525"/>
      <c r="S65" s="527">
        <f t="shared" si="8"/>
        <v>0</v>
      </c>
      <c r="T65" s="538" t="str">
        <f t="shared" si="9"/>
        <v/>
      </c>
      <c r="U65" s="529">
        <f t="shared" si="10"/>
        <v>0</v>
      </c>
      <c r="V65" s="539" t="str">
        <f t="shared" si="11"/>
        <v/>
      </c>
      <c r="W65" s="528">
        <f t="shared" si="4"/>
        <v>0</v>
      </c>
      <c r="X65" s="539" t="str">
        <f t="shared" si="12"/>
        <v/>
      </c>
      <c r="Y65" s="407"/>
    </row>
    <row r="66" spans="1:25" ht="30.05" customHeight="1" x14ac:dyDescent="0.25">
      <c r="A66" s="376"/>
      <c r="B66" s="543">
        <v>45</v>
      </c>
      <c r="C66" s="665"/>
      <c r="D66" s="405"/>
      <c r="E66" s="524"/>
      <c r="F66" s="532"/>
      <c r="G66" s="532"/>
      <c r="H66" s="531">
        <f t="shared" si="7"/>
        <v>0</v>
      </c>
      <c r="I66" s="521"/>
      <c r="J66" s="522"/>
      <c r="K66" s="522"/>
      <c r="L66" s="524"/>
      <c r="M66" s="525"/>
      <c r="N66" s="521"/>
      <c r="O66" s="522"/>
      <c r="P66" s="522"/>
      <c r="Q66" s="524"/>
      <c r="R66" s="525"/>
      <c r="S66" s="527">
        <f t="shared" si="8"/>
        <v>0</v>
      </c>
      <c r="T66" s="538" t="str">
        <f t="shared" si="9"/>
        <v/>
      </c>
      <c r="U66" s="529">
        <f t="shared" si="10"/>
        <v>0</v>
      </c>
      <c r="V66" s="539" t="str">
        <f t="shared" si="11"/>
        <v/>
      </c>
      <c r="W66" s="528">
        <f t="shared" si="4"/>
        <v>0</v>
      </c>
      <c r="X66" s="539" t="str">
        <f t="shared" si="12"/>
        <v/>
      </c>
      <c r="Y66" s="407"/>
    </row>
    <row r="67" spans="1:25" ht="30.05" customHeight="1" x14ac:dyDescent="0.25">
      <c r="A67" s="376"/>
      <c r="B67" s="543">
        <v>46</v>
      </c>
      <c r="C67" s="665"/>
      <c r="D67" s="405"/>
      <c r="E67" s="524"/>
      <c r="F67" s="532"/>
      <c r="G67" s="532"/>
      <c r="H67" s="531">
        <f t="shared" si="7"/>
        <v>0</v>
      </c>
      <c r="I67" s="521"/>
      <c r="J67" s="522"/>
      <c r="K67" s="522"/>
      <c r="L67" s="524"/>
      <c r="M67" s="525"/>
      <c r="N67" s="521"/>
      <c r="O67" s="522"/>
      <c r="P67" s="522"/>
      <c r="Q67" s="524"/>
      <c r="R67" s="525"/>
      <c r="S67" s="527">
        <f t="shared" si="8"/>
        <v>0</v>
      </c>
      <c r="T67" s="538" t="str">
        <f t="shared" si="9"/>
        <v/>
      </c>
      <c r="U67" s="529">
        <f t="shared" si="10"/>
        <v>0</v>
      </c>
      <c r="V67" s="539" t="str">
        <f t="shared" si="11"/>
        <v/>
      </c>
      <c r="W67" s="528">
        <f t="shared" si="4"/>
        <v>0</v>
      </c>
      <c r="X67" s="539" t="str">
        <f t="shared" si="12"/>
        <v/>
      </c>
      <c r="Y67" s="407"/>
    </row>
    <row r="68" spans="1:25" ht="30.05" customHeight="1" x14ac:dyDescent="0.25">
      <c r="A68" s="376"/>
      <c r="B68" s="543">
        <v>47</v>
      </c>
      <c r="C68" s="665"/>
      <c r="D68" s="405"/>
      <c r="E68" s="524"/>
      <c r="F68" s="532"/>
      <c r="G68" s="532"/>
      <c r="H68" s="531">
        <f t="shared" si="7"/>
        <v>0</v>
      </c>
      <c r="I68" s="521"/>
      <c r="J68" s="522"/>
      <c r="K68" s="522"/>
      <c r="L68" s="524"/>
      <c r="M68" s="525"/>
      <c r="N68" s="521"/>
      <c r="O68" s="522"/>
      <c r="P68" s="522"/>
      <c r="Q68" s="524"/>
      <c r="R68" s="525"/>
      <c r="S68" s="527">
        <f t="shared" si="8"/>
        <v>0</v>
      </c>
      <c r="T68" s="538" t="str">
        <f t="shared" si="9"/>
        <v/>
      </c>
      <c r="U68" s="529">
        <f t="shared" si="10"/>
        <v>0</v>
      </c>
      <c r="V68" s="539" t="str">
        <f t="shared" si="11"/>
        <v/>
      </c>
      <c r="W68" s="528">
        <f t="shared" si="4"/>
        <v>0</v>
      </c>
      <c r="X68" s="539" t="str">
        <f t="shared" si="12"/>
        <v/>
      </c>
      <c r="Y68" s="407"/>
    </row>
    <row r="69" spans="1:25" ht="30.05" customHeight="1" x14ac:dyDescent="0.25">
      <c r="A69" s="376"/>
      <c r="B69" s="543">
        <v>48</v>
      </c>
      <c r="C69" s="665"/>
      <c r="D69" s="405"/>
      <c r="E69" s="524"/>
      <c r="F69" s="532"/>
      <c r="G69" s="532"/>
      <c r="H69" s="531">
        <f t="shared" si="7"/>
        <v>0</v>
      </c>
      <c r="I69" s="521"/>
      <c r="J69" s="522"/>
      <c r="K69" s="522"/>
      <c r="L69" s="524"/>
      <c r="M69" s="525"/>
      <c r="N69" s="521"/>
      <c r="O69" s="522"/>
      <c r="P69" s="522"/>
      <c r="Q69" s="524"/>
      <c r="R69" s="525"/>
      <c r="S69" s="527">
        <f t="shared" si="8"/>
        <v>0</v>
      </c>
      <c r="T69" s="538" t="str">
        <f t="shared" si="9"/>
        <v/>
      </c>
      <c r="U69" s="529">
        <f t="shared" si="10"/>
        <v>0</v>
      </c>
      <c r="V69" s="539" t="str">
        <f t="shared" si="11"/>
        <v/>
      </c>
      <c r="W69" s="528">
        <f t="shared" si="4"/>
        <v>0</v>
      </c>
      <c r="X69" s="539" t="str">
        <f t="shared" si="12"/>
        <v/>
      </c>
      <c r="Y69" s="407"/>
    </row>
    <row r="70" spans="1:25" ht="30.05" customHeight="1" x14ac:dyDescent="0.25">
      <c r="A70" s="376"/>
      <c r="B70" s="543">
        <v>49</v>
      </c>
      <c r="C70" s="665"/>
      <c r="D70" s="405"/>
      <c r="E70" s="524"/>
      <c r="F70" s="532"/>
      <c r="G70" s="532"/>
      <c r="H70" s="531">
        <f t="shared" si="7"/>
        <v>0</v>
      </c>
      <c r="I70" s="521"/>
      <c r="J70" s="522"/>
      <c r="K70" s="522"/>
      <c r="L70" s="524"/>
      <c r="M70" s="525"/>
      <c r="N70" s="521"/>
      <c r="O70" s="522"/>
      <c r="P70" s="522"/>
      <c r="Q70" s="524"/>
      <c r="R70" s="525"/>
      <c r="S70" s="527">
        <f t="shared" si="8"/>
        <v>0</v>
      </c>
      <c r="T70" s="538" t="str">
        <f t="shared" si="9"/>
        <v/>
      </c>
      <c r="U70" s="529">
        <f t="shared" si="10"/>
        <v>0</v>
      </c>
      <c r="V70" s="539" t="str">
        <f t="shared" si="11"/>
        <v/>
      </c>
      <c r="W70" s="528">
        <f t="shared" si="4"/>
        <v>0</v>
      </c>
      <c r="X70" s="539" t="str">
        <f t="shared" si="12"/>
        <v/>
      </c>
      <c r="Y70" s="407"/>
    </row>
    <row r="71" spans="1:25" ht="30.05" customHeight="1" x14ac:dyDescent="0.25">
      <c r="A71" s="376"/>
      <c r="B71" s="543">
        <v>50</v>
      </c>
      <c r="C71" s="665"/>
      <c r="D71" s="405"/>
      <c r="E71" s="524"/>
      <c r="F71" s="532"/>
      <c r="G71" s="532"/>
      <c r="H71" s="531">
        <f t="shared" si="7"/>
        <v>0</v>
      </c>
      <c r="I71" s="521"/>
      <c r="J71" s="522"/>
      <c r="K71" s="522"/>
      <c r="L71" s="524"/>
      <c r="M71" s="525"/>
      <c r="N71" s="521"/>
      <c r="O71" s="522"/>
      <c r="P71" s="522"/>
      <c r="Q71" s="524"/>
      <c r="R71" s="525"/>
      <c r="S71" s="527">
        <f t="shared" si="8"/>
        <v>0</v>
      </c>
      <c r="T71" s="538" t="str">
        <f t="shared" si="9"/>
        <v/>
      </c>
      <c r="U71" s="529">
        <f t="shared" si="10"/>
        <v>0</v>
      </c>
      <c r="V71" s="539" t="str">
        <f t="shared" si="11"/>
        <v/>
      </c>
      <c r="W71" s="528">
        <f t="shared" si="4"/>
        <v>0</v>
      </c>
      <c r="X71" s="539" t="str">
        <f t="shared" si="12"/>
        <v/>
      </c>
      <c r="Y71" s="407"/>
    </row>
    <row r="72" spans="1:25" ht="30.05" customHeight="1" x14ac:dyDescent="0.25">
      <c r="A72" s="376"/>
      <c r="B72" s="543">
        <v>51</v>
      </c>
      <c r="C72" s="665"/>
      <c r="D72" s="405"/>
      <c r="E72" s="524"/>
      <c r="F72" s="532"/>
      <c r="G72" s="532"/>
      <c r="H72" s="531">
        <f t="shared" si="7"/>
        <v>0</v>
      </c>
      <c r="I72" s="521"/>
      <c r="J72" s="522"/>
      <c r="K72" s="522"/>
      <c r="L72" s="524"/>
      <c r="M72" s="525"/>
      <c r="N72" s="521"/>
      <c r="O72" s="522"/>
      <c r="P72" s="522"/>
      <c r="Q72" s="524"/>
      <c r="R72" s="525"/>
      <c r="S72" s="527">
        <f t="shared" si="8"/>
        <v>0</v>
      </c>
      <c r="T72" s="538" t="str">
        <f t="shared" si="9"/>
        <v/>
      </c>
      <c r="U72" s="529">
        <f t="shared" si="10"/>
        <v>0</v>
      </c>
      <c r="V72" s="539" t="str">
        <f t="shared" si="11"/>
        <v/>
      </c>
      <c r="W72" s="528">
        <f t="shared" si="4"/>
        <v>0</v>
      </c>
      <c r="X72" s="539" t="str">
        <f t="shared" si="12"/>
        <v/>
      </c>
      <c r="Y72" s="407"/>
    </row>
    <row r="73" spans="1:25" ht="30.05" customHeight="1" x14ac:dyDescent="0.25">
      <c r="A73" s="376"/>
      <c r="B73" s="543">
        <v>52</v>
      </c>
      <c r="C73" s="665"/>
      <c r="D73" s="405"/>
      <c r="E73" s="524"/>
      <c r="F73" s="532"/>
      <c r="G73" s="532"/>
      <c r="H73" s="531">
        <f t="shared" si="7"/>
        <v>0</v>
      </c>
      <c r="I73" s="521"/>
      <c r="J73" s="522"/>
      <c r="K73" s="522"/>
      <c r="L73" s="524"/>
      <c r="M73" s="525"/>
      <c r="N73" s="521"/>
      <c r="O73" s="522"/>
      <c r="P73" s="522"/>
      <c r="Q73" s="524"/>
      <c r="R73" s="525"/>
      <c r="S73" s="527">
        <f t="shared" si="8"/>
        <v>0</v>
      </c>
      <c r="T73" s="538" t="str">
        <f t="shared" si="9"/>
        <v/>
      </c>
      <c r="U73" s="529">
        <f t="shared" si="10"/>
        <v>0</v>
      </c>
      <c r="V73" s="539" t="str">
        <f t="shared" si="11"/>
        <v/>
      </c>
      <c r="W73" s="528">
        <f t="shared" si="4"/>
        <v>0</v>
      </c>
      <c r="X73" s="539" t="str">
        <f t="shared" si="12"/>
        <v/>
      </c>
      <c r="Y73" s="407"/>
    </row>
    <row r="74" spans="1:25" ht="30.05" customHeight="1" x14ac:dyDescent="0.25">
      <c r="A74" s="376"/>
      <c r="B74" s="543">
        <v>53</v>
      </c>
      <c r="C74" s="665"/>
      <c r="D74" s="405"/>
      <c r="E74" s="524"/>
      <c r="F74" s="532"/>
      <c r="G74" s="532"/>
      <c r="H74" s="531">
        <f t="shared" si="7"/>
        <v>0</v>
      </c>
      <c r="I74" s="521"/>
      <c r="J74" s="522"/>
      <c r="K74" s="522"/>
      <c r="L74" s="524"/>
      <c r="M74" s="525"/>
      <c r="N74" s="521"/>
      <c r="O74" s="522"/>
      <c r="P74" s="522"/>
      <c r="Q74" s="524"/>
      <c r="R74" s="525"/>
      <c r="S74" s="527">
        <f t="shared" si="8"/>
        <v>0</v>
      </c>
      <c r="T74" s="538" t="str">
        <f t="shared" si="9"/>
        <v/>
      </c>
      <c r="U74" s="529">
        <f t="shared" si="10"/>
        <v>0</v>
      </c>
      <c r="V74" s="539" t="str">
        <f t="shared" si="11"/>
        <v/>
      </c>
      <c r="W74" s="528">
        <f t="shared" si="4"/>
        <v>0</v>
      </c>
      <c r="X74" s="539" t="str">
        <f t="shared" si="12"/>
        <v/>
      </c>
      <c r="Y74" s="407"/>
    </row>
    <row r="75" spans="1:25" ht="30.05" customHeight="1" x14ac:dyDescent="0.25">
      <c r="A75" s="376"/>
      <c r="B75" s="543">
        <v>54</v>
      </c>
      <c r="C75" s="665"/>
      <c r="D75" s="405"/>
      <c r="E75" s="524"/>
      <c r="F75" s="532"/>
      <c r="G75" s="532"/>
      <c r="H75" s="531">
        <f t="shared" si="7"/>
        <v>0</v>
      </c>
      <c r="I75" s="521"/>
      <c r="J75" s="522"/>
      <c r="K75" s="522"/>
      <c r="L75" s="524"/>
      <c r="M75" s="525"/>
      <c r="N75" s="521"/>
      <c r="O75" s="522"/>
      <c r="P75" s="522"/>
      <c r="Q75" s="524"/>
      <c r="R75" s="525"/>
      <c r="S75" s="527">
        <f t="shared" si="8"/>
        <v>0</v>
      </c>
      <c r="T75" s="538" t="str">
        <f t="shared" si="9"/>
        <v/>
      </c>
      <c r="U75" s="529">
        <f t="shared" si="10"/>
        <v>0</v>
      </c>
      <c r="V75" s="539" t="str">
        <f t="shared" si="11"/>
        <v/>
      </c>
      <c r="W75" s="528">
        <f t="shared" si="4"/>
        <v>0</v>
      </c>
      <c r="X75" s="539" t="str">
        <f t="shared" si="12"/>
        <v/>
      </c>
      <c r="Y75" s="407"/>
    </row>
    <row r="76" spans="1:25" ht="30.05" customHeight="1" x14ac:dyDescent="0.25">
      <c r="A76" s="376"/>
      <c r="B76" s="543">
        <v>55</v>
      </c>
      <c r="C76" s="665"/>
      <c r="D76" s="405"/>
      <c r="E76" s="524"/>
      <c r="F76" s="532"/>
      <c r="G76" s="532"/>
      <c r="H76" s="531">
        <f t="shared" si="7"/>
        <v>0</v>
      </c>
      <c r="I76" s="521"/>
      <c r="J76" s="522"/>
      <c r="K76" s="522"/>
      <c r="L76" s="524"/>
      <c r="M76" s="525"/>
      <c r="N76" s="521"/>
      <c r="O76" s="522"/>
      <c r="P76" s="522"/>
      <c r="Q76" s="524"/>
      <c r="R76" s="525"/>
      <c r="S76" s="527">
        <f t="shared" si="8"/>
        <v>0</v>
      </c>
      <c r="T76" s="538" t="str">
        <f t="shared" si="9"/>
        <v/>
      </c>
      <c r="U76" s="529">
        <f t="shared" si="10"/>
        <v>0</v>
      </c>
      <c r="V76" s="539" t="str">
        <f t="shared" si="11"/>
        <v/>
      </c>
      <c r="W76" s="528">
        <f t="shared" si="4"/>
        <v>0</v>
      </c>
      <c r="X76" s="539" t="str">
        <f t="shared" si="12"/>
        <v/>
      </c>
      <c r="Y76" s="407"/>
    </row>
    <row r="77" spans="1:25" ht="30.05" hidden="1" customHeight="1" outlineLevel="1" x14ac:dyDescent="0.25">
      <c r="A77" s="376"/>
      <c r="B77" s="543">
        <v>56</v>
      </c>
      <c r="C77" s="669"/>
      <c r="D77" s="405"/>
      <c r="E77" s="524"/>
      <c r="F77" s="532"/>
      <c r="G77" s="532"/>
      <c r="H77" s="589">
        <f t="shared" si="7"/>
        <v>0</v>
      </c>
      <c r="I77" s="590"/>
      <c r="J77" s="524"/>
      <c r="K77" s="524"/>
      <c r="L77" s="524"/>
      <c r="M77" s="525"/>
      <c r="N77" s="590"/>
      <c r="O77" s="524"/>
      <c r="P77" s="524"/>
      <c r="Q77" s="524"/>
      <c r="R77" s="525"/>
      <c r="S77" s="527">
        <f t="shared" si="8"/>
        <v>0</v>
      </c>
      <c r="T77" s="538" t="str">
        <f t="shared" si="9"/>
        <v/>
      </c>
      <c r="U77" s="529">
        <f t="shared" si="10"/>
        <v>0</v>
      </c>
      <c r="V77" s="538" t="str">
        <f t="shared" si="11"/>
        <v/>
      </c>
      <c r="W77" s="529">
        <f t="shared" si="4"/>
        <v>0</v>
      </c>
      <c r="X77" s="538" t="str">
        <f t="shared" si="12"/>
        <v/>
      </c>
      <c r="Y77" s="407"/>
    </row>
    <row r="78" spans="1:25" ht="30.05" hidden="1" customHeight="1" outlineLevel="1" x14ac:dyDescent="0.25">
      <c r="A78" s="376"/>
      <c r="B78" s="543">
        <v>57</v>
      </c>
      <c r="C78" s="665"/>
      <c r="D78" s="405"/>
      <c r="E78" s="524"/>
      <c r="F78" s="532"/>
      <c r="G78" s="532"/>
      <c r="H78" s="531">
        <f t="shared" si="7"/>
        <v>0</v>
      </c>
      <c r="I78" s="521"/>
      <c r="J78" s="522"/>
      <c r="K78" s="522"/>
      <c r="L78" s="524"/>
      <c r="M78" s="525"/>
      <c r="N78" s="521"/>
      <c r="O78" s="522"/>
      <c r="P78" s="522"/>
      <c r="Q78" s="524"/>
      <c r="R78" s="525"/>
      <c r="S78" s="527">
        <f t="shared" si="8"/>
        <v>0</v>
      </c>
      <c r="T78" s="538" t="str">
        <f t="shared" si="9"/>
        <v/>
      </c>
      <c r="U78" s="529">
        <f t="shared" si="10"/>
        <v>0</v>
      </c>
      <c r="V78" s="539" t="str">
        <f t="shared" si="11"/>
        <v/>
      </c>
      <c r="W78" s="528">
        <f t="shared" si="4"/>
        <v>0</v>
      </c>
      <c r="X78" s="539" t="str">
        <f t="shared" si="12"/>
        <v/>
      </c>
      <c r="Y78" s="407"/>
    </row>
    <row r="79" spans="1:25" ht="30.05" hidden="1" customHeight="1" outlineLevel="1" x14ac:dyDescent="0.25">
      <c r="A79" s="376"/>
      <c r="B79" s="543">
        <v>58</v>
      </c>
      <c r="C79" s="665"/>
      <c r="D79" s="405"/>
      <c r="E79" s="524"/>
      <c r="F79" s="532"/>
      <c r="G79" s="532"/>
      <c r="H79" s="531">
        <f t="shared" si="7"/>
        <v>0</v>
      </c>
      <c r="I79" s="521"/>
      <c r="J79" s="522"/>
      <c r="K79" s="522"/>
      <c r="L79" s="524"/>
      <c r="M79" s="525"/>
      <c r="N79" s="521"/>
      <c r="O79" s="522"/>
      <c r="P79" s="522"/>
      <c r="Q79" s="524"/>
      <c r="R79" s="525"/>
      <c r="S79" s="527">
        <f t="shared" si="8"/>
        <v>0</v>
      </c>
      <c r="T79" s="538" t="str">
        <f t="shared" si="9"/>
        <v/>
      </c>
      <c r="U79" s="529">
        <f t="shared" si="10"/>
        <v>0</v>
      </c>
      <c r="V79" s="539" t="str">
        <f t="shared" si="11"/>
        <v/>
      </c>
      <c r="W79" s="528">
        <f t="shared" si="4"/>
        <v>0</v>
      </c>
      <c r="X79" s="539" t="str">
        <f t="shared" si="12"/>
        <v/>
      </c>
      <c r="Y79" s="407"/>
    </row>
    <row r="80" spans="1:25" ht="30.05" hidden="1" customHeight="1" outlineLevel="1" x14ac:dyDescent="0.25">
      <c r="A80" s="376"/>
      <c r="B80" s="543">
        <v>59</v>
      </c>
      <c r="C80" s="665"/>
      <c r="D80" s="405"/>
      <c r="E80" s="524"/>
      <c r="F80" s="532"/>
      <c r="G80" s="532"/>
      <c r="H80" s="531">
        <f t="shared" ref="H80:H105" si="13">ABS(F80-G80)</f>
        <v>0</v>
      </c>
      <c r="I80" s="521"/>
      <c r="J80" s="522"/>
      <c r="K80" s="522"/>
      <c r="L80" s="524"/>
      <c r="M80" s="525"/>
      <c r="N80" s="521"/>
      <c r="O80" s="522"/>
      <c r="P80" s="522"/>
      <c r="Q80" s="524"/>
      <c r="R80" s="525"/>
      <c r="S80" s="527">
        <f t="shared" ref="S80:S105" si="14">IF(ISERROR(ABS(I80-N80)),"",ABS(I80-N80))</f>
        <v>0</v>
      </c>
      <c r="T80" s="538" t="str">
        <f t="shared" ref="T80:T105" si="15">IF(ISERROR((ABS(I80-N80))/$H80),"",(ABS(I80-N80))/$H80)</f>
        <v/>
      </c>
      <c r="U80" s="529">
        <f t="shared" ref="U80:U105" si="16">(ABS(J80-O80))</f>
        <v>0</v>
      </c>
      <c r="V80" s="539" t="str">
        <f t="shared" ref="V80:V105" si="17">IF(ISERROR((ABS(J80-O80))/$H80),"",((ABS(J80-O80))/$H80))</f>
        <v/>
      </c>
      <c r="W80" s="528">
        <f t="shared" si="4"/>
        <v>0</v>
      </c>
      <c r="X80" s="539" t="str">
        <f t="shared" ref="X80:X105" si="18">IF(ISERROR((ABS(K80-P80))/$H80),"",(ABS(K80-P80))/$H80)</f>
        <v/>
      </c>
      <c r="Y80" s="407"/>
    </row>
    <row r="81" spans="1:25" ht="30.05" hidden="1" customHeight="1" outlineLevel="1" x14ac:dyDescent="0.25">
      <c r="A81" s="376"/>
      <c r="B81" s="543">
        <v>60</v>
      </c>
      <c r="C81" s="665"/>
      <c r="D81" s="405"/>
      <c r="E81" s="524"/>
      <c r="F81" s="532"/>
      <c r="G81" s="532"/>
      <c r="H81" s="531">
        <f t="shared" si="13"/>
        <v>0</v>
      </c>
      <c r="I81" s="521"/>
      <c r="J81" s="522"/>
      <c r="K81" s="522"/>
      <c r="L81" s="524"/>
      <c r="M81" s="525"/>
      <c r="N81" s="521"/>
      <c r="O81" s="522"/>
      <c r="P81" s="522"/>
      <c r="Q81" s="524"/>
      <c r="R81" s="525"/>
      <c r="S81" s="527">
        <f t="shared" si="14"/>
        <v>0</v>
      </c>
      <c r="T81" s="538" t="str">
        <f t="shared" si="15"/>
        <v/>
      </c>
      <c r="U81" s="529">
        <f t="shared" si="16"/>
        <v>0</v>
      </c>
      <c r="V81" s="539" t="str">
        <f t="shared" si="17"/>
        <v/>
      </c>
      <c r="W81" s="528">
        <f t="shared" si="4"/>
        <v>0</v>
      </c>
      <c r="X81" s="539" t="str">
        <f t="shared" si="18"/>
        <v/>
      </c>
      <c r="Y81" s="407"/>
    </row>
    <row r="82" spans="1:25" ht="30.05" hidden="1" customHeight="1" outlineLevel="1" x14ac:dyDescent="0.25">
      <c r="A82" s="376"/>
      <c r="B82" s="543">
        <v>61</v>
      </c>
      <c r="C82" s="665"/>
      <c r="D82" s="405"/>
      <c r="E82" s="524"/>
      <c r="F82" s="532"/>
      <c r="G82" s="532"/>
      <c r="H82" s="531">
        <f t="shared" si="13"/>
        <v>0</v>
      </c>
      <c r="I82" s="521"/>
      <c r="J82" s="522"/>
      <c r="K82" s="522"/>
      <c r="L82" s="524"/>
      <c r="M82" s="525"/>
      <c r="N82" s="521"/>
      <c r="O82" s="522"/>
      <c r="P82" s="522"/>
      <c r="Q82" s="524"/>
      <c r="R82" s="525"/>
      <c r="S82" s="527">
        <f t="shared" si="14"/>
        <v>0</v>
      </c>
      <c r="T82" s="538" t="str">
        <f t="shared" si="15"/>
        <v/>
      </c>
      <c r="U82" s="529">
        <f t="shared" si="16"/>
        <v>0</v>
      </c>
      <c r="V82" s="539" t="str">
        <f t="shared" si="17"/>
        <v/>
      </c>
      <c r="W82" s="528">
        <f t="shared" si="4"/>
        <v>0</v>
      </c>
      <c r="X82" s="539" t="str">
        <f t="shared" si="18"/>
        <v/>
      </c>
      <c r="Y82" s="407"/>
    </row>
    <row r="83" spans="1:25" ht="30.05" hidden="1" customHeight="1" outlineLevel="1" x14ac:dyDescent="0.25">
      <c r="A83" s="376"/>
      <c r="B83" s="543">
        <v>62</v>
      </c>
      <c r="C83" s="665"/>
      <c r="D83" s="405"/>
      <c r="E83" s="524"/>
      <c r="F83" s="532"/>
      <c r="G83" s="532"/>
      <c r="H83" s="531">
        <f t="shared" si="13"/>
        <v>0</v>
      </c>
      <c r="I83" s="521"/>
      <c r="J83" s="522"/>
      <c r="K83" s="522"/>
      <c r="L83" s="524"/>
      <c r="M83" s="525"/>
      <c r="N83" s="521"/>
      <c r="O83" s="522"/>
      <c r="P83" s="522"/>
      <c r="Q83" s="524"/>
      <c r="R83" s="525"/>
      <c r="S83" s="527">
        <f t="shared" si="14"/>
        <v>0</v>
      </c>
      <c r="T83" s="538" t="str">
        <f t="shared" si="15"/>
        <v/>
      </c>
      <c r="U83" s="529">
        <f t="shared" si="16"/>
        <v>0</v>
      </c>
      <c r="V83" s="539" t="str">
        <f t="shared" si="17"/>
        <v/>
      </c>
      <c r="W83" s="528">
        <f t="shared" si="4"/>
        <v>0</v>
      </c>
      <c r="X83" s="539" t="str">
        <f t="shared" si="18"/>
        <v/>
      </c>
      <c r="Y83" s="407"/>
    </row>
    <row r="84" spans="1:25" ht="30.05" hidden="1" customHeight="1" outlineLevel="1" x14ac:dyDescent="0.25">
      <c r="A84" s="376"/>
      <c r="B84" s="543">
        <v>63</v>
      </c>
      <c r="C84" s="665"/>
      <c r="D84" s="405"/>
      <c r="E84" s="524"/>
      <c r="F84" s="532"/>
      <c r="G84" s="532"/>
      <c r="H84" s="531">
        <f t="shared" si="13"/>
        <v>0</v>
      </c>
      <c r="I84" s="521"/>
      <c r="J84" s="522"/>
      <c r="K84" s="522"/>
      <c r="L84" s="524"/>
      <c r="M84" s="525"/>
      <c r="N84" s="521"/>
      <c r="O84" s="522"/>
      <c r="P84" s="522"/>
      <c r="Q84" s="524"/>
      <c r="R84" s="525"/>
      <c r="S84" s="527">
        <f t="shared" si="14"/>
        <v>0</v>
      </c>
      <c r="T84" s="538" t="str">
        <f t="shared" si="15"/>
        <v/>
      </c>
      <c r="U84" s="529">
        <f t="shared" si="16"/>
        <v>0</v>
      </c>
      <c r="V84" s="539" t="str">
        <f t="shared" si="17"/>
        <v/>
      </c>
      <c r="W84" s="528">
        <f t="shared" si="4"/>
        <v>0</v>
      </c>
      <c r="X84" s="539" t="str">
        <f t="shared" si="18"/>
        <v/>
      </c>
      <c r="Y84" s="407"/>
    </row>
    <row r="85" spans="1:25" ht="30.05" hidden="1" customHeight="1" outlineLevel="1" x14ac:dyDescent="0.25">
      <c r="A85" s="376"/>
      <c r="B85" s="543">
        <v>64</v>
      </c>
      <c r="C85" s="665"/>
      <c r="D85" s="405"/>
      <c r="E85" s="524"/>
      <c r="F85" s="532"/>
      <c r="G85" s="532"/>
      <c r="H85" s="531">
        <f t="shared" si="13"/>
        <v>0</v>
      </c>
      <c r="I85" s="521"/>
      <c r="J85" s="522"/>
      <c r="K85" s="522"/>
      <c r="L85" s="524"/>
      <c r="M85" s="525"/>
      <c r="N85" s="521"/>
      <c r="O85" s="522"/>
      <c r="P85" s="522"/>
      <c r="Q85" s="524"/>
      <c r="R85" s="525"/>
      <c r="S85" s="527">
        <f t="shared" si="14"/>
        <v>0</v>
      </c>
      <c r="T85" s="538" t="str">
        <f t="shared" si="15"/>
        <v/>
      </c>
      <c r="U85" s="529">
        <f t="shared" si="16"/>
        <v>0</v>
      </c>
      <c r="V85" s="539" t="str">
        <f t="shared" si="17"/>
        <v/>
      </c>
      <c r="W85" s="528">
        <f t="shared" si="4"/>
        <v>0</v>
      </c>
      <c r="X85" s="539" t="str">
        <f t="shared" si="18"/>
        <v/>
      </c>
      <c r="Y85" s="407"/>
    </row>
    <row r="86" spans="1:25" ht="30.05" hidden="1" customHeight="1" outlineLevel="1" x14ac:dyDescent="0.25">
      <c r="A86" s="376"/>
      <c r="B86" s="543">
        <v>65</v>
      </c>
      <c r="C86" s="665"/>
      <c r="D86" s="405"/>
      <c r="E86" s="524"/>
      <c r="F86" s="532"/>
      <c r="G86" s="532"/>
      <c r="H86" s="531">
        <f t="shared" si="13"/>
        <v>0</v>
      </c>
      <c r="I86" s="521"/>
      <c r="J86" s="522"/>
      <c r="K86" s="522"/>
      <c r="L86" s="524"/>
      <c r="M86" s="525"/>
      <c r="N86" s="521"/>
      <c r="O86" s="522"/>
      <c r="P86" s="522"/>
      <c r="Q86" s="524"/>
      <c r="R86" s="525"/>
      <c r="S86" s="527">
        <f t="shared" si="14"/>
        <v>0</v>
      </c>
      <c r="T86" s="538" t="str">
        <f t="shared" si="15"/>
        <v/>
      </c>
      <c r="U86" s="529">
        <f t="shared" si="16"/>
        <v>0</v>
      </c>
      <c r="V86" s="539" t="str">
        <f t="shared" si="17"/>
        <v/>
      </c>
      <c r="W86" s="528">
        <f t="shared" si="4"/>
        <v>0</v>
      </c>
      <c r="X86" s="539" t="str">
        <f t="shared" si="18"/>
        <v/>
      </c>
      <c r="Y86" s="407"/>
    </row>
    <row r="87" spans="1:25" ht="30.05" hidden="1" customHeight="1" outlineLevel="1" x14ac:dyDescent="0.25">
      <c r="A87" s="376"/>
      <c r="B87" s="543">
        <v>66</v>
      </c>
      <c r="C87" s="665"/>
      <c r="D87" s="405"/>
      <c r="E87" s="524"/>
      <c r="F87" s="532"/>
      <c r="G87" s="532"/>
      <c r="H87" s="531">
        <f t="shared" si="13"/>
        <v>0</v>
      </c>
      <c r="I87" s="521"/>
      <c r="J87" s="522"/>
      <c r="K87" s="522"/>
      <c r="L87" s="524"/>
      <c r="M87" s="525"/>
      <c r="N87" s="521"/>
      <c r="O87" s="522"/>
      <c r="P87" s="522"/>
      <c r="Q87" s="524"/>
      <c r="R87" s="525"/>
      <c r="S87" s="527">
        <f t="shared" si="14"/>
        <v>0</v>
      </c>
      <c r="T87" s="538" t="str">
        <f t="shared" si="15"/>
        <v/>
      </c>
      <c r="U87" s="529">
        <f t="shared" si="16"/>
        <v>0</v>
      </c>
      <c r="V87" s="539" t="str">
        <f t="shared" si="17"/>
        <v/>
      </c>
      <c r="W87" s="528">
        <f t="shared" ref="W87:W121" si="19">(ABS(K87-P87))</f>
        <v>0</v>
      </c>
      <c r="X87" s="539" t="str">
        <f t="shared" si="18"/>
        <v/>
      </c>
      <c r="Y87" s="407"/>
    </row>
    <row r="88" spans="1:25" ht="30.05" hidden="1" customHeight="1" outlineLevel="1" x14ac:dyDescent="0.25">
      <c r="A88" s="376"/>
      <c r="B88" s="543">
        <v>67</v>
      </c>
      <c r="C88" s="665"/>
      <c r="D88" s="405"/>
      <c r="E88" s="524"/>
      <c r="F88" s="532"/>
      <c r="G88" s="532"/>
      <c r="H88" s="531">
        <f t="shared" si="13"/>
        <v>0</v>
      </c>
      <c r="I88" s="521"/>
      <c r="J88" s="522"/>
      <c r="K88" s="522"/>
      <c r="L88" s="524"/>
      <c r="M88" s="525"/>
      <c r="N88" s="521"/>
      <c r="O88" s="522"/>
      <c r="P88" s="522"/>
      <c r="Q88" s="524"/>
      <c r="R88" s="525"/>
      <c r="S88" s="527">
        <f t="shared" si="14"/>
        <v>0</v>
      </c>
      <c r="T88" s="538" t="str">
        <f t="shared" si="15"/>
        <v/>
      </c>
      <c r="U88" s="529">
        <f t="shared" si="16"/>
        <v>0</v>
      </c>
      <c r="V88" s="539" t="str">
        <f t="shared" si="17"/>
        <v/>
      </c>
      <c r="W88" s="528">
        <f t="shared" si="19"/>
        <v>0</v>
      </c>
      <c r="X88" s="539" t="str">
        <f t="shared" si="18"/>
        <v/>
      </c>
      <c r="Y88" s="407"/>
    </row>
    <row r="89" spans="1:25" ht="30.05" hidden="1" customHeight="1" outlineLevel="1" x14ac:dyDescent="0.25">
      <c r="A89" s="376"/>
      <c r="B89" s="543">
        <v>68</v>
      </c>
      <c r="C89" s="665"/>
      <c r="D89" s="405"/>
      <c r="E89" s="524"/>
      <c r="F89" s="532"/>
      <c r="G89" s="532"/>
      <c r="H89" s="531">
        <f t="shared" si="13"/>
        <v>0</v>
      </c>
      <c r="I89" s="521"/>
      <c r="J89" s="522"/>
      <c r="K89" s="522"/>
      <c r="L89" s="524"/>
      <c r="M89" s="525"/>
      <c r="N89" s="521"/>
      <c r="O89" s="522"/>
      <c r="P89" s="522"/>
      <c r="Q89" s="524"/>
      <c r="R89" s="525"/>
      <c r="S89" s="527">
        <f t="shared" si="14"/>
        <v>0</v>
      </c>
      <c r="T89" s="538" t="str">
        <f t="shared" si="15"/>
        <v/>
      </c>
      <c r="U89" s="529">
        <f t="shared" si="16"/>
        <v>0</v>
      </c>
      <c r="V89" s="539" t="str">
        <f t="shared" si="17"/>
        <v/>
      </c>
      <c r="W89" s="528">
        <f t="shared" si="19"/>
        <v>0</v>
      </c>
      <c r="X89" s="539" t="str">
        <f t="shared" si="18"/>
        <v/>
      </c>
      <c r="Y89" s="407"/>
    </row>
    <row r="90" spans="1:25" ht="30.05" hidden="1" customHeight="1" outlineLevel="1" x14ac:dyDescent="0.25">
      <c r="A90" s="376"/>
      <c r="B90" s="543">
        <v>69</v>
      </c>
      <c r="C90" s="665"/>
      <c r="D90" s="405"/>
      <c r="E90" s="524"/>
      <c r="F90" s="532"/>
      <c r="G90" s="532"/>
      <c r="H90" s="531">
        <f t="shared" si="13"/>
        <v>0</v>
      </c>
      <c r="I90" s="521"/>
      <c r="J90" s="522"/>
      <c r="K90" s="522"/>
      <c r="L90" s="524"/>
      <c r="M90" s="525"/>
      <c r="N90" s="521"/>
      <c r="O90" s="522"/>
      <c r="P90" s="522"/>
      <c r="Q90" s="524"/>
      <c r="R90" s="525"/>
      <c r="S90" s="527">
        <f t="shared" si="14"/>
        <v>0</v>
      </c>
      <c r="T90" s="538" t="str">
        <f t="shared" si="15"/>
        <v/>
      </c>
      <c r="U90" s="529">
        <f t="shared" si="16"/>
        <v>0</v>
      </c>
      <c r="V90" s="539" t="str">
        <f t="shared" si="17"/>
        <v/>
      </c>
      <c r="W90" s="528">
        <f t="shared" si="19"/>
        <v>0</v>
      </c>
      <c r="X90" s="539" t="str">
        <f t="shared" si="18"/>
        <v/>
      </c>
      <c r="Y90" s="407"/>
    </row>
    <row r="91" spans="1:25" ht="30.05" hidden="1" customHeight="1" outlineLevel="1" x14ac:dyDescent="0.25">
      <c r="A91" s="376"/>
      <c r="B91" s="543">
        <v>70</v>
      </c>
      <c r="C91" s="665"/>
      <c r="D91" s="405"/>
      <c r="E91" s="524"/>
      <c r="F91" s="532"/>
      <c r="G91" s="532"/>
      <c r="H91" s="531">
        <f t="shared" si="13"/>
        <v>0</v>
      </c>
      <c r="I91" s="521"/>
      <c r="J91" s="522"/>
      <c r="K91" s="522"/>
      <c r="L91" s="524"/>
      <c r="M91" s="525"/>
      <c r="N91" s="521"/>
      <c r="O91" s="522"/>
      <c r="P91" s="522"/>
      <c r="Q91" s="524"/>
      <c r="R91" s="525"/>
      <c r="S91" s="527">
        <f t="shared" si="14"/>
        <v>0</v>
      </c>
      <c r="T91" s="538" t="str">
        <f t="shared" si="15"/>
        <v/>
      </c>
      <c r="U91" s="529">
        <f t="shared" si="16"/>
        <v>0</v>
      </c>
      <c r="V91" s="539" t="str">
        <f t="shared" si="17"/>
        <v/>
      </c>
      <c r="W91" s="528">
        <f t="shared" si="19"/>
        <v>0</v>
      </c>
      <c r="X91" s="539" t="str">
        <f t="shared" si="18"/>
        <v/>
      </c>
      <c r="Y91" s="407"/>
    </row>
    <row r="92" spans="1:25" ht="30.05" hidden="1" customHeight="1" outlineLevel="1" x14ac:dyDescent="0.25">
      <c r="A92" s="376"/>
      <c r="B92" s="543">
        <v>71</v>
      </c>
      <c r="C92" s="665"/>
      <c r="D92" s="405"/>
      <c r="E92" s="524"/>
      <c r="F92" s="532"/>
      <c r="G92" s="532"/>
      <c r="H92" s="531">
        <f t="shared" si="13"/>
        <v>0</v>
      </c>
      <c r="I92" s="521"/>
      <c r="J92" s="522"/>
      <c r="K92" s="522"/>
      <c r="L92" s="524"/>
      <c r="M92" s="525"/>
      <c r="N92" s="521"/>
      <c r="O92" s="522"/>
      <c r="P92" s="522"/>
      <c r="Q92" s="524"/>
      <c r="R92" s="525"/>
      <c r="S92" s="527">
        <f t="shared" si="14"/>
        <v>0</v>
      </c>
      <c r="T92" s="538" t="str">
        <f t="shared" si="15"/>
        <v/>
      </c>
      <c r="U92" s="529">
        <f t="shared" si="16"/>
        <v>0</v>
      </c>
      <c r="V92" s="539" t="str">
        <f t="shared" si="17"/>
        <v/>
      </c>
      <c r="W92" s="528">
        <f t="shared" si="19"/>
        <v>0</v>
      </c>
      <c r="X92" s="539" t="str">
        <f t="shared" si="18"/>
        <v/>
      </c>
      <c r="Y92" s="407"/>
    </row>
    <row r="93" spans="1:25" ht="30.05" hidden="1" customHeight="1" outlineLevel="1" x14ac:dyDescent="0.25">
      <c r="A93" s="376"/>
      <c r="B93" s="543">
        <v>72</v>
      </c>
      <c r="C93" s="665"/>
      <c r="D93" s="405"/>
      <c r="E93" s="524"/>
      <c r="F93" s="532"/>
      <c r="G93" s="532"/>
      <c r="H93" s="531">
        <f t="shared" si="13"/>
        <v>0</v>
      </c>
      <c r="I93" s="521"/>
      <c r="J93" s="522"/>
      <c r="K93" s="522"/>
      <c r="L93" s="524"/>
      <c r="M93" s="525"/>
      <c r="N93" s="521"/>
      <c r="O93" s="522"/>
      <c r="P93" s="522"/>
      <c r="Q93" s="524"/>
      <c r="R93" s="525"/>
      <c r="S93" s="527">
        <f t="shared" si="14"/>
        <v>0</v>
      </c>
      <c r="T93" s="538" t="str">
        <f t="shared" si="15"/>
        <v/>
      </c>
      <c r="U93" s="529">
        <f t="shared" si="16"/>
        <v>0</v>
      </c>
      <c r="V93" s="539" t="str">
        <f t="shared" si="17"/>
        <v/>
      </c>
      <c r="W93" s="528">
        <f t="shared" si="19"/>
        <v>0</v>
      </c>
      <c r="X93" s="539" t="str">
        <f t="shared" si="18"/>
        <v/>
      </c>
      <c r="Y93" s="407"/>
    </row>
    <row r="94" spans="1:25" ht="30.05" hidden="1" customHeight="1" outlineLevel="1" x14ac:dyDescent="0.25">
      <c r="A94" s="376"/>
      <c r="B94" s="543">
        <v>73</v>
      </c>
      <c r="C94" s="665"/>
      <c r="D94" s="405"/>
      <c r="E94" s="524"/>
      <c r="F94" s="532"/>
      <c r="G94" s="532"/>
      <c r="H94" s="531">
        <f t="shared" si="13"/>
        <v>0</v>
      </c>
      <c r="I94" s="521"/>
      <c r="J94" s="522"/>
      <c r="K94" s="522"/>
      <c r="L94" s="524"/>
      <c r="M94" s="525"/>
      <c r="N94" s="521"/>
      <c r="O94" s="522"/>
      <c r="P94" s="522"/>
      <c r="Q94" s="524"/>
      <c r="R94" s="525"/>
      <c r="S94" s="527">
        <f t="shared" si="14"/>
        <v>0</v>
      </c>
      <c r="T94" s="538" t="str">
        <f t="shared" si="15"/>
        <v/>
      </c>
      <c r="U94" s="529">
        <f t="shared" si="16"/>
        <v>0</v>
      </c>
      <c r="V94" s="539" t="str">
        <f t="shared" si="17"/>
        <v/>
      </c>
      <c r="W94" s="528">
        <f t="shared" si="19"/>
        <v>0</v>
      </c>
      <c r="X94" s="539" t="str">
        <f t="shared" si="18"/>
        <v/>
      </c>
      <c r="Y94" s="407"/>
    </row>
    <row r="95" spans="1:25" ht="30.05" hidden="1" customHeight="1" outlineLevel="1" x14ac:dyDescent="0.25">
      <c r="A95" s="376"/>
      <c r="B95" s="543">
        <v>74</v>
      </c>
      <c r="C95" s="665"/>
      <c r="D95" s="405"/>
      <c r="E95" s="524"/>
      <c r="F95" s="532"/>
      <c r="G95" s="532"/>
      <c r="H95" s="531">
        <f t="shared" si="13"/>
        <v>0</v>
      </c>
      <c r="I95" s="521"/>
      <c r="J95" s="522"/>
      <c r="K95" s="522"/>
      <c r="L95" s="524"/>
      <c r="M95" s="525"/>
      <c r="N95" s="521"/>
      <c r="O95" s="522"/>
      <c r="P95" s="522"/>
      <c r="Q95" s="524"/>
      <c r="R95" s="525"/>
      <c r="S95" s="527">
        <f t="shared" si="14"/>
        <v>0</v>
      </c>
      <c r="T95" s="538" t="str">
        <f t="shared" si="15"/>
        <v/>
      </c>
      <c r="U95" s="529">
        <f t="shared" si="16"/>
        <v>0</v>
      </c>
      <c r="V95" s="539" t="str">
        <f t="shared" si="17"/>
        <v/>
      </c>
      <c r="W95" s="528">
        <f t="shared" si="19"/>
        <v>0</v>
      </c>
      <c r="X95" s="539" t="str">
        <f t="shared" si="18"/>
        <v/>
      </c>
      <c r="Y95" s="407"/>
    </row>
    <row r="96" spans="1:25" ht="30.05" hidden="1" customHeight="1" outlineLevel="1" x14ac:dyDescent="0.25">
      <c r="A96" s="376"/>
      <c r="B96" s="543">
        <v>75</v>
      </c>
      <c r="C96" s="665"/>
      <c r="D96" s="405"/>
      <c r="E96" s="524"/>
      <c r="F96" s="532"/>
      <c r="G96" s="532"/>
      <c r="H96" s="531">
        <f t="shared" si="13"/>
        <v>0</v>
      </c>
      <c r="I96" s="521"/>
      <c r="J96" s="522"/>
      <c r="K96" s="522"/>
      <c r="L96" s="524"/>
      <c r="M96" s="525"/>
      <c r="N96" s="521"/>
      <c r="O96" s="522"/>
      <c r="P96" s="522"/>
      <c r="Q96" s="524"/>
      <c r="R96" s="525"/>
      <c r="S96" s="527">
        <f t="shared" si="14"/>
        <v>0</v>
      </c>
      <c r="T96" s="538" t="str">
        <f t="shared" si="15"/>
        <v/>
      </c>
      <c r="U96" s="529">
        <f t="shared" si="16"/>
        <v>0</v>
      </c>
      <c r="V96" s="539" t="str">
        <f t="shared" si="17"/>
        <v/>
      </c>
      <c r="W96" s="528">
        <f t="shared" si="19"/>
        <v>0</v>
      </c>
      <c r="X96" s="539" t="str">
        <f t="shared" si="18"/>
        <v/>
      </c>
      <c r="Y96" s="407"/>
    </row>
    <row r="97" spans="1:25" ht="30.05" hidden="1" customHeight="1" outlineLevel="1" x14ac:dyDescent="0.25">
      <c r="A97" s="376"/>
      <c r="B97" s="543">
        <v>76</v>
      </c>
      <c r="C97" s="665"/>
      <c r="D97" s="405"/>
      <c r="E97" s="524"/>
      <c r="F97" s="532"/>
      <c r="G97" s="532"/>
      <c r="H97" s="531">
        <f t="shared" si="13"/>
        <v>0</v>
      </c>
      <c r="I97" s="521"/>
      <c r="J97" s="522"/>
      <c r="K97" s="522"/>
      <c r="L97" s="524"/>
      <c r="M97" s="525"/>
      <c r="N97" s="521"/>
      <c r="O97" s="522"/>
      <c r="P97" s="522"/>
      <c r="Q97" s="524"/>
      <c r="R97" s="525"/>
      <c r="S97" s="527">
        <f t="shared" si="14"/>
        <v>0</v>
      </c>
      <c r="T97" s="538" t="str">
        <f t="shared" si="15"/>
        <v/>
      </c>
      <c r="U97" s="529">
        <f t="shared" si="16"/>
        <v>0</v>
      </c>
      <c r="V97" s="539" t="str">
        <f t="shared" si="17"/>
        <v/>
      </c>
      <c r="W97" s="528">
        <f t="shared" si="19"/>
        <v>0</v>
      </c>
      <c r="X97" s="539" t="str">
        <f t="shared" si="18"/>
        <v/>
      </c>
      <c r="Y97" s="407"/>
    </row>
    <row r="98" spans="1:25" ht="30.05" hidden="1" customHeight="1" outlineLevel="1" x14ac:dyDescent="0.25">
      <c r="A98" s="376"/>
      <c r="B98" s="543">
        <v>77</v>
      </c>
      <c r="C98" s="665"/>
      <c r="D98" s="405"/>
      <c r="E98" s="524"/>
      <c r="F98" s="532"/>
      <c r="G98" s="532"/>
      <c r="H98" s="531">
        <f t="shared" si="13"/>
        <v>0</v>
      </c>
      <c r="I98" s="521"/>
      <c r="J98" s="522"/>
      <c r="K98" s="522"/>
      <c r="L98" s="524"/>
      <c r="M98" s="525"/>
      <c r="N98" s="521"/>
      <c r="O98" s="522"/>
      <c r="P98" s="522"/>
      <c r="Q98" s="524"/>
      <c r="R98" s="525"/>
      <c r="S98" s="527">
        <f t="shared" si="14"/>
        <v>0</v>
      </c>
      <c r="T98" s="538" t="str">
        <f t="shared" si="15"/>
        <v/>
      </c>
      <c r="U98" s="529">
        <f t="shared" si="16"/>
        <v>0</v>
      </c>
      <c r="V98" s="539" t="str">
        <f t="shared" si="17"/>
        <v/>
      </c>
      <c r="W98" s="528">
        <f t="shared" si="19"/>
        <v>0</v>
      </c>
      <c r="X98" s="539" t="str">
        <f t="shared" si="18"/>
        <v/>
      </c>
      <c r="Y98" s="407"/>
    </row>
    <row r="99" spans="1:25" ht="30.05" hidden="1" customHeight="1" outlineLevel="1" x14ac:dyDescent="0.25">
      <c r="A99" s="376"/>
      <c r="B99" s="543">
        <v>78</v>
      </c>
      <c r="C99" s="665"/>
      <c r="D99" s="405"/>
      <c r="E99" s="524"/>
      <c r="F99" s="532"/>
      <c r="G99" s="532"/>
      <c r="H99" s="531">
        <f t="shared" si="13"/>
        <v>0</v>
      </c>
      <c r="I99" s="521"/>
      <c r="J99" s="522"/>
      <c r="K99" s="522"/>
      <c r="L99" s="524"/>
      <c r="M99" s="525"/>
      <c r="N99" s="521"/>
      <c r="O99" s="522"/>
      <c r="P99" s="522"/>
      <c r="Q99" s="524"/>
      <c r="R99" s="525"/>
      <c r="S99" s="527">
        <f t="shared" si="14"/>
        <v>0</v>
      </c>
      <c r="T99" s="538" t="str">
        <f t="shared" si="15"/>
        <v/>
      </c>
      <c r="U99" s="529">
        <f t="shared" si="16"/>
        <v>0</v>
      </c>
      <c r="V99" s="539" t="str">
        <f t="shared" si="17"/>
        <v/>
      </c>
      <c r="W99" s="528">
        <f t="shared" si="19"/>
        <v>0</v>
      </c>
      <c r="X99" s="539" t="str">
        <f t="shared" si="18"/>
        <v/>
      </c>
      <c r="Y99" s="407"/>
    </row>
    <row r="100" spans="1:25" ht="30.05" hidden="1" customHeight="1" outlineLevel="1" x14ac:dyDescent="0.25">
      <c r="A100" s="376"/>
      <c r="B100" s="543">
        <v>79</v>
      </c>
      <c r="C100" s="665"/>
      <c r="D100" s="405"/>
      <c r="E100" s="524"/>
      <c r="F100" s="532"/>
      <c r="G100" s="532"/>
      <c r="H100" s="531">
        <f t="shared" si="13"/>
        <v>0</v>
      </c>
      <c r="I100" s="521"/>
      <c r="J100" s="522"/>
      <c r="K100" s="522"/>
      <c r="L100" s="524"/>
      <c r="M100" s="525"/>
      <c r="N100" s="521"/>
      <c r="O100" s="522"/>
      <c r="P100" s="522"/>
      <c r="Q100" s="524"/>
      <c r="R100" s="525"/>
      <c r="S100" s="527">
        <f t="shared" si="14"/>
        <v>0</v>
      </c>
      <c r="T100" s="538" t="str">
        <f t="shared" si="15"/>
        <v/>
      </c>
      <c r="U100" s="529">
        <f t="shared" si="16"/>
        <v>0</v>
      </c>
      <c r="V100" s="539" t="str">
        <f t="shared" si="17"/>
        <v/>
      </c>
      <c r="W100" s="528">
        <f t="shared" si="19"/>
        <v>0</v>
      </c>
      <c r="X100" s="539" t="str">
        <f t="shared" si="18"/>
        <v/>
      </c>
      <c r="Y100" s="407"/>
    </row>
    <row r="101" spans="1:25" ht="30.05" hidden="1" customHeight="1" outlineLevel="1" x14ac:dyDescent="0.25">
      <c r="A101" s="376"/>
      <c r="B101" s="543">
        <v>80</v>
      </c>
      <c r="C101" s="665"/>
      <c r="D101" s="405"/>
      <c r="E101" s="524"/>
      <c r="F101" s="532"/>
      <c r="G101" s="532"/>
      <c r="H101" s="531">
        <f t="shared" si="13"/>
        <v>0</v>
      </c>
      <c r="I101" s="521"/>
      <c r="J101" s="522"/>
      <c r="K101" s="522"/>
      <c r="L101" s="524"/>
      <c r="M101" s="525"/>
      <c r="N101" s="521"/>
      <c r="O101" s="522"/>
      <c r="P101" s="522"/>
      <c r="Q101" s="524"/>
      <c r="R101" s="525"/>
      <c r="S101" s="527">
        <f t="shared" si="14"/>
        <v>0</v>
      </c>
      <c r="T101" s="538" t="str">
        <f t="shared" si="15"/>
        <v/>
      </c>
      <c r="U101" s="529">
        <f t="shared" si="16"/>
        <v>0</v>
      </c>
      <c r="V101" s="539" t="str">
        <f t="shared" si="17"/>
        <v/>
      </c>
      <c r="W101" s="528">
        <f t="shared" si="19"/>
        <v>0</v>
      </c>
      <c r="X101" s="539" t="str">
        <f t="shared" si="18"/>
        <v/>
      </c>
      <c r="Y101" s="407"/>
    </row>
    <row r="102" spans="1:25" ht="30.05" hidden="1" customHeight="1" outlineLevel="1" x14ac:dyDescent="0.25">
      <c r="A102" s="376"/>
      <c r="B102" s="543">
        <v>81</v>
      </c>
      <c r="C102" s="665"/>
      <c r="D102" s="405"/>
      <c r="E102" s="524"/>
      <c r="F102" s="532"/>
      <c r="G102" s="532"/>
      <c r="H102" s="531">
        <f t="shared" si="13"/>
        <v>0</v>
      </c>
      <c r="I102" s="521"/>
      <c r="J102" s="522"/>
      <c r="K102" s="522"/>
      <c r="L102" s="524"/>
      <c r="M102" s="525"/>
      <c r="N102" s="521"/>
      <c r="O102" s="522"/>
      <c r="P102" s="522"/>
      <c r="Q102" s="524"/>
      <c r="R102" s="525"/>
      <c r="S102" s="527">
        <f t="shared" si="14"/>
        <v>0</v>
      </c>
      <c r="T102" s="538" t="str">
        <f t="shared" si="15"/>
        <v/>
      </c>
      <c r="U102" s="529">
        <f t="shared" si="16"/>
        <v>0</v>
      </c>
      <c r="V102" s="539" t="str">
        <f t="shared" si="17"/>
        <v/>
      </c>
      <c r="W102" s="528">
        <f t="shared" si="19"/>
        <v>0</v>
      </c>
      <c r="X102" s="539" t="str">
        <f t="shared" si="18"/>
        <v/>
      </c>
      <c r="Y102" s="407"/>
    </row>
    <row r="103" spans="1:25" ht="30.05" hidden="1" customHeight="1" outlineLevel="1" x14ac:dyDescent="0.25">
      <c r="A103" s="376"/>
      <c r="B103" s="543">
        <v>82</v>
      </c>
      <c r="C103" s="665"/>
      <c r="D103" s="405"/>
      <c r="E103" s="524"/>
      <c r="F103" s="532"/>
      <c r="G103" s="532"/>
      <c r="H103" s="531">
        <f t="shared" si="13"/>
        <v>0</v>
      </c>
      <c r="I103" s="521"/>
      <c r="J103" s="522"/>
      <c r="K103" s="522"/>
      <c r="L103" s="524"/>
      <c r="M103" s="525"/>
      <c r="N103" s="521"/>
      <c r="O103" s="522"/>
      <c r="P103" s="522"/>
      <c r="Q103" s="524"/>
      <c r="R103" s="525"/>
      <c r="S103" s="527">
        <f t="shared" si="14"/>
        <v>0</v>
      </c>
      <c r="T103" s="538" t="str">
        <f t="shared" si="15"/>
        <v/>
      </c>
      <c r="U103" s="529">
        <f t="shared" si="16"/>
        <v>0</v>
      </c>
      <c r="V103" s="539" t="str">
        <f t="shared" si="17"/>
        <v/>
      </c>
      <c r="W103" s="528">
        <f t="shared" si="19"/>
        <v>0</v>
      </c>
      <c r="X103" s="539" t="str">
        <f t="shared" si="18"/>
        <v/>
      </c>
      <c r="Y103" s="407"/>
    </row>
    <row r="104" spans="1:25" ht="30.05" hidden="1" customHeight="1" outlineLevel="1" x14ac:dyDescent="0.25">
      <c r="A104" s="376"/>
      <c r="B104" s="543">
        <v>83</v>
      </c>
      <c r="C104" s="665"/>
      <c r="D104" s="405"/>
      <c r="E104" s="524"/>
      <c r="F104" s="532"/>
      <c r="G104" s="532"/>
      <c r="H104" s="531">
        <f t="shared" si="13"/>
        <v>0</v>
      </c>
      <c r="I104" s="521"/>
      <c r="J104" s="522"/>
      <c r="K104" s="522"/>
      <c r="L104" s="524"/>
      <c r="M104" s="525"/>
      <c r="N104" s="521"/>
      <c r="O104" s="522"/>
      <c r="P104" s="522"/>
      <c r="Q104" s="524"/>
      <c r="R104" s="525"/>
      <c r="S104" s="527">
        <f t="shared" si="14"/>
        <v>0</v>
      </c>
      <c r="T104" s="538" t="str">
        <f t="shared" si="15"/>
        <v/>
      </c>
      <c r="U104" s="529">
        <f t="shared" si="16"/>
        <v>0</v>
      </c>
      <c r="V104" s="539" t="str">
        <f t="shared" si="17"/>
        <v/>
      </c>
      <c r="W104" s="528">
        <f t="shared" si="19"/>
        <v>0</v>
      </c>
      <c r="X104" s="539" t="str">
        <f t="shared" si="18"/>
        <v/>
      </c>
      <c r="Y104" s="407"/>
    </row>
    <row r="105" spans="1:25" ht="30.05" hidden="1" customHeight="1" outlineLevel="1" x14ac:dyDescent="0.25">
      <c r="A105" s="376"/>
      <c r="B105" s="543">
        <v>84</v>
      </c>
      <c r="C105" s="665"/>
      <c r="D105" s="405"/>
      <c r="E105" s="524"/>
      <c r="F105" s="532"/>
      <c r="G105" s="532"/>
      <c r="H105" s="531">
        <f t="shared" si="13"/>
        <v>0</v>
      </c>
      <c r="I105" s="521"/>
      <c r="J105" s="522"/>
      <c r="K105" s="522"/>
      <c r="L105" s="524"/>
      <c r="M105" s="525"/>
      <c r="N105" s="521"/>
      <c r="O105" s="522"/>
      <c r="P105" s="522"/>
      <c r="Q105" s="524"/>
      <c r="R105" s="525"/>
      <c r="S105" s="527">
        <f t="shared" si="14"/>
        <v>0</v>
      </c>
      <c r="T105" s="538" t="str">
        <f t="shared" si="15"/>
        <v/>
      </c>
      <c r="U105" s="529">
        <f t="shared" si="16"/>
        <v>0</v>
      </c>
      <c r="V105" s="539" t="str">
        <f t="shared" si="17"/>
        <v/>
      </c>
      <c r="W105" s="528">
        <f t="shared" si="19"/>
        <v>0</v>
      </c>
      <c r="X105" s="539" t="str">
        <f t="shared" si="18"/>
        <v/>
      </c>
      <c r="Y105" s="407"/>
    </row>
    <row r="106" spans="1:25" ht="30.05" hidden="1" customHeight="1" outlineLevel="1" x14ac:dyDescent="0.25">
      <c r="A106" s="376"/>
      <c r="B106" s="543">
        <v>85</v>
      </c>
      <c r="C106" s="665"/>
      <c r="D106" s="405"/>
      <c r="E106" s="524"/>
      <c r="F106" s="532"/>
      <c r="G106" s="532"/>
      <c r="H106" s="531">
        <f t="shared" ref="H106:H121" si="20">ABS(F106-G106)</f>
        <v>0</v>
      </c>
      <c r="I106" s="521"/>
      <c r="J106" s="522"/>
      <c r="K106" s="522"/>
      <c r="L106" s="524"/>
      <c r="M106" s="525"/>
      <c r="N106" s="521"/>
      <c r="O106" s="522"/>
      <c r="P106" s="522"/>
      <c r="Q106" s="524"/>
      <c r="R106" s="525"/>
      <c r="S106" s="527">
        <f t="shared" ref="S106:S121" si="21">IF(ISERROR(ABS(I106-N106)),"",ABS(I106-N106))</f>
        <v>0</v>
      </c>
      <c r="T106" s="538" t="str">
        <f t="shared" ref="T106:T120" si="22">IF(ISERROR((ABS(I106-N106))/$H106),"",(ABS(I106-N106))/$H106)</f>
        <v/>
      </c>
      <c r="U106" s="529">
        <f t="shared" ref="U106:U121" si="23">(ABS(J106-O106))</f>
        <v>0</v>
      </c>
      <c r="V106" s="539" t="str">
        <f t="shared" ref="V106:V121" si="24">IF(ISERROR((ABS(J106-O106))/$H106),"",((ABS(J106-O106))/$H106))</f>
        <v/>
      </c>
      <c r="W106" s="528">
        <f t="shared" si="19"/>
        <v>0</v>
      </c>
      <c r="X106" s="539" t="str">
        <f t="shared" ref="X106:X121" si="25">IF(ISERROR((ABS(K106-P106))/$H106),"",(ABS(K106-P106))/$H106)</f>
        <v/>
      </c>
      <c r="Y106" s="407"/>
    </row>
    <row r="107" spans="1:25" ht="30.05" hidden="1" customHeight="1" outlineLevel="1" x14ac:dyDescent="0.25">
      <c r="A107" s="376"/>
      <c r="B107" s="543">
        <v>86</v>
      </c>
      <c r="C107" s="665"/>
      <c r="D107" s="405"/>
      <c r="E107" s="524"/>
      <c r="F107" s="532"/>
      <c r="G107" s="532"/>
      <c r="H107" s="531">
        <f t="shared" si="20"/>
        <v>0</v>
      </c>
      <c r="I107" s="521"/>
      <c r="J107" s="522"/>
      <c r="K107" s="522"/>
      <c r="L107" s="524"/>
      <c r="M107" s="525"/>
      <c r="N107" s="521"/>
      <c r="O107" s="522"/>
      <c r="P107" s="522"/>
      <c r="Q107" s="524"/>
      <c r="R107" s="525"/>
      <c r="S107" s="527">
        <f t="shared" si="21"/>
        <v>0</v>
      </c>
      <c r="T107" s="538" t="str">
        <f t="shared" si="22"/>
        <v/>
      </c>
      <c r="U107" s="529">
        <f t="shared" si="23"/>
        <v>0</v>
      </c>
      <c r="V107" s="539" t="str">
        <f t="shared" si="24"/>
        <v/>
      </c>
      <c r="W107" s="528">
        <f t="shared" si="19"/>
        <v>0</v>
      </c>
      <c r="X107" s="539" t="str">
        <f t="shared" si="25"/>
        <v/>
      </c>
      <c r="Y107" s="407"/>
    </row>
    <row r="108" spans="1:25" ht="30.05" hidden="1" customHeight="1" outlineLevel="1" x14ac:dyDescent="0.25">
      <c r="A108" s="376"/>
      <c r="B108" s="543">
        <v>87</v>
      </c>
      <c r="C108" s="665"/>
      <c r="D108" s="405"/>
      <c r="E108" s="524"/>
      <c r="F108" s="532"/>
      <c r="G108" s="532"/>
      <c r="H108" s="531">
        <f t="shared" si="20"/>
        <v>0</v>
      </c>
      <c r="I108" s="521"/>
      <c r="J108" s="522"/>
      <c r="K108" s="522"/>
      <c r="L108" s="524"/>
      <c r="M108" s="525"/>
      <c r="N108" s="521"/>
      <c r="O108" s="522"/>
      <c r="P108" s="522"/>
      <c r="Q108" s="524"/>
      <c r="R108" s="525"/>
      <c r="S108" s="527">
        <f t="shared" si="21"/>
        <v>0</v>
      </c>
      <c r="T108" s="538" t="str">
        <f t="shared" si="22"/>
        <v/>
      </c>
      <c r="U108" s="529">
        <f t="shared" si="23"/>
        <v>0</v>
      </c>
      <c r="V108" s="539" t="str">
        <f t="shared" si="24"/>
        <v/>
      </c>
      <c r="W108" s="528">
        <f t="shared" si="19"/>
        <v>0</v>
      </c>
      <c r="X108" s="539" t="str">
        <f t="shared" si="25"/>
        <v/>
      </c>
      <c r="Y108" s="407"/>
    </row>
    <row r="109" spans="1:25" ht="30.05" hidden="1" customHeight="1" outlineLevel="1" x14ac:dyDescent="0.25">
      <c r="A109" s="376"/>
      <c r="B109" s="543">
        <v>88</v>
      </c>
      <c r="C109" s="665"/>
      <c r="D109" s="405"/>
      <c r="E109" s="524"/>
      <c r="F109" s="532"/>
      <c r="G109" s="532"/>
      <c r="H109" s="531">
        <f t="shared" si="20"/>
        <v>0</v>
      </c>
      <c r="I109" s="521"/>
      <c r="J109" s="522"/>
      <c r="K109" s="522"/>
      <c r="L109" s="524"/>
      <c r="M109" s="525"/>
      <c r="N109" s="521"/>
      <c r="O109" s="522"/>
      <c r="P109" s="522"/>
      <c r="Q109" s="524"/>
      <c r="R109" s="525"/>
      <c r="S109" s="527">
        <f t="shared" si="21"/>
        <v>0</v>
      </c>
      <c r="T109" s="538" t="str">
        <f t="shared" si="22"/>
        <v/>
      </c>
      <c r="U109" s="529">
        <f t="shared" si="23"/>
        <v>0</v>
      </c>
      <c r="V109" s="539" t="str">
        <f t="shared" si="24"/>
        <v/>
      </c>
      <c r="W109" s="528">
        <f t="shared" si="19"/>
        <v>0</v>
      </c>
      <c r="X109" s="539" t="str">
        <f t="shared" si="25"/>
        <v/>
      </c>
      <c r="Y109" s="407"/>
    </row>
    <row r="110" spans="1:25" ht="30.05" hidden="1" customHeight="1" outlineLevel="1" x14ac:dyDescent="0.25">
      <c r="A110" s="376"/>
      <c r="B110" s="543">
        <v>89</v>
      </c>
      <c r="C110" s="665"/>
      <c r="D110" s="405"/>
      <c r="E110" s="524"/>
      <c r="F110" s="532"/>
      <c r="G110" s="532"/>
      <c r="H110" s="531">
        <f t="shared" si="20"/>
        <v>0</v>
      </c>
      <c r="I110" s="521"/>
      <c r="J110" s="522"/>
      <c r="K110" s="522"/>
      <c r="L110" s="524"/>
      <c r="M110" s="525"/>
      <c r="N110" s="521"/>
      <c r="O110" s="522"/>
      <c r="P110" s="522"/>
      <c r="Q110" s="524"/>
      <c r="R110" s="525"/>
      <c r="S110" s="527">
        <f t="shared" si="21"/>
        <v>0</v>
      </c>
      <c r="T110" s="538" t="str">
        <f t="shared" si="22"/>
        <v/>
      </c>
      <c r="U110" s="529">
        <f t="shared" si="23"/>
        <v>0</v>
      </c>
      <c r="V110" s="539" t="str">
        <f t="shared" si="24"/>
        <v/>
      </c>
      <c r="W110" s="528">
        <f t="shared" si="19"/>
        <v>0</v>
      </c>
      <c r="X110" s="539" t="str">
        <f t="shared" si="25"/>
        <v/>
      </c>
      <c r="Y110" s="407"/>
    </row>
    <row r="111" spans="1:25" ht="30.05" hidden="1" customHeight="1" outlineLevel="1" x14ac:dyDescent="0.25">
      <c r="A111" s="376"/>
      <c r="B111" s="543">
        <v>90</v>
      </c>
      <c r="C111" s="669"/>
      <c r="D111" s="405"/>
      <c r="E111" s="524"/>
      <c r="F111" s="532"/>
      <c r="G111" s="532"/>
      <c r="H111" s="589">
        <f t="shared" si="20"/>
        <v>0</v>
      </c>
      <c r="I111" s="590"/>
      <c r="J111" s="524"/>
      <c r="K111" s="524"/>
      <c r="L111" s="524"/>
      <c r="M111" s="525"/>
      <c r="N111" s="590"/>
      <c r="O111" s="524"/>
      <c r="P111" s="524"/>
      <c r="Q111" s="524"/>
      <c r="R111" s="525"/>
      <c r="S111" s="527">
        <f t="shared" si="21"/>
        <v>0</v>
      </c>
      <c r="T111" s="538" t="str">
        <f t="shared" si="22"/>
        <v/>
      </c>
      <c r="U111" s="529">
        <f t="shared" si="23"/>
        <v>0</v>
      </c>
      <c r="V111" s="538" t="str">
        <f t="shared" si="24"/>
        <v/>
      </c>
      <c r="W111" s="529">
        <f t="shared" si="19"/>
        <v>0</v>
      </c>
      <c r="X111" s="538" t="str">
        <f t="shared" si="25"/>
        <v/>
      </c>
      <c r="Y111" s="407"/>
    </row>
    <row r="112" spans="1:25" ht="30.05" hidden="1" customHeight="1" outlineLevel="1" x14ac:dyDescent="0.25">
      <c r="A112" s="376"/>
      <c r="B112" s="543">
        <v>91</v>
      </c>
      <c r="C112" s="665"/>
      <c r="D112" s="405"/>
      <c r="E112" s="524"/>
      <c r="F112" s="532"/>
      <c r="G112" s="532"/>
      <c r="H112" s="531">
        <f t="shared" si="20"/>
        <v>0</v>
      </c>
      <c r="I112" s="521"/>
      <c r="J112" s="522"/>
      <c r="K112" s="522"/>
      <c r="L112" s="524"/>
      <c r="M112" s="525"/>
      <c r="N112" s="521"/>
      <c r="O112" s="522"/>
      <c r="P112" s="522"/>
      <c r="Q112" s="524"/>
      <c r="R112" s="525"/>
      <c r="S112" s="527">
        <f t="shared" si="21"/>
        <v>0</v>
      </c>
      <c r="T112" s="538" t="str">
        <f t="shared" si="22"/>
        <v/>
      </c>
      <c r="U112" s="529">
        <f t="shared" si="23"/>
        <v>0</v>
      </c>
      <c r="V112" s="539" t="str">
        <f t="shared" si="24"/>
        <v/>
      </c>
      <c r="W112" s="528">
        <f t="shared" si="19"/>
        <v>0</v>
      </c>
      <c r="X112" s="539" t="str">
        <f t="shared" si="25"/>
        <v/>
      </c>
      <c r="Y112" s="407"/>
    </row>
    <row r="113" spans="1:25" ht="30.05" hidden="1" customHeight="1" outlineLevel="1" x14ac:dyDescent="0.25">
      <c r="A113" s="376"/>
      <c r="B113" s="543">
        <v>92</v>
      </c>
      <c r="C113" s="665"/>
      <c r="D113" s="405"/>
      <c r="E113" s="524"/>
      <c r="F113" s="532"/>
      <c r="G113" s="532"/>
      <c r="H113" s="531">
        <f t="shared" si="20"/>
        <v>0</v>
      </c>
      <c r="I113" s="521"/>
      <c r="J113" s="522"/>
      <c r="K113" s="522"/>
      <c r="L113" s="524"/>
      <c r="M113" s="525"/>
      <c r="N113" s="521"/>
      <c r="O113" s="522"/>
      <c r="P113" s="522"/>
      <c r="Q113" s="524"/>
      <c r="R113" s="525"/>
      <c r="S113" s="527">
        <f t="shared" si="21"/>
        <v>0</v>
      </c>
      <c r="T113" s="538" t="str">
        <f t="shared" si="22"/>
        <v/>
      </c>
      <c r="U113" s="529">
        <f t="shared" si="23"/>
        <v>0</v>
      </c>
      <c r="V113" s="539" t="str">
        <f t="shared" si="24"/>
        <v/>
      </c>
      <c r="W113" s="528">
        <f t="shared" si="19"/>
        <v>0</v>
      </c>
      <c r="X113" s="539" t="str">
        <f t="shared" si="25"/>
        <v/>
      </c>
      <c r="Y113" s="407"/>
    </row>
    <row r="114" spans="1:25" ht="30.05" hidden="1" customHeight="1" outlineLevel="1" x14ac:dyDescent="0.25">
      <c r="A114" s="376"/>
      <c r="B114" s="543">
        <v>93</v>
      </c>
      <c r="C114" s="665"/>
      <c r="D114" s="405"/>
      <c r="E114" s="524"/>
      <c r="F114" s="532"/>
      <c r="G114" s="532"/>
      <c r="H114" s="531">
        <f t="shared" si="20"/>
        <v>0</v>
      </c>
      <c r="I114" s="521"/>
      <c r="J114" s="522"/>
      <c r="K114" s="522"/>
      <c r="L114" s="524"/>
      <c r="M114" s="525"/>
      <c r="N114" s="521"/>
      <c r="O114" s="522"/>
      <c r="P114" s="522"/>
      <c r="Q114" s="524"/>
      <c r="R114" s="525"/>
      <c r="S114" s="527">
        <f t="shared" si="21"/>
        <v>0</v>
      </c>
      <c r="T114" s="538" t="str">
        <f t="shared" si="22"/>
        <v/>
      </c>
      <c r="U114" s="529">
        <f t="shared" si="23"/>
        <v>0</v>
      </c>
      <c r="V114" s="539" t="str">
        <f t="shared" si="24"/>
        <v/>
      </c>
      <c r="W114" s="528">
        <f t="shared" si="19"/>
        <v>0</v>
      </c>
      <c r="X114" s="539" t="str">
        <f t="shared" si="25"/>
        <v/>
      </c>
      <c r="Y114" s="407"/>
    </row>
    <row r="115" spans="1:25" ht="30.05" hidden="1" customHeight="1" outlineLevel="1" x14ac:dyDescent="0.25">
      <c r="A115" s="376"/>
      <c r="B115" s="543">
        <v>94</v>
      </c>
      <c r="C115" s="665"/>
      <c r="D115" s="405"/>
      <c r="E115" s="524"/>
      <c r="F115" s="532"/>
      <c r="G115" s="532"/>
      <c r="H115" s="531">
        <f t="shared" si="20"/>
        <v>0</v>
      </c>
      <c r="I115" s="521"/>
      <c r="J115" s="522"/>
      <c r="K115" s="522"/>
      <c r="L115" s="524"/>
      <c r="M115" s="525"/>
      <c r="N115" s="521"/>
      <c r="O115" s="522"/>
      <c r="P115" s="522"/>
      <c r="Q115" s="524"/>
      <c r="R115" s="525"/>
      <c r="S115" s="527">
        <f t="shared" si="21"/>
        <v>0</v>
      </c>
      <c r="T115" s="538" t="str">
        <f t="shared" si="22"/>
        <v/>
      </c>
      <c r="U115" s="529">
        <f t="shared" si="23"/>
        <v>0</v>
      </c>
      <c r="V115" s="539" t="str">
        <f t="shared" si="24"/>
        <v/>
      </c>
      <c r="W115" s="528">
        <f t="shared" si="19"/>
        <v>0</v>
      </c>
      <c r="X115" s="539" t="str">
        <f t="shared" si="25"/>
        <v/>
      </c>
      <c r="Y115" s="407"/>
    </row>
    <row r="116" spans="1:25" ht="30.05" hidden="1" customHeight="1" outlineLevel="1" x14ac:dyDescent="0.25">
      <c r="A116" s="376"/>
      <c r="B116" s="543">
        <v>95</v>
      </c>
      <c r="C116" s="665"/>
      <c r="D116" s="405"/>
      <c r="E116" s="524"/>
      <c r="F116" s="532"/>
      <c r="G116" s="532"/>
      <c r="H116" s="531">
        <f t="shared" si="20"/>
        <v>0</v>
      </c>
      <c r="I116" s="521"/>
      <c r="J116" s="522"/>
      <c r="K116" s="522"/>
      <c r="L116" s="524"/>
      <c r="M116" s="525"/>
      <c r="N116" s="521"/>
      <c r="O116" s="522"/>
      <c r="P116" s="522"/>
      <c r="Q116" s="524"/>
      <c r="R116" s="525"/>
      <c r="S116" s="527">
        <f t="shared" si="21"/>
        <v>0</v>
      </c>
      <c r="T116" s="538" t="str">
        <f t="shared" si="22"/>
        <v/>
      </c>
      <c r="U116" s="529">
        <f t="shared" si="23"/>
        <v>0</v>
      </c>
      <c r="V116" s="539" t="str">
        <f t="shared" si="24"/>
        <v/>
      </c>
      <c r="W116" s="528">
        <f t="shared" si="19"/>
        <v>0</v>
      </c>
      <c r="X116" s="539" t="str">
        <f t="shared" si="25"/>
        <v/>
      </c>
      <c r="Y116" s="407"/>
    </row>
    <row r="117" spans="1:25" ht="30.05" hidden="1" customHeight="1" outlineLevel="1" x14ac:dyDescent="0.25">
      <c r="A117" s="376"/>
      <c r="B117" s="543">
        <v>96</v>
      </c>
      <c r="C117" s="665"/>
      <c r="D117" s="405"/>
      <c r="E117" s="524"/>
      <c r="F117" s="532"/>
      <c r="G117" s="532"/>
      <c r="H117" s="531">
        <f t="shared" si="20"/>
        <v>0</v>
      </c>
      <c r="I117" s="521"/>
      <c r="J117" s="522"/>
      <c r="K117" s="522"/>
      <c r="L117" s="524"/>
      <c r="M117" s="525"/>
      <c r="N117" s="521"/>
      <c r="O117" s="522"/>
      <c r="P117" s="522"/>
      <c r="Q117" s="524"/>
      <c r="R117" s="525"/>
      <c r="S117" s="527">
        <f t="shared" si="21"/>
        <v>0</v>
      </c>
      <c r="T117" s="538" t="str">
        <f t="shared" si="22"/>
        <v/>
      </c>
      <c r="U117" s="529">
        <f t="shared" si="23"/>
        <v>0</v>
      </c>
      <c r="V117" s="539" t="str">
        <f t="shared" si="24"/>
        <v/>
      </c>
      <c r="W117" s="528">
        <f t="shared" si="19"/>
        <v>0</v>
      </c>
      <c r="X117" s="539" t="str">
        <f t="shared" si="25"/>
        <v/>
      </c>
      <c r="Y117" s="407"/>
    </row>
    <row r="118" spans="1:25" ht="30.05" hidden="1" customHeight="1" outlineLevel="1" x14ac:dyDescent="0.25">
      <c r="A118" s="376"/>
      <c r="B118" s="543">
        <v>97</v>
      </c>
      <c r="C118" s="665"/>
      <c r="D118" s="405"/>
      <c r="E118" s="524"/>
      <c r="F118" s="532"/>
      <c r="G118" s="532"/>
      <c r="H118" s="531">
        <f t="shared" si="20"/>
        <v>0</v>
      </c>
      <c r="I118" s="521"/>
      <c r="J118" s="522"/>
      <c r="K118" s="522"/>
      <c r="L118" s="524"/>
      <c r="M118" s="525"/>
      <c r="N118" s="521"/>
      <c r="O118" s="522"/>
      <c r="P118" s="522"/>
      <c r="Q118" s="524"/>
      <c r="R118" s="525"/>
      <c r="S118" s="527">
        <f t="shared" si="21"/>
        <v>0</v>
      </c>
      <c r="T118" s="538" t="str">
        <f t="shared" si="22"/>
        <v/>
      </c>
      <c r="U118" s="529">
        <f t="shared" si="23"/>
        <v>0</v>
      </c>
      <c r="V118" s="539" t="str">
        <f t="shared" si="24"/>
        <v/>
      </c>
      <c r="W118" s="528">
        <f t="shared" si="19"/>
        <v>0</v>
      </c>
      <c r="X118" s="539" t="str">
        <f t="shared" si="25"/>
        <v/>
      </c>
      <c r="Y118" s="407"/>
    </row>
    <row r="119" spans="1:25" ht="30.05" hidden="1" customHeight="1" outlineLevel="1" x14ac:dyDescent="0.25">
      <c r="A119" s="376"/>
      <c r="B119" s="543">
        <v>98</v>
      </c>
      <c r="C119" s="665"/>
      <c r="D119" s="405"/>
      <c r="E119" s="673"/>
      <c r="F119" s="532"/>
      <c r="G119" s="532"/>
      <c r="H119" s="531">
        <f t="shared" si="20"/>
        <v>0</v>
      </c>
      <c r="I119" s="521"/>
      <c r="J119" s="522"/>
      <c r="K119" s="522"/>
      <c r="L119" s="524"/>
      <c r="M119" s="525"/>
      <c r="N119" s="521"/>
      <c r="O119" s="522"/>
      <c r="P119" s="522"/>
      <c r="Q119" s="524"/>
      <c r="R119" s="525"/>
      <c r="S119" s="527">
        <f t="shared" si="21"/>
        <v>0</v>
      </c>
      <c r="T119" s="538" t="str">
        <f t="shared" si="22"/>
        <v/>
      </c>
      <c r="U119" s="529">
        <f t="shared" si="23"/>
        <v>0</v>
      </c>
      <c r="V119" s="539" t="str">
        <f t="shared" si="24"/>
        <v/>
      </c>
      <c r="W119" s="528">
        <f t="shared" si="19"/>
        <v>0</v>
      </c>
      <c r="X119" s="539" t="str">
        <f t="shared" si="25"/>
        <v/>
      </c>
      <c r="Y119" s="407"/>
    </row>
    <row r="120" spans="1:25" ht="30.05" hidden="1" customHeight="1" outlineLevel="1" x14ac:dyDescent="0.25">
      <c r="A120" s="376"/>
      <c r="B120" s="543">
        <v>99</v>
      </c>
      <c r="C120" s="665"/>
      <c r="D120" s="405"/>
      <c r="E120" s="524"/>
      <c r="F120" s="532"/>
      <c r="G120" s="532"/>
      <c r="H120" s="531">
        <f t="shared" si="20"/>
        <v>0</v>
      </c>
      <c r="I120" s="521"/>
      <c r="J120" s="522"/>
      <c r="K120" s="522"/>
      <c r="L120" s="524"/>
      <c r="M120" s="525"/>
      <c r="N120" s="521"/>
      <c r="O120" s="522"/>
      <c r="P120" s="522"/>
      <c r="Q120" s="524"/>
      <c r="R120" s="525"/>
      <c r="S120" s="527">
        <f t="shared" si="21"/>
        <v>0</v>
      </c>
      <c r="T120" s="538" t="str">
        <f t="shared" si="22"/>
        <v/>
      </c>
      <c r="U120" s="529">
        <f t="shared" si="23"/>
        <v>0</v>
      </c>
      <c r="V120" s="539" t="str">
        <f t="shared" si="24"/>
        <v/>
      </c>
      <c r="W120" s="528">
        <f t="shared" si="19"/>
        <v>0</v>
      </c>
      <c r="X120" s="539" t="str">
        <f t="shared" si="25"/>
        <v/>
      </c>
      <c r="Y120" s="407"/>
    </row>
    <row r="121" spans="1:25" ht="30.05" hidden="1" customHeight="1" outlineLevel="1" x14ac:dyDescent="0.25">
      <c r="A121" s="376"/>
      <c r="B121" s="543">
        <v>100</v>
      </c>
      <c r="C121" s="665"/>
      <c r="D121" s="405"/>
      <c r="E121" s="524"/>
      <c r="F121" s="532"/>
      <c r="G121" s="532"/>
      <c r="H121" s="531">
        <f t="shared" si="20"/>
        <v>0</v>
      </c>
      <c r="I121" s="521"/>
      <c r="J121" s="522"/>
      <c r="K121" s="522"/>
      <c r="L121" s="524"/>
      <c r="M121" s="525"/>
      <c r="N121" s="521"/>
      <c r="O121" s="522"/>
      <c r="P121" s="522"/>
      <c r="Q121" s="524"/>
      <c r="R121" s="525"/>
      <c r="S121" s="527">
        <f t="shared" si="21"/>
        <v>0</v>
      </c>
      <c r="T121" s="538" t="str">
        <f>IF(ISERROR((ABS(I121-N121))/$H121),"",(ABS(I121-N121))/$H121)</f>
        <v/>
      </c>
      <c r="U121" s="529">
        <f t="shared" si="23"/>
        <v>0</v>
      </c>
      <c r="V121" s="539" t="str">
        <f t="shared" si="24"/>
        <v/>
      </c>
      <c r="W121" s="528">
        <f t="shared" si="19"/>
        <v>0</v>
      </c>
      <c r="X121" s="539" t="str">
        <f t="shared" si="25"/>
        <v/>
      </c>
      <c r="Y121" s="407"/>
    </row>
    <row r="122" spans="1:25" s="376" customFormat="1" ht="20.05" customHeight="1" collapsed="1" x14ac:dyDescent="0.25"/>
    <row r="123" spans="1:25" s="376" customFormat="1" ht="20.05" customHeight="1" x14ac:dyDescent="0.25"/>
    <row r="124" spans="1:25" s="376" customFormat="1" ht="20.05" customHeight="1" x14ac:dyDescent="0.25"/>
    <row r="125" spans="1:25" s="376" customFormat="1" ht="20.05" customHeight="1" x14ac:dyDescent="0.25"/>
    <row r="126" spans="1:25" s="376" customFormat="1" ht="20.05" customHeight="1" x14ac:dyDescent="0.25"/>
    <row r="127" spans="1:25" s="376" customFormat="1" ht="20.05" customHeight="1" x14ac:dyDescent="0.25"/>
    <row r="128" spans="1:25" s="376" customFormat="1" ht="20.05" customHeight="1" x14ac:dyDescent="0.25"/>
    <row r="129" s="376" customFormat="1" ht="20.05" customHeight="1" x14ac:dyDescent="0.25"/>
    <row r="130" s="376" customFormat="1" ht="20.05" customHeight="1" x14ac:dyDescent="0.25"/>
    <row r="131" s="376" customFormat="1" ht="20.05" customHeight="1" x14ac:dyDescent="0.25"/>
    <row r="132" s="376" customFormat="1" ht="20.05" customHeight="1" x14ac:dyDescent="0.25"/>
    <row r="133" s="376" customFormat="1" ht="20.05" customHeight="1" x14ac:dyDescent="0.25"/>
    <row r="134" s="376" customFormat="1" ht="20.05" customHeight="1" x14ac:dyDescent="0.25"/>
    <row r="135" s="376" customFormat="1" ht="20.05" customHeight="1" x14ac:dyDescent="0.25"/>
    <row r="136" s="376" customFormat="1" ht="20.05" customHeight="1" x14ac:dyDescent="0.25"/>
    <row r="137" s="376" customFormat="1" ht="20.05" customHeight="1" x14ac:dyDescent="0.25"/>
    <row r="138" s="376" customFormat="1" ht="20.05" customHeight="1" x14ac:dyDescent="0.25"/>
    <row r="139" s="376" customFormat="1" ht="20.05" customHeight="1" x14ac:dyDescent="0.25"/>
    <row r="140" s="376" customFormat="1" ht="20.05" customHeight="1" x14ac:dyDescent="0.25"/>
    <row r="141" s="376" customFormat="1" ht="20.05" customHeight="1" x14ac:dyDescent="0.25"/>
    <row r="142" s="376" customFormat="1" ht="20.05" customHeight="1" x14ac:dyDescent="0.25"/>
    <row r="143" s="376" customFormat="1" ht="20.05" customHeight="1" x14ac:dyDescent="0.25"/>
    <row r="144" s="376" customFormat="1" ht="20.05" customHeight="1" x14ac:dyDescent="0.25"/>
    <row r="145" s="376" customFormat="1" ht="20.05" customHeight="1" x14ac:dyDescent="0.25"/>
    <row r="146" s="376" customFormat="1" ht="20.05" customHeight="1" x14ac:dyDescent="0.25"/>
    <row r="147" s="376" customFormat="1" ht="20.05" customHeight="1" x14ac:dyDescent="0.25"/>
    <row r="148" s="376" customFormat="1" ht="20.05" customHeight="1" x14ac:dyDescent="0.25"/>
    <row r="149" s="376" customFormat="1" ht="20.05" customHeight="1" x14ac:dyDescent="0.25"/>
    <row r="150" s="376" customFormat="1" ht="20.05" customHeight="1" x14ac:dyDescent="0.25"/>
    <row r="151" s="376" customFormat="1" ht="20.05" customHeight="1" x14ac:dyDescent="0.25"/>
    <row r="152" s="376" customFormat="1" ht="20.05" customHeight="1" x14ac:dyDescent="0.25"/>
    <row r="153" s="376" customFormat="1" ht="20.05" customHeight="1" x14ac:dyDescent="0.25"/>
    <row r="154" s="376" customFormat="1" ht="20.05" customHeight="1" x14ac:dyDescent="0.25"/>
    <row r="155" s="376" customFormat="1" ht="20.05" customHeight="1" x14ac:dyDescent="0.25"/>
    <row r="156" s="376" customFormat="1" ht="20.05" customHeight="1" x14ac:dyDescent="0.25"/>
    <row r="157" s="376" customFormat="1" ht="20.05" customHeight="1" x14ac:dyDescent="0.25"/>
    <row r="158" s="376" customFormat="1" ht="20.05" customHeight="1" x14ac:dyDescent="0.25"/>
    <row r="159" s="376" customFormat="1" ht="20.05" customHeight="1" x14ac:dyDescent="0.25"/>
    <row r="160" s="376" customFormat="1" ht="20.05" customHeight="1" x14ac:dyDescent="0.25"/>
    <row r="161" s="376" customFormat="1" ht="20.05" customHeight="1" x14ac:dyDescent="0.25"/>
    <row r="162" s="376" customFormat="1" ht="20.05" customHeight="1" x14ac:dyDescent="0.25"/>
    <row r="163" s="376" customFormat="1" ht="20.05" customHeight="1" x14ac:dyDescent="0.25"/>
    <row r="164" s="376" customFormat="1" ht="20.05" customHeight="1" x14ac:dyDescent="0.25"/>
    <row r="165" s="376" customFormat="1" ht="20.05" customHeight="1" x14ac:dyDescent="0.25"/>
    <row r="166" s="376" customFormat="1" ht="20.05" customHeight="1" x14ac:dyDescent="0.25"/>
    <row r="167" s="376" customFormat="1" ht="20.05" customHeight="1" x14ac:dyDescent="0.25"/>
    <row r="168" s="376" customFormat="1" ht="20.05" customHeight="1" x14ac:dyDescent="0.25"/>
    <row r="169" s="376" customFormat="1" ht="20.05" customHeight="1" x14ac:dyDescent="0.25"/>
    <row r="170" s="376" customFormat="1" ht="20.05" customHeight="1" x14ac:dyDescent="0.25"/>
    <row r="171" s="376" customFormat="1" ht="20.05" customHeight="1" x14ac:dyDescent="0.25"/>
    <row r="172" s="376" customFormat="1" ht="20.05" customHeight="1" x14ac:dyDescent="0.25"/>
    <row r="173" s="376" customFormat="1" ht="20.05" customHeight="1" x14ac:dyDescent="0.25"/>
    <row r="174" s="376" customFormat="1" ht="20.05" customHeight="1" x14ac:dyDescent="0.25"/>
    <row r="175" s="376" customFormat="1" ht="20.05" customHeight="1" x14ac:dyDescent="0.25"/>
    <row r="176" s="376" customFormat="1" ht="20.05" customHeight="1" x14ac:dyDescent="0.25"/>
    <row r="177" s="376" customFormat="1" ht="20.05" customHeight="1" x14ac:dyDescent="0.25"/>
    <row r="178" s="376" customFormat="1" ht="20.05" customHeight="1" x14ac:dyDescent="0.25"/>
    <row r="179" s="376" customFormat="1" ht="20.05" customHeight="1" x14ac:dyDescent="0.25"/>
    <row r="180" s="376" customFormat="1" ht="20.05" customHeight="1" x14ac:dyDescent="0.25"/>
    <row r="181" s="376" customFormat="1" ht="20.05" customHeight="1" x14ac:dyDescent="0.25"/>
    <row r="182" s="376" customFormat="1" ht="20.05" customHeight="1" x14ac:dyDescent="0.25"/>
    <row r="183" s="376" customFormat="1" ht="20.05" customHeight="1" x14ac:dyDescent="0.25"/>
    <row r="184" s="376" customFormat="1" ht="20.05" customHeight="1" x14ac:dyDescent="0.25"/>
    <row r="185" s="376" customFormat="1" ht="20.05" customHeight="1" x14ac:dyDescent="0.25"/>
    <row r="186" s="376" customFormat="1" ht="20.05" customHeight="1" x14ac:dyDescent="0.25"/>
    <row r="187" s="376" customFormat="1" ht="20.05" customHeight="1" x14ac:dyDescent="0.25"/>
    <row r="188" s="376" customFormat="1" ht="20.05" customHeight="1" x14ac:dyDescent="0.25"/>
    <row r="189" s="376" customFormat="1" ht="20.05" customHeight="1" x14ac:dyDescent="0.25"/>
    <row r="190" s="376" customFormat="1" ht="20.05" customHeight="1" x14ac:dyDescent="0.25"/>
    <row r="191" s="376" customFormat="1" ht="20.05" customHeight="1" x14ac:dyDescent="0.25"/>
    <row r="192" s="376" customFormat="1" ht="20.05" customHeight="1" x14ac:dyDescent="0.25"/>
    <row r="193" s="376" customFormat="1" ht="20.05" customHeight="1" x14ac:dyDescent="0.25"/>
    <row r="194" s="376" customFormat="1" ht="20.05" customHeight="1" x14ac:dyDescent="0.25"/>
    <row r="195" s="376" customFormat="1" ht="20.05" customHeight="1" x14ac:dyDescent="0.25"/>
    <row r="196" s="376" customFormat="1" ht="20.05" customHeight="1" x14ac:dyDescent="0.25"/>
    <row r="197" s="376" customFormat="1" ht="20.05" customHeight="1" x14ac:dyDescent="0.25"/>
    <row r="198" s="376" customFormat="1" ht="20.05" customHeight="1" x14ac:dyDescent="0.25"/>
    <row r="199" s="376" customFormat="1" ht="20.05" customHeight="1" x14ac:dyDescent="0.25"/>
    <row r="200" s="376" customFormat="1" ht="20.05" customHeight="1" x14ac:dyDescent="0.25"/>
    <row r="201" s="376" customFormat="1" ht="20.05" customHeight="1" x14ac:dyDescent="0.25"/>
    <row r="202" s="376" customFormat="1" ht="20.05" customHeight="1" x14ac:dyDescent="0.25"/>
    <row r="203" s="376" customFormat="1" ht="20.05" customHeight="1" x14ac:dyDescent="0.25"/>
    <row r="204" s="376" customFormat="1" ht="20.05" customHeight="1" x14ac:dyDescent="0.25"/>
    <row r="205" s="376" customFormat="1" ht="20.05" customHeight="1" x14ac:dyDescent="0.25"/>
    <row r="206" s="376" customFormat="1" ht="20.05" customHeight="1" x14ac:dyDescent="0.25"/>
    <row r="207" s="376" customFormat="1" ht="20.05" customHeight="1" x14ac:dyDescent="0.25"/>
    <row r="208" s="376" customFormat="1" ht="20.05" customHeight="1" x14ac:dyDescent="0.25"/>
    <row r="209" s="376" customFormat="1" ht="20.05" customHeight="1" x14ac:dyDescent="0.25"/>
    <row r="210" s="376" customFormat="1" ht="20.05" customHeight="1" x14ac:dyDescent="0.25"/>
    <row r="211" s="376" customFormat="1" ht="20.05" customHeight="1" x14ac:dyDescent="0.25"/>
    <row r="212" s="376" customFormat="1" ht="20.05" customHeight="1" x14ac:dyDescent="0.25"/>
    <row r="213" s="376" customFormat="1" ht="20.05" customHeight="1" x14ac:dyDescent="0.25"/>
    <row r="214" s="376" customFormat="1" ht="20.05" customHeight="1" x14ac:dyDescent="0.25"/>
    <row r="215" s="376" customFormat="1" ht="20.05" customHeight="1" x14ac:dyDescent="0.25"/>
    <row r="216" s="376" customFormat="1" ht="20.05" customHeight="1" x14ac:dyDescent="0.25"/>
    <row r="217" s="376" customFormat="1" ht="20.05" customHeight="1" x14ac:dyDescent="0.25"/>
    <row r="218" s="376" customFormat="1" ht="20.05" customHeight="1" x14ac:dyDescent="0.25"/>
    <row r="219" s="376" customFormat="1" ht="20.05" customHeight="1" x14ac:dyDescent="0.25"/>
    <row r="220" s="376" customFormat="1" ht="20.05" customHeight="1" x14ac:dyDescent="0.25"/>
    <row r="221" s="376" customFormat="1" ht="20.05" customHeight="1" x14ac:dyDescent="0.25"/>
    <row r="222" s="376" customFormat="1" ht="20.05" customHeight="1" x14ac:dyDescent="0.25"/>
    <row r="223" s="376" customFormat="1" ht="20.05" customHeight="1" x14ac:dyDescent="0.25"/>
    <row r="224" s="376" customFormat="1" ht="20.05" customHeight="1" x14ac:dyDescent="0.25"/>
    <row r="225" s="376" customFormat="1" ht="20.05" customHeight="1" x14ac:dyDescent="0.25"/>
    <row r="226" s="376" customFormat="1" ht="20.05" customHeight="1" x14ac:dyDescent="0.25"/>
    <row r="227" s="376" customFormat="1" ht="20.05" customHeight="1" x14ac:dyDescent="0.25"/>
    <row r="228" s="376" customFormat="1" ht="20.05" customHeight="1" x14ac:dyDescent="0.25"/>
    <row r="229" s="376" customFormat="1" ht="20.05" customHeight="1" x14ac:dyDescent="0.25"/>
    <row r="230" s="376" customFormat="1" ht="20.05" customHeight="1" x14ac:dyDescent="0.25"/>
    <row r="231" s="376" customFormat="1" ht="20.05" customHeight="1" x14ac:dyDescent="0.25"/>
    <row r="232" s="376" customFormat="1" ht="20.05" customHeight="1" x14ac:dyDescent="0.25"/>
    <row r="233" s="376" customFormat="1" ht="20.05" customHeight="1" x14ac:dyDescent="0.25"/>
    <row r="234" s="376" customFormat="1" ht="20.05" customHeight="1" x14ac:dyDescent="0.25"/>
    <row r="235" s="376" customFormat="1" ht="20.05" customHeight="1" x14ac:dyDescent="0.25"/>
    <row r="236" s="376" customFormat="1" ht="20.05" customHeight="1" x14ac:dyDescent="0.25"/>
    <row r="237" s="376" customFormat="1" ht="20.05" customHeight="1" x14ac:dyDescent="0.25"/>
    <row r="238" s="376" customFormat="1" ht="20.05" customHeight="1" x14ac:dyDescent="0.25"/>
    <row r="239" s="376" customFormat="1" ht="20.05" customHeight="1" x14ac:dyDescent="0.25"/>
    <row r="240" s="376" customFormat="1" ht="20.05" customHeight="1" x14ac:dyDescent="0.25"/>
    <row r="241" s="376" customFormat="1" ht="20.05" customHeight="1" x14ac:dyDescent="0.25"/>
    <row r="242" s="376" customFormat="1" ht="20.05" customHeight="1" x14ac:dyDescent="0.25"/>
    <row r="243" s="376" customFormat="1" ht="20.05" customHeight="1" x14ac:dyDescent="0.25"/>
    <row r="244" s="376" customFormat="1" ht="20.05" customHeight="1" x14ac:dyDescent="0.25"/>
    <row r="245" s="376" customFormat="1" ht="20.05" customHeight="1" x14ac:dyDescent="0.25"/>
    <row r="246" s="376" customFormat="1" ht="20.05" customHeight="1" x14ac:dyDescent="0.25"/>
    <row r="247" s="376" customFormat="1" ht="20.05" customHeight="1" x14ac:dyDescent="0.25"/>
    <row r="248" s="376" customFormat="1" ht="20.05" customHeight="1" x14ac:dyDescent="0.25"/>
    <row r="249" s="376" customFormat="1" ht="20.05" customHeight="1" x14ac:dyDescent="0.25"/>
    <row r="250" s="376" customFormat="1" ht="20.05" customHeight="1" x14ac:dyDescent="0.25"/>
    <row r="251" s="376" customFormat="1" ht="20.05" customHeight="1" x14ac:dyDescent="0.25"/>
    <row r="252" s="376" customFormat="1" ht="20.05" customHeight="1" x14ac:dyDescent="0.25"/>
    <row r="253" s="376" customFormat="1" ht="20.05" customHeight="1" x14ac:dyDescent="0.25"/>
    <row r="254" s="376" customFormat="1" ht="20.05" customHeight="1" x14ac:dyDescent="0.25"/>
    <row r="255" s="376" customFormat="1" ht="20.05" customHeight="1" x14ac:dyDescent="0.25"/>
    <row r="256" s="376" customFormat="1" ht="20.05" customHeight="1" x14ac:dyDescent="0.25"/>
    <row r="257" s="376" customFormat="1" ht="20.05" customHeight="1" x14ac:dyDescent="0.25"/>
    <row r="258" s="376" customFormat="1" ht="20.05" customHeight="1" x14ac:dyDescent="0.25"/>
    <row r="259" s="376" customFormat="1" ht="20.05" customHeight="1" x14ac:dyDescent="0.25"/>
    <row r="260" s="376" customFormat="1" ht="20.05" customHeight="1" x14ac:dyDescent="0.25"/>
    <row r="261" s="376" customFormat="1" ht="20.05" customHeight="1" x14ac:dyDescent="0.25"/>
    <row r="262" s="376" customFormat="1" ht="20.05" customHeight="1" x14ac:dyDescent="0.25"/>
    <row r="263" s="376" customFormat="1" ht="20.05" customHeight="1" x14ac:dyDescent="0.25"/>
    <row r="264" s="376" customFormat="1" ht="20.05" customHeight="1" x14ac:dyDescent="0.25"/>
    <row r="265" s="376" customFormat="1" ht="20.05" customHeight="1" x14ac:dyDescent="0.25"/>
    <row r="266" s="376" customFormat="1" ht="20.05" customHeight="1" x14ac:dyDescent="0.25"/>
    <row r="267" s="376" customFormat="1" ht="20.05" customHeight="1" x14ac:dyDescent="0.25"/>
    <row r="268" s="376" customFormat="1" ht="20.05" customHeight="1" x14ac:dyDescent="0.25"/>
    <row r="269" s="376" customFormat="1" ht="20.05" customHeight="1" x14ac:dyDescent="0.25"/>
    <row r="270" s="376" customFormat="1" ht="20.05" customHeight="1" x14ac:dyDescent="0.25"/>
    <row r="271" s="376" customFormat="1" ht="20.05" customHeight="1" x14ac:dyDescent="0.25"/>
    <row r="272" s="376" customFormat="1" ht="20.05" customHeight="1" x14ac:dyDescent="0.25"/>
    <row r="273" s="376" customFormat="1" ht="20.05" customHeight="1" x14ac:dyDescent="0.25"/>
    <row r="274" s="376" customFormat="1" ht="20.05" customHeight="1" x14ac:dyDescent="0.25"/>
    <row r="275" s="376" customFormat="1" ht="20.05" customHeight="1" x14ac:dyDescent="0.25"/>
    <row r="276" s="376" customFormat="1" ht="20.05" customHeight="1" x14ac:dyDescent="0.25"/>
    <row r="277" s="376" customFormat="1" ht="20.05" customHeight="1" x14ac:dyDescent="0.25"/>
    <row r="278" s="376" customFormat="1" ht="20.05" customHeight="1" x14ac:dyDescent="0.25"/>
    <row r="279" s="376" customFormat="1" ht="20.05" customHeight="1" x14ac:dyDescent="0.25"/>
    <row r="280" s="376" customFormat="1" ht="20.05" customHeight="1" x14ac:dyDescent="0.25"/>
    <row r="281" s="376" customFormat="1" ht="20.05" customHeight="1" x14ac:dyDescent="0.25"/>
    <row r="282" s="376" customFormat="1" ht="20.05" customHeight="1" x14ac:dyDescent="0.25"/>
  </sheetData>
  <sheetProtection algorithmName="SHA-512" hashValue="LpO1+vxYf/Zh5zbI/qXlxdFTE6a+zt83oIKp7V5z888moCZo2Ni5tEHHOnkWkzqVBUEoM4uKg8CFyYRec+qr+w==" saltValue="Ezzfzg7v1YWyVe05Pw9A7A==" spinCount="100000" sheet="1" objects="1" scenarios="1" formatCells="0" formatRows="0"/>
  <mergeCells count="28">
    <mergeCell ref="K5:M5"/>
    <mergeCell ref="K6:M6"/>
    <mergeCell ref="K7:M7"/>
    <mergeCell ref="K8:M8"/>
    <mergeCell ref="D5:F5"/>
    <mergeCell ref="D6:F6"/>
    <mergeCell ref="D7:F7"/>
    <mergeCell ref="D8:F8"/>
    <mergeCell ref="Y20:Y21"/>
    <mergeCell ref="S21:T21"/>
    <mergeCell ref="U21:V21"/>
    <mergeCell ref="W21:X21"/>
    <mergeCell ref="B14:E14"/>
    <mergeCell ref="B20:B21"/>
    <mergeCell ref="C20:C21"/>
    <mergeCell ref="D20:D21"/>
    <mergeCell ref="E20:E21"/>
    <mergeCell ref="F20:F21"/>
    <mergeCell ref="G20:G21"/>
    <mergeCell ref="H20:H21"/>
    <mergeCell ref="N20:R20"/>
    <mergeCell ref="S20:X20"/>
    <mergeCell ref="I20:M20"/>
    <mergeCell ref="V3:Y3"/>
    <mergeCell ref="A1:A2"/>
    <mergeCell ref="B1:F2"/>
    <mergeCell ref="I1:J1"/>
    <mergeCell ref="I2:J2"/>
  </mergeCells>
  <phoneticPr fontId="21" type="noConversion"/>
  <conditionalFormatting sqref="H22:H196">
    <cfRule type="cellIs" dxfId="9" priority="3" operator="equal">
      <formula>0</formula>
    </cfRule>
  </conditionalFormatting>
  <dataValidations count="2">
    <dataValidation type="list" allowBlank="1" showInputMessage="1" sqref="C22:C121 AF1:AF2" xr:uid="{00000000-0002-0000-1800-000000000000}">
      <formula1>$AF$2:$AF$3</formula1>
    </dataValidation>
    <dataValidation type="list" allowBlank="1" showInputMessage="1" showErrorMessage="1" sqref="D22" xr:uid="{00000000-0002-0000-1800-000001000000}">
      <formula1>FuL</formula1>
    </dataValidation>
  </dataValidations>
  <pageMargins left="0.70866141732283472" right="0.55118110236220474" top="0.98425196850393704" bottom="0.9055118110236221" header="0.23622047244094491" footer="0.27559055118110237"/>
  <pageSetup paperSize="9" scale="43" fitToHeight="0"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87043" r:id="rId6" name="Drop Down 3">
              <controlPr defaultSize="0" autoLine="0" autoPict="0">
                <anchor moveWithCells="1">
                  <from>
                    <xdr:col>9</xdr:col>
                    <xdr:colOff>691763</xdr:colOff>
                    <xdr:row>0</xdr:row>
                    <xdr:rowOff>79513</xdr:rowOff>
                  </from>
                  <to>
                    <xdr:col>11</xdr:col>
                    <xdr:colOff>516835</xdr:colOff>
                    <xdr:row>1</xdr:row>
                    <xdr:rowOff>111318</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tabColor theme="6" tint="0.39997558519241921"/>
    <pageSetUpPr fitToPage="1"/>
  </sheetPr>
  <dimension ref="A1:EW67"/>
  <sheetViews>
    <sheetView showGridLines="0" topLeftCell="B12" zoomScale="70" zoomScaleNormal="70" zoomScaleSheetLayoutView="100" zoomScalePageLayoutView="10" workbookViewId="0">
      <selection activeCell="V44" sqref="V44"/>
    </sheetView>
  </sheetViews>
  <sheetFormatPr baseColWidth="10" defaultColWidth="11" defaultRowHeight="13.15" x14ac:dyDescent="0.25"/>
  <cols>
    <col min="1" max="1" width="1.3984375" style="565" customWidth="1"/>
    <col min="2" max="3" width="11" style="548"/>
    <col min="4" max="4" width="11" style="548" customWidth="1"/>
    <col min="5" max="5" width="5.8984375" style="548" customWidth="1"/>
    <col min="6" max="6" width="7.19921875" style="548" customWidth="1"/>
    <col min="7" max="7" width="6.8984375" style="548" customWidth="1"/>
    <col min="8" max="8" width="4.3984375" style="548" customWidth="1"/>
    <col min="9" max="10" width="11" style="548"/>
    <col min="11" max="11" width="6.69921875" style="548" customWidth="1"/>
    <col min="12" max="14" width="4.8984375" style="548" customWidth="1"/>
    <col min="15" max="15" width="2.3984375" style="548" customWidth="1"/>
    <col min="16" max="16" width="7.8984375" style="548" bestFit="1" customWidth="1"/>
    <col min="17" max="17" width="11" style="548"/>
    <col min="18" max="18" width="6.09765625" style="548" customWidth="1"/>
    <col min="19" max="21" width="11" style="548"/>
    <col min="22" max="22" width="5.8984375" style="548" customWidth="1"/>
    <col min="23" max="23" width="7.19921875" style="548" customWidth="1"/>
    <col min="24" max="24" width="6.8984375" style="548" customWidth="1"/>
    <col min="25" max="25" width="4.3984375" style="548" customWidth="1"/>
    <col min="26" max="27" width="11" style="548"/>
    <col min="28" max="28" width="6.69921875" style="548" customWidth="1"/>
    <col min="29" max="16384" width="11" style="548"/>
  </cols>
  <sheetData>
    <row r="1" spans="1:153" s="375" customFormat="1" ht="17.7" customHeight="1" x14ac:dyDescent="0.25">
      <c r="A1" s="2870"/>
      <c r="B1" s="2817" t="str">
        <f>HLOOKUP(LANGUAGE!$B$2,LANGUAGE!$C$14:$G$2500,1709)</f>
        <v>Measurement alignment</v>
      </c>
      <c r="C1" s="2817"/>
      <c r="D1" s="2817"/>
      <c r="E1" s="2817"/>
      <c r="F1" s="2817"/>
      <c r="G1" s="2817"/>
      <c r="H1" s="2817"/>
      <c r="I1" s="2817"/>
      <c r="J1" s="2817"/>
      <c r="K1" s="264"/>
      <c r="L1" s="264"/>
      <c r="M1" s="264"/>
      <c r="N1" s="264"/>
      <c r="O1" s="264"/>
      <c r="P1" s="2838" t="s">
        <v>2</v>
      </c>
      <c r="Q1" s="2838"/>
      <c r="R1" s="264"/>
      <c r="S1" s="264"/>
      <c r="T1" s="264"/>
      <c r="U1" s="264"/>
      <c r="V1" s="264"/>
      <c r="W1" s="264"/>
      <c r="X1" s="264"/>
      <c r="Y1" s="372"/>
      <c r="Z1" s="373"/>
      <c r="AA1" s="373"/>
      <c r="AB1" s="373"/>
      <c r="AC1" s="374"/>
      <c r="AD1" s="374"/>
      <c r="AE1" s="374"/>
      <c r="AF1" s="374"/>
      <c r="AG1" s="374"/>
      <c r="AH1" s="374"/>
      <c r="AI1" s="374"/>
      <c r="AJ1" s="374"/>
      <c r="AK1" s="374"/>
      <c r="AL1" s="374"/>
      <c r="AM1" s="374"/>
      <c r="AN1" s="374"/>
      <c r="AO1" s="374"/>
      <c r="AP1" s="374"/>
      <c r="AQ1" s="374"/>
      <c r="AR1" s="374"/>
      <c r="AS1" s="374"/>
      <c r="AT1" s="374"/>
      <c r="AU1" s="374"/>
      <c r="AV1" s="374"/>
      <c r="AW1" s="374"/>
      <c r="AX1" s="374"/>
      <c r="AY1" s="374"/>
      <c r="AZ1" s="374"/>
      <c r="BA1" s="374"/>
      <c r="BB1" s="374"/>
      <c r="BC1" s="374"/>
      <c r="BD1" s="374"/>
      <c r="BE1" s="374"/>
      <c r="BF1" s="374"/>
      <c r="BG1" s="374"/>
      <c r="BH1" s="374"/>
      <c r="BI1" s="374"/>
      <c r="BJ1" s="374"/>
      <c r="BK1" s="374"/>
      <c r="BL1" s="374"/>
      <c r="BM1" s="374"/>
      <c r="BN1" s="374"/>
      <c r="BO1" s="374"/>
      <c r="BP1" s="374"/>
      <c r="BQ1" s="374"/>
      <c r="BR1" s="374"/>
      <c r="BS1" s="374"/>
      <c r="BT1" s="374"/>
      <c r="BU1" s="374"/>
      <c r="BV1" s="374"/>
      <c r="BW1" s="374"/>
      <c r="BX1" s="374"/>
      <c r="BY1" s="374"/>
      <c r="BZ1" s="374"/>
      <c r="CA1" s="374"/>
      <c r="CB1" s="374"/>
      <c r="CC1" s="374"/>
      <c r="CD1" s="374"/>
      <c r="CE1" s="374"/>
      <c r="CF1" s="374"/>
      <c r="CG1" s="374"/>
      <c r="CH1" s="374"/>
      <c r="CI1" s="374"/>
      <c r="CJ1" s="374"/>
      <c r="CK1" s="374"/>
      <c r="CL1" s="374"/>
      <c r="CM1" s="374"/>
      <c r="CN1" s="374"/>
      <c r="CO1" s="374"/>
      <c r="CP1" s="374"/>
      <c r="CQ1" s="374"/>
      <c r="CR1" s="374"/>
      <c r="CS1" s="374"/>
      <c r="CT1" s="374"/>
      <c r="CU1" s="374"/>
      <c r="CV1" s="374"/>
      <c r="CW1" s="374"/>
      <c r="CX1" s="374"/>
      <c r="CY1" s="374"/>
      <c r="CZ1" s="374"/>
      <c r="DA1" s="374"/>
      <c r="DB1" s="374"/>
      <c r="DC1" s="374"/>
      <c r="DD1" s="374"/>
      <c r="DE1" s="374"/>
      <c r="DF1" s="374"/>
      <c r="DG1" s="374"/>
      <c r="DH1" s="374"/>
      <c r="DI1" s="374"/>
      <c r="DJ1" s="374"/>
      <c r="DK1" s="374"/>
      <c r="DL1" s="374"/>
      <c r="DM1" s="374"/>
      <c r="DN1" s="374"/>
      <c r="DO1" s="374"/>
      <c r="DP1" s="374"/>
      <c r="DQ1" s="374"/>
      <c r="DR1" s="374"/>
      <c r="DS1" s="374"/>
      <c r="DT1" s="374"/>
      <c r="DU1" s="374"/>
      <c r="DV1" s="374"/>
      <c r="DW1" s="374"/>
      <c r="DX1" s="374"/>
      <c r="DY1" s="374"/>
      <c r="DZ1" s="374"/>
      <c r="EA1" s="374"/>
      <c r="EB1" s="374"/>
      <c r="EC1" s="374"/>
      <c r="ED1" s="374"/>
      <c r="EE1" s="374"/>
      <c r="EF1" s="374"/>
      <c r="EG1" s="374"/>
      <c r="EH1" s="374"/>
      <c r="EI1" s="374"/>
      <c r="EJ1" s="374"/>
      <c r="EK1" s="374"/>
      <c r="EL1" s="374"/>
      <c r="EM1" s="374"/>
      <c r="EN1" s="374"/>
      <c r="EO1" s="374"/>
      <c r="EP1" s="374"/>
      <c r="EQ1" s="374"/>
      <c r="ER1" s="374"/>
      <c r="ES1" s="374"/>
      <c r="ET1" s="374"/>
      <c r="EU1" s="374"/>
      <c r="EV1" s="374"/>
      <c r="EW1" s="374"/>
    </row>
    <row r="2" spans="1:153" s="375" customFormat="1" ht="17.25" customHeight="1" x14ac:dyDescent="0.25">
      <c r="A2" s="2870"/>
      <c r="B2" s="2817"/>
      <c r="C2" s="2817"/>
      <c r="D2" s="2817"/>
      <c r="E2" s="2817"/>
      <c r="F2" s="2817"/>
      <c r="G2" s="2817"/>
      <c r="H2" s="2817"/>
      <c r="I2" s="2817"/>
      <c r="J2" s="2817"/>
      <c r="K2" s="264"/>
      <c r="L2" s="264"/>
      <c r="M2" s="264"/>
      <c r="N2" s="264"/>
      <c r="O2" s="264"/>
      <c r="P2" s="2838" t="s">
        <v>1774</v>
      </c>
      <c r="Q2" s="2838"/>
      <c r="R2" s="264"/>
      <c r="S2" s="264"/>
      <c r="T2" s="264"/>
      <c r="U2" s="264"/>
      <c r="V2" s="264"/>
      <c r="W2" s="264"/>
      <c r="X2" s="264"/>
      <c r="Y2" s="264"/>
      <c r="Z2" s="373"/>
      <c r="AA2" s="373"/>
      <c r="AB2" s="373"/>
      <c r="AC2" s="374"/>
      <c r="AD2" s="374"/>
      <c r="AE2" s="374"/>
      <c r="AF2" s="374"/>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c r="BL2" s="374"/>
      <c r="BM2" s="374"/>
      <c r="BN2" s="374"/>
      <c r="BO2" s="374"/>
      <c r="BP2" s="374"/>
      <c r="BQ2" s="374"/>
      <c r="BR2" s="374"/>
      <c r="BS2" s="374"/>
      <c r="BT2" s="374"/>
      <c r="BU2" s="374"/>
      <c r="BV2" s="374"/>
      <c r="BW2" s="374"/>
      <c r="BX2" s="374"/>
      <c r="BY2" s="374"/>
      <c r="BZ2" s="374"/>
      <c r="CA2" s="374"/>
      <c r="CB2" s="374"/>
      <c r="CC2" s="374"/>
      <c r="CD2" s="374"/>
      <c r="CE2" s="374"/>
      <c r="CF2" s="374"/>
      <c r="CG2" s="374"/>
      <c r="CH2" s="374"/>
      <c r="CI2" s="374"/>
      <c r="CJ2" s="374"/>
      <c r="CK2" s="374"/>
      <c r="CL2" s="374"/>
      <c r="CM2" s="374"/>
      <c r="CN2" s="374"/>
      <c r="CO2" s="374"/>
      <c r="CP2" s="374"/>
      <c r="CQ2" s="374"/>
      <c r="CR2" s="374"/>
      <c r="CS2" s="374"/>
      <c r="CT2" s="374"/>
      <c r="CU2" s="374"/>
      <c r="CV2" s="374"/>
      <c r="CW2" s="374"/>
      <c r="CX2" s="374"/>
      <c r="CY2" s="374"/>
      <c r="CZ2" s="374"/>
      <c r="DA2" s="374"/>
      <c r="DB2" s="374"/>
      <c r="DC2" s="374"/>
      <c r="DD2" s="374"/>
      <c r="DE2" s="374"/>
      <c r="DF2" s="374"/>
      <c r="DG2" s="374"/>
      <c r="DH2" s="374"/>
      <c r="DI2" s="374"/>
      <c r="DJ2" s="374"/>
      <c r="DK2" s="374"/>
      <c r="DL2" s="374"/>
      <c r="DM2" s="374"/>
      <c r="DN2" s="374"/>
      <c r="DO2" s="374"/>
      <c r="DP2" s="374"/>
      <c r="DQ2" s="374"/>
      <c r="DR2" s="374"/>
      <c r="DS2" s="374"/>
      <c r="DT2" s="374"/>
      <c r="DU2" s="374"/>
      <c r="DV2" s="374"/>
      <c r="DW2" s="374"/>
      <c r="DX2" s="374"/>
      <c r="DY2" s="374"/>
      <c r="DZ2" s="374"/>
      <c r="EA2" s="374"/>
      <c r="EB2" s="374"/>
      <c r="EC2" s="374"/>
      <c r="ED2" s="374"/>
      <c r="EE2" s="374"/>
      <c r="EF2" s="374"/>
      <c r="EG2" s="374"/>
      <c r="EH2" s="374"/>
      <c r="EI2" s="374"/>
      <c r="EJ2" s="374"/>
      <c r="EK2" s="374"/>
      <c r="EL2" s="374"/>
      <c r="EM2" s="374"/>
      <c r="EN2" s="374"/>
      <c r="EO2" s="374"/>
      <c r="EP2" s="374"/>
      <c r="EQ2" s="374"/>
      <c r="ER2" s="374"/>
      <c r="ES2" s="374"/>
      <c r="ET2" s="374"/>
      <c r="EU2" s="374"/>
      <c r="EV2" s="374"/>
      <c r="EW2" s="374"/>
    </row>
    <row r="3" spans="1:153" s="377" customFormat="1" ht="10.050000000000001" customHeight="1" x14ac:dyDescent="0.25">
      <c r="A3" s="674"/>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6"/>
      <c r="EB3" s="376"/>
      <c r="EC3" s="376"/>
      <c r="ED3" s="376"/>
      <c r="EE3" s="376"/>
      <c r="EF3" s="376"/>
      <c r="EG3" s="376"/>
      <c r="EH3" s="376"/>
      <c r="EI3" s="376"/>
      <c r="EJ3" s="376"/>
      <c r="EK3" s="376"/>
      <c r="EL3" s="376"/>
      <c r="EM3" s="376"/>
      <c r="EN3" s="376"/>
      <c r="EO3" s="376"/>
      <c r="EP3" s="376"/>
      <c r="EQ3" s="376"/>
      <c r="ER3" s="376"/>
      <c r="ES3" s="376"/>
      <c r="ET3" s="376"/>
      <c r="EU3" s="376"/>
      <c r="EV3" s="376"/>
      <c r="EW3" s="376"/>
    </row>
    <row r="4" spans="1:153" ht="20.05" customHeight="1" x14ac:dyDescent="0.25">
      <c r="A4" s="675"/>
      <c r="B4" s="564" t="str">
        <f>HLOOKUP(LANGUAGE!$B$2,LANGUAGE!$C$14:$G$2500,1719)</f>
        <v>Head data</v>
      </c>
      <c r="C4" s="376"/>
      <c r="D4" s="376"/>
      <c r="E4" s="376"/>
      <c r="F4" s="376"/>
      <c r="G4" s="376"/>
      <c r="H4" s="376"/>
      <c r="I4" s="376"/>
      <c r="J4" s="376"/>
      <c r="K4" s="376"/>
      <c r="L4" s="376"/>
      <c r="M4" s="376"/>
      <c r="N4" s="376"/>
      <c r="O4" s="376"/>
      <c r="P4" s="397"/>
      <c r="Q4" s="376"/>
      <c r="R4" s="376"/>
      <c r="S4" s="376"/>
      <c r="T4" s="376"/>
      <c r="U4" s="376"/>
      <c r="V4" s="376"/>
      <c r="W4" s="376"/>
      <c r="X4" s="376"/>
      <c r="Y4" s="376"/>
      <c r="Z4" s="376"/>
      <c r="AA4" s="376"/>
      <c r="AB4" s="376"/>
    </row>
    <row r="5" spans="1:153" ht="20.05" customHeight="1" x14ac:dyDescent="0.25">
      <c r="A5" s="675"/>
      <c r="B5" s="392" t="str">
        <f>HLOOKUP(LANGUAGE!$B$2,LANGUAGE!$C$14:$G$2500,1721)</f>
        <v xml:space="preserve">Part-description: </v>
      </c>
      <c r="C5" s="392"/>
      <c r="D5" s="2869" t="str">
        <f>IF('opt. MA_1'!H5="","",'opt. MA_1'!H5)</f>
        <v/>
      </c>
      <c r="E5" s="2869"/>
      <c r="F5" s="2869"/>
      <c r="G5" s="392"/>
      <c r="H5" s="2863"/>
      <c r="I5" s="2863"/>
      <c r="J5" s="2863"/>
      <c r="K5" s="2863"/>
      <c r="L5" s="2863"/>
      <c r="M5" s="2863"/>
      <c r="N5" s="2863"/>
      <c r="O5" s="604"/>
      <c r="P5" s="389" t="str">
        <f>HLOOKUP(LANGUAGE!$B$2,LANGUAGE!$C$14:$G$2500,1723)</f>
        <v xml:space="preserve">Project: </v>
      </c>
      <c r="Q5" s="604"/>
      <c r="R5" s="2862" t="str">
        <f>IF('opt. MA_1'!V5="","",'opt. MA_1'!V5)</f>
        <v/>
      </c>
      <c r="S5" s="2869"/>
      <c r="T5" s="2869"/>
      <c r="U5" s="612"/>
      <c r="V5" s="2863"/>
      <c r="W5" s="2863"/>
      <c r="X5" s="2863"/>
      <c r="Y5" s="2863"/>
      <c r="Z5" s="2863"/>
      <c r="AA5" s="2863"/>
      <c r="AB5" s="2863"/>
    </row>
    <row r="6" spans="1:153" ht="20.05" customHeight="1" x14ac:dyDescent="0.25">
      <c r="A6" s="675"/>
      <c r="B6" s="393" t="str">
        <f>HLOOKUP(LANGUAGE!$B$2,LANGUAGE!$C$14:$G$2500,1725)</f>
        <v>Material-no.+index:</v>
      </c>
      <c r="C6" s="393"/>
      <c r="D6" s="2869" t="str">
        <f>IF('opt. MA_1'!H6="","",'opt. MA_1'!H6)</f>
        <v/>
      </c>
      <c r="E6" s="2869"/>
      <c r="F6" s="2869"/>
      <c r="G6" s="392"/>
      <c r="H6" s="2863"/>
      <c r="I6" s="2863"/>
      <c r="J6" s="2863"/>
      <c r="K6" s="2863"/>
      <c r="L6" s="2863"/>
      <c r="M6" s="2863"/>
      <c r="N6" s="2863"/>
      <c r="O6" s="382"/>
      <c r="P6" s="379" t="str">
        <f>HLOOKUP(LANGUAGE!$B$2,LANGUAGE!$C$14:$G$2500,1727)</f>
        <v xml:space="preserve">Company/ supplier-no.: </v>
      </c>
      <c r="Q6" s="376"/>
      <c r="R6" s="2862" t="str">
        <f>IF('opt. MA_1'!V6="","",'opt. MA_1'!V6)</f>
        <v/>
      </c>
      <c r="S6" s="2869"/>
      <c r="T6" s="2869"/>
      <c r="U6" s="612"/>
      <c r="V6" s="2863"/>
      <c r="W6" s="2863"/>
      <c r="X6" s="2863"/>
      <c r="Y6" s="2863"/>
      <c r="Z6" s="2863"/>
      <c r="AA6" s="2863"/>
      <c r="AB6" s="2863"/>
    </row>
    <row r="7" spans="1:153" ht="20.05" customHeight="1" x14ac:dyDescent="0.25">
      <c r="A7" s="675"/>
      <c r="B7" s="389" t="str">
        <f>HLOOKUP(LANGUAGE!$B$2,LANGUAGE!$C$14:$G$2500,1729)</f>
        <v xml:space="preserve">Drawing-no.+index: </v>
      </c>
      <c r="C7" s="611"/>
      <c r="D7" s="2869" t="str">
        <f>IF('opt. MA_1'!H7="","",'opt. MA_1'!H7)</f>
        <v/>
      </c>
      <c r="E7" s="2869"/>
      <c r="F7" s="2869"/>
      <c r="G7" s="392"/>
      <c r="H7" s="2863"/>
      <c r="I7" s="2863"/>
      <c r="J7" s="2863"/>
      <c r="K7" s="2863"/>
      <c r="L7" s="2863"/>
      <c r="M7" s="2863"/>
      <c r="N7" s="2863"/>
      <c r="O7" s="383"/>
      <c r="P7" s="389" t="str">
        <f>HLOOKUP(LANGUAGE!$B$2,LANGUAGE!$C$14:$G$2500,1731)</f>
        <v>Location/country:</v>
      </c>
      <c r="Q7" s="389"/>
      <c r="R7" s="2862" t="str">
        <f>IF('opt. MA_1'!V7="","",'opt. MA_1'!V7)</f>
        <v/>
      </c>
      <c r="S7" s="2869"/>
      <c r="T7" s="2869"/>
      <c r="U7" s="394"/>
      <c r="V7" s="2863"/>
      <c r="W7" s="2863"/>
      <c r="X7" s="2863"/>
      <c r="Y7" s="2863"/>
      <c r="Z7" s="2863"/>
      <c r="AA7" s="2863"/>
      <c r="AB7" s="2863"/>
    </row>
    <row r="8" spans="1:153" ht="20.05" customHeight="1" x14ac:dyDescent="0.3">
      <c r="A8" s="566"/>
      <c r="B8" s="389" t="str">
        <f>HLOOKUP(LANGUAGE!$B$2,LANGUAGE!$C$14:$G$2500,1733)</f>
        <v xml:space="preserve">part index 3D-model: </v>
      </c>
      <c r="C8" s="389"/>
      <c r="D8" s="2869" t="str">
        <f>IF('opt. MA_1'!H8="","",'opt. MA_1'!H8)</f>
        <v/>
      </c>
      <c r="E8" s="2869"/>
      <c r="F8" s="2869"/>
      <c r="G8" s="389"/>
      <c r="H8" s="2863"/>
      <c r="I8" s="2863"/>
      <c r="J8" s="2863"/>
      <c r="K8" s="2863"/>
      <c r="L8" s="2863"/>
      <c r="M8" s="2863"/>
      <c r="N8" s="2863"/>
      <c r="O8" s="384"/>
      <c r="P8" s="389" t="str">
        <f>HLOOKUP(LANGUAGE!$B$2,LANGUAGE!$C$14:$G$2500,1735)</f>
        <v xml:space="preserve">Delivery plant Brose: </v>
      </c>
      <c r="Q8" s="553"/>
      <c r="R8" s="2862" t="str">
        <f>IF('opt. MA_1'!V8="","",'opt. MA_1'!V8)</f>
        <v/>
      </c>
      <c r="S8" s="2869"/>
      <c r="T8" s="2869"/>
      <c r="U8" s="394"/>
      <c r="V8" s="2863"/>
      <c r="W8" s="2863"/>
      <c r="X8" s="2863"/>
      <c r="Y8" s="2863"/>
      <c r="Z8" s="2863"/>
      <c r="AA8" s="2863"/>
      <c r="AB8" s="2863"/>
    </row>
    <row r="9" spans="1:153" ht="10.050000000000001" customHeight="1" x14ac:dyDescent="0.25">
      <c r="A9" s="675"/>
    </row>
    <row r="10" spans="1:153" ht="20.7" x14ac:dyDescent="0.25">
      <c r="A10" s="675"/>
      <c r="B10" s="378" t="str">
        <f>HLOOKUP(LANGUAGE!$B$2,LANGUAGE!$C$14:$G$2500,1714)</f>
        <v>Basic Orientation</v>
      </c>
    </row>
    <row r="11" spans="1:153" ht="10.050000000000001" customHeight="1" x14ac:dyDescent="0.25">
      <c r="A11" s="675"/>
      <c r="B11" s="564"/>
      <c r="C11" s="376"/>
      <c r="D11" s="376"/>
      <c r="E11" s="376"/>
      <c r="F11" s="376"/>
      <c r="G11" s="376"/>
      <c r="H11" s="376"/>
      <c r="I11" s="376"/>
      <c r="J11" s="376"/>
      <c r="K11" s="376"/>
      <c r="L11" s="376"/>
      <c r="M11" s="376"/>
      <c r="N11" s="376"/>
      <c r="O11" s="376"/>
      <c r="P11" s="397"/>
      <c r="Q11" s="376"/>
      <c r="R11" s="376"/>
      <c r="S11" s="376"/>
      <c r="T11" s="376"/>
      <c r="U11" s="376"/>
      <c r="V11" s="376"/>
      <c r="W11" s="376"/>
      <c r="X11" s="376"/>
      <c r="Y11" s="376"/>
      <c r="Z11" s="376"/>
      <c r="AA11" s="376"/>
      <c r="AB11" s="376"/>
    </row>
    <row r="12" spans="1:153" ht="38.200000000000003" customHeight="1" x14ac:dyDescent="0.25">
      <c r="A12" s="675"/>
      <c r="B12" s="2872" t="str">
        <f>HLOOKUP(LANGUAGE!$B$2,LANGUAGE!$C$14:$G$2500,2366)</f>
        <v>Datum</v>
      </c>
      <c r="C12" s="2873"/>
      <c r="D12" s="2879" t="str">
        <f>HLOOKUP(LANGUAGE!$B$2,LANGUAGE!$C$14:$G$2500,2367)</f>
        <v>Number of reference points</v>
      </c>
      <c r="E12" s="2880"/>
      <c r="F12" s="2876" t="str">
        <f>HLOOKUP(LANGUAGE!$B$2,LANGUAGE!$C$14:$G$2500,2368)</f>
        <v>Description: Datum / Refernce points / Reference Lines</v>
      </c>
      <c r="G12" s="2877"/>
      <c r="H12" s="2877"/>
      <c r="I12" s="2877"/>
      <c r="J12" s="2877"/>
      <c r="K12" s="2877"/>
      <c r="L12" s="2877"/>
      <c r="M12" s="2877"/>
      <c r="N12" s="2877"/>
      <c r="O12" s="2877"/>
      <c r="P12" s="2877"/>
      <c r="Q12" s="2877"/>
      <c r="R12" s="2877"/>
      <c r="S12" s="2877"/>
      <c r="T12" s="2877"/>
      <c r="U12" s="2877"/>
      <c r="V12" s="2877"/>
      <c r="W12" s="2877"/>
      <c r="X12" s="2877"/>
      <c r="Y12" s="2877"/>
      <c r="Z12" s="2878"/>
      <c r="AA12" s="2874" t="str">
        <f>HLOOKUP(LANGUAGE!$B$2,LANGUAGE!$C$14:$G$2500,2369)</f>
        <v>Picture - No.</v>
      </c>
      <c r="AB12" s="2874"/>
    </row>
    <row r="13" spans="1:153" s="563" customFormat="1" ht="20.05" customHeight="1" x14ac:dyDescent="0.25">
      <c r="B13" s="2864"/>
      <c r="C13" s="2865"/>
      <c r="D13" s="2864"/>
      <c r="E13" s="2865"/>
      <c r="F13" s="2866"/>
      <c r="G13" s="2867"/>
      <c r="H13" s="2867"/>
      <c r="I13" s="2867"/>
      <c r="J13" s="2867"/>
      <c r="K13" s="2867"/>
      <c r="L13" s="2867"/>
      <c r="M13" s="2867"/>
      <c r="N13" s="2867"/>
      <c r="O13" s="2867"/>
      <c r="P13" s="2867"/>
      <c r="Q13" s="2867"/>
      <c r="R13" s="2867"/>
      <c r="S13" s="2867"/>
      <c r="T13" s="2867"/>
      <c r="U13" s="2867"/>
      <c r="V13" s="2867"/>
      <c r="W13" s="2867"/>
      <c r="X13" s="2867"/>
      <c r="Y13" s="2867"/>
      <c r="Z13" s="2868"/>
      <c r="AA13" s="2871">
        <v>1</v>
      </c>
      <c r="AB13" s="2871"/>
    </row>
    <row r="14" spans="1:153" s="563" customFormat="1" ht="20.05" customHeight="1" x14ac:dyDescent="0.25">
      <c r="B14" s="2864"/>
      <c r="C14" s="2865"/>
      <c r="D14" s="2864"/>
      <c r="E14" s="2865"/>
      <c r="F14" s="2866"/>
      <c r="G14" s="2867"/>
      <c r="H14" s="2867"/>
      <c r="I14" s="2867"/>
      <c r="J14" s="2867"/>
      <c r="K14" s="2867"/>
      <c r="L14" s="2867"/>
      <c r="M14" s="2867"/>
      <c r="N14" s="2867"/>
      <c r="O14" s="2867"/>
      <c r="P14" s="2867"/>
      <c r="Q14" s="2867"/>
      <c r="R14" s="2867"/>
      <c r="S14" s="2867"/>
      <c r="T14" s="2867"/>
      <c r="U14" s="2867"/>
      <c r="V14" s="2867"/>
      <c r="W14" s="2867"/>
      <c r="X14" s="2867"/>
      <c r="Y14" s="2867"/>
      <c r="Z14" s="2868"/>
      <c r="AA14" s="2871">
        <v>2</v>
      </c>
      <c r="AB14" s="2871"/>
    </row>
    <row r="15" spans="1:153" s="563" customFormat="1" ht="20.05" customHeight="1" x14ac:dyDescent="0.25">
      <c r="B15" s="2864"/>
      <c r="C15" s="2865"/>
      <c r="D15" s="2864"/>
      <c r="E15" s="2865"/>
      <c r="F15" s="2866"/>
      <c r="G15" s="2867"/>
      <c r="H15" s="2867"/>
      <c r="I15" s="2867"/>
      <c r="J15" s="2867"/>
      <c r="K15" s="2867"/>
      <c r="L15" s="2867"/>
      <c r="M15" s="2867"/>
      <c r="N15" s="2867"/>
      <c r="O15" s="2867"/>
      <c r="P15" s="2867"/>
      <c r="Q15" s="2867"/>
      <c r="R15" s="2867"/>
      <c r="S15" s="2867"/>
      <c r="T15" s="2867"/>
      <c r="U15" s="2867"/>
      <c r="V15" s="2867"/>
      <c r="W15" s="2867"/>
      <c r="X15" s="2867"/>
      <c r="Y15" s="2867"/>
      <c r="Z15" s="2868"/>
      <c r="AA15" s="2871">
        <v>3</v>
      </c>
      <c r="AB15" s="2871"/>
    </row>
    <row r="16" spans="1:153" s="563" customFormat="1" ht="20.05" customHeight="1" x14ac:dyDescent="0.25">
      <c r="B16" s="2864"/>
      <c r="C16" s="2865"/>
      <c r="D16" s="2864"/>
      <c r="E16" s="2865"/>
      <c r="F16" s="2866"/>
      <c r="G16" s="2867"/>
      <c r="H16" s="2867"/>
      <c r="I16" s="2867"/>
      <c r="J16" s="2867"/>
      <c r="K16" s="2867"/>
      <c r="L16" s="2867"/>
      <c r="M16" s="2867"/>
      <c r="N16" s="2867"/>
      <c r="O16" s="2867"/>
      <c r="P16" s="2867"/>
      <c r="Q16" s="2867"/>
      <c r="R16" s="2867"/>
      <c r="S16" s="2867"/>
      <c r="T16" s="2867"/>
      <c r="U16" s="2867"/>
      <c r="V16" s="2867"/>
      <c r="W16" s="2867"/>
      <c r="X16" s="2867"/>
      <c r="Y16" s="2867"/>
      <c r="Z16" s="2868"/>
      <c r="AA16" s="2871">
        <v>4</v>
      </c>
      <c r="AB16" s="2871"/>
    </row>
    <row r="17" spans="1:28" s="563" customFormat="1" ht="20.05" customHeight="1" x14ac:dyDescent="0.25">
      <c r="B17" s="2864"/>
      <c r="C17" s="2865"/>
      <c r="D17" s="2864"/>
      <c r="E17" s="2865"/>
      <c r="F17" s="2866"/>
      <c r="G17" s="2867"/>
      <c r="H17" s="2867"/>
      <c r="I17" s="2867"/>
      <c r="J17" s="2867"/>
      <c r="K17" s="2867"/>
      <c r="L17" s="2867"/>
      <c r="M17" s="2867"/>
      <c r="N17" s="2867"/>
      <c r="O17" s="2867"/>
      <c r="P17" s="2867"/>
      <c r="Q17" s="2867"/>
      <c r="R17" s="2867"/>
      <c r="S17" s="2867"/>
      <c r="T17" s="2867"/>
      <c r="U17" s="2867"/>
      <c r="V17" s="2867"/>
      <c r="W17" s="2867"/>
      <c r="X17" s="2867"/>
      <c r="Y17" s="2867"/>
      <c r="Z17" s="2868"/>
      <c r="AA17" s="2871">
        <v>5</v>
      </c>
      <c r="AB17" s="2871"/>
    </row>
    <row r="18" spans="1:28" s="563" customFormat="1" ht="20.05" customHeight="1" x14ac:dyDescent="0.25">
      <c r="B18" s="2864"/>
      <c r="C18" s="2865"/>
      <c r="D18" s="2864"/>
      <c r="E18" s="2865"/>
      <c r="F18" s="2866"/>
      <c r="G18" s="2867"/>
      <c r="H18" s="2867"/>
      <c r="I18" s="2867"/>
      <c r="J18" s="2867"/>
      <c r="K18" s="2867"/>
      <c r="L18" s="2867"/>
      <c r="M18" s="2867"/>
      <c r="N18" s="2867"/>
      <c r="O18" s="2867"/>
      <c r="P18" s="2867"/>
      <c r="Q18" s="2867"/>
      <c r="R18" s="2867"/>
      <c r="S18" s="2867"/>
      <c r="T18" s="2867"/>
      <c r="U18" s="2867"/>
      <c r="V18" s="2867"/>
      <c r="W18" s="2867"/>
      <c r="X18" s="2867"/>
      <c r="Y18" s="2867"/>
      <c r="Z18" s="2868"/>
      <c r="AA18" s="2871">
        <v>6</v>
      </c>
      <c r="AB18" s="2871"/>
    </row>
    <row r="19" spans="1:28" ht="5.2" customHeight="1" x14ac:dyDescent="0.25">
      <c r="A19" s="675"/>
    </row>
    <row r="20" spans="1:28" s="376" customFormat="1" ht="24.75" customHeight="1" x14ac:dyDescent="0.25">
      <c r="A20" s="674"/>
      <c r="B20" s="378" t="str">
        <f>HLOOKUP(LANGUAGE!$B$2,LANGUAGE!$C$14:$G$2500,2370)</f>
        <v>Pictures</v>
      </c>
    </row>
    <row r="21" spans="1:28" s="376" customFormat="1" ht="5.2" customHeight="1" x14ac:dyDescent="0.3">
      <c r="A21" s="674"/>
      <c r="B21" s="404"/>
    </row>
    <row r="22" spans="1:28" ht="24.9" customHeight="1" x14ac:dyDescent="0.25">
      <c r="A22" s="675"/>
      <c r="B22" s="2875" t="s">
        <v>2288</v>
      </c>
      <c r="C22" s="2875"/>
      <c r="D22" s="2875"/>
      <c r="E22" s="2875"/>
      <c r="F22" s="2875"/>
      <c r="G22" s="2875"/>
      <c r="H22" s="2875"/>
      <c r="I22" s="2875"/>
      <c r="J22" s="2875"/>
      <c r="K22" s="2875"/>
      <c r="L22" s="2875"/>
      <c r="M22" s="2875"/>
      <c r="N22" s="2875"/>
      <c r="Q22" s="2875" t="s">
        <v>2289</v>
      </c>
      <c r="R22" s="2875"/>
      <c r="S22" s="2875"/>
      <c r="T22" s="2875"/>
      <c r="U22" s="2875"/>
      <c r="V22" s="2875"/>
      <c r="W22" s="2875"/>
      <c r="X22" s="2875"/>
      <c r="Y22" s="2875"/>
      <c r="Z22" s="2875"/>
      <c r="AA22" s="2875"/>
      <c r="AB22" s="2875"/>
    </row>
    <row r="23" spans="1:28" ht="50.1" customHeight="1" x14ac:dyDescent="0.25">
      <c r="A23" s="675"/>
      <c r="B23" s="557"/>
      <c r="C23" s="562"/>
      <c r="D23" s="562"/>
      <c r="E23" s="562"/>
      <c r="F23" s="562"/>
      <c r="G23" s="562"/>
      <c r="H23" s="562"/>
      <c r="I23" s="562"/>
      <c r="J23" s="562"/>
      <c r="K23" s="562"/>
      <c r="L23" s="562"/>
      <c r="M23" s="562"/>
      <c r="N23" s="558"/>
      <c r="Q23" s="557"/>
      <c r="R23" s="562"/>
      <c r="S23" s="562"/>
      <c r="T23" s="562"/>
      <c r="U23" s="562"/>
      <c r="V23" s="562"/>
      <c r="W23" s="562"/>
      <c r="X23" s="562"/>
      <c r="Y23" s="562"/>
      <c r="Z23" s="562"/>
      <c r="AA23" s="562"/>
      <c r="AB23" s="558"/>
    </row>
    <row r="24" spans="1:28" ht="50.1" customHeight="1" x14ac:dyDescent="0.25">
      <c r="A24" s="675"/>
      <c r="B24" s="557"/>
      <c r="C24" s="562"/>
      <c r="D24" s="562"/>
      <c r="E24" s="562"/>
      <c r="F24" s="562"/>
      <c r="G24" s="562"/>
      <c r="H24" s="562"/>
      <c r="I24" s="562"/>
      <c r="J24" s="562"/>
      <c r="K24" s="562"/>
      <c r="L24" s="562"/>
      <c r="M24" s="562"/>
      <c r="N24" s="558"/>
      <c r="Q24" s="557"/>
      <c r="R24" s="562"/>
      <c r="S24" s="562"/>
      <c r="T24" s="562"/>
      <c r="U24" s="562"/>
      <c r="V24" s="562"/>
      <c r="W24" s="562"/>
      <c r="X24" s="562"/>
      <c r="Y24" s="562"/>
      <c r="Z24" s="562"/>
      <c r="AA24" s="562"/>
      <c r="AB24" s="558"/>
    </row>
    <row r="25" spans="1:28" ht="50.1" customHeight="1" x14ac:dyDescent="0.25">
      <c r="A25" s="675"/>
      <c r="B25" s="557"/>
      <c r="C25" s="562"/>
      <c r="D25" s="562"/>
      <c r="E25" s="562"/>
      <c r="F25" s="562"/>
      <c r="G25" s="562"/>
      <c r="H25" s="562"/>
      <c r="I25" s="562"/>
      <c r="J25" s="562"/>
      <c r="K25" s="562"/>
      <c r="L25" s="562"/>
      <c r="M25" s="562"/>
      <c r="N25" s="558"/>
      <c r="Q25" s="557"/>
      <c r="R25" s="562"/>
      <c r="S25" s="562"/>
      <c r="T25" s="562"/>
      <c r="U25" s="562"/>
      <c r="V25" s="562"/>
      <c r="W25" s="562"/>
      <c r="X25" s="562"/>
      <c r="Y25" s="562"/>
      <c r="Z25" s="562"/>
      <c r="AA25" s="562"/>
      <c r="AB25" s="558"/>
    </row>
    <row r="26" spans="1:28" ht="50.1" customHeight="1" x14ac:dyDescent="0.25">
      <c r="A26" s="675"/>
      <c r="B26" s="557"/>
      <c r="C26" s="562"/>
      <c r="D26" s="562"/>
      <c r="E26" s="562"/>
      <c r="F26" s="562"/>
      <c r="G26" s="562"/>
      <c r="H26" s="562"/>
      <c r="I26" s="562"/>
      <c r="J26" s="562"/>
      <c r="K26" s="562"/>
      <c r="L26" s="562"/>
      <c r="M26" s="562"/>
      <c r="N26" s="558"/>
      <c r="Q26" s="557"/>
      <c r="R26" s="562"/>
      <c r="S26" s="562"/>
      <c r="T26" s="562"/>
      <c r="U26" s="562"/>
      <c r="V26" s="562"/>
      <c r="W26" s="562"/>
      <c r="X26" s="562"/>
      <c r="Y26" s="562"/>
      <c r="Z26" s="562"/>
      <c r="AA26" s="562"/>
      <c r="AB26" s="558"/>
    </row>
    <row r="27" spans="1:28" ht="50.1" customHeight="1" x14ac:dyDescent="0.25">
      <c r="A27" s="675"/>
      <c r="B27" s="557"/>
      <c r="C27" s="562"/>
      <c r="D27" s="562"/>
      <c r="E27" s="562"/>
      <c r="F27" s="562"/>
      <c r="G27" s="562"/>
      <c r="H27" s="562"/>
      <c r="I27" s="562"/>
      <c r="J27" s="562"/>
      <c r="K27" s="562"/>
      <c r="L27" s="562"/>
      <c r="M27" s="562"/>
      <c r="N27" s="558"/>
      <c r="Q27" s="557"/>
      <c r="R27" s="562"/>
      <c r="S27" s="562"/>
      <c r="T27" s="562"/>
      <c r="U27" s="562"/>
      <c r="V27" s="562"/>
      <c r="W27" s="562"/>
      <c r="X27" s="562"/>
      <c r="Y27" s="562"/>
      <c r="Z27" s="562"/>
      <c r="AA27" s="562"/>
      <c r="AB27" s="558"/>
    </row>
    <row r="28" spans="1:28" ht="50.1" customHeight="1" x14ac:dyDescent="0.25">
      <c r="A28" s="675"/>
      <c r="B28" s="557"/>
      <c r="C28" s="562"/>
      <c r="D28" s="562"/>
      <c r="E28" s="562"/>
      <c r="F28" s="562"/>
      <c r="G28" s="562"/>
      <c r="H28" s="562"/>
      <c r="I28" s="562"/>
      <c r="J28" s="562"/>
      <c r="K28" s="562"/>
      <c r="L28" s="562"/>
      <c r="M28" s="562"/>
      <c r="N28" s="558"/>
      <c r="Q28" s="557"/>
      <c r="R28" s="562"/>
      <c r="S28" s="562"/>
      <c r="T28" s="562"/>
      <c r="U28" s="562"/>
      <c r="V28" s="562"/>
      <c r="W28" s="562"/>
      <c r="X28" s="562"/>
      <c r="Y28" s="562"/>
      <c r="Z28" s="562"/>
      <c r="AA28" s="562"/>
      <c r="AB28" s="558"/>
    </row>
    <row r="29" spans="1:28" ht="50.1" customHeight="1" x14ac:dyDescent="0.25">
      <c r="A29" s="675"/>
      <c r="B29" s="557"/>
      <c r="C29" s="562"/>
      <c r="D29" s="562"/>
      <c r="E29" s="562"/>
      <c r="F29" s="562"/>
      <c r="G29" s="562"/>
      <c r="H29" s="562"/>
      <c r="I29" s="562"/>
      <c r="J29" s="562"/>
      <c r="K29" s="562"/>
      <c r="L29" s="562"/>
      <c r="M29" s="562"/>
      <c r="N29" s="558"/>
      <c r="Q29" s="557"/>
      <c r="R29" s="562"/>
      <c r="S29" s="562"/>
      <c r="T29" s="562"/>
      <c r="U29" s="562"/>
      <c r="V29" s="562"/>
      <c r="W29" s="562"/>
      <c r="X29" s="562"/>
      <c r="Y29" s="562"/>
      <c r="Z29" s="562"/>
      <c r="AA29" s="562"/>
      <c r="AB29" s="558"/>
    </row>
    <row r="30" spans="1:28" ht="50.1" customHeight="1" x14ac:dyDescent="0.25">
      <c r="A30" s="675"/>
      <c r="B30" s="559"/>
      <c r="C30" s="560"/>
      <c r="D30" s="560"/>
      <c r="E30" s="560"/>
      <c r="F30" s="560"/>
      <c r="G30" s="560"/>
      <c r="H30" s="560"/>
      <c r="I30" s="560"/>
      <c r="J30" s="560"/>
      <c r="K30" s="560"/>
      <c r="L30" s="560"/>
      <c r="M30" s="560"/>
      <c r="N30" s="561"/>
      <c r="Q30" s="559"/>
      <c r="R30" s="560"/>
      <c r="S30" s="560"/>
      <c r="T30" s="560"/>
      <c r="U30" s="560"/>
      <c r="V30" s="560"/>
      <c r="W30" s="560"/>
      <c r="X30" s="560"/>
      <c r="Y30" s="560"/>
      <c r="Z30" s="560"/>
      <c r="AA30" s="560"/>
      <c r="AB30" s="561"/>
    </row>
    <row r="31" spans="1:28" ht="10.050000000000001" customHeight="1" x14ac:dyDescent="0.25">
      <c r="A31" s="675"/>
      <c r="B31" s="555"/>
      <c r="C31" s="555"/>
      <c r="D31" s="555"/>
      <c r="E31" s="555"/>
      <c r="F31" s="555"/>
      <c r="G31" s="555"/>
      <c r="H31" s="555"/>
      <c r="I31" s="555"/>
      <c r="J31" s="555"/>
      <c r="K31" s="555"/>
      <c r="L31" s="555"/>
      <c r="M31" s="555"/>
      <c r="N31" s="555"/>
      <c r="O31" s="555"/>
      <c r="R31" s="555"/>
      <c r="S31" s="555"/>
      <c r="T31" s="555"/>
      <c r="U31" s="555"/>
      <c r="V31" s="555"/>
    </row>
    <row r="32" spans="1:28" ht="24.9" customHeight="1" x14ac:dyDescent="0.25">
      <c r="A32" s="675"/>
      <c r="B32" s="2875" t="s">
        <v>2290</v>
      </c>
      <c r="C32" s="2875"/>
      <c r="D32" s="2875"/>
      <c r="E32" s="2875"/>
      <c r="F32" s="2875"/>
      <c r="G32" s="2875"/>
      <c r="H32" s="2875"/>
      <c r="I32" s="2875"/>
      <c r="J32" s="2875"/>
      <c r="K32" s="2875"/>
      <c r="L32" s="2875"/>
      <c r="M32" s="2875"/>
      <c r="N32" s="2875"/>
      <c r="Q32" s="2875" t="s">
        <v>2291</v>
      </c>
      <c r="R32" s="2875"/>
      <c r="S32" s="2875"/>
      <c r="T32" s="2875"/>
      <c r="U32" s="2875"/>
      <c r="V32" s="2875"/>
      <c r="W32" s="2875"/>
      <c r="X32" s="2875"/>
      <c r="Y32" s="2875"/>
      <c r="Z32" s="2875"/>
      <c r="AA32" s="2875"/>
      <c r="AB32" s="2875"/>
    </row>
    <row r="33" spans="2:28" ht="50.1" customHeight="1" x14ac:dyDescent="0.25">
      <c r="B33" s="557"/>
      <c r="C33" s="562"/>
      <c r="D33" s="562"/>
      <c r="E33" s="562"/>
      <c r="F33" s="562"/>
      <c r="G33" s="562"/>
      <c r="H33" s="562"/>
      <c r="I33" s="562"/>
      <c r="J33" s="562"/>
      <c r="K33" s="562"/>
      <c r="L33" s="562"/>
      <c r="M33" s="562"/>
      <c r="N33" s="558"/>
      <c r="Q33" s="557"/>
      <c r="R33" s="562"/>
      <c r="S33" s="562"/>
      <c r="T33" s="562"/>
      <c r="U33" s="562"/>
      <c r="V33" s="562"/>
      <c r="W33" s="562"/>
      <c r="X33" s="562"/>
      <c r="Y33" s="562"/>
      <c r="Z33" s="562"/>
      <c r="AA33" s="562"/>
      <c r="AB33" s="558"/>
    </row>
    <row r="34" spans="2:28" ht="50.1" customHeight="1" x14ac:dyDescent="0.25">
      <c r="B34" s="557"/>
      <c r="C34" s="562"/>
      <c r="D34" s="562"/>
      <c r="E34" s="562"/>
      <c r="F34" s="562"/>
      <c r="G34" s="562"/>
      <c r="H34" s="562"/>
      <c r="I34" s="562"/>
      <c r="J34" s="562"/>
      <c r="K34" s="562"/>
      <c r="L34" s="562"/>
      <c r="M34" s="562"/>
      <c r="N34" s="558"/>
      <c r="Q34" s="557"/>
      <c r="R34" s="562"/>
      <c r="S34" s="562"/>
      <c r="T34" s="562"/>
      <c r="U34" s="562"/>
      <c r="V34" s="562"/>
      <c r="W34" s="562"/>
      <c r="X34" s="562"/>
      <c r="Y34" s="562"/>
      <c r="Z34" s="562"/>
      <c r="AA34" s="562"/>
      <c r="AB34" s="558"/>
    </row>
    <row r="35" spans="2:28" ht="50.1" customHeight="1" x14ac:dyDescent="0.25">
      <c r="B35" s="557"/>
      <c r="C35" s="562"/>
      <c r="D35" s="562"/>
      <c r="E35" s="562"/>
      <c r="F35" s="562"/>
      <c r="G35" s="562"/>
      <c r="H35" s="562"/>
      <c r="I35" s="562"/>
      <c r="J35" s="562"/>
      <c r="K35" s="562"/>
      <c r="L35" s="562"/>
      <c r="M35" s="562"/>
      <c r="N35" s="558"/>
      <c r="Q35" s="557"/>
      <c r="R35" s="562"/>
      <c r="S35" s="562"/>
      <c r="T35" s="562"/>
      <c r="U35" s="562"/>
      <c r="V35" s="562"/>
      <c r="W35" s="562"/>
      <c r="X35" s="562"/>
      <c r="Y35" s="562"/>
      <c r="Z35" s="562"/>
      <c r="AA35" s="562"/>
      <c r="AB35" s="558"/>
    </row>
    <row r="36" spans="2:28" ht="50.1" customHeight="1" x14ac:dyDescent="0.25">
      <c r="B36" s="557"/>
      <c r="C36" s="562"/>
      <c r="D36" s="562"/>
      <c r="E36" s="562"/>
      <c r="F36" s="562"/>
      <c r="G36" s="562"/>
      <c r="H36" s="562"/>
      <c r="I36" s="562"/>
      <c r="J36" s="562"/>
      <c r="K36" s="562"/>
      <c r="L36" s="562"/>
      <c r="M36" s="562"/>
      <c r="N36" s="558"/>
      <c r="Q36" s="557"/>
      <c r="R36" s="562"/>
      <c r="S36" s="562"/>
      <c r="T36" s="562"/>
      <c r="U36" s="562"/>
      <c r="V36" s="562"/>
      <c r="W36" s="562"/>
      <c r="X36" s="562"/>
      <c r="Y36" s="562"/>
      <c r="Z36" s="562"/>
      <c r="AA36" s="562"/>
      <c r="AB36" s="558"/>
    </row>
    <row r="37" spans="2:28" ht="50.1" customHeight="1" x14ac:dyDescent="0.25">
      <c r="B37" s="557"/>
      <c r="C37" s="562"/>
      <c r="D37" s="562"/>
      <c r="E37" s="562"/>
      <c r="F37" s="562"/>
      <c r="G37" s="562"/>
      <c r="H37" s="562"/>
      <c r="I37" s="562"/>
      <c r="J37" s="562"/>
      <c r="K37" s="562"/>
      <c r="L37" s="562"/>
      <c r="M37" s="562"/>
      <c r="N37" s="558"/>
      <c r="Q37" s="557"/>
      <c r="R37" s="562"/>
      <c r="S37" s="562"/>
      <c r="T37" s="562"/>
      <c r="U37" s="562"/>
      <c r="V37" s="562"/>
      <c r="W37" s="562"/>
      <c r="X37" s="562"/>
      <c r="Y37" s="562"/>
      <c r="Z37" s="562"/>
      <c r="AA37" s="562"/>
      <c r="AB37" s="558"/>
    </row>
    <row r="38" spans="2:28" ht="50.1" customHeight="1" x14ac:dyDescent="0.25">
      <c r="B38" s="557"/>
      <c r="C38" s="562"/>
      <c r="D38" s="562"/>
      <c r="E38" s="562"/>
      <c r="F38" s="562"/>
      <c r="G38" s="562"/>
      <c r="H38" s="562"/>
      <c r="I38" s="562"/>
      <c r="J38" s="562"/>
      <c r="K38" s="562"/>
      <c r="L38" s="562"/>
      <c r="M38" s="562"/>
      <c r="N38" s="558"/>
      <c r="Q38" s="557"/>
      <c r="R38" s="562"/>
      <c r="S38" s="562"/>
      <c r="T38" s="562"/>
      <c r="U38" s="562"/>
      <c r="V38" s="562"/>
      <c r="W38" s="562"/>
      <c r="X38" s="562"/>
      <c r="Y38" s="562"/>
      <c r="Z38" s="562"/>
      <c r="AA38" s="562"/>
      <c r="AB38" s="558"/>
    </row>
    <row r="39" spans="2:28" ht="50.1" customHeight="1" x14ac:dyDescent="0.25">
      <c r="B39" s="557"/>
      <c r="C39" s="562"/>
      <c r="D39" s="562"/>
      <c r="E39" s="562"/>
      <c r="F39" s="562"/>
      <c r="G39" s="562"/>
      <c r="H39" s="562"/>
      <c r="I39" s="562"/>
      <c r="J39" s="562"/>
      <c r="K39" s="562"/>
      <c r="L39" s="562"/>
      <c r="M39" s="562"/>
      <c r="N39" s="558"/>
      <c r="Q39" s="557"/>
      <c r="R39" s="562"/>
      <c r="S39" s="562"/>
      <c r="T39" s="562"/>
      <c r="U39" s="562"/>
      <c r="V39" s="562"/>
      <c r="W39" s="562"/>
      <c r="X39" s="562"/>
      <c r="Y39" s="562"/>
      <c r="Z39" s="562"/>
      <c r="AA39" s="562"/>
      <c r="AB39" s="558"/>
    </row>
    <row r="40" spans="2:28" ht="50.1" customHeight="1" x14ac:dyDescent="0.25">
      <c r="B40" s="559"/>
      <c r="C40" s="560"/>
      <c r="D40" s="560"/>
      <c r="E40" s="560"/>
      <c r="F40" s="560"/>
      <c r="G40" s="560"/>
      <c r="H40" s="560"/>
      <c r="I40" s="560"/>
      <c r="J40" s="560"/>
      <c r="K40" s="560"/>
      <c r="L40" s="560"/>
      <c r="M40" s="560"/>
      <c r="N40" s="561"/>
      <c r="Q40" s="559"/>
      <c r="R40" s="560"/>
      <c r="S40" s="560"/>
      <c r="T40" s="560"/>
      <c r="U40" s="560"/>
      <c r="V40" s="560"/>
      <c r="W40" s="560"/>
      <c r="X40" s="560"/>
      <c r="Y40" s="560"/>
      <c r="Z40" s="560"/>
      <c r="AA40" s="560"/>
      <c r="AB40" s="561"/>
    </row>
    <row r="41" spans="2:28" ht="10.050000000000001" customHeight="1" x14ac:dyDescent="0.25">
      <c r="B41" s="555"/>
      <c r="C41" s="555"/>
      <c r="D41" s="555"/>
      <c r="E41" s="555"/>
      <c r="F41" s="555"/>
      <c r="G41" s="555"/>
      <c r="H41" s="555"/>
      <c r="I41" s="555"/>
      <c r="J41" s="555"/>
      <c r="K41" s="555"/>
      <c r="L41" s="555"/>
      <c r="M41" s="555"/>
      <c r="N41" s="555"/>
      <c r="O41" s="555"/>
      <c r="P41" s="555"/>
      <c r="Q41" s="555"/>
      <c r="R41" s="555"/>
      <c r="S41" s="555"/>
      <c r="T41" s="555"/>
      <c r="U41" s="555"/>
      <c r="V41" s="555"/>
    </row>
    <row r="42" spans="2:28" ht="24.9" customHeight="1" x14ac:dyDescent="0.25">
      <c r="B42" s="2875" t="s">
        <v>2292</v>
      </c>
      <c r="C42" s="2875"/>
      <c r="D42" s="2875"/>
      <c r="E42" s="2875"/>
      <c r="F42" s="2875"/>
      <c r="G42" s="2875"/>
      <c r="H42" s="2875"/>
      <c r="I42" s="2875"/>
      <c r="J42" s="2875"/>
      <c r="K42" s="2875"/>
      <c r="L42" s="2875"/>
      <c r="M42" s="2875"/>
      <c r="N42" s="2875"/>
      <c r="Q42" s="2875" t="s">
        <v>2293</v>
      </c>
      <c r="R42" s="2875"/>
      <c r="S42" s="2875"/>
      <c r="T42" s="2875"/>
      <c r="U42" s="2875"/>
      <c r="V42" s="2875"/>
      <c r="W42" s="2875"/>
      <c r="X42" s="2875"/>
      <c r="Y42" s="2875"/>
      <c r="Z42" s="2875"/>
      <c r="AA42" s="2875"/>
      <c r="AB42" s="2875"/>
    </row>
    <row r="43" spans="2:28" ht="50.1" customHeight="1" x14ac:dyDescent="0.25">
      <c r="B43" s="557"/>
      <c r="C43" s="562"/>
      <c r="D43" s="562"/>
      <c r="E43" s="562"/>
      <c r="F43" s="562"/>
      <c r="G43" s="562"/>
      <c r="H43" s="562"/>
      <c r="I43" s="562"/>
      <c r="J43" s="562"/>
      <c r="K43" s="562"/>
      <c r="L43" s="562"/>
      <c r="M43" s="562"/>
      <c r="N43" s="558"/>
      <c r="Q43" s="557"/>
      <c r="R43" s="562"/>
      <c r="S43" s="562"/>
      <c r="T43" s="562"/>
      <c r="U43" s="562"/>
      <c r="V43" s="562"/>
      <c r="W43" s="562"/>
      <c r="X43" s="562"/>
      <c r="Y43" s="562"/>
      <c r="Z43" s="562"/>
      <c r="AA43" s="562"/>
      <c r="AB43" s="558"/>
    </row>
    <row r="44" spans="2:28" ht="50.1" customHeight="1" x14ac:dyDescent="0.25">
      <c r="B44" s="557"/>
      <c r="C44" s="562"/>
      <c r="D44" s="562"/>
      <c r="E44" s="562"/>
      <c r="F44" s="562"/>
      <c r="G44" s="562"/>
      <c r="H44" s="562"/>
      <c r="I44" s="562"/>
      <c r="J44" s="562"/>
      <c r="K44" s="562"/>
      <c r="L44" s="562"/>
      <c r="M44" s="562"/>
      <c r="N44" s="558"/>
      <c r="Q44" s="557"/>
      <c r="R44" s="562"/>
      <c r="S44" s="562"/>
      <c r="T44" s="562"/>
      <c r="U44" s="562"/>
      <c r="V44" s="562"/>
      <c r="W44" s="562"/>
      <c r="X44" s="562"/>
      <c r="Y44" s="562"/>
      <c r="Z44" s="562"/>
      <c r="AA44" s="562"/>
      <c r="AB44" s="558"/>
    </row>
    <row r="45" spans="2:28" ht="50.1" customHeight="1" x14ac:dyDescent="0.25">
      <c r="B45" s="557"/>
      <c r="C45" s="562"/>
      <c r="D45" s="562"/>
      <c r="E45" s="562"/>
      <c r="F45" s="562"/>
      <c r="G45" s="562"/>
      <c r="H45" s="562"/>
      <c r="I45" s="562"/>
      <c r="J45" s="562"/>
      <c r="K45" s="562"/>
      <c r="L45" s="562"/>
      <c r="M45" s="562"/>
      <c r="N45" s="558"/>
      <c r="Q45" s="557"/>
      <c r="R45" s="562"/>
      <c r="S45" s="562"/>
      <c r="T45" s="562"/>
      <c r="U45" s="562"/>
      <c r="V45" s="562"/>
      <c r="W45" s="562"/>
      <c r="X45" s="562"/>
      <c r="Y45" s="562"/>
      <c r="Z45" s="562"/>
      <c r="AA45" s="562"/>
      <c r="AB45" s="558"/>
    </row>
    <row r="46" spans="2:28" ht="50.1" customHeight="1" x14ac:dyDescent="0.25">
      <c r="B46" s="557"/>
      <c r="C46" s="562"/>
      <c r="D46" s="562"/>
      <c r="E46" s="562"/>
      <c r="F46" s="562"/>
      <c r="G46" s="562"/>
      <c r="H46" s="562"/>
      <c r="I46" s="562"/>
      <c r="J46" s="562"/>
      <c r="K46" s="562"/>
      <c r="L46" s="562"/>
      <c r="M46" s="562"/>
      <c r="N46" s="558"/>
      <c r="Q46" s="557"/>
      <c r="R46" s="562"/>
      <c r="S46" s="562"/>
      <c r="T46" s="562"/>
      <c r="U46" s="562"/>
      <c r="V46" s="562"/>
      <c r="W46" s="562"/>
      <c r="X46" s="562"/>
      <c r="Y46" s="562"/>
      <c r="Z46" s="562"/>
      <c r="AA46" s="562"/>
      <c r="AB46" s="558"/>
    </row>
    <row r="47" spans="2:28" ht="50.1" customHeight="1" x14ac:dyDescent="0.25">
      <c r="B47" s="557"/>
      <c r="C47" s="562"/>
      <c r="D47" s="562"/>
      <c r="E47" s="562"/>
      <c r="F47" s="562"/>
      <c r="G47" s="562"/>
      <c r="H47" s="562"/>
      <c r="I47" s="562"/>
      <c r="J47" s="562"/>
      <c r="K47" s="562"/>
      <c r="L47" s="562"/>
      <c r="M47" s="562"/>
      <c r="N47" s="558"/>
      <c r="Q47" s="557"/>
      <c r="R47" s="562"/>
      <c r="S47" s="562"/>
      <c r="T47" s="562"/>
      <c r="U47" s="562"/>
      <c r="V47" s="562"/>
      <c r="W47" s="562"/>
      <c r="X47" s="562"/>
      <c r="Y47" s="562"/>
      <c r="Z47" s="562"/>
      <c r="AA47" s="562"/>
      <c r="AB47" s="558"/>
    </row>
    <row r="48" spans="2:28" ht="50.1" customHeight="1" x14ac:dyDescent="0.25">
      <c r="B48" s="557"/>
      <c r="C48" s="562"/>
      <c r="D48" s="562"/>
      <c r="E48" s="562"/>
      <c r="F48" s="562"/>
      <c r="G48" s="562"/>
      <c r="H48" s="562"/>
      <c r="I48" s="562"/>
      <c r="J48" s="562"/>
      <c r="K48" s="562"/>
      <c r="L48" s="562"/>
      <c r="M48" s="562"/>
      <c r="N48" s="558"/>
      <c r="Q48" s="557"/>
      <c r="R48" s="562"/>
      <c r="S48" s="562"/>
      <c r="T48" s="562"/>
      <c r="U48" s="562"/>
      <c r="V48" s="562"/>
      <c r="W48" s="562"/>
      <c r="X48" s="562"/>
      <c r="Y48" s="562"/>
      <c r="Z48" s="562"/>
      <c r="AA48" s="562"/>
      <c r="AB48" s="558"/>
    </row>
    <row r="49" spans="2:28" ht="50.1" customHeight="1" x14ac:dyDescent="0.25">
      <c r="B49" s="557"/>
      <c r="C49" s="562"/>
      <c r="D49" s="562"/>
      <c r="E49" s="562"/>
      <c r="F49" s="562"/>
      <c r="G49" s="562"/>
      <c r="H49" s="562"/>
      <c r="I49" s="562"/>
      <c r="J49" s="562"/>
      <c r="K49" s="562"/>
      <c r="L49" s="562"/>
      <c r="M49" s="562"/>
      <c r="N49" s="558"/>
      <c r="Q49" s="557"/>
      <c r="R49" s="562"/>
      <c r="S49" s="562"/>
      <c r="T49" s="562"/>
      <c r="U49" s="562"/>
      <c r="V49" s="562"/>
      <c r="W49" s="562"/>
      <c r="X49" s="562"/>
      <c r="Y49" s="562"/>
      <c r="Z49" s="562"/>
      <c r="AA49" s="562"/>
      <c r="AB49" s="558"/>
    </row>
    <row r="50" spans="2:28" ht="50.1" customHeight="1" x14ac:dyDescent="0.25">
      <c r="B50" s="559"/>
      <c r="C50" s="560"/>
      <c r="D50" s="560"/>
      <c r="E50" s="560"/>
      <c r="F50" s="560"/>
      <c r="G50" s="560"/>
      <c r="H50" s="560"/>
      <c r="I50" s="560"/>
      <c r="J50" s="560"/>
      <c r="K50" s="560"/>
      <c r="L50" s="560"/>
      <c r="M50" s="560"/>
      <c r="N50" s="561"/>
      <c r="Q50" s="559"/>
      <c r="R50" s="560"/>
      <c r="S50" s="560"/>
      <c r="T50" s="560"/>
      <c r="U50" s="560"/>
      <c r="V50" s="560"/>
      <c r="W50" s="560"/>
      <c r="X50" s="560"/>
      <c r="Y50" s="560"/>
      <c r="Z50" s="560"/>
      <c r="AA50" s="560"/>
      <c r="AB50" s="561"/>
    </row>
    <row r="51" spans="2:28" x14ac:dyDescent="0.25">
      <c r="B51" s="555"/>
      <c r="C51" s="555"/>
      <c r="D51" s="555"/>
      <c r="E51" s="555"/>
      <c r="F51" s="555"/>
      <c r="G51" s="555"/>
      <c r="H51" s="555"/>
      <c r="I51" s="555"/>
      <c r="J51" s="555"/>
      <c r="K51" s="555"/>
      <c r="L51" s="555"/>
      <c r="M51" s="555"/>
      <c r="N51" s="555"/>
      <c r="O51" s="555"/>
      <c r="P51" s="555"/>
      <c r="Q51" s="555"/>
      <c r="R51" s="555"/>
      <c r="S51" s="555"/>
      <c r="T51" s="555"/>
      <c r="U51" s="555"/>
      <c r="V51" s="555"/>
    </row>
    <row r="52" spans="2:28" x14ac:dyDescent="0.25">
      <c r="B52" s="555"/>
      <c r="C52" s="555"/>
      <c r="D52" s="555"/>
      <c r="E52" s="555"/>
      <c r="F52" s="555"/>
      <c r="G52" s="555"/>
      <c r="H52" s="555"/>
      <c r="I52" s="555"/>
      <c r="J52" s="555"/>
      <c r="K52" s="555"/>
      <c r="L52" s="555"/>
      <c r="M52" s="555"/>
      <c r="N52" s="555"/>
      <c r="O52" s="555"/>
      <c r="P52" s="555"/>
      <c r="Q52" s="555"/>
      <c r="R52" s="555"/>
      <c r="S52" s="555"/>
      <c r="T52" s="555"/>
      <c r="U52" s="555"/>
      <c r="V52" s="555"/>
    </row>
    <row r="53" spans="2:28" x14ac:dyDescent="0.25">
      <c r="B53" s="555"/>
      <c r="C53" s="555"/>
      <c r="D53" s="555"/>
      <c r="E53" s="555"/>
      <c r="F53" s="555"/>
      <c r="G53" s="555"/>
      <c r="H53" s="555"/>
      <c r="I53" s="555"/>
      <c r="J53" s="555"/>
      <c r="K53" s="555"/>
      <c r="L53" s="555"/>
      <c r="M53" s="555"/>
      <c r="N53" s="555"/>
      <c r="O53" s="556"/>
      <c r="P53" s="555"/>
      <c r="Q53" s="555"/>
      <c r="R53" s="555"/>
      <c r="S53" s="555"/>
      <c r="T53" s="555"/>
      <c r="U53" s="555"/>
      <c r="V53" s="555"/>
    </row>
    <row r="54" spans="2:28" x14ac:dyDescent="0.25">
      <c r="B54" s="555"/>
      <c r="C54" s="555"/>
      <c r="D54" s="555"/>
      <c r="E54" s="555"/>
      <c r="F54" s="555"/>
      <c r="G54" s="555"/>
      <c r="H54" s="555"/>
      <c r="I54" s="555"/>
      <c r="J54" s="555"/>
      <c r="K54" s="555"/>
      <c r="L54" s="555"/>
      <c r="M54" s="555"/>
      <c r="N54" s="555"/>
      <c r="O54" s="556"/>
      <c r="P54" s="555"/>
      <c r="Q54" s="555"/>
      <c r="R54" s="555"/>
      <c r="S54" s="555"/>
      <c r="T54" s="555"/>
      <c r="U54" s="555"/>
      <c r="V54" s="555"/>
    </row>
    <row r="55" spans="2:28" x14ac:dyDescent="0.25">
      <c r="B55" s="555"/>
      <c r="C55" s="555"/>
      <c r="D55" s="555"/>
      <c r="E55" s="555"/>
      <c r="F55" s="555"/>
      <c r="G55" s="555"/>
      <c r="H55" s="555"/>
      <c r="I55" s="555"/>
      <c r="J55" s="555"/>
      <c r="K55" s="555"/>
      <c r="L55" s="555"/>
      <c r="M55" s="555"/>
      <c r="N55" s="555"/>
      <c r="O55" s="556"/>
      <c r="P55" s="555"/>
      <c r="Q55" s="555"/>
      <c r="R55" s="555"/>
      <c r="S55" s="555"/>
      <c r="T55" s="555"/>
      <c r="U55" s="555"/>
      <c r="V55" s="555"/>
    </row>
    <row r="56" spans="2:28" x14ac:dyDescent="0.25">
      <c r="B56" s="555"/>
      <c r="C56" s="555"/>
      <c r="D56" s="555"/>
      <c r="E56" s="555"/>
      <c r="F56" s="555"/>
      <c r="G56" s="555"/>
      <c r="H56" s="555"/>
      <c r="I56" s="555"/>
      <c r="J56" s="555"/>
      <c r="K56" s="555"/>
      <c r="L56" s="555"/>
      <c r="M56" s="555"/>
      <c r="N56" s="555"/>
      <c r="O56" s="556"/>
      <c r="P56" s="555"/>
      <c r="Q56" s="555"/>
      <c r="R56" s="555"/>
      <c r="S56" s="555"/>
      <c r="T56" s="555"/>
      <c r="U56" s="555"/>
      <c r="V56" s="555"/>
    </row>
    <row r="57" spans="2:28" x14ac:dyDescent="0.25">
      <c r="B57" s="555"/>
      <c r="C57" s="555"/>
      <c r="D57" s="555"/>
      <c r="E57" s="555"/>
      <c r="F57" s="555"/>
      <c r="G57" s="555"/>
      <c r="H57" s="555"/>
      <c r="I57" s="555"/>
      <c r="J57" s="555"/>
      <c r="K57" s="555"/>
      <c r="L57" s="555"/>
      <c r="M57" s="555"/>
      <c r="N57" s="555"/>
      <c r="O57" s="556"/>
      <c r="P57" s="555"/>
      <c r="Q57" s="555"/>
      <c r="R57" s="555"/>
      <c r="S57" s="555"/>
      <c r="T57" s="555"/>
      <c r="U57" s="555"/>
      <c r="V57" s="555"/>
    </row>
    <row r="58" spans="2:28" x14ac:dyDescent="0.25">
      <c r="B58" s="555"/>
      <c r="C58" s="555"/>
      <c r="D58" s="555"/>
      <c r="E58" s="555"/>
      <c r="F58" s="555"/>
      <c r="G58" s="555"/>
      <c r="H58" s="555"/>
      <c r="I58" s="555"/>
      <c r="J58" s="555"/>
      <c r="K58" s="555"/>
      <c r="L58" s="555"/>
      <c r="M58" s="555"/>
      <c r="N58" s="555"/>
      <c r="O58" s="556"/>
      <c r="P58" s="555"/>
      <c r="Q58" s="555"/>
      <c r="R58" s="555"/>
      <c r="S58" s="555"/>
      <c r="T58" s="555"/>
      <c r="U58" s="555"/>
      <c r="V58" s="555"/>
    </row>
    <row r="59" spans="2:28" x14ac:dyDescent="0.25">
      <c r="B59" s="555"/>
      <c r="C59" s="555"/>
      <c r="D59" s="555"/>
      <c r="E59" s="555"/>
      <c r="F59" s="555"/>
      <c r="G59" s="555"/>
      <c r="H59" s="555"/>
      <c r="I59" s="555"/>
      <c r="J59" s="555"/>
      <c r="K59" s="555"/>
      <c r="L59" s="555"/>
      <c r="M59" s="555"/>
      <c r="N59" s="555"/>
      <c r="O59" s="556"/>
      <c r="P59" s="555"/>
      <c r="Q59" s="555"/>
      <c r="R59" s="555"/>
      <c r="S59" s="555"/>
      <c r="T59" s="555"/>
      <c r="U59" s="555"/>
      <c r="V59" s="555"/>
    </row>
    <row r="60" spans="2:28" x14ac:dyDescent="0.25">
      <c r="B60" s="555"/>
      <c r="C60" s="555"/>
      <c r="D60" s="555"/>
      <c r="E60" s="555"/>
      <c r="F60" s="555"/>
      <c r="G60" s="555"/>
      <c r="H60" s="555"/>
      <c r="I60" s="555"/>
      <c r="J60" s="555"/>
      <c r="K60" s="555"/>
      <c r="L60" s="555"/>
      <c r="M60" s="555"/>
      <c r="N60" s="555"/>
      <c r="O60" s="556"/>
      <c r="P60" s="555"/>
      <c r="Q60" s="555"/>
      <c r="R60" s="555"/>
      <c r="S60" s="555"/>
      <c r="T60" s="555"/>
      <c r="U60" s="555"/>
      <c r="V60" s="555"/>
    </row>
    <row r="61" spans="2:28" x14ac:dyDescent="0.25">
      <c r="B61" s="555"/>
      <c r="C61" s="555"/>
      <c r="D61" s="555"/>
      <c r="E61" s="555"/>
      <c r="F61" s="555"/>
      <c r="G61" s="555"/>
      <c r="H61" s="555"/>
      <c r="I61" s="555"/>
      <c r="J61" s="555"/>
      <c r="K61" s="555"/>
      <c r="L61" s="555"/>
      <c r="M61" s="555"/>
      <c r="N61" s="555"/>
      <c r="O61" s="556"/>
      <c r="P61" s="555"/>
      <c r="Q61" s="555"/>
      <c r="R61" s="555"/>
      <c r="S61" s="555"/>
      <c r="T61" s="555"/>
      <c r="U61" s="555"/>
      <c r="V61" s="555"/>
    </row>
    <row r="62" spans="2:28" x14ac:dyDescent="0.25">
      <c r="B62" s="555"/>
      <c r="C62" s="555"/>
      <c r="D62" s="555"/>
      <c r="E62" s="555"/>
      <c r="F62" s="555"/>
      <c r="G62" s="555"/>
      <c r="H62" s="555"/>
      <c r="I62" s="555"/>
      <c r="J62" s="555"/>
      <c r="K62" s="555"/>
      <c r="L62" s="555"/>
      <c r="M62" s="555"/>
      <c r="N62" s="555"/>
      <c r="O62" s="556"/>
      <c r="P62" s="555"/>
      <c r="Q62" s="555"/>
      <c r="R62" s="555"/>
      <c r="S62" s="555"/>
      <c r="T62" s="555"/>
      <c r="U62" s="555"/>
      <c r="V62" s="555"/>
    </row>
    <row r="63" spans="2:28" x14ac:dyDescent="0.25">
      <c r="B63" s="555"/>
      <c r="C63" s="555"/>
      <c r="D63" s="555"/>
      <c r="E63" s="555"/>
      <c r="F63" s="555"/>
      <c r="G63" s="555"/>
      <c r="H63" s="555"/>
      <c r="I63" s="555"/>
      <c r="J63" s="555"/>
      <c r="K63" s="555"/>
      <c r="L63" s="555"/>
      <c r="M63" s="555"/>
      <c r="N63" s="555"/>
      <c r="O63" s="556"/>
      <c r="P63" s="555"/>
      <c r="Q63" s="555"/>
      <c r="R63" s="555"/>
      <c r="S63" s="555"/>
      <c r="T63" s="555"/>
      <c r="U63" s="555"/>
      <c r="V63" s="555"/>
    </row>
    <row r="64" spans="2:28" x14ac:dyDescent="0.25">
      <c r="B64" s="555"/>
      <c r="C64" s="555"/>
      <c r="D64" s="555"/>
      <c r="E64" s="555"/>
      <c r="F64" s="555"/>
      <c r="G64" s="555"/>
      <c r="H64" s="555"/>
      <c r="I64" s="555"/>
      <c r="J64" s="555"/>
      <c r="K64" s="555"/>
      <c r="L64" s="555"/>
      <c r="M64" s="555"/>
      <c r="N64" s="555"/>
      <c r="O64" s="556"/>
      <c r="P64" s="555"/>
      <c r="Q64" s="555"/>
      <c r="R64" s="555"/>
      <c r="S64" s="555"/>
      <c r="T64" s="555"/>
      <c r="U64" s="555"/>
      <c r="V64" s="555"/>
    </row>
    <row r="65" spans="2:22" x14ac:dyDescent="0.25">
      <c r="B65" s="555"/>
      <c r="C65" s="555"/>
      <c r="D65" s="555"/>
      <c r="E65" s="555"/>
      <c r="F65" s="555"/>
      <c r="G65" s="555"/>
      <c r="H65" s="555"/>
      <c r="I65" s="555"/>
      <c r="J65" s="555"/>
      <c r="K65" s="555"/>
      <c r="L65" s="555"/>
      <c r="M65" s="555"/>
      <c r="N65" s="555"/>
      <c r="O65" s="556"/>
      <c r="P65" s="555"/>
      <c r="Q65" s="555"/>
      <c r="R65" s="555"/>
      <c r="S65" s="555"/>
      <c r="T65" s="555"/>
      <c r="U65" s="555"/>
      <c r="V65" s="555"/>
    </row>
    <row r="66" spans="2:22" x14ac:dyDescent="0.25">
      <c r="B66" s="555"/>
      <c r="C66" s="555"/>
      <c r="D66" s="555"/>
      <c r="E66" s="555"/>
      <c r="F66" s="555"/>
      <c r="G66" s="555"/>
      <c r="H66" s="555"/>
      <c r="I66" s="555"/>
      <c r="J66" s="555"/>
      <c r="K66" s="555"/>
      <c r="L66" s="555"/>
      <c r="M66" s="555"/>
      <c r="N66" s="555"/>
      <c r="O66" s="556"/>
      <c r="P66" s="555"/>
      <c r="Q66" s="555"/>
      <c r="R66" s="555"/>
      <c r="S66" s="555"/>
      <c r="T66" s="555"/>
      <c r="U66" s="555"/>
      <c r="V66" s="555"/>
    </row>
    <row r="67" spans="2:22" x14ac:dyDescent="0.25">
      <c r="B67" s="555"/>
      <c r="C67" s="555"/>
      <c r="D67" s="555"/>
      <c r="E67" s="555"/>
      <c r="F67" s="555"/>
      <c r="G67" s="555"/>
      <c r="H67" s="555"/>
      <c r="I67" s="555"/>
      <c r="J67" s="555"/>
      <c r="K67" s="555"/>
      <c r="L67" s="555"/>
      <c r="M67" s="555"/>
      <c r="N67" s="555"/>
      <c r="O67" s="556"/>
      <c r="P67" s="555"/>
      <c r="Q67" s="555"/>
      <c r="R67" s="555"/>
      <c r="S67" s="555"/>
      <c r="T67" s="555"/>
      <c r="U67" s="555"/>
      <c r="V67" s="555"/>
    </row>
  </sheetData>
  <sheetProtection algorithmName="SHA-512" hashValue="7CTAdn9WU67x483a1qfFMB0IAIrOY/uu7vLGr9LFrLbF6gF72AMkzYwTl9GZG3sZ/y8RceGL7FYe/FCDZJyYXQ==" saltValue="xluLdpepqMfP9V7lff+GMw==" spinCount="100000" sheet="1" scenarios="1" formatCells="0" formatRows="0"/>
  <mergeCells count="54">
    <mergeCell ref="F12:Z12"/>
    <mergeCell ref="D12:E12"/>
    <mergeCell ref="F13:Z13"/>
    <mergeCell ref="F14:Z14"/>
    <mergeCell ref="F15:Z15"/>
    <mergeCell ref="D13:E13"/>
    <mergeCell ref="D14:E14"/>
    <mergeCell ref="D15:E15"/>
    <mergeCell ref="Q22:AB22"/>
    <mergeCell ref="B22:N22"/>
    <mergeCell ref="Q32:AB32"/>
    <mergeCell ref="B42:N42"/>
    <mergeCell ref="Q42:AB42"/>
    <mergeCell ref="B32:N32"/>
    <mergeCell ref="AA17:AB17"/>
    <mergeCell ref="AA16:AB16"/>
    <mergeCell ref="AA18:AB18"/>
    <mergeCell ref="B12:C12"/>
    <mergeCell ref="B13:C13"/>
    <mergeCell ref="B14:C14"/>
    <mergeCell ref="B15:C15"/>
    <mergeCell ref="B16:C16"/>
    <mergeCell ref="B18:C18"/>
    <mergeCell ref="AA12:AB12"/>
    <mergeCell ref="AA13:AB13"/>
    <mergeCell ref="AA14:AB14"/>
    <mergeCell ref="AA15:AB15"/>
    <mergeCell ref="F17:Z17"/>
    <mergeCell ref="F18:Z18"/>
    <mergeCell ref="D17:E17"/>
    <mergeCell ref="A1:A2"/>
    <mergeCell ref="B1:J2"/>
    <mergeCell ref="H5:N5"/>
    <mergeCell ref="V5:AB5"/>
    <mergeCell ref="H6:N6"/>
    <mergeCell ref="V6:AB6"/>
    <mergeCell ref="P1:Q1"/>
    <mergeCell ref="P2:Q2"/>
    <mergeCell ref="D18:E18"/>
    <mergeCell ref="B17:C17"/>
    <mergeCell ref="F16:Z16"/>
    <mergeCell ref="D16:E16"/>
    <mergeCell ref="D5:F5"/>
    <mergeCell ref="D6:F6"/>
    <mergeCell ref="D7:F7"/>
    <mergeCell ref="D8:F8"/>
    <mergeCell ref="R5:T5"/>
    <mergeCell ref="R6:T6"/>
    <mergeCell ref="R7:T7"/>
    <mergeCell ref="R8:T8"/>
    <mergeCell ref="H8:N8"/>
    <mergeCell ref="V8:AB8"/>
    <mergeCell ref="H7:N7"/>
    <mergeCell ref="V7:AB7"/>
  </mergeCells>
  <phoneticPr fontId="21" type="noConversion"/>
  <pageMargins left="0.70866141732283472" right="0.70866141732283472" top="0.98425196850393704" bottom="0.78740157480314965" header="0.31496062992125984" footer="0.31496062992125984"/>
  <pageSetup paperSize="9" scale="36" fitToHeight="0" orientation="portrait"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16738" r:id="rId6" name="Drop Down 2">
              <controlPr defaultSize="0" autoLine="0" autoPict="0">
                <anchor moveWithCells="1">
                  <from>
                    <xdr:col>17</xdr:col>
                    <xdr:colOff>31805</xdr:colOff>
                    <xdr:row>0</xdr:row>
                    <xdr:rowOff>63610</xdr:rowOff>
                  </from>
                  <to>
                    <xdr:col>19</xdr:col>
                    <xdr:colOff>127221</xdr:colOff>
                    <xdr:row>1</xdr:row>
                    <xdr:rowOff>111318</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88D6D-836A-4FED-BE82-4F53C0FF30D0}">
  <sheetPr>
    <tabColor theme="7" tint="0.39997558519241921"/>
    <pageSetUpPr fitToPage="1"/>
  </sheetPr>
  <dimension ref="A1:J73"/>
  <sheetViews>
    <sheetView showGridLines="0" zoomScale="85" zoomScaleNormal="85" workbookViewId="0">
      <selection activeCell="D24" sqref="D24:D28"/>
    </sheetView>
  </sheetViews>
  <sheetFormatPr baseColWidth="10" defaultColWidth="8" defaultRowHeight="14.4" x14ac:dyDescent="0.25"/>
  <cols>
    <col min="1" max="1" width="4.5" style="2884" customWidth="1"/>
    <col min="2" max="2" width="26.5" style="2884" customWidth="1"/>
    <col min="3" max="3" width="19.8984375" style="2884" customWidth="1"/>
    <col min="4" max="4" width="31.8984375" style="2884" customWidth="1"/>
    <col min="5" max="5" width="22.8984375" style="2884" customWidth="1"/>
    <col min="6" max="6" width="19.3984375" style="2884" customWidth="1"/>
    <col min="7" max="7" width="12.8984375" style="2884" customWidth="1"/>
    <col min="8" max="8" width="25.19921875" style="2884" customWidth="1"/>
    <col min="9" max="9" width="9.796875" style="2884" customWidth="1"/>
    <col min="10" max="10" width="30.59765625" style="2884" customWidth="1"/>
    <col min="11" max="16384" width="8" style="2884"/>
  </cols>
  <sheetData>
    <row r="1" spans="1:10" ht="21.6" customHeight="1" x14ac:dyDescent="0.25">
      <c r="A1" s="2881" t="str">
        <f>IF($C$3="DE","Fehlerprovokation für Reverse-FMEA","Failure Provocation for Reverse-FMEA")</f>
        <v>Fehlerprovokation für Reverse-FMEA</v>
      </c>
      <c r="B1" s="2882"/>
      <c r="C1" s="2882"/>
      <c r="D1" s="2882"/>
      <c r="E1" s="2882"/>
      <c r="F1" s="2882"/>
      <c r="G1" s="2882"/>
      <c r="H1" s="2882"/>
      <c r="I1" s="2882"/>
      <c r="J1" s="2883" t="str">
        <f>IF($C$3="DE","Freigabedatum 03.08.2026","Release date 03.08.2026")</f>
        <v>Freigabedatum 03.08.2026</v>
      </c>
    </row>
    <row r="2" spans="1:10" ht="21" customHeight="1" x14ac:dyDescent="0.25">
      <c r="A2" s="2882"/>
      <c r="B2" s="2882"/>
      <c r="C2" s="2882"/>
      <c r="D2" s="2882"/>
      <c r="E2" s="2882"/>
      <c r="F2" s="2882"/>
      <c r="G2" s="2882"/>
      <c r="H2" s="2882"/>
      <c r="I2" s="2882"/>
      <c r="J2" s="2883" t="s">
        <v>2316</v>
      </c>
    </row>
    <row r="3" spans="1:10" ht="14.4" customHeight="1" x14ac:dyDescent="0.25">
      <c r="A3" s="2885" t="str">
        <f>IF($C$3="DE","Sprache / Language","Language / Sprache")</f>
        <v>Sprache / Language</v>
      </c>
      <c r="B3" s="2886"/>
      <c r="C3" s="2887" t="s">
        <v>1505</v>
      </c>
      <c r="D3" s="2888"/>
      <c r="E3" s="2888"/>
      <c r="F3" s="2889"/>
      <c r="G3" s="2882"/>
      <c r="H3" s="2890"/>
      <c r="I3" s="2882"/>
      <c r="J3" s="2882"/>
    </row>
    <row r="4" spans="1:10" x14ac:dyDescent="0.25">
      <c r="A4" s="2891"/>
      <c r="B4" s="2882"/>
      <c r="C4" s="2882"/>
      <c r="D4" s="2882"/>
      <c r="E4" s="2882"/>
      <c r="F4" s="2882"/>
      <c r="G4" s="2882"/>
      <c r="H4" s="2882"/>
      <c r="I4" s="2882"/>
      <c r="J4" s="2882"/>
    </row>
    <row r="5" spans="1:10" x14ac:dyDescent="0.25">
      <c r="A5" s="2885" t="str">
        <f>IF($C$3="DE","Lieferant","Supplier")</f>
        <v>Lieferant</v>
      </c>
      <c r="B5" s="2886"/>
      <c r="C5" s="2892"/>
      <c r="D5" s="2893"/>
      <c r="E5" s="2888"/>
      <c r="F5" s="2885" t="str">
        <f>IF($C$3="DE","Werk / Standort","Plant / location")</f>
        <v>Werk / Standort</v>
      </c>
      <c r="G5" s="2886"/>
      <c r="H5" s="2894"/>
      <c r="I5" s="2895"/>
      <c r="J5" s="2896"/>
    </row>
    <row r="6" spans="1:10" x14ac:dyDescent="0.25">
      <c r="A6" s="2885" t="str">
        <f>IF($C$3="DE","Datum","Date")</f>
        <v>Datum</v>
      </c>
      <c r="B6" s="2886"/>
      <c r="C6" s="2892"/>
      <c r="D6" s="2893"/>
      <c r="E6" s="2888"/>
      <c r="F6" s="2885" t="str">
        <f>IF($C$3="DE","Auditor","Auditor")</f>
        <v>Auditor</v>
      </c>
      <c r="G6" s="2886"/>
      <c r="H6" s="2894"/>
      <c r="I6" s="2895"/>
      <c r="J6" s="2896"/>
    </row>
    <row r="7" spans="1:10" x14ac:dyDescent="0.25">
      <c r="A7" s="2885" t="str">
        <f>IF($C$3="DE","Teilenummer / Produkt","Part no. / product")</f>
        <v>Teilenummer / Produkt</v>
      </c>
      <c r="B7" s="2886"/>
      <c r="C7" s="2892"/>
      <c r="D7" s="2893"/>
      <c r="E7" s="2888"/>
      <c r="F7" s="2885" t="str">
        <f>IF($C$3="DE","Arbeitsplatz / Station","Workstation / station")</f>
        <v>Arbeitsplatz / Station</v>
      </c>
      <c r="G7" s="2886"/>
      <c r="H7" s="2894"/>
      <c r="I7" s="2895"/>
      <c r="J7" s="2896"/>
    </row>
    <row r="8" spans="1:10" x14ac:dyDescent="0.25">
      <c r="A8" s="2885" t="str">
        <f>IF($C$3="DE","Anlass","Reason")</f>
        <v>Anlass</v>
      </c>
      <c r="B8" s="2886"/>
      <c r="C8" s="2892"/>
      <c r="D8" s="2893"/>
      <c r="E8" s="2888"/>
      <c r="F8" s="2885" t="str">
        <f>IF($C$3="DE","Letzte Reklamation","Last complaint")</f>
        <v>Letzte Reklamation</v>
      </c>
      <c r="G8" s="2886"/>
      <c r="H8" s="2894"/>
      <c r="I8" s="2895"/>
      <c r="J8" s="2896"/>
    </row>
    <row r="10" spans="1:10" x14ac:dyDescent="0.25">
      <c r="A10" s="2897" t="str">
        <f>IF($C$3="DE",_xlfn._LONGTEXT("Grundregel: Fehler aktiv und sicher provozieren. Manapiluationen an der Anlage nur in Abstimung mit einem technisch verantwortlichen des Lieferanten. OK-Bewertung nur, wenn Maschine/Prozess den Fehler erkennt, stoppt oder die Freigabe verhindert. Für nOK ","sind Sofortmaßnahme, Verantwortlicher und Termin Pflicht. Pro Frage stehen fünf Zeilen für verschiedene Materialnummern zur Verfügung, Zeilen können ergänzt werden."),_xlfn._LONGTEXT("Basic rule: Actively and safely provoke failures. Any manipulations to the equipment may only be carried out in coordination with a technically responsible representative of the supplier. An OK assessment is only permitted if the machine/process detects t","he failure, stops, or prevents release. For NOK findings, an immediate corrective action, a responsible person, and a due date are mandatory. Five lines are available for different material numbers per question; additional lines may be added as needed."))</f>
        <v>Grundregel: Fehler aktiv und sicher provozieren. Manapiluationen an der Anlage nur in Abstimung mit einem technisch verantwortlichen des Lieferanten. OK-Bewertung nur, wenn Maschine/Prozess den Fehler erkennt, stoppt oder die Freigabe verhindert. Für nOK sind Sofortmaßnahme, Verantwortlicher und Termin Pflicht. Pro Frage stehen fünf Zeilen für verschiedene Materialnummern zur Verfügung, Zeilen können ergänzt werden.</v>
      </c>
      <c r="B10" s="2898"/>
      <c r="C10" s="2898"/>
      <c r="D10" s="2898"/>
      <c r="E10" s="2898"/>
      <c r="F10" s="2898"/>
      <c r="G10" s="2898"/>
      <c r="H10" s="2898"/>
      <c r="I10" s="2898"/>
      <c r="J10" s="2899"/>
    </row>
    <row r="11" spans="1:10" ht="19.899999999999999" customHeight="1" x14ac:dyDescent="0.25">
      <c r="A11" s="2900"/>
      <c r="B11" s="2901"/>
      <c r="C11" s="2901"/>
      <c r="D11" s="2901"/>
      <c r="E11" s="2901"/>
      <c r="F11" s="2901"/>
      <c r="G11" s="2901"/>
      <c r="H11" s="2901"/>
      <c r="I11" s="2901"/>
      <c r="J11" s="2902"/>
    </row>
    <row r="13" spans="1:10" ht="45.1" customHeight="1" x14ac:dyDescent="0.25">
      <c r="A13" s="2903" t="str">
        <f>IF($C$3="DE","No.","No.")</f>
        <v>No.</v>
      </c>
      <c r="B13" s="2903" t="str">
        <f>IF($C$3="DE","Fehlerbild &amp; Zweck","Fault scenario &amp; purpose")</f>
        <v>Fehlerbild &amp; Zweck</v>
      </c>
      <c r="C13" s="2903" t="str">
        <f>IF($C$3="DE","Vorbereitung / Muster","Preparation / sample")</f>
        <v>Vorbereitung / Muster</v>
      </c>
      <c r="D13" s="2903" t="str">
        <f>IF($C$3="DE","Durchführung vor Ort – Schritte inkl. Challenge","On-site execution – steps incl. challenge")</f>
        <v>Durchführung vor Ort – Schritte inkl. Challenge</v>
      </c>
      <c r="E13" s="2903" t="str">
        <f>IF($C$3="DE","Erwartetes Verhalten","Expected behavior")</f>
        <v>Erwartetes Verhalten</v>
      </c>
      <c r="F13" s="2903" t="str">
        <f>IF($C$3="DE","Materialnummer &amp; -name","Material no. &amp; -name")</f>
        <v>Materialnummer &amp; -name</v>
      </c>
      <c r="G13" s="2903" t="str">
        <f>IF($C$3="DE","Durchgeführt?","Performed?")</f>
        <v>Durchgeführt?</v>
      </c>
      <c r="H13" s="2903" t="str">
        <f>IF($C$3="DE","Beobachtung","Observation")</f>
        <v>Beobachtung</v>
      </c>
      <c r="I13" s="2903" t="str">
        <f>IF($C$3="DE","Ergebnis","Result")</f>
        <v>Ergebnis</v>
      </c>
      <c r="J13" s="2903" t="str">
        <f>IF($C$3="DE","Sofortmaßnahme / Verantwortlicher / Termin","Immediate action / owner / due date")</f>
        <v>Sofortmaßnahme / Verantwortlicher / Termin</v>
      </c>
    </row>
    <row r="14" spans="1:10" ht="23.95" customHeight="1" x14ac:dyDescent="0.25">
      <c r="A14" s="2904">
        <v>1</v>
      </c>
      <c r="B14" s="2904" t="str">
        <f>IF($C$3="DE","Falsches Teil / falsche Variante
Zweck: Variantenverwechslung verhindern/erkennen.","Wrong part / wrong variant
Purpose: Prevent/detect variant mix-up.")</f>
        <v>Falsches Teil / falsche Variante
Zweck: Variantenverwechslung verhindern/erkennen.</v>
      </c>
      <c r="C14" s="2904" t="str">
        <f>IF($C$3="DE","Ähnliche / benachbarte Variante. Markierung entfernen, wenn möglich.","Similar / neighboring variant. Remove marking if possible.")</f>
        <v>Ähnliche / benachbarte Variante. Markierung entfernen, wenn möglich.</v>
      </c>
      <c r="D14" s="2904" t="str">
        <f>IF($C$3="DE","1. Richtiges Teil entfernen.
2. Falsches ähnliches Teil einlegen.
3. Normalen Start auslösen.
4. Prüfen: Prozess läuft weiter?
","1. Remove correct part.
2. Insert wrong similar part.
3. Trigger normal start.
4. Check: can process continue?
")</f>
        <v xml:space="preserve">1. Richtiges Teil entfernen.
2. Falsches ähnliches Teil einlegen.
3. Normalen Start auslösen.
4. Prüfen: Prozess läuft weiter?
</v>
      </c>
      <c r="E14" s="2904" t="str">
        <f>IF($C$3="DE","Fehler vor Montage erkannt oder Einlegen verhindert. Linie stoppt; keine OK-Freigabe.","Fault detected before assembly or insertion prevented. Line stops; no OK release.")</f>
        <v>Fehler vor Montage erkannt oder Einlegen verhindert. Linie stoppt; keine OK-Freigabe.</v>
      </c>
      <c r="F14" s="2905"/>
      <c r="G14" s="2906"/>
      <c r="H14" s="2905"/>
      <c r="I14" s="2907"/>
      <c r="J14" s="2905"/>
    </row>
    <row r="15" spans="1:10" ht="23.95" customHeight="1" x14ac:dyDescent="0.25">
      <c r="A15" s="2908"/>
      <c r="B15" s="2908"/>
      <c r="C15" s="2908"/>
      <c r="D15" s="2908"/>
      <c r="E15" s="2908"/>
      <c r="F15" s="2909"/>
      <c r="G15" s="2907"/>
      <c r="H15" s="2909"/>
      <c r="I15" s="2907"/>
      <c r="J15" s="2909"/>
    </row>
    <row r="16" spans="1:10" ht="23.95" customHeight="1" x14ac:dyDescent="0.25">
      <c r="A16" s="2908"/>
      <c r="B16" s="2908"/>
      <c r="C16" s="2908"/>
      <c r="D16" s="2908"/>
      <c r="E16" s="2908"/>
      <c r="F16" s="2909"/>
      <c r="G16" s="2907"/>
      <c r="H16" s="2909"/>
      <c r="I16" s="2907"/>
      <c r="J16" s="2909"/>
    </row>
    <row r="17" spans="1:10" ht="23.95" customHeight="1" x14ac:dyDescent="0.25">
      <c r="A17" s="2908"/>
      <c r="B17" s="2908"/>
      <c r="C17" s="2908"/>
      <c r="D17" s="2908"/>
      <c r="E17" s="2908"/>
      <c r="F17" s="2909"/>
      <c r="G17" s="2907"/>
      <c r="H17" s="2909"/>
      <c r="I17" s="2907"/>
      <c r="J17" s="2909"/>
    </row>
    <row r="18" spans="1:10" ht="23.95" customHeight="1" x14ac:dyDescent="0.25">
      <c r="A18" s="2910"/>
      <c r="B18" s="2910"/>
      <c r="C18" s="2910"/>
      <c r="D18" s="2910"/>
      <c r="E18" s="2910"/>
      <c r="F18" s="2909"/>
      <c r="G18" s="2907"/>
      <c r="H18" s="2911"/>
      <c r="I18" s="2907"/>
      <c r="J18" s="2912"/>
    </row>
    <row r="19" spans="1:10" ht="23.95" customHeight="1" x14ac:dyDescent="0.25">
      <c r="A19" s="2904">
        <v>2</v>
      </c>
      <c r="B19" s="2904" t="str">
        <f>IF($C$3="DE","Falsche Orientierung / verdrehtes Teil
Zweck: Lage-/Orientierungserkennung prüfen.","Wrong orientation / rotated part
Purpose: Verify position/orientation detection.")</f>
        <v>Falsche Orientierung / verdrehtes Teil
Zweck: Lage-/Orientierungserkennung prüfen.</v>
      </c>
      <c r="C19" s="2904" t="str">
        <f>IF($C$3="DE","Teil und Vorrichtung zugänglich machen. Sicheren Prüfpunkt abstimmen.","Make part and fixture accessible. Agree safe test point.")</f>
        <v>Teil und Vorrichtung zugänglich machen. Sicheren Prüfpunkt abstimmen.</v>
      </c>
      <c r="D19" s="2904" t="str">
        <f>IF($C$3="DE","1. Teil z.B. um 180° verdreht einlegen.
2. Wenn möglich gespiegelt/verkehrt herum.
3. Prozess starten.
4. Sensor-/Kamera-/Mechanikreaktion prüfen.
","1. Insert part e.g. rotated 180°.
2. Mirrored/upside down if possible.
3. Start process.
4. Check sensor/camera/mechanics reaction.
")</f>
        <v xml:space="preserve">1. Teil z.B. um 180° verdreht einlegen.
2. Wenn möglich gespiegelt/verkehrt herum.
3. Prozess starten.
4. Sensor-/Kamera-/Mechanikreaktion prüfen.
</v>
      </c>
      <c r="E19" s="2904" t="str">
        <f>IF($C$3="DE","Einlegen verhindert oder Fehler erkannt. Kein Weitertransport als Gutteil.","Insertion prevented or fault detected. No further transport as good part.")</f>
        <v>Einlegen verhindert oder Fehler erkannt. Kein Weitertransport als Gutteil.</v>
      </c>
      <c r="F19" s="2909"/>
      <c r="G19" s="2907"/>
      <c r="H19" s="2909"/>
      <c r="I19" s="2907"/>
      <c r="J19" s="2909"/>
    </row>
    <row r="20" spans="1:10" ht="23.95" customHeight="1" x14ac:dyDescent="0.25">
      <c r="A20" s="2908"/>
      <c r="B20" s="2908"/>
      <c r="C20" s="2908"/>
      <c r="D20" s="2908"/>
      <c r="E20" s="2908"/>
      <c r="F20" s="2909"/>
      <c r="G20" s="2907"/>
      <c r="H20" s="2909"/>
      <c r="I20" s="2907"/>
      <c r="J20" s="2909"/>
    </row>
    <row r="21" spans="1:10" ht="23.95" customHeight="1" x14ac:dyDescent="0.25">
      <c r="A21" s="2908"/>
      <c r="B21" s="2908"/>
      <c r="C21" s="2908"/>
      <c r="D21" s="2908"/>
      <c r="E21" s="2908"/>
      <c r="F21" s="2909"/>
      <c r="G21" s="2907"/>
      <c r="H21" s="2909"/>
      <c r="I21" s="2907"/>
      <c r="J21" s="2909"/>
    </row>
    <row r="22" spans="1:10" ht="23.95" customHeight="1" x14ac:dyDescent="0.25">
      <c r="A22" s="2908"/>
      <c r="B22" s="2908"/>
      <c r="C22" s="2908"/>
      <c r="D22" s="2908"/>
      <c r="E22" s="2908"/>
      <c r="F22" s="2909"/>
      <c r="G22" s="2907"/>
      <c r="H22" s="2909"/>
      <c r="I22" s="2907"/>
      <c r="J22" s="2909"/>
    </row>
    <row r="23" spans="1:10" ht="27.55" customHeight="1" x14ac:dyDescent="0.25">
      <c r="A23" s="2910"/>
      <c r="B23" s="2910"/>
      <c r="C23" s="2910"/>
      <c r="D23" s="2910"/>
      <c r="E23" s="2910"/>
      <c r="F23" s="2909"/>
      <c r="G23" s="2907"/>
      <c r="H23" s="2909"/>
      <c r="I23" s="2907"/>
      <c r="J23" s="2909"/>
    </row>
    <row r="24" spans="1:10" ht="23.95" customHeight="1" x14ac:dyDescent="0.25">
      <c r="A24" s="2904">
        <v>3</v>
      </c>
      <c r="B24" s="2904" t="str">
        <f>IF($C$3="DE","Fehlendes Bauteil
Zweck: Fehlteilkontrolle prüfen.","Missing component
Purpose: Verify missing-part control.")</f>
        <v>Fehlendes Bauteil
Zweck: Fehlteilkontrolle prüfen.</v>
      </c>
      <c r="C24" s="2904" t="str">
        <f>IF($C$3="DE","Schritt identifizieren, an dem Komponente weggelassen werden kann.","Identify step where component can be omitted.")</f>
        <v>Schritt identifizieren, an dem Komponente weggelassen werden kann.</v>
      </c>
      <c r="D24" s="2904" t="str">
        <f>IF($C$3="DE","1. Komponente bewusst weglassen.
2. Normalen Ablauf fortsetzen.
3. Prüfen: Stopp/Fehler?
4. Prüfen: Teil separiert?
","1. Deliberately omit component.
2. Continue normal flow.
3. Check: stop/error?
4. Check: part separated?
")</f>
        <v xml:space="preserve">1. Komponente bewusst weglassen.
2. Normalen Ablauf fortsetzen.
3. Prüfen: Stopp/Fehler?
4. Prüfen: Teil separiert?
</v>
      </c>
      <c r="E24" s="2904" t="str">
        <f>IF($C$3="DE","Fehlteil wird zuverlässig erkannt. Keine OK-Freigabe; Sperre/Separierung.","Missing part reliably detected. No OK release; blocking/separation.")</f>
        <v>Fehlteil wird zuverlässig erkannt. Keine OK-Freigabe; Sperre/Separierung.</v>
      </c>
      <c r="F24" s="2909"/>
      <c r="G24" s="2907"/>
      <c r="H24" s="2909"/>
      <c r="I24" s="2907"/>
      <c r="J24" s="2909"/>
    </row>
    <row r="25" spans="1:10" ht="23.95" customHeight="1" x14ac:dyDescent="0.25">
      <c r="A25" s="2908"/>
      <c r="B25" s="2908"/>
      <c r="C25" s="2908"/>
      <c r="D25" s="2908"/>
      <c r="E25" s="2908"/>
      <c r="F25" s="2909"/>
      <c r="G25" s="2907"/>
      <c r="H25" s="2909"/>
      <c r="I25" s="2907"/>
      <c r="J25" s="2909"/>
    </row>
    <row r="26" spans="1:10" ht="23.95" customHeight="1" x14ac:dyDescent="0.25">
      <c r="A26" s="2908"/>
      <c r="B26" s="2908"/>
      <c r="C26" s="2908"/>
      <c r="D26" s="2908"/>
      <c r="E26" s="2908"/>
      <c r="F26" s="2909"/>
      <c r="G26" s="2907"/>
      <c r="H26" s="2909"/>
      <c r="I26" s="2907"/>
      <c r="J26" s="2909"/>
    </row>
    <row r="27" spans="1:10" ht="23.95" customHeight="1" x14ac:dyDescent="0.25">
      <c r="A27" s="2908"/>
      <c r="B27" s="2908"/>
      <c r="C27" s="2908"/>
      <c r="D27" s="2908"/>
      <c r="E27" s="2908"/>
      <c r="F27" s="2909"/>
      <c r="G27" s="2907"/>
      <c r="H27" s="2909"/>
      <c r="I27" s="2907"/>
      <c r="J27" s="2909"/>
    </row>
    <row r="28" spans="1:10" ht="23.95" customHeight="1" x14ac:dyDescent="0.25">
      <c r="A28" s="2910"/>
      <c r="B28" s="2910"/>
      <c r="C28" s="2910"/>
      <c r="D28" s="2910"/>
      <c r="E28" s="2910"/>
      <c r="F28" s="2909"/>
      <c r="G28" s="2907"/>
      <c r="H28" s="2909"/>
      <c r="I28" s="2907"/>
      <c r="J28" s="2909"/>
    </row>
    <row r="29" spans="1:10" ht="23.95" customHeight="1" x14ac:dyDescent="0.25">
      <c r="A29" s="2904">
        <v>4</v>
      </c>
      <c r="B29" s="2904" t="str">
        <f>IF($C$3="DE","Nicht in Endlage / nicht gespannt
Zweck: Endlage und Sitz prüfen.","Not in end position / not clamped
Purpose: Verify end position and seating.")</f>
        <v>Nicht in Endlage / nicht gespannt
Zweck: Endlage und Sitz prüfen.</v>
      </c>
      <c r="C29" s="2904" t="str">
        <f>IF($C$3="DE","Kritische Rast-/Fügeposition definieren.","Define critical snap/join position.")</f>
        <v>Kritische Rast-/Fügeposition definieren.</v>
      </c>
      <c r="D29" s="2904" t="str">
        <f>IF($C$3="DE","1. Teil nur teilweise einlegen.
2. Einrasten nicht vollständig ausführen.
3. Spannzylinder deaktivieren.",
"1. Insert part partially.
2. Do not complete snap-in.
3. Deactivate clamping cylinder.")</f>
        <v>1. Teil nur teilweise einlegen.
2. Einrasten nicht vollständig ausführen.
3. Spannzylinder deaktivieren.</v>
      </c>
      <c r="E29" s="2904" t="str">
        <f>IF($C$3="DE","Abweichung wird zuverlässig erkannt. Keine OK-Freigabe; Stopp/Ausschleusung.","Deviation reliably detected. No OK release; stop/ejection.")</f>
        <v>Abweichung wird zuverlässig erkannt. Keine OK-Freigabe; Stopp/Ausschleusung.</v>
      </c>
      <c r="F29" s="2909"/>
      <c r="G29" s="2907"/>
      <c r="H29" s="2909"/>
      <c r="I29" s="2907"/>
      <c r="J29" s="2909"/>
    </row>
    <row r="30" spans="1:10" ht="23.95" customHeight="1" x14ac:dyDescent="0.25">
      <c r="A30" s="2908"/>
      <c r="B30" s="2908"/>
      <c r="C30" s="2908"/>
      <c r="D30" s="2908"/>
      <c r="E30" s="2908"/>
      <c r="F30" s="2909"/>
      <c r="G30" s="2907"/>
      <c r="H30" s="2909"/>
      <c r="I30" s="2907"/>
      <c r="J30" s="2909"/>
    </row>
    <row r="31" spans="1:10" ht="23.95" customHeight="1" x14ac:dyDescent="0.25">
      <c r="A31" s="2908"/>
      <c r="B31" s="2908"/>
      <c r="C31" s="2908"/>
      <c r="D31" s="2908"/>
      <c r="E31" s="2908"/>
      <c r="F31" s="2909"/>
      <c r="G31" s="2907"/>
      <c r="H31" s="2909"/>
      <c r="I31" s="2907"/>
      <c r="J31" s="2909"/>
    </row>
    <row r="32" spans="1:10" ht="23.95" customHeight="1" x14ac:dyDescent="0.25">
      <c r="A32" s="2908"/>
      <c r="B32" s="2908"/>
      <c r="C32" s="2908"/>
      <c r="D32" s="2908"/>
      <c r="E32" s="2908"/>
      <c r="F32" s="2909"/>
      <c r="G32" s="2907"/>
      <c r="H32" s="2909"/>
      <c r="I32" s="2907"/>
      <c r="J32" s="2909"/>
    </row>
    <row r="33" spans="1:10" ht="23.95" customHeight="1" x14ac:dyDescent="0.25">
      <c r="A33" s="2910"/>
      <c r="B33" s="2910"/>
      <c r="C33" s="2910"/>
      <c r="D33" s="2910"/>
      <c r="E33" s="2910"/>
      <c r="F33" s="2909"/>
      <c r="G33" s="2907"/>
      <c r="H33" s="2909"/>
      <c r="I33" s="2907"/>
      <c r="J33" s="2909"/>
    </row>
    <row r="34" spans="1:10" ht="23.95" customHeight="1" x14ac:dyDescent="0.25">
      <c r="A34" s="2904">
        <v>5</v>
      </c>
      <c r="B34" s="2904" t="str">
        <f>IF($C$3="DE","Falsches Drehmoment / Kraft / Hub
Zweck: Prozessparameterüberwachung prüfen.","Wrong torque / force / stroke
Purpose: Verify process parameter monitoring.")</f>
        <v>Falsches Drehmoment / Kraft / Hub
Zweck: Prozessparameterüberwachung prüfen.</v>
      </c>
      <c r="C34" s="2904" t="str">
        <f>IF($C$3="DE","Testfreigabe mit Lieferant abstimmen. Testteil verwenden; Änderung dokumentieren.","Test release with supplier. Use test part; document change.")</f>
        <v>Testfreigabe mit Lieferant abstimmen. Testteil verwenden; Änderung dokumentieren.</v>
      </c>
      <c r="D34" s="2904" t="str">
        <f>IF($C$3="DE","1. Untere NOK-Grenze: zu wenig.
2. Obere NOK-Grenze: zu viel.
3. Kurve/Ergebnis prüfen.
","1. Lower NOK: too little.
2. Upper NOK: too much.
3. Check curve/result.
")</f>
        <v xml:space="preserve">1. Untere NOK-Grenze: zu wenig.
2. Obere NOK-Grenze: zu viel.
3. Kurve/Ergebnis prüfen.
</v>
      </c>
      <c r="E34" s="2904" t="str">
        <f>IF($C$3="DE","Abweichung erkannt. Gutzähler nicht erhöht; Teil gesperrt/ausgeschleust.","Deviation detected. Good counter not counted; part blocked/ejected.")</f>
        <v>Abweichung erkannt. Gutzähler nicht erhöht; Teil gesperrt/ausgeschleust.</v>
      </c>
      <c r="F34" s="2909"/>
      <c r="G34" s="2907"/>
      <c r="H34" s="2909"/>
      <c r="I34" s="2907"/>
      <c r="J34" s="2909"/>
    </row>
    <row r="35" spans="1:10" ht="23.95" customHeight="1" x14ac:dyDescent="0.25">
      <c r="A35" s="2908"/>
      <c r="B35" s="2908"/>
      <c r="C35" s="2908"/>
      <c r="D35" s="2908"/>
      <c r="E35" s="2908"/>
      <c r="F35" s="2909"/>
      <c r="G35" s="2907"/>
      <c r="H35" s="2909"/>
      <c r="I35" s="2907"/>
      <c r="J35" s="2909"/>
    </row>
    <row r="36" spans="1:10" ht="23.95" customHeight="1" x14ac:dyDescent="0.25">
      <c r="A36" s="2908"/>
      <c r="B36" s="2908"/>
      <c r="C36" s="2908"/>
      <c r="D36" s="2908"/>
      <c r="E36" s="2908"/>
      <c r="F36" s="2909"/>
      <c r="G36" s="2907"/>
      <c r="H36" s="2909"/>
      <c r="I36" s="2907"/>
      <c r="J36" s="2909"/>
    </row>
    <row r="37" spans="1:10" ht="23.95" customHeight="1" x14ac:dyDescent="0.25">
      <c r="A37" s="2908"/>
      <c r="B37" s="2908"/>
      <c r="C37" s="2908"/>
      <c r="D37" s="2908"/>
      <c r="E37" s="2908"/>
      <c r="F37" s="2909"/>
      <c r="G37" s="2907"/>
      <c r="H37" s="2909"/>
      <c r="I37" s="2907"/>
      <c r="J37" s="2909"/>
    </row>
    <row r="38" spans="1:10" ht="23.95" customHeight="1" x14ac:dyDescent="0.25">
      <c r="A38" s="2910"/>
      <c r="B38" s="2910"/>
      <c r="C38" s="2910"/>
      <c r="D38" s="2910"/>
      <c r="E38" s="2910"/>
      <c r="F38" s="2909"/>
      <c r="G38" s="2907"/>
      <c r="H38" s="2909"/>
      <c r="I38" s="2907"/>
      <c r="J38" s="2909"/>
    </row>
    <row r="39" spans="1:10" ht="23.95" customHeight="1" x14ac:dyDescent="0.25">
      <c r="A39" s="2904">
        <v>6</v>
      </c>
      <c r="B39" s="2904" t="str">
        <f>IF($C$3="DE","Verifizierung Funktionalität Sensoren
Zweck: Fail-Safe-Verhalten prüfen.","Verification sensor functionality
Purpose: Verify fail-safe sensor behavior.")</f>
        <v>Verifizierung Funktionalität Sensoren
Zweck: Fail-Safe-Verhalten prüfen.</v>
      </c>
      <c r="C39" s="2904" t="str">
        <f>IF($C$3="DE","Sensoren identifizieren. Sichere Methode abstimmen.","Identify sensors. Agree safe method.")</f>
        <v>Sensoren identifizieren. Sichere Methode abstimmen.</v>
      </c>
      <c r="D39" s="2904" t="str">
        <f>IF($C$3="DE","1. Sensor/Prüfbereich temporär abdecken.
2. Dauersignal auf Sensor simulieren.
3. Prozessstart mit nicht aktiviertem Sensor.
4. Partielle Abdeckung bzw. Variation Licht","1. Temporarily cover sensor/inspection area.
2. Simulate continuous signal on sensor. 
3. Start process with not sensor not activated.
4. Partial coverage or variation in lighting.")</f>
        <v>1. Sensor/Prüfbereich temporär abdecken.
2. Dauersignal auf Sensor simulieren.
3. Prozessstart mit nicht aktiviertem Sensor.
4. Partielle Abdeckung bzw. Variation Licht</v>
      </c>
      <c r="E39" s="2904" t="str">
        <f>IF($C$3="DE","Unplausibles Signal erkannt. Stopp/NOK; keine Freigabe bei Sensorfehler.","Implausible signal detected. Stop/NOK; no release on sensor fault.")</f>
        <v>Unplausibles Signal erkannt. Stopp/NOK; keine Freigabe bei Sensorfehler.</v>
      </c>
      <c r="F39" s="2909"/>
      <c r="G39" s="2907"/>
      <c r="H39" s="2909"/>
      <c r="I39" s="2907"/>
      <c r="J39" s="2909"/>
    </row>
    <row r="40" spans="1:10" ht="23.95" customHeight="1" x14ac:dyDescent="0.25">
      <c r="A40" s="2908"/>
      <c r="B40" s="2908"/>
      <c r="C40" s="2908"/>
      <c r="D40" s="2908"/>
      <c r="E40" s="2908"/>
      <c r="F40" s="2909"/>
      <c r="G40" s="2907"/>
      <c r="H40" s="2909"/>
      <c r="I40" s="2907"/>
      <c r="J40" s="2909"/>
    </row>
    <row r="41" spans="1:10" ht="23.95" customHeight="1" x14ac:dyDescent="0.25">
      <c r="A41" s="2908"/>
      <c r="B41" s="2908"/>
      <c r="C41" s="2908"/>
      <c r="D41" s="2908"/>
      <c r="E41" s="2908"/>
      <c r="F41" s="2909"/>
      <c r="G41" s="2907"/>
      <c r="H41" s="2909"/>
      <c r="I41" s="2907"/>
      <c r="J41" s="2909"/>
    </row>
    <row r="42" spans="1:10" ht="23.95" customHeight="1" x14ac:dyDescent="0.25">
      <c r="A42" s="2908"/>
      <c r="B42" s="2908"/>
      <c r="C42" s="2908"/>
      <c r="D42" s="2908"/>
      <c r="E42" s="2908"/>
      <c r="F42" s="2909"/>
      <c r="G42" s="2907"/>
      <c r="H42" s="2909"/>
      <c r="I42" s="2907"/>
      <c r="J42" s="2909"/>
    </row>
    <row r="43" spans="1:10" ht="23.95" customHeight="1" x14ac:dyDescent="0.25">
      <c r="A43" s="2910"/>
      <c r="B43" s="2910"/>
      <c r="C43" s="2910"/>
      <c r="D43" s="2910"/>
      <c r="E43" s="2910"/>
      <c r="F43" s="2909"/>
      <c r="G43" s="2907"/>
      <c r="H43" s="2909"/>
      <c r="I43" s="2907"/>
      <c r="J43" s="2909"/>
    </row>
    <row r="44" spans="1:10" ht="23.95" customHeight="1" x14ac:dyDescent="0.25">
      <c r="A44" s="2904">
        <v>7</v>
      </c>
      <c r="B44" s="2904" t="str">
        <f>IF($C$3="DE","Schritte vertauscht / übersprungen
Zweck: Ablaufsteuerung prüfen.","Steps swapped / skipped
Purpose: Verify sequence control.")</f>
        <v>Schritte vertauscht / übersprungen
Zweck: Ablaufsteuerung prüfen.</v>
      </c>
      <c r="C44" s="2904" t="str">
        <f>IF($C$3="DE","Soll-Ablauf aufnehmen. Kritische Reihenfolge definieren.","Record target flow. Define critical order.")</f>
        <v>Soll-Ablauf aufnehmen. Kritische Reihenfolge definieren.</v>
      </c>
      <c r="D44" s="2904" t="str">
        <f>IF($C$3="DE","1. Folgeschritt vorziehen.
2. Kritischen Schritt überspringen.
3. Teil weiterbewegen versuchen.
4. Verriegelung prüfen.
","1. Perform subsequent step earlier.
2. Skip critical step.
3. Try to move part forward.
4. Check: lock?
")</f>
        <v xml:space="preserve">1. Folgeschritt vorziehen.
2. Kritischen Schritt überspringen.
3. Teil weiterbewegen versuchen.
4. Verriegelung prüfen.
</v>
      </c>
      <c r="E44" s="2904" t="str">
        <f>IF($C$3="DE","Falsche Reihenfolge verhindert. Korrekte Sequenz erforderlich; kein Gutteil möglich.","Wrong sequence prevented. Correct sequence required; no good part possible.")</f>
        <v>Falsche Reihenfolge verhindert. Korrekte Sequenz erforderlich; kein Gutteil möglich.</v>
      </c>
      <c r="F44" s="2909"/>
      <c r="G44" s="2907"/>
      <c r="H44" s="2909"/>
      <c r="I44" s="2907"/>
      <c r="J44" s="2909"/>
    </row>
    <row r="45" spans="1:10" ht="23.95" customHeight="1" x14ac:dyDescent="0.25">
      <c r="A45" s="2908"/>
      <c r="B45" s="2908"/>
      <c r="C45" s="2908"/>
      <c r="D45" s="2908"/>
      <c r="E45" s="2908"/>
      <c r="F45" s="2909"/>
      <c r="G45" s="2907"/>
      <c r="H45" s="2909"/>
      <c r="I45" s="2907"/>
      <c r="J45" s="2909"/>
    </row>
    <row r="46" spans="1:10" ht="23.95" customHeight="1" x14ac:dyDescent="0.25">
      <c r="A46" s="2908"/>
      <c r="B46" s="2908"/>
      <c r="C46" s="2908"/>
      <c r="D46" s="2908"/>
      <c r="E46" s="2908"/>
      <c r="F46" s="2909"/>
      <c r="G46" s="2907"/>
      <c r="H46" s="2909"/>
      <c r="I46" s="2907"/>
      <c r="J46" s="2909"/>
    </row>
    <row r="47" spans="1:10" ht="23.95" customHeight="1" x14ac:dyDescent="0.25">
      <c r="A47" s="2908"/>
      <c r="B47" s="2908"/>
      <c r="C47" s="2908"/>
      <c r="D47" s="2908"/>
      <c r="E47" s="2908"/>
      <c r="F47" s="2909"/>
      <c r="G47" s="2907"/>
      <c r="H47" s="2909"/>
      <c r="I47" s="2907"/>
      <c r="J47" s="2909"/>
    </row>
    <row r="48" spans="1:10" ht="23.95" customHeight="1" x14ac:dyDescent="0.25">
      <c r="A48" s="2910"/>
      <c r="B48" s="2910"/>
      <c r="C48" s="2910"/>
      <c r="D48" s="2910"/>
      <c r="E48" s="2910"/>
      <c r="F48" s="2909"/>
      <c r="G48" s="2907"/>
      <c r="H48" s="2909"/>
      <c r="I48" s="2907"/>
      <c r="J48" s="2909"/>
    </row>
    <row r="49" spans="1:10" ht="23.95" customHeight="1" x14ac:dyDescent="0.25">
      <c r="A49" s="2904">
        <v>8</v>
      </c>
      <c r="B49" s="2904" t="str">
        <f>IF($C$3="DE","Test übersprungen / Bypass
Zweck: Ungeprüfte Teile dürfen nicht gut werden.","Test skipped / bypass
Purpose: Untested parts must not become good.")</f>
        <v>Test übersprungen / Bypass
Zweck: Ungeprüfte Teile dürfen nicht gut werden.</v>
      </c>
      <c r="C49" s="2904" t="str">
        <f>IF($C$3="DE","Tests/Freigabelogik verstehen. Berechtigungen prüfen.","Understand tests/release logic. Check authorizations.")</f>
        <v>Tests/Freigabelogik verstehen. Berechtigungen prüfen.</v>
      </c>
      <c r="D49" s="2904" t="str">
        <f>IF($C$3="DE","1. Test nicht durchführen.
2. Manuelle Freigabe versuchen.
3. OK-Label/Freigabe möglich?
4. Bediener-Override prüfen.
","1. Do not perform test.
2. Try manual release.
3. Check: OK label/release possible?
4. Check operator override.
")</f>
        <v xml:space="preserve">1. Test nicht durchführen.
2. Manuelle Freigabe versuchen.
3. OK-Label/Freigabe möglich?
4. Bediener-Override prüfen.
</v>
      </c>
      <c r="E49" s="2904" t="str">
        <f>IF($C$3="DE","Keine OK-Freigabe ohne vollständigen Test. Bypass nur kontrolliert/dokumentiert/autorisiert.","No OK release without complete test. Bypass controlled/documented/authorized only.")</f>
        <v>Keine OK-Freigabe ohne vollständigen Test. Bypass nur kontrolliert/dokumentiert/autorisiert.</v>
      </c>
      <c r="F49" s="2909"/>
      <c r="G49" s="2907"/>
      <c r="H49" s="2909"/>
      <c r="I49" s="2907"/>
      <c r="J49" s="2909"/>
    </row>
    <row r="50" spans="1:10" ht="23.95" customHeight="1" x14ac:dyDescent="0.25">
      <c r="A50" s="2908"/>
      <c r="B50" s="2908"/>
      <c r="C50" s="2908"/>
      <c r="D50" s="2908"/>
      <c r="E50" s="2908"/>
      <c r="F50" s="2909"/>
      <c r="G50" s="2907"/>
      <c r="H50" s="2909"/>
      <c r="I50" s="2907"/>
      <c r="J50" s="2909"/>
    </row>
    <row r="51" spans="1:10" ht="23.95" customHeight="1" x14ac:dyDescent="0.25">
      <c r="A51" s="2908"/>
      <c r="B51" s="2908"/>
      <c r="C51" s="2908"/>
      <c r="D51" s="2908"/>
      <c r="E51" s="2908"/>
      <c r="F51" s="2909"/>
      <c r="G51" s="2907"/>
      <c r="H51" s="2909"/>
      <c r="I51" s="2907"/>
      <c r="J51" s="2909"/>
    </row>
    <row r="52" spans="1:10" ht="23.95" customHeight="1" x14ac:dyDescent="0.25">
      <c r="A52" s="2908"/>
      <c r="B52" s="2908"/>
      <c r="C52" s="2908"/>
      <c r="D52" s="2908"/>
      <c r="E52" s="2908"/>
      <c r="F52" s="2909"/>
      <c r="G52" s="2907"/>
      <c r="H52" s="2909"/>
      <c r="I52" s="2907"/>
      <c r="J52" s="2909"/>
    </row>
    <row r="53" spans="1:10" ht="23.95" customHeight="1" x14ac:dyDescent="0.25">
      <c r="A53" s="2910"/>
      <c r="B53" s="2910"/>
      <c r="C53" s="2910"/>
      <c r="D53" s="2910"/>
      <c r="E53" s="2910"/>
      <c r="F53" s="2909"/>
      <c r="G53" s="2907"/>
      <c r="H53" s="2909"/>
      <c r="I53" s="2907"/>
      <c r="J53" s="2909"/>
    </row>
    <row r="54" spans="1:10" ht="23.95" customHeight="1" x14ac:dyDescent="0.25">
      <c r="A54" s="2904">
        <v>9</v>
      </c>
      <c r="B54" s="2904" t="str">
        <f>IF($C$3="DE","NOK-Teil erneut eingeschleust
Zweck: Ausschuss trennen; Wiederverwendung verhindern.","NOK part reintroduced
Purpose: Separate scrap; prevent reuse.")</f>
        <v>NOK-Teil erneut eingeschleust
Zweck: Ausschuss trennen; Wiederverwendung verhindern.</v>
      </c>
      <c r="C54" s="2904" t="str">
        <f>IF($C$3="DE","Ausschuss-/markiertes Testteil. Ausschuss-/Sperrbereich prüfen.","Scrap/marked test part. Check scrap/quarantine area.")</f>
        <v>Ausschuss-/markiertes Testteil. Ausschuss-/Sperrbereich prüfen.</v>
      </c>
      <c r="D54" s="2904" t="str">
        <f>IF($C$3="DE","1. Markiertes NOK-Teil erneut zuführen.
2. Systemerkennung prüfen.
3. Physische Trennung prüfen.
4. Sperrprozess prüfen.
","1. Refeed marked NOK part.
2. Check: system detects part?
3. Check physical separation.
4. Check quarantine process.
")</f>
        <v xml:space="preserve">1. Markiertes NOK-Teil erneut zuführen.
2. Systemerkennung prüfen.
3. Physische Trennung prüfen.
4. Sperrprozess prüfen.
</v>
      </c>
      <c r="E54" s="2904" t="str">
        <f>IF($C$3="DE","NOK-Teil kann nicht unkontrolliert zurücklaufen. Klare Sperre/Erkennung.","NOK part cannot return uncontrolled. Clear blocking/detection.")</f>
        <v>NOK-Teil kann nicht unkontrolliert zurücklaufen. Klare Sperre/Erkennung.</v>
      </c>
      <c r="F54" s="2909"/>
      <c r="G54" s="2907"/>
      <c r="H54" s="2909"/>
      <c r="I54" s="2907"/>
      <c r="J54" s="2909"/>
    </row>
    <row r="55" spans="1:10" ht="23.95" customHeight="1" x14ac:dyDescent="0.25">
      <c r="A55" s="2908"/>
      <c r="B55" s="2908"/>
      <c r="C55" s="2908"/>
      <c r="D55" s="2908"/>
      <c r="E55" s="2908"/>
      <c r="F55" s="2909"/>
      <c r="G55" s="2907"/>
      <c r="H55" s="2909"/>
      <c r="I55" s="2907"/>
      <c r="J55" s="2909"/>
    </row>
    <row r="56" spans="1:10" ht="23.95" customHeight="1" x14ac:dyDescent="0.25">
      <c r="A56" s="2908"/>
      <c r="B56" s="2908"/>
      <c r="C56" s="2908"/>
      <c r="D56" s="2908"/>
      <c r="E56" s="2908"/>
      <c r="F56" s="2909"/>
      <c r="G56" s="2907"/>
      <c r="H56" s="2909"/>
      <c r="I56" s="2907"/>
      <c r="J56" s="2909"/>
    </row>
    <row r="57" spans="1:10" ht="23.95" customHeight="1" x14ac:dyDescent="0.25">
      <c r="A57" s="2908"/>
      <c r="B57" s="2908"/>
      <c r="C57" s="2908"/>
      <c r="D57" s="2908"/>
      <c r="E57" s="2908"/>
      <c r="F57" s="2909"/>
      <c r="G57" s="2907"/>
      <c r="H57" s="2909"/>
      <c r="I57" s="2907"/>
      <c r="J57" s="2909"/>
    </row>
    <row r="58" spans="1:10" ht="23.95" customHeight="1" x14ac:dyDescent="0.25">
      <c r="A58" s="2910"/>
      <c r="B58" s="2910"/>
      <c r="C58" s="2910"/>
      <c r="D58" s="2910"/>
      <c r="E58" s="2910"/>
      <c r="F58" s="2909"/>
      <c r="G58" s="2907"/>
      <c r="H58" s="2909"/>
      <c r="I58" s="2907"/>
      <c r="J58" s="2909"/>
    </row>
    <row r="59" spans="1:10" ht="23.95" customHeight="1" x14ac:dyDescent="0.25">
      <c r="A59" s="2904">
        <v>10</v>
      </c>
      <c r="B59" s="2904" t="str">
        <f>IF($C$3="DE","Doppelmontage / Mehrfachteil
Zweck: Übermontage erkennen.","Double assembly / multiple part
Purpose: Detect over-assembly.")</f>
        <v>Doppelmontage / Mehrfachteil
Zweck: Übermontage erkennen.</v>
      </c>
      <c r="C59" s="2904" t="str">
        <f>IF($C$3="DE","Zusätzliches Teil vorbereiten. Kritische Stellen definieren.","Prepare extra part. Define critical locations.")</f>
        <v>Zusätzliches Teil vorbereiten. Kritische Stellen definieren.</v>
      </c>
      <c r="D59" s="2904" t="str">
        <f>IF($C$3="DE","1. Zwei identische Teile montieren/einlegen.
2. Prozess starten.
","1. Insert/assemble two identical parts.
2. Start process.
")</f>
        <v xml:space="preserve">1. Zwei identische Teile montieren/einlegen.
2. Prozess starten.
</v>
      </c>
      <c r="E59" s="2904" t="str">
        <f>IF($C$3="DE","Abweichung erkannt. Keine OK-Freigabe; Teil gesperrt.","Deviation detected. No OK release; part blocked.")</f>
        <v>Abweichung erkannt. Keine OK-Freigabe; Teil gesperrt.</v>
      </c>
      <c r="F59" s="2909"/>
      <c r="G59" s="2907"/>
      <c r="H59" s="2909"/>
      <c r="I59" s="2907"/>
      <c r="J59" s="2909"/>
    </row>
    <row r="60" spans="1:10" ht="23.95" customHeight="1" x14ac:dyDescent="0.25">
      <c r="A60" s="2908"/>
      <c r="B60" s="2908"/>
      <c r="C60" s="2908"/>
      <c r="D60" s="2908"/>
      <c r="E60" s="2908"/>
      <c r="F60" s="2909"/>
      <c r="G60" s="2907"/>
      <c r="H60" s="2909"/>
      <c r="I60" s="2907"/>
      <c r="J60" s="2909"/>
    </row>
    <row r="61" spans="1:10" ht="23.95" customHeight="1" x14ac:dyDescent="0.25">
      <c r="A61" s="2908"/>
      <c r="B61" s="2908"/>
      <c r="C61" s="2908"/>
      <c r="D61" s="2908"/>
      <c r="E61" s="2908"/>
      <c r="F61" s="2909"/>
      <c r="G61" s="2907"/>
      <c r="H61" s="2909"/>
      <c r="I61" s="2907"/>
      <c r="J61" s="2909"/>
    </row>
    <row r="62" spans="1:10" ht="23.95" customHeight="1" x14ac:dyDescent="0.25">
      <c r="A62" s="2908"/>
      <c r="B62" s="2908"/>
      <c r="C62" s="2908"/>
      <c r="D62" s="2908"/>
      <c r="E62" s="2908"/>
      <c r="F62" s="2909"/>
      <c r="G62" s="2907"/>
      <c r="H62" s="2909"/>
      <c r="I62" s="2907"/>
      <c r="J62" s="2909"/>
    </row>
    <row r="63" spans="1:10" ht="23.95" customHeight="1" x14ac:dyDescent="0.25">
      <c r="A63" s="2910"/>
      <c r="B63" s="2910"/>
      <c r="C63" s="2910"/>
      <c r="D63" s="2910"/>
      <c r="E63" s="2910"/>
      <c r="F63" s="2909"/>
      <c r="G63" s="2907"/>
      <c r="H63" s="2909"/>
      <c r="I63" s="2907"/>
      <c r="J63" s="2909"/>
    </row>
    <row r="64" spans="1:10" ht="23.95" customHeight="1" x14ac:dyDescent="0.25">
      <c r="A64" s="2904">
        <v>11</v>
      </c>
      <c r="B64" s="2904" t="str">
        <f>IF($C$3="DE","Falsches/fehlendes Label oder Datensatz
Zweck: Rückverfolgbarkeit und Variantenlogik prüfen.","Wrong/missing label or data record
Purpose: Verify traceability and variant logic.")</f>
        <v>Falsches/fehlendes Label oder Datensatz
Zweck: Rückverfolgbarkeit und Variantenlogik prüfen.</v>
      </c>
      <c r="C64" s="2904" t="str">
        <f>IF($C$3="DE","Label, Scanner, Datensatz und Variantenfreigabe identifizieren.","Identify label, scanner, record, variant release.")</f>
        <v>Label, Scanner, Datensatz und Variantenfreigabe identifizieren.</v>
      </c>
      <c r="D64" s="2904" t="str">
        <f>IF($C$3="DE","1. Falsches Label scannen/Label weglassen.
2. Falschen Auftrag/Variante wählen.
3. Altes bzw. doppeltes Label scannen.","1. Scan wrong label/omit label.
2. Select wrong order/variant.
3. Scan outdated or duplicate label.")</f>
        <v>1. Falsches Label scannen/Label weglassen.
2. Falschen Auftrag/Variante wählen.
3. Altes bzw. doppeltes Label scannen.</v>
      </c>
      <c r="E64" s="2904" t="str">
        <f>IF($C$3="DE","Falsche Zuordnung verhindert. Keine Produktion ohne gültige Rückverfolgbarkeit.","Wrong assignment prevented. No production without valid traceability.")</f>
        <v>Falsche Zuordnung verhindert. Keine Produktion ohne gültige Rückverfolgbarkeit.</v>
      </c>
      <c r="F64" s="2909"/>
      <c r="G64" s="2907"/>
      <c r="H64" s="2909"/>
      <c r="I64" s="2907"/>
      <c r="J64" s="2909"/>
    </row>
    <row r="65" spans="1:10" ht="23.95" customHeight="1" x14ac:dyDescent="0.25">
      <c r="A65" s="2908"/>
      <c r="B65" s="2908"/>
      <c r="C65" s="2908"/>
      <c r="D65" s="2908"/>
      <c r="E65" s="2908"/>
      <c r="F65" s="2909"/>
      <c r="G65" s="2907"/>
      <c r="H65" s="2909"/>
      <c r="I65" s="2907"/>
      <c r="J65" s="2909"/>
    </row>
    <row r="66" spans="1:10" ht="23.95" customHeight="1" x14ac:dyDescent="0.25">
      <c r="A66" s="2908"/>
      <c r="B66" s="2908"/>
      <c r="C66" s="2908"/>
      <c r="D66" s="2908"/>
      <c r="E66" s="2908"/>
      <c r="F66" s="2909"/>
      <c r="G66" s="2907"/>
      <c r="H66" s="2909"/>
      <c r="I66" s="2907"/>
      <c r="J66" s="2909"/>
    </row>
    <row r="67" spans="1:10" ht="23.95" customHeight="1" x14ac:dyDescent="0.25">
      <c r="A67" s="2908"/>
      <c r="B67" s="2908"/>
      <c r="C67" s="2908"/>
      <c r="D67" s="2908"/>
      <c r="E67" s="2908"/>
      <c r="F67" s="2909"/>
      <c r="G67" s="2907"/>
      <c r="H67" s="2909"/>
      <c r="I67" s="2907"/>
      <c r="J67" s="2909"/>
    </row>
    <row r="68" spans="1:10" ht="23.95" customHeight="1" x14ac:dyDescent="0.25">
      <c r="A68" s="2910"/>
      <c r="B68" s="2910"/>
      <c r="C68" s="2910"/>
      <c r="D68" s="2910"/>
      <c r="E68" s="2910"/>
      <c r="F68" s="2909"/>
      <c r="G68" s="2907"/>
      <c r="H68" s="2909"/>
      <c r="I68" s="2907"/>
      <c r="J68" s="2909"/>
    </row>
    <row r="69" spans="1:10" ht="23.95" customHeight="1" x14ac:dyDescent="0.25">
      <c r="A69" s="2904">
        <v>12</v>
      </c>
      <c r="B69" s="2904" t="str">
        <f>IF($C$3="DE","Unterbrechung während kritischem Schritt
Zweck: Sicheren Wiederanlauf prüfen.","Interruption during critical step
Purpose: Verify safe restart.")</f>
        <v>Unterbrechung während kritischem Schritt
Zweck: Sicheren Wiederanlauf prüfen.</v>
      </c>
      <c r="C69" s="2904" t="str">
        <f>IF($C$3="DE","Kritischen Schritt definieren. Sichere Fehlersimulation abstimmen.","Define critical step. Agree safe fault simulation.")</f>
        <v>Kritischen Schritt definieren. Sichere Fehlersimulation abstimmen.</v>
      </c>
      <c r="D69" s="2904" t="str">
        <f>IF($C$3="DE","1. Während kritischem Schritt stoppen.
2. Maschine neu starten.
3. Teilstatus bekannt?
4. Teil gesperrt/erneut geprüft?
","1. Stop during critical step.
2. Restart machine.
3. Check: part status known?
4. Part blocked/retested?
")</f>
        <v xml:space="preserve">1. Während kritischem Schritt stoppen.
2. Maschine neu starten.
3. Teilstatus bekannt?
4. Teil gesperrt/erneut geprüft?
</v>
      </c>
      <c r="E69" s="2904" t="str">
        <f>IF($C$3="DE","Sicherer Wiederanlauf. Teilstatus klar; keine automatische OK-Freigabe.","Safe restart. Part status clear; no automatic OK release.")</f>
        <v>Sicherer Wiederanlauf. Teilstatus klar; keine automatische OK-Freigabe.</v>
      </c>
      <c r="F69" s="2909"/>
      <c r="G69" s="2907"/>
      <c r="H69" s="2909"/>
      <c r="I69" s="2907"/>
      <c r="J69" s="2909"/>
    </row>
    <row r="70" spans="1:10" ht="23.95" customHeight="1" x14ac:dyDescent="0.25">
      <c r="A70" s="2908"/>
      <c r="B70" s="2908"/>
      <c r="C70" s="2908"/>
      <c r="D70" s="2908"/>
      <c r="E70" s="2908"/>
      <c r="F70" s="2909"/>
      <c r="G70" s="2907"/>
      <c r="H70" s="2909"/>
      <c r="I70" s="2907"/>
      <c r="J70" s="2909"/>
    </row>
    <row r="71" spans="1:10" ht="23.95" customHeight="1" x14ac:dyDescent="0.25">
      <c r="A71" s="2908"/>
      <c r="B71" s="2908"/>
      <c r="C71" s="2908"/>
      <c r="D71" s="2908"/>
      <c r="E71" s="2908"/>
      <c r="F71" s="2909"/>
      <c r="G71" s="2907"/>
      <c r="H71" s="2909"/>
      <c r="I71" s="2907"/>
      <c r="J71" s="2909"/>
    </row>
    <row r="72" spans="1:10" ht="23.95" customHeight="1" x14ac:dyDescent="0.25">
      <c r="A72" s="2908"/>
      <c r="B72" s="2908"/>
      <c r="C72" s="2908"/>
      <c r="D72" s="2908"/>
      <c r="E72" s="2908"/>
      <c r="F72" s="2909"/>
      <c r="G72" s="2907"/>
      <c r="H72" s="2909"/>
      <c r="I72" s="2907"/>
      <c r="J72" s="2909"/>
    </row>
    <row r="73" spans="1:10" ht="23.95" customHeight="1" x14ac:dyDescent="0.25">
      <c r="A73" s="2910"/>
      <c r="B73" s="2910"/>
      <c r="C73" s="2910"/>
      <c r="D73" s="2910"/>
      <c r="E73" s="2910"/>
      <c r="F73" s="2909"/>
      <c r="G73" s="2907"/>
      <c r="H73" s="2909"/>
      <c r="I73" s="2907"/>
      <c r="J73" s="2909"/>
    </row>
  </sheetData>
  <sheetProtection algorithmName="SHA-512" hashValue="VBDjTKIbCOEbTYzElWDxElbLo+mYFFhtx/6EDj7GctIrG/BvjGaYe3zd6pw2e4Tgcu36Ch1EiAtBiIpRObJR3g==" saltValue="ZEe86L/MrjAQa8lCeXESqg==" spinCount="100000" sheet="1" objects="1" scenarios="1" formatCells="0" formatRows="0" insertRows="0" autoFilter="0"/>
  <autoFilter ref="A13:J73" xr:uid="{00000000-0009-0000-0000-000000000000}"/>
  <mergeCells count="82">
    <mergeCell ref="A69:A73"/>
    <mergeCell ref="B69:B73"/>
    <mergeCell ref="C69:C73"/>
    <mergeCell ref="D69:D73"/>
    <mergeCell ref="E69:E73"/>
    <mergeCell ref="A59:A63"/>
    <mergeCell ref="B59:B63"/>
    <mergeCell ref="C59:C63"/>
    <mergeCell ref="D59:D63"/>
    <mergeCell ref="E59:E63"/>
    <mergeCell ref="A64:A68"/>
    <mergeCell ref="B64:B68"/>
    <mergeCell ref="C64:C68"/>
    <mergeCell ref="D64:D68"/>
    <mergeCell ref="E64:E68"/>
    <mergeCell ref="A49:A53"/>
    <mergeCell ref="B49:B53"/>
    <mergeCell ref="C49:C53"/>
    <mergeCell ref="D49:D53"/>
    <mergeCell ref="E49:E53"/>
    <mergeCell ref="A54:A58"/>
    <mergeCell ref="B54:B58"/>
    <mergeCell ref="C54:C58"/>
    <mergeCell ref="D54:D58"/>
    <mergeCell ref="E54:E58"/>
    <mergeCell ref="A39:A43"/>
    <mergeCell ref="B39:B43"/>
    <mergeCell ref="C39:C43"/>
    <mergeCell ref="D39:D43"/>
    <mergeCell ref="E39:E43"/>
    <mergeCell ref="A44:A48"/>
    <mergeCell ref="B44:B48"/>
    <mergeCell ref="C44:C48"/>
    <mergeCell ref="D44:D48"/>
    <mergeCell ref="E44:E48"/>
    <mergeCell ref="A29:A33"/>
    <mergeCell ref="B29:B33"/>
    <mergeCell ref="C29:C33"/>
    <mergeCell ref="D29:D33"/>
    <mergeCell ref="E29:E33"/>
    <mergeCell ref="A34:A38"/>
    <mergeCell ref="B34:B38"/>
    <mergeCell ref="C34:C38"/>
    <mergeCell ref="D34:D38"/>
    <mergeCell ref="E34:E38"/>
    <mergeCell ref="A19:A23"/>
    <mergeCell ref="B19:B23"/>
    <mergeCell ref="C19:C23"/>
    <mergeCell ref="D19:D23"/>
    <mergeCell ref="E19:E23"/>
    <mergeCell ref="A24:A28"/>
    <mergeCell ref="B24:B28"/>
    <mergeCell ref="C24:C28"/>
    <mergeCell ref="D24:D28"/>
    <mergeCell ref="E24:E28"/>
    <mergeCell ref="A8:B8"/>
    <mergeCell ref="C8:D8"/>
    <mergeCell ref="F8:G8"/>
    <mergeCell ref="H8:J8"/>
    <mergeCell ref="A10:J11"/>
    <mergeCell ref="A14:A18"/>
    <mergeCell ref="B14:B18"/>
    <mergeCell ref="C14:C18"/>
    <mergeCell ref="D14:D18"/>
    <mergeCell ref="E14:E18"/>
    <mergeCell ref="A6:B6"/>
    <mergeCell ref="C6:D6"/>
    <mergeCell ref="F6:G6"/>
    <mergeCell ref="H6:J6"/>
    <mergeCell ref="A7:B7"/>
    <mergeCell ref="C7:D7"/>
    <mergeCell ref="F7:G7"/>
    <mergeCell ref="H7:J7"/>
    <mergeCell ref="A1:I2"/>
    <mergeCell ref="A3:B3"/>
    <mergeCell ref="F3:G3"/>
    <mergeCell ref="H3:J3"/>
    <mergeCell ref="A4:J4"/>
    <mergeCell ref="A5:B5"/>
    <mergeCell ref="C5:D5"/>
    <mergeCell ref="F5:G5"/>
    <mergeCell ref="H5:J5"/>
  </mergeCells>
  <conditionalFormatting sqref="G14:G73">
    <cfRule type="containsText" dxfId="8" priority="1" operator="containsText" text="yes">
      <formula>NOT(ISERROR(SEARCH("yes",G14)))</formula>
    </cfRule>
    <cfRule type="containsText" dxfId="7" priority="2" operator="containsText" text="nein">
      <formula>NOT(ISERROR(SEARCH("nein",G14)))</formula>
    </cfRule>
    <cfRule type="containsText" dxfId="6" priority="8" operator="containsText" text="no">
      <formula>NOT(ISERROR(SEARCH("no",G14)))</formula>
    </cfRule>
    <cfRule type="containsText" dxfId="5" priority="9" operator="containsText" text="ja">
      <formula>NOT(ISERROR(SEARCH("ja",G14)))</formula>
    </cfRule>
  </conditionalFormatting>
  <conditionalFormatting sqref="I14:I73">
    <cfRule type="containsText" dxfId="4" priority="3" operator="containsText" text="N/A">
      <formula>NOT(ISERROR(SEARCH("N/A",I14)))</formula>
    </cfRule>
    <cfRule type="beginsWith" dxfId="3" priority="4" operator="beginsWith" text="Nicht anwendbar">
      <formula>LEFT(I14,LEN("Nicht anwendbar"))="Nicht anwendbar"</formula>
    </cfRule>
    <cfRule type="containsText" dxfId="2" priority="5" operator="containsText" text="test">
      <formula>NOT(ISERROR(SEARCH("test",I14)))</formula>
    </cfRule>
    <cfRule type="containsText" dxfId="1" priority="6" operator="containsText" text="nOK">
      <formula>NOT(ISERROR(SEARCH("nOK",I14)))</formula>
    </cfRule>
    <cfRule type="containsText" dxfId="0" priority="7" operator="containsText" text="OK">
      <formula>NOT(ISERROR(SEARCH("OK",I14)))</formula>
    </cfRule>
  </conditionalFormatting>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3">
        <x14:dataValidation type="list" allowBlank="1" xr:uid="{92E045DB-08D4-4732-BCAD-7C2269ED1120}">
          <x14:formula1>
            <xm:f>Listen_Lists!$A$1:$A$3</xm:f>
          </x14:formula1>
          <xm:sqref>I14:I73</xm:sqref>
        </x14:dataValidation>
        <x14:dataValidation type="list" allowBlank="1" xr:uid="{E10084F7-A3B1-43AC-9795-D8DE17B4C88F}">
          <x14:formula1>
            <xm:f>Listen_Lists!$B$1:$B$2</xm:f>
          </x14:formula1>
          <xm:sqref>G14:G73</xm:sqref>
        </x14:dataValidation>
        <x14:dataValidation type="list" xr:uid="{2503F2FE-259E-4619-8660-79EC01A12999}">
          <x14:formula1>
            <xm:f>Listen_Lists!$D$1:$D$2</xm:f>
          </x14:formula1>
          <xm:sqref>C3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3C1B8-6336-4FEA-A385-D44000E679AF}">
  <dimension ref="A1:D3"/>
  <sheetViews>
    <sheetView showGridLines="0" workbookViewId="0">
      <selection activeCell="D19" sqref="D19:D23"/>
    </sheetView>
  </sheetViews>
  <sheetFormatPr baseColWidth="10" defaultColWidth="8" defaultRowHeight="14.4" x14ac:dyDescent="0.25"/>
  <cols>
    <col min="1" max="16384" width="8" style="2884"/>
  </cols>
  <sheetData>
    <row r="1" spans="1:4" x14ac:dyDescent="0.25">
      <c r="A1" s="2884" t="s">
        <v>2317</v>
      </c>
      <c r="B1" s="2884" t="str">
        <f>IF('Failure Provocation Check'!$C$3="DE","Ja","Yes")</f>
        <v>Ja</v>
      </c>
      <c r="C1" s="2884" t="s">
        <v>2318</v>
      </c>
      <c r="D1" s="2884" t="s">
        <v>1505</v>
      </c>
    </row>
    <row r="2" spans="1:4" x14ac:dyDescent="0.25">
      <c r="A2" s="2884" t="s">
        <v>2319</v>
      </c>
      <c r="B2" s="2884" t="str">
        <f>IF('Failure Provocation Check'!$C$3="DE","Nein","No")</f>
        <v>Nein</v>
      </c>
      <c r="C2" s="2884" t="s">
        <v>2320</v>
      </c>
      <c r="D2" s="2884" t="s">
        <v>2321</v>
      </c>
    </row>
    <row r="3" spans="1:4" x14ac:dyDescent="0.25">
      <c r="A3" s="2884" t="s">
        <v>114</v>
      </c>
      <c r="C3" s="2884" t="s">
        <v>2322</v>
      </c>
    </row>
  </sheetData>
  <sheetProtection sheet="1" objects="1" scenarios="1"/>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28FD6-B24A-4F20-917F-231D85C2D9A8}">
  <sheetPr codeName="Tabelle6"/>
  <dimension ref="A1:D7"/>
  <sheetViews>
    <sheetView zoomScaleNormal="100" workbookViewId="0">
      <selection activeCell="C28" sqref="C28"/>
    </sheetView>
  </sheetViews>
  <sheetFormatPr baseColWidth="10" defaultColWidth="11" defaultRowHeight="13.15" x14ac:dyDescent="0.25"/>
  <cols>
    <col min="1" max="2" width="11" style="801"/>
    <col min="3" max="3" width="56" style="801" customWidth="1"/>
    <col min="4" max="16384" width="11" style="801"/>
  </cols>
  <sheetData>
    <row r="1" spans="1:4" ht="15.05" x14ac:dyDescent="0.25">
      <c r="A1" s="802" t="s">
        <v>2299</v>
      </c>
    </row>
    <row r="3" spans="1:4" x14ac:dyDescent="0.25">
      <c r="A3" s="803" t="s">
        <v>2300</v>
      </c>
      <c r="B3" s="803" t="s">
        <v>51</v>
      </c>
      <c r="C3" s="803" t="s">
        <v>2301</v>
      </c>
      <c r="D3" s="803" t="s">
        <v>148</v>
      </c>
    </row>
    <row r="4" spans="1:4" x14ac:dyDescent="0.25">
      <c r="A4" s="804">
        <v>45845</v>
      </c>
      <c r="B4" s="805">
        <v>218</v>
      </c>
      <c r="C4" s="807" t="s">
        <v>2308</v>
      </c>
      <c r="D4" s="808" t="s">
        <v>2309</v>
      </c>
    </row>
    <row r="5" spans="1:4" x14ac:dyDescent="0.25">
      <c r="A5" s="804">
        <v>45944</v>
      </c>
      <c r="B5" s="805">
        <v>219</v>
      </c>
      <c r="C5" s="806" t="s">
        <v>2303</v>
      </c>
      <c r="D5" s="808" t="s">
        <v>2302</v>
      </c>
    </row>
    <row r="6" spans="1:4" x14ac:dyDescent="0.25">
      <c r="A6" s="809">
        <v>46226</v>
      </c>
      <c r="B6" s="805">
        <v>220</v>
      </c>
      <c r="C6" s="810" t="s">
        <v>2315</v>
      </c>
      <c r="D6" s="808" t="s">
        <v>2302</v>
      </c>
    </row>
    <row r="7" spans="1:4" x14ac:dyDescent="0.25">
      <c r="A7" s="804">
        <v>46238</v>
      </c>
      <c r="B7" s="805">
        <v>221</v>
      </c>
      <c r="C7" s="2914" t="s">
        <v>2323</v>
      </c>
      <c r="D7" s="2913" t="s">
        <v>2302</v>
      </c>
    </row>
  </sheetData>
  <sheetProtection algorithmName="SHA-512" hashValue="rwQqwWvc6bzRViAys9ESqi/iykBPv+JeBsFnMgl+IFdPoSKQv9unnUDrtEXU/Q4qVGSArt3oYfv+6KB7EiI67w==" saltValue="6mogCncQOr2C+FSIsQloDA==" spinCount="100000" sheet="1" objects="1" scenarios="1"/>
  <pageMargins left="0.70866141732283472" right="0.55118110236220474" top="0.98425196850393704" bottom="0.9055118110236221" header="0.23622047244094491" footer="0.27559055118110237"/>
  <pageSetup paperSize="9" orientation="portrait" r:id="rId1"/>
  <headerFooter scaleWithDoc="0">
    <oddHeader>&amp;R&amp;"Univers,Fett"
&amp;G</oddHeader>
    <oddFooter xml:space="preserve">&amp;L&amp;8Verantwortlicher: NN/NN
Verfasser: NN/NN
Datei: &amp;F
&amp;6Copyright by Brose. Alle Rechte vorbehalten&amp;C&amp;8
&amp;R&amp;8Stand: 06. Jul. 2023
Index: 100
Seite: &amp;P/&amp;N
</oddFoot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theme="0" tint="-0.249977111117893"/>
    <pageSetUpPr fitToPage="1"/>
  </sheetPr>
  <dimension ref="A1:BX53"/>
  <sheetViews>
    <sheetView showGridLines="0" tabSelected="1" zoomScale="132" zoomScaleNormal="100" zoomScaleSheetLayoutView="100" workbookViewId="0">
      <selection activeCell="D6" sqref="D6:L6"/>
    </sheetView>
  </sheetViews>
  <sheetFormatPr baseColWidth="10" defaultColWidth="5.3984375" defaultRowHeight="13.15" x14ac:dyDescent="0.25"/>
  <cols>
    <col min="23" max="23" width="6.69921875" customWidth="1"/>
    <col min="39" max="43" width="5.3984375" customWidth="1"/>
    <col min="44" max="57" width="5.3984375" hidden="1" customWidth="1"/>
    <col min="58" max="73" width="5.3984375" customWidth="1"/>
    <col min="74" max="75" width="0" hidden="1" customWidth="1"/>
    <col min="76" max="76" width="8.3984375" hidden="1" customWidth="1"/>
    <col min="77" max="77" width="0" hidden="1" customWidth="1"/>
  </cols>
  <sheetData>
    <row r="1" spans="1:38" s="187" customFormat="1" ht="17.7" customHeight="1" x14ac:dyDescent="0.25">
      <c r="A1" s="184"/>
      <c r="B1" s="1023" t="str">
        <f>HLOOKUP(LANGUAGE!$B$2,LANGUAGE!$C$14:$G$2993,1652)</f>
        <v>Instruction</v>
      </c>
      <c r="C1" s="1023"/>
      <c r="D1" s="1023"/>
      <c r="E1" s="1023"/>
      <c r="F1" s="1023"/>
      <c r="G1" s="1023"/>
      <c r="H1" s="1023"/>
      <c r="I1" s="1023"/>
      <c r="J1" s="1023"/>
      <c r="K1" s="1023"/>
      <c r="L1" s="1024" t="s">
        <v>2</v>
      </c>
      <c r="M1" s="1024"/>
      <c r="N1" s="1024"/>
      <c r="O1" s="263"/>
      <c r="P1" s="263"/>
      <c r="Q1" s="263"/>
      <c r="R1" s="263"/>
      <c r="S1" s="263"/>
      <c r="T1" s="263"/>
      <c r="U1" s="264"/>
      <c r="V1" s="264"/>
      <c r="W1" s="224"/>
      <c r="X1" s="224"/>
      <c r="Y1" s="224"/>
      <c r="Z1" s="224"/>
      <c r="AA1" s="224"/>
      <c r="AB1" s="224"/>
      <c r="AC1" s="224"/>
      <c r="AD1" s="224"/>
      <c r="AE1" s="224"/>
      <c r="AF1" s="224"/>
      <c r="AG1" s="224"/>
      <c r="AH1" s="224"/>
      <c r="AI1" s="224"/>
      <c r="AJ1" s="224"/>
      <c r="AK1" s="224"/>
      <c r="AL1" s="224"/>
    </row>
    <row r="2" spans="1:38" s="187" customFormat="1" ht="17.7" customHeight="1" x14ac:dyDescent="0.25">
      <c r="A2" s="184"/>
      <c r="B2" s="1023"/>
      <c r="C2" s="1023"/>
      <c r="D2" s="1023"/>
      <c r="E2" s="1023"/>
      <c r="F2" s="1023"/>
      <c r="G2" s="1023"/>
      <c r="H2" s="1023"/>
      <c r="I2" s="1023"/>
      <c r="J2" s="1023"/>
      <c r="K2" s="1023"/>
      <c r="L2" s="1024" t="s">
        <v>1774</v>
      </c>
      <c r="M2" s="1024"/>
      <c r="N2" s="1024"/>
      <c r="O2" s="263"/>
      <c r="P2" s="263"/>
      <c r="Q2" s="263"/>
      <c r="R2" s="263"/>
      <c r="S2" s="263"/>
      <c r="T2" s="263"/>
      <c r="U2" s="264"/>
      <c r="V2" s="264"/>
      <c r="W2" s="224"/>
      <c r="X2" s="224"/>
      <c r="Y2" s="224"/>
      <c r="Z2" s="224"/>
      <c r="AA2" s="224"/>
      <c r="AB2" s="224"/>
      <c r="AC2" s="224"/>
      <c r="AD2" s="224"/>
      <c r="AE2" s="224"/>
      <c r="AF2" s="224"/>
      <c r="AG2" s="224"/>
      <c r="AH2" s="224"/>
      <c r="AI2" s="224"/>
      <c r="AJ2" s="224"/>
      <c r="AK2" s="224"/>
      <c r="AL2" s="224"/>
    </row>
    <row r="3" spans="1:38" ht="17.7" customHeight="1" x14ac:dyDescent="0.25"/>
    <row r="4" spans="1:38" ht="28.5" customHeight="1" thickBot="1" x14ac:dyDescent="0.3">
      <c r="B4" s="1000" t="str">
        <f>HLOOKUP(LANGUAGE!$B$2,LANGUAGE!$C$14:$G$2993,1654)</f>
        <v>Criteria</v>
      </c>
      <c r="C4" s="1000"/>
      <c r="D4" s="1000"/>
      <c r="E4" s="1000"/>
      <c r="F4" s="1000"/>
      <c r="G4" s="1000"/>
      <c r="H4" s="1000"/>
      <c r="I4" s="1000"/>
      <c r="J4" s="1000"/>
      <c r="K4" s="1000"/>
      <c r="L4" s="1000"/>
      <c r="M4" s="1000"/>
      <c r="N4" s="1000"/>
      <c r="O4" s="1000"/>
      <c r="P4" s="1000"/>
      <c r="Q4" s="1000"/>
      <c r="R4" s="1000"/>
      <c r="S4" s="1000"/>
      <c r="T4" s="1000"/>
      <c r="U4" s="1000"/>
    </row>
    <row r="5" spans="1:38" ht="33.85" customHeight="1" x14ac:dyDescent="0.25">
      <c r="B5" s="1008"/>
      <c r="C5" s="1009"/>
      <c r="D5" s="1032" t="str">
        <f>HLOOKUP(LANGUAGE!$B$2,LANGUAGE!$C$14:$G$2993,1656)</f>
        <v>Evaluation scheme</v>
      </c>
      <c r="E5" s="1032"/>
      <c r="F5" s="1032"/>
      <c r="G5" s="1032"/>
      <c r="H5" s="1032"/>
      <c r="I5" s="1032"/>
      <c r="J5" s="1032"/>
      <c r="K5" s="1032"/>
      <c r="L5" s="1032"/>
      <c r="M5" s="1032" t="str">
        <f>HLOOKUP(LANGUAGE!$B$2,LANGUAGE!$C$14:$G$2993,1658)</f>
        <v>Actions</v>
      </c>
      <c r="N5" s="1032"/>
      <c r="O5" s="1032"/>
      <c r="P5" s="1032"/>
      <c r="Q5" s="1032"/>
      <c r="R5" s="1032"/>
      <c r="S5" s="1032"/>
      <c r="T5" s="1032"/>
      <c r="U5" s="1033"/>
    </row>
    <row r="6" spans="1:38" ht="44.3" customHeight="1" x14ac:dyDescent="0.25">
      <c r="B6" s="1006"/>
      <c r="C6" s="1007"/>
      <c r="D6" s="1038" t="str">
        <f>HLOOKUP(LANGUAGE!$B$2,LANGUAGE!$C$14:$G$2993,1660)</f>
        <v>Means that the question has not been answered by the project team. During the project report presentation no question is allowed to have this status.</v>
      </c>
      <c r="E6" s="1038"/>
      <c r="F6" s="1038"/>
      <c r="G6" s="1038"/>
      <c r="H6" s="1038"/>
      <c r="I6" s="1038"/>
      <c r="J6" s="1038"/>
      <c r="K6" s="1038"/>
      <c r="L6" s="1038"/>
      <c r="M6" s="1030" t="str">
        <f>HLOOKUP(LANGUAGE!$B$2,LANGUAGE!$C$14:$G$2993,1662)</f>
        <v>None</v>
      </c>
      <c r="N6" s="1030"/>
      <c r="O6" s="1030"/>
      <c r="P6" s="1030"/>
      <c r="Q6" s="1030"/>
      <c r="R6" s="1030"/>
      <c r="S6" s="1030"/>
      <c r="T6" s="1030"/>
      <c r="U6" s="1031"/>
    </row>
    <row r="7" spans="1:38" ht="100.2" customHeight="1" x14ac:dyDescent="0.25">
      <c r="B7" s="1002" t="str">
        <f>HLOOKUP(LANGUAGE!$B$2,LANGUAGE!$C$14:$G$2993,1664)</f>
        <v>Not applicable</v>
      </c>
      <c r="C7" s="1003"/>
      <c r="D7" s="1038" t="str">
        <f>HLOOKUP(LANGUAGE!$B$2,LANGUAGE!$C$14:$G$2993,1666)</f>
        <v>Means that the question is not applicable for this project, the issue does not have any sense. For Example: The status of a Quality-Gate Elektrik/Elektronik is not appraisable if it concerns a fully mechanical product</v>
      </c>
      <c r="E7" s="1038"/>
      <c r="F7" s="1038"/>
      <c r="G7" s="1038"/>
      <c r="H7" s="1038"/>
      <c r="I7" s="1038"/>
      <c r="J7" s="1038"/>
      <c r="K7" s="1038"/>
      <c r="L7" s="1038"/>
      <c r="M7" s="1030" t="str">
        <f>HLOOKUP(LANGUAGE!$B$2,LANGUAGE!$C$14:$G$2993,1662)</f>
        <v>None</v>
      </c>
      <c r="N7" s="1030"/>
      <c r="O7" s="1030"/>
      <c r="P7" s="1030"/>
      <c r="Q7" s="1030"/>
      <c r="R7" s="1030"/>
      <c r="S7" s="1030"/>
      <c r="T7" s="1030"/>
      <c r="U7" s="1031"/>
    </row>
    <row r="8" spans="1:38" ht="160.15" customHeight="1" x14ac:dyDescent="0.25">
      <c r="B8" s="1004" t="str">
        <f>HLOOKUP(LANGUAGE!$B$2,LANGUAGE!$C$14:$G$2993,125)</f>
        <v>green</v>
      </c>
      <c r="C8" s="1005"/>
      <c r="D8" s="1028" t="str">
        <f>HLOOKUP(LANGUAGE!$B$2,LANGUAGE!$C$14:$G$2993,1668)</f>
        <v>No problems, to be fulfilled definitely.
• All specified and agreed documents need to be available and signed.
• All checks and clearances need to be completed positive.
• No justified risks are allowed to exist
• No additional actions need to be defined in LQG
Is a point in the customer specifications not fulfilled or at the manufacturing security a process "maybe problematic", this can be evaluated with "+".</v>
      </c>
      <c r="E8" s="1028"/>
      <c r="F8" s="1028"/>
      <c r="G8" s="1028"/>
      <c r="H8" s="1028"/>
      <c r="I8" s="1028"/>
      <c r="J8" s="1028"/>
      <c r="K8" s="1028"/>
      <c r="L8" s="1028"/>
      <c r="M8" s="1028" t="str">
        <f>HLOOKUP(LANGUAGE!$B$2,LANGUAGE!$C$14:$G$2993,1662)</f>
        <v>None</v>
      </c>
      <c r="N8" s="1028"/>
      <c r="O8" s="1028"/>
      <c r="P8" s="1028"/>
      <c r="Q8" s="1028"/>
      <c r="R8" s="1028"/>
      <c r="S8" s="1028"/>
      <c r="T8" s="1028"/>
      <c r="U8" s="1029"/>
    </row>
    <row r="9" spans="1:38" ht="120.05" customHeight="1" x14ac:dyDescent="0.25">
      <c r="B9" s="1034" t="str">
        <f>HLOOKUP(LANGUAGE!$B$2,LANGUAGE!$C$14:$G$2993,126)</f>
        <v>yellow</v>
      </c>
      <c r="C9" s="1035"/>
      <c r="D9" s="1026" t="str">
        <f>HLOOKUP(LANGUAGE!$B$2,LANGUAGE!$C$14:$G$2993,1670)</f>
        <v>A positive statement is not possible. Risks are secured with well defined actions. A positive result can be expected due to expertise evaluation and existing intermediate results.</v>
      </c>
      <c r="E9" s="1026"/>
      <c r="F9" s="1026"/>
      <c r="G9" s="1026"/>
      <c r="H9" s="1026"/>
      <c r="I9" s="1026"/>
      <c r="J9" s="1026"/>
      <c r="K9" s="1026"/>
      <c r="L9" s="1026"/>
      <c r="M9" s="1026" t="str">
        <f>HLOOKUP(LANGUAGE!$B$2,LANGUAGE!$C$14:$G$2993,1672)</f>
        <v>Q-Planner Supplier is responsible to check the actions (LQG1-3).
At the 1. scheduling delay adjustments with the action responsible to define a new date.
At the 2. scheduling delay escalation to the project leader and 
TL Q-planner supplier.</v>
      </c>
      <c r="N9" s="1026"/>
      <c r="O9" s="1026"/>
      <c r="P9" s="1026"/>
      <c r="Q9" s="1026"/>
      <c r="R9" s="1026"/>
      <c r="S9" s="1026"/>
      <c r="T9" s="1026"/>
      <c r="U9" s="1027"/>
    </row>
    <row r="10" spans="1:38" ht="120.05" customHeight="1" thickBot="1" x14ac:dyDescent="0.3">
      <c r="B10" s="1036" t="str">
        <f>HLOOKUP(LANGUAGE!$B$2,LANGUAGE!$C$14:$G$2993,127)</f>
        <v>red</v>
      </c>
      <c r="C10" s="1037"/>
      <c r="D10" s="1001" t="str">
        <f>HLOOKUP(LANGUAGE!$B$2,LANGUAGE!$C$14:$G$2993,1674)</f>
        <v>Situation problematic. No chance of success, no suitable actions have been defined. From this point of view at least one project goal is not achievable, this means actions are still unknown or not to be introduced in foreseeable time.</v>
      </c>
      <c r="E10" s="1001"/>
      <c r="F10" s="1001"/>
      <c r="G10" s="1001"/>
      <c r="H10" s="1001"/>
      <c r="I10" s="1001"/>
      <c r="J10" s="1001"/>
      <c r="K10" s="1001"/>
      <c r="L10" s="1001"/>
      <c r="M10" s="1001" t="str">
        <f>HLOOKUP(LANGUAGE!$B$2,LANGUAGE!$C$14:$G$2993,1676)</f>
        <v>Q-planner supplier is responsible to check the actions (LQG1-3).
Information to the project leader, TL Q-planner supplier.
Invitation to further clarify with the project leader, TL Q-planner supplier, further participants if required.</v>
      </c>
      <c r="N10" s="1001"/>
      <c r="O10" s="1001"/>
      <c r="P10" s="1001"/>
      <c r="Q10" s="1001"/>
      <c r="R10" s="1001"/>
      <c r="S10" s="1001"/>
      <c r="T10" s="1001"/>
      <c r="U10" s="1025"/>
    </row>
    <row r="13" spans="1:38" ht="25.05" x14ac:dyDescent="0.4">
      <c r="B13" s="513" t="s">
        <v>1775</v>
      </c>
      <c r="C13" s="3"/>
      <c r="D13" s="3"/>
      <c r="E13" s="3"/>
      <c r="F13" s="3"/>
      <c r="G13" s="3"/>
      <c r="H13" s="3"/>
      <c r="I13" s="3"/>
      <c r="J13" s="3"/>
      <c r="K13" s="3"/>
      <c r="L13" s="3"/>
      <c r="M13" s="3"/>
      <c r="N13" s="3"/>
      <c r="O13" s="3"/>
      <c r="P13" s="3"/>
      <c r="Q13" s="3"/>
      <c r="R13" s="3"/>
      <c r="S13" s="3"/>
      <c r="T13" s="3"/>
      <c r="U13" s="3"/>
    </row>
    <row r="14" spans="1:38" ht="13.8" thickBot="1" x14ac:dyDescent="0.3">
      <c r="B14" s="3"/>
      <c r="C14" s="3"/>
      <c r="D14" s="3"/>
      <c r="E14" s="3"/>
      <c r="F14" s="3"/>
      <c r="G14" s="3"/>
      <c r="H14" s="3"/>
      <c r="I14" s="3"/>
      <c r="J14" s="3"/>
      <c r="K14" s="3"/>
      <c r="L14" s="3"/>
      <c r="M14" s="3"/>
      <c r="N14" s="3"/>
      <c r="O14" s="3"/>
      <c r="P14" s="3"/>
      <c r="Q14" s="3"/>
      <c r="R14" s="3"/>
      <c r="S14" s="3"/>
      <c r="T14" s="3"/>
      <c r="U14" s="3"/>
    </row>
    <row r="15" spans="1:38" ht="17.55" x14ac:dyDescent="0.25">
      <c r="B15" s="1010" t="s">
        <v>1776</v>
      </c>
      <c r="C15" s="1011"/>
      <c r="D15" s="1011"/>
      <c r="E15" s="1011"/>
      <c r="F15" s="1011"/>
      <c r="G15" s="1011"/>
      <c r="H15" s="1011"/>
      <c r="I15" s="1011"/>
      <c r="J15" s="1011"/>
      <c r="K15" s="1011"/>
      <c r="L15" s="1011"/>
      <c r="M15" s="1012"/>
      <c r="N15" s="1013" t="s">
        <v>1777</v>
      </c>
      <c r="O15" s="1013"/>
      <c r="P15" s="1013"/>
      <c r="Q15" s="1013"/>
      <c r="R15" s="1013"/>
      <c r="S15" s="1013"/>
      <c r="T15" s="1013"/>
      <c r="U15" s="1014"/>
    </row>
    <row r="16" spans="1:38" ht="17.55" x14ac:dyDescent="0.25">
      <c r="B16" s="1015" t="s">
        <v>1778</v>
      </c>
      <c r="C16" s="1016"/>
      <c r="D16" s="1016"/>
      <c r="E16" s="1016"/>
      <c r="F16" s="1016"/>
      <c r="G16" s="1016"/>
      <c r="H16" s="1016"/>
      <c r="I16" s="1016"/>
      <c r="J16" s="1016"/>
      <c r="K16" s="1016"/>
      <c r="L16" s="1016"/>
      <c r="M16" s="1017"/>
      <c r="N16" s="1018" t="s">
        <v>1779</v>
      </c>
      <c r="O16" s="1018"/>
      <c r="P16" s="1018"/>
      <c r="Q16" s="1018"/>
      <c r="R16" s="1018"/>
      <c r="S16" s="1018"/>
      <c r="T16" s="1018"/>
      <c r="U16" s="1019"/>
    </row>
    <row r="17" spans="2:60" ht="41.95" customHeight="1" thickBot="1" x14ac:dyDescent="0.3">
      <c r="B17" s="1020" t="s">
        <v>1780</v>
      </c>
      <c r="C17" s="1021"/>
      <c r="D17" s="1021"/>
      <c r="E17" s="1021"/>
      <c r="F17" s="1021"/>
      <c r="G17" s="1021"/>
      <c r="H17" s="1021"/>
      <c r="I17" s="1021"/>
      <c r="J17" s="1021"/>
      <c r="K17" s="1021"/>
      <c r="L17" s="1021"/>
      <c r="M17" s="1022"/>
      <c r="N17" s="998" t="s">
        <v>1781</v>
      </c>
      <c r="O17" s="998"/>
      <c r="P17" s="998"/>
      <c r="Q17" s="998"/>
      <c r="R17" s="998"/>
      <c r="S17" s="998"/>
      <c r="T17" s="998"/>
      <c r="U17" s="999"/>
    </row>
    <row r="20" spans="2:60" ht="28.5" customHeight="1" x14ac:dyDescent="0.25">
      <c r="B20" s="924" t="str">
        <f>HLOOKUP(LANGUAGE!$B$2,LANGUAGE!$C$14:$G$1500,981)</f>
        <v>Process Approval (Full-Run-Test)</v>
      </c>
      <c r="C20" s="924"/>
      <c r="D20" s="924"/>
      <c r="E20" s="924"/>
      <c r="F20" s="924"/>
      <c r="G20" s="924"/>
      <c r="H20" s="924"/>
      <c r="I20" s="924"/>
      <c r="J20" s="924"/>
      <c r="K20" s="924"/>
      <c r="L20" s="924"/>
      <c r="M20" s="924"/>
      <c r="N20" s="924"/>
      <c r="O20" s="924"/>
    </row>
    <row r="21" spans="2:60" ht="15.05" x14ac:dyDescent="0.25">
      <c r="B21" s="371"/>
      <c r="C21" s="195"/>
      <c r="D21" s="195"/>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row>
    <row r="23" spans="2:60" ht="13.8" thickBot="1" x14ac:dyDescent="0.3"/>
    <row r="24" spans="2:60" x14ac:dyDescent="0.25">
      <c r="B24" s="986" t="str">
        <f>HLOOKUP(LANGUAGE!$B$2,LANGUAGE!$C$14:$G$1500,1046)</f>
        <v>Net working hours per shift</v>
      </c>
      <c r="C24" s="987"/>
      <c r="D24" s="987"/>
      <c r="E24" s="987"/>
      <c r="F24" s="987"/>
      <c r="G24" s="994">
        <v>8</v>
      </c>
      <c r="H24" s="994"/>
      <c r="I24" s="994"/>
      <c r="J24" s="995"/>
      <c r="K24" s="192"/>
      <c r="L24" s="192"/>
      <c r="M24" s="986" t="str">
        <f>HLOOKUP(LANGUAGE!$B$2,LANGUAGE!$C$14:$G$1500,1047)</f>
        <v>Working weeks per year</v>
      </c>
      <c r="N24" s="987"/>
      <c r="O24" s="987"/>
      <c r="P24" s="987"/>
      <c r="Q24" s="987"/>
      <c r="R24" s="990">
        <v>50</v>
      </c>
      <c r="S24" s="990"/>
      <c r="T24" s="990"/>
      <c r="U24" s="991"/>
      <c r="V24" s="192"/>
      <c r="W24" s="191"/>
      <c r="X24" s="986" t="str">
        <f>HLOOKUP(LANGUAGE!$B$2,LANGUAGE!$C$14:$G$1500,1048)</f>
        <v>SOP Brose</v>
      </c>
      <c r="Y24" s="987"/>
      <c r="Z24" s="987"/>
      <c r="AA24" s="987"/>
      <c r="AB24" s="987"/>
      <c r="AC24" s="958"/>
      <c r="AD24" s="958"/>
      <c r="AE24" s="958"/>
      <c r="AF24" s="959"/>
      <c r="AG24" s="190"/>
      <c r="AH24" s="190"/>
      <c r="AI24" s="190"/>
      <c r="AJ24" s="190"/>
      <c r="AK24" s="190"/>
      <c r="AL24" s="190"/>
      <c r="AM24" s="190"/>
      <c r="AN24" s="190"/>
      <c r="AO24" s="190"/>
      <c r="AP24" s="190"/>
      <c r="AQ24" s="190"/>
      <c r="AR24" s="190"/>
      <c r="AS24" s="190"/>
      <c r="AT24" s="190"/>
      <c r="AU24" s="190"/>
      <c r="AV24" s="190"/>
      <c r="AW24" s="190"/>
      <c r="AX24" s="190"/>
      <c r="AY24" s="190"/>
      <c r="AZ24" s="190"/>
      <c r="BA24" s="190"/>
      <c r="BB24" s="190"/>
      <c r="BC24" s="190"/>
      <c r="BD24" s="190"/>
      <c r="BE24" s="190"/>
      <c r="BF24" s="190"/>
      <c r="BG24" s="190"/>
      <c r="BH24" s="190"/>
    </row>
    <row r="25" spans="2:60" ht="13.8" thickBot="1" x14ac:dyDescent="0.3">
      <c r="B25" s="988"/>
      <c r="C25" s="989"/>
      <c r="D25" s="989"/>
      <c r="E25" s="989"/>
      <c r="F25" s="989"/>
      <c r="G25" s="996"/>
      <c r="H25" s="996"/>
      <c r="I25" s="996"/>
      <c r="J25" s="997"/>
      <c r="K25" s="192"/>
      <c r="L25" s="192"/>
      <c r="M25" s="988"/>
      <c r="N25" s="989"/>
      <c r="O25" s="989"/>
      <c r="P25" s="989"/>
      <c r="Q25" s="989"/>
      <c r="R25" s="992"/>
      <c r="S25" s="992"/>
      <c r="T25" s="992"/>
      <c r="U25" s="993"/>
      <c r="V25" s="192"/>
      <c r="W25" s="190"/>
      <c r="X25" s="988"/>
      <c r="Y25" s="989"/>
      <c r="Z25" s="989"/>
      <c r="AA25" s="989"/>
      <c r="AB25" s="989"/>
      <c r="AC25" s="960"/>
      <c r="AD25" s="960"/>
      <c r="AE25" s="960"/>
      <c r="AF25" s="961"/>
      <c r="AG25" s="190"/>
      <c r="AH25" s="190"/>
      <c r="AI25" s="190"/>
      <c r="AJ25" s="190"/>
      <c r="AK25" s="190"/>
      <c r="AL25" s="190"/>
      <c r="AM25" s="190"/>
      <c r="AN25" s="190"/>
      <c r="AO25" s="190"/>
      <c r="AP25" s="190"/>
      <c r="AQ25" s="190"/>
      <c r="AR25" s="190"/>
      <c r="AS25" s="190"/>
      <c r="AT25" s="190"/>
      <c r="AU25" s="190"/>
      <c r="AV25" s="190"/>
      <c r="AW25" s="190"/>
      <c r="AX25" s="190"/>
      <c r="AY25" s="190"/>
      <c r="AZ25" s="190"/>
      <c r="BA25" s="190"/>
      <c r="BB25" s="190"/>
      <c r="BC25" s="190"/>
      <c r="BD25" s="190"/>
      <c r="BE25" s="190"/>
      <c r="BF25" s="190"/>
      <c r="BG25" s="190"/>
      <c r="BH25" s="190"/>
    </row>
    <row r="26" spans="2:60" ht="13.8" thickBot="1" x14ac:dyDescent="0.3">
      <c r="B26" s="190"/>
      <c r="C26" s="190"/>
      <c r="D26" s="190"/>
      <c r="E26" s="190"/>
      <c r="F26" s="190"/>
      <c r="G26" s="190"/>
      <c r="H26" s="190"/>
      <c r="I26" s="190"/>
      <c r="J26" s="190"/>
      <c r="K26" s="190"/>
      <c r="L26" s="190"/>
      <c r="M26" s="208"/>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0"/>
      <c r="AX26" s="190"/>
      <c r="AY26" s="190"/>
      <c r="AZ26" s="190"/>
      <c r="BA26" s="190"/>
      <c r="BB26" s="190"/>
      <c r="BC26" s="190"/>
      <c r="BD26" s="190"/>
      <c r="BE26" s="190"/>
      <c r="BF26" s="190"/>
      <c r="BG26" s="190"/>
      <c r="BH26" s="190"/>
    </row>
    <row r="27" spans="2:60" ht="17.850000000000001" customHeight="1" x14ac:dyDescent="0.25">
      <c r="B27" s="962" t="str">
        <f>HLOOKUP(LANGUAGE!$B$2,LANGUAGE!$C$14:$G$1500,1060)</f>
        <v>Process step</v>
      </c>
      <c r="C27" s="963"/>
      <c r="D27" s="963"/>
      <c r="E27" s="963"/>
      <c r="F27" s="964"/>
      <c r="G27" s="968" t="str">
        <f>HLOOKUP(LANGUAGE!$B$2,LANGUAGE!$C$14:$G$1500,1062)</f>
        <v>Planned quantities
for Run &amp; Rate</v>
      </c>
      <c r="H27" s="968"/>
      <c r="I27" s="971" t="str">
        <f>HLOOKUP(LANGUAGE!$B$2,LANGUAGE!$C$14:$G$1500,1064)</f>
        <v>Planned shifts
(per week)</v>
      </c>
      <c r="J27" s="968" t="str">
        <f>HLOOKUP(LANGUAGE!$B$2,LANGUAGE!$C$14:$G$1500,1066)</f>
        <v>Annual demands
(pcs./year)</v>
      </c>
      <c r="K27" s="968"/>
      <c r="L27" s="968" t="str">
        <f>HLOOKUP(LANGUAGE!$B$2,LANGUAGE!$C$14:$G$1500,1068)</f>
        <v>Supplier-assured share of machinery for this product [%]</v>
      </c>
      <c r="M27" s="968"/>
      <c r="N27" s="968" t="str">
        <f>HLOOKUP(LANGUAGE!$B$2,LANGUAGE!$C$14:$G$1500,1070)</f>
        <v>Supplier-planned machine availability [%]</v>
      </c>
      <c r="O27" s="968"/>
      <c r="P27" s="968" t="str">
        <f>HLOOKUP(LANGUAGE!$B$2,LANGUAGE!$C$14:$G$1500,1072)</f>
        <v>OK Parts from the planned process (FTY) [%]</v>
      </c>
      <c r="Q27" s="968"/>
      <c r="R27" s="973" t="str">
        <f>HLOOKUP(LANGUAGE!$B$2,LANGUAGE!$C$14:$G$1500,1074)</f>
        <v>Initial quantity
(e.g. counter)</v>
      </c>
      <c r="S27" s="974"/>
      <c r="T27" s="973" t="str">
        <f>HLOOKUP(LANGUAGE!$B$2,LANGUAGE!$C$14:$G$1500,1076)</f>
        <v>Final quantity</v>
      </c>
      <c r="U27" s="974"/>
      <c r="V27" s="971" t="str">
        <f>HLOOKUP(LANGUAGE!$B$2,LANGUAGE!$C$14:$G$1500,1078)</f>
        <v>Net-Production time [min]</v>
      </c>
      <c r="W27" s="971" t="str">
        <f>HLOOKUP(LANGUAGE!$B$2,LANGUAGE!$C$14:$G$1500,1080)</f>
        <v>Unplanned downtimes (disturbances) [min]</v>
      </c>
      <c r="X27" s="971" t="str">
        <f>HLOOKUP(LANGUAGE!$B$2,LANGUAGE!$C$14:$G$1500,1082)</f>
        <v>Amount OK</v>
      </c>
      <c r="Y27" s="971" t="str">
        <f>HLOOKUP(LANGUAGE!$B$2,LANGUAGE!$C$14:$G$1500,1086)</f>
        <v>Amount NOK</v>
      </c>
      <c r="Z27" s="971" t="str">
        <f>HLOOKUP(LANGUAGE!$B$2,LANGUAGE!$C$14:$G$1500,1406)</f>
        <v>Number of cavities</v>
      </c>
      <c r="AA27" s="980" t="str">
        <f>HLOOKUP(LANGUAGE!$B$2,LANGUAGE!$C$14:$G$1500,1087)</f>
        <v>cycle time [s]</v>
      </c>
      <c r="AB27" s="980"/>
      <c r="AC27" s="982" t="str">
        <f>HLOOKUP(LANGUAGE!$B$2,LANGUAGE!$C$14:$G$1500,114)</f>
        <v>Remarks</v>
      </c>
      <c r="AD27" s="982"/>
      <c r="AE27" s="982"/>
      <c r="AF27" s="982"/>
      <c r="AG27" s="963" t="str">
        <f>HLOOKUP(LANGUAGE!$B$2,LANGUAGE!$C$14:$G$1500,1090)</f>
        <v>Result green: 
annual requirement + 20% 
&amp; unplanned downtimes &lt;20%</v>
      </c>
      <c r="AH27" s="963"/>
      <c r="AI27" s="963"/>
      <c r="AJ27" s="964"/>
      <c r="AK27" s="935" t="str">
        <f>HLOOKUP(LANGUAGE!$B$2,LANGUAGE!$C$14:$G$1500,1095)</f>
        <v>Result annual quantity</v>
      </c>
      <c r="AL27" s="936"/>
      <c r="AM27" s="190"/>
      <c r="AN27" s="190"/>
      <c r="AO27" s="190"/>
      <c r="AP27" s="190"/>
      <c r="AQ27" s="190"/>
      <c r="AR27" s="190"/>
      <c r="AS27" s="190"/>
      <c r="AT27" s="190"/>
      <c r="AU27" s="190"/>
      <c r="AV27" s="190"/>
      <c r="AW27" s="190"/>
      <c r="AX27" s="190"/>
      <c r="AY27" s="190"/>
      <c r="AZ27" s="190"/>
      <c r="BA27" s="190"/>
      <c r="BB27" s="190"/>
      <c r="BC27" s="190"/>
      <c r="BD27" s="190"/>
      <c r="BE27" s="190"/>
      <c r="BF27" s="190"/>
      <c r="BG27" s="190"/>
      <c r="BH27" s="190"/>
    </row>
    <row r="28" spans="2:60" ht="17.850000000000001" customHeight="1" x14ac:dyDescent="0.25">
      <c r="B28" s="965"/>
      <c r="C28" s="966"/>
      <c r="D28" s="966"/>
      <c r="E28" s="966"/>
      <c r="F28" s="967"/>
      <c r="G28" s="969"/>
      <c r="H28" s="969"/>
      <c r="I28" s="972"/>
      <c r="J28" s="969"/>
      <c r="K28" s="969"/>
      <c r="L28" s="969"/>
      <c r="M28" s="969"/>
      <c r="N28" s="969"/>
      <c r="O28" s="969"/>
      <c r="P28" s="969"/>
      <c r="Q28" s="969"/>
      <c r="R28" s="975"/>
      <c r="S28" s="976"/>
      <c r="T28" s="975"/>
      <c r="U28" s="976"/>
      <c r="V28" s="972"/>
      <c r="W28" s="972"/>
      <c r="X28" s="972"/>
      <c r="Y28" s="972"/>
      <c r="Z28" s="972"/>
      <c r="AA28" s="981"/>
      <c r="AB28" s="981"/>
      <c r="AC28" s="983"/>
      <c r="AD28" s="983"/>
      <c r="AE28" s="983"/>
      <c r="AF28" s="983"/>
      <c r="AG28" s="966"/>
      <c r="AH28" s="966"/>
      <c r="AI28" s="966"/>
      <c r="AJ28" s="967"/>
      <c r="AK28" s="937"/>
      <c r="AL28" s="938"/>
      <c r="AM28" s="190"/>
      <c r="AN28" s="190"/>
      <c r="AO28" s="190"/>
      <c r="AP28" s="190"/>
      <c r="AQ28" s="190"/>
      <c r="AR28" s="190"/>
      <c r="AS28" s="190"/>
      <c r="AT28" s="190"/>
      <c r="AU28" s="190"/>
      <c r="AV28" s="190"/>
      <c r="AW28" s="190"/>
      <c r="AX28" s="190"/>
      <c r="AY28" s="190"/>
      <c r="AZ28" s="190"/>
      <c r="BA28" s="190"/>
      <c r="BB28" s="190"/>
      <c r="BC28" s="190"/>
      <c r="BD28" s="190"/>
      <c r="BE28" s="190"/>
      <c r="BF28" s="190"/>
      <c r="BG28" s="190"/>
      <c r="BH28" s="190"/>
    </row>
    <row r="29" spans="2:60" ht="17.850000000000001" customHeight="1" x14ac:dyDescent="0.25">
      <c r="B29" s="965"/>
      <c r="C29" s="966"/>
      <c r="D29" s="966"/>
      <c r="E29" s="966"/>
      <c r="F29" s="967"/>
      <c r="G29" s="969"/>
      <c r="H29" s="969"/>
      <c r="I29" s="972"/>
      <c r="J29" s="969"/>
      <c r="K29" s="969"/>
      <c r="L29" s="969"/>
      <c r="M29" s="969"/>
      <c r="N29" s="969"/>
      <c r="O29" s="969"/>
      <c r="P29" s="969"/>
      <c r="Q29" s="969"/>
      <c r="R29" s="975"/>
      <c r="S29" s="976"/>
      <c r="T29" s="975"/>
      <c r="U29" s="976"/>
      <c r="V29" s="972"/>
      <c r="W29" s="972"/>
      <c r="X29" s="972"/>
      <c r="Y29" s="972"/>
      <c r="Z29" s="972"/>
      <c r="AA29" s="981"/>
      <c r="AB29" s="981"/>
      <c r="AC29" s="983"/>
      <c r="AD29" s="983"/>
      <c r="AE29" s="983"/>
      <c r="AF29" s="983"/>
      <c r="AG29" s="966"/>
      <c r="AH29" s="966"/>
      <c r="AI29" s="966"/>
      <c r="AJ29" s="967"/>
      <c r="AK29" s="937"/>
      <c r="AL29" s="938"/>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row>
    <row r="30" spans="2:60" ht="17.850000000000001" customHeight="1" x14ac:dyDescent="0.25">
      <c r="B30" s="965"/>
      <c r="C30" s="966"/>
      <c r="D30" s="966"/>
      <c r="E30" s="966"/>
      <c r="F30" s="967"/>
      <c r="G30" s="969"/>
      <c r="H30" s="969"/>
      <c r="I30" s="972"/>
      <c r="J30" s="969"/>
      <c r="K30" s="969"/>
      <c r="L30" s="969"/>
      <c r="M30" s="969"/>
      <c r="N30" s="969"/>
      <c r="O30" s="969"/>
      <c r="P30" s="969"/>
      <c r="Q30" s="969"/>
      <c r="R30" s="975"/>
      <c r="S30" s="976"/>
      <c r="T30" s="975"/>
      <c r="U30" s="976"/>
      <c r="V30" s="972"/>
      <c r="W30" s="972"/>
      <c r="X30" s="972"/>
      <c r="Y30" s="972"/>
      <c r="Z30" s="972"/>
      <c r="AA30" s="981"/>
      <c r="AB30" s="981"/>
      <c r="AC30" s="983"/>
      <c r="AD30" s="983"/>
      <c r="AE30" s="983"/>
      <c r="AF30" s="983"/>
      <c r="AG30" s="966"/>
      <c r="AH30" s="966"/>
      <c r="AI30" s="966"/>
      <c r="AJ30" s="967"/>
      <c r="AK30" s="937"/>
      <c r="AL30" s="938"/>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row>
    <row r="31" spans="2:60" ht="17.850000000000001" customHeight="1" x14ac:dyDescent="0.25">
      <c r="B31" s="965"/>
      <c r="C31" s="966"/>
      <c r="D31" s="966"/>
      <c r="E31" s="966"/>
      <c r="F31" s="967"/>
      <c r="G31" s="969"/>
      <c r="H31" s="969"/>
      <c r="I31" s="972"/>
      <c r="J31" s="969"/>
      <c r="K31" s="969"/>
      <c r="L31" s="969"/>
      <c r="M31" s="969"/>
      <c r="N31" s="969"/>
      <c r="O31" s="969"/>
      <c r="P31" s="969"/>
      <c r="Q31" s="969"/>
      <c r="R31" s="975"/>
      <c r="S31" s="976"/>
      <c r="T31" s="975"/>
      <c r="U31" s="976"/>
      <c r="V31" s="972"/>
      <c r="W31" s="972"/>
      <c r="X31" s="972"/>
      <c r="Y31" s="972"/>
      <c r="Z31" s="972"/>
      <c r="AA31" s="981"/>
      <c r="AB31" s="981"/>
      <c r="AC31" s="983"/>
      <c r="AD31" s="983"/>
      <c r="AE31" s="983"/>
      <c r="AF31" s="983"/>
      <c r="AG31" s="966"/>
      <c r="AH31" s="966"/>
      <c r="AI31" s="966"/>
      <c r="AJ31" s="967"/>
      <c r="AK31" s="937"/>
      <c r="AL31" s="938"/>
      <c r="AM31" s="190"/>
      <c r="AN31" s="190"/>
      <c r="AO31" s="190"/>
      <c r="AP31" s="190"/>
      <c r="AQ31" s="190"/>
      <c r="AR31" s="190"/>
      <c r="AS31" s="190"/>
      <c r="AT31" s="190"/>
      <c r="AU31" s="190"/>
      <c r="AV31" s="190"/>
      <c r="AW31" s="190"/>
      <c r="AX31" s="190"/>
      <c r="AY31" s="190" t="str">
        <f>HLOOKUP(LANGUAGE!$B$2,LANGUAGE!$C$14:$G$1500,1092)</f>
        <v xml:space="preserve">Target amount &lt; 120% </v>
      </c>
      <c r="AZ31" s="190"/>
      <c r="BA31" s="190"/>
      <c r="BB31" s="190"/>
      <c r="BC31" s="190"/>
      <c r="BD31" s="190"/>
      <c r="BE31" s="190"/>
      <c r="BF31" s="190"/>
      <c r="BG31" s="190"/>
      <c r="BH31" s="190"/>
    </row>
    <row r="32" spans="2:60" ht="17.850000000000001" customHeight="1" x14ac:dyDescent="0.25">
      <c r="B32" s="965"/>
      <c r="C32" s="966"/>
      <c r="D32" s="966"/>
      <c r="E32" s="966"/>
      <c r="F32" s="967"/>
      <c r="G32" s="969"/>
      <c r="H32" s="969"/>
      <c r="I32" s="972"/>
      <c r="J32" s="969"/>
      <c r="K32" s="969"/>
      <c r="L32" s="969"/>
      <c r="M32" s="969"/>
      <c r="N32" s="969"/>
      <c r="O32" s="969"/>
      <c r="P32" s="969"/>
      <c r="Q32" s="969"/>
      <c r="R32" s="975"/>
      <c r="S32" s="976"/>
      <c r="T32" s="975"/>
      <c r="U32" s="976"/>
      <c r="V32" s="972"/>
      <c r="W32" s="972"/>
      <c r="X32" s="972"/>
      <c r="Y32" s="972"/>
      <c r="Z32" s="972"/>
      <c r="AA32" s="981"/>
      <c r="AB32" s="981"/>
      <c r="AC32" s="983"/>
      <c r="AD32" s="983"/>
      <c r="AE32" s="983"/>
      <c r="AF32" s="983"/>
      <c r="AG32" s="966"/>
      <c r="AH32" s="966"/>
      <c r="AI32" s="966"/>
      <c r="AJ32" s="967"/>
      <c r="AK32" s="937"/>
      <c r="AL32" s="938"/>
      <c r="AM32" s="190"/>
      <c r="AN32" s="190"/>
      <c r="AO32" s="190"/>
      <c r="AP32" s="190"/>
      <c r="AQ32" s="190"/>
      <c r="AR32" s="190"/>
      <c r="AS32" s="190"/>
      <c r="AT32" s="190"/>
      <c r="AU32" s="190"/>
      <c r="AV32" s="190"/>
      <c r="AW32" s="190"/>
      <c r="AX32" s="190"/>
      <c r="AY32" s="190" t="str">
        <f>HLOOKUP(LANGUAGE!$B$2,LANGUAGE!$C$14:$G$1500,1093)</f>
        <v>Unplanned downtimes &gt;20%</v>
      </c>
      <c r="AZ32" s="190"/>
      <c r="BA32" s="190"/>
      <c r="BB32" s="190"/>
      <c r="BC32" s="190"/>
      <c r="BD32" s="190"/>
      <c r="BE32" s="190"/>
      <c r="BF32" s="190"/>
      <c r="BG32" s="190"/>
      <c r="BH32" s="190"/>
    </row>
    <row r="33" spans="2:60" ht="17.850000000000001" customHeight="1" x14ac:dyDescent="0.25">
      <c r="B33" s="965"/>
      <c r="C33" s="966"/>
      <c r="D33" s="966"/>
      <c r="E33" s="966"/>
      <c r="F33" s="967"/>
      <c r="G33" s="969"/>
      <c r="H33" s="969"/>
      <c r="I33" s="972"/>
      <c r="J33" s="969"/>
      <c r="K33" s="969"/>
      <c r="L33" s="969"/>
      <c r="M33" s="969"/>
      <c r="N33" s="969"/>
      <c r="O33" s="969"/>
      <c r="P33" s="969"/>
      <c r="Q33" s="969"/>
      <c r="R33" s="975"/>
      <c r="S33" s="976"/>
      <c r="T33" s="975"/>
      <c r="U33" s="976"/>
      <c r="V33" s="972"/>
      <c r="W33" s="972"/>
      <c r="X33" s="972"/>
      <c r="Y33" s="972"/>
      <c r="Z33" s="972"/>
      <c r="AA33" s="981"/>
      <c r="AB33" s="981"/>
      <c r="AC33" s="983"/>
      <c r="AD33" s="983"/>
      <c r="AE33" s="983"/>
      <c r="AF33" s="983"/>
      <c r="AG33" s="966"/>
      <c r="AH33" s="966"/>
      <c r="AI33" s="966"/>
      <c r="AJ33" s="967"/>
      <c r="AK33" s="937"/>
      <c r="AL33" s="938"/>
      <c r="AM33" s="190"/>
      <c r="AN33" s="190"/>
      <c r="AO33" s="190"/>
      <c r="AP33" s="190"/>
      <c r="AQ33" s="190"/>
      <c r="AR33" s="190"/>
      <c r="AS33" s="190"/>
      <c r="AT33" s="190"/>
      <c r="AU33" s="190"/>
      <c r="AV33" s="190"/>
      <c r="AW33" s="190"/>
      <c r="AX33" s="190"/>
      <c r="AY33" s="332">
        <f>MAX(AY35:AZ49)</f>
        <v>1</v>
      </c>
      <c r="AZ33" s="332"/>
      <c r="BA33" s="190"/>
      <c r="BB33" s="190"/>
      <c r="BC33" s="190"/>
      <c r="BD33" s="190"/>
      <c r="BE33" s="190"/>
      <c r="BF33" s="190"/>
      <c r="BG33" s="190"/>
      <c r="BH33" s="190"/>
    </row>
    <row r="34" spans="2:60" ht="17.850000000000001" customHeight="1" x14ac:dyDescent="0.25">
      <c r="B34" s="965"/>
      <c r="C34" s="966"/>
      <c r="D34" s="966"/>
      <c r="E34" s="966"/>
      <c r="F34" s="967"/>
      <c r="G34" s="970"/>
      <c r="H34" s="970"/>
      <c r="I34" s="972"/>
      <c r="J34" s="970"/>
      <c r="K34" s="970"/>
      <c r="L34" s="970"/>
      <c r="M34" s="970"/>
      <c r="N34" s="970"/>
      <c r="O34" s="970"/>
      <c r="P34" s="970"/>
      <c r="Q34" s="970"/>
      <c r="R34" s="977"/>
      <c r="S34" s="978"/>
      <c r="T34" s="975"/>
      <c r="U34" s="976"/>
      <c r="V34" s="979"/>
      <c r="W34" s="979"/>
      <c r="X34" s="979"/>
      <c r="Y34" s="979"/>
      <c r="Z34" s="979"/>
      <c r="AA34" s="981"/>
      <c r="AB34" s="981"/>
      <c r="AC34" s="983"/>
      <c r="AD34" s="983"/>
      <c r="AE34" s="983"/>
      <c r="AF34" s="983"/>
      <c r="AG34" s="984"/>
      <c r="AH34" s="984"/>
      <c r="AI34" s="984"/>
      <c r="AJ34" s="985"/>
      <c r="AK34" s="937"/>
      <c r="AL34" s="938"/>
      <c r="AM34" s="204"/>
      <c r="AN34" s="190"/>
      <c r="AO34" s="190"/>
      <c r="AP34" s="190"/>
      <c r="AQ34" s="190"/>
      <c r="AR34" s="190"/>
      <c r="AS34" s="190"/>
      <c r="AT34" s="190"/>
      <c r="AU34" s="190"/>
      <c r="AV34" s="190"/>
      <c r="AW34" s="190"/>
      <c r="AX34" s="190"/>
      <c r="AY34" s="204" t="s">
        <v>1782</v>
      </c>
      <c r="AZ34" s="204" t="s">
        <v>1783</v>
      </c>
      <c r="BA34" s="190"/>
      <c r="BB34" s="190"/>
      <c r="BC34" s="190"/>
      <c r="BD34" s="190"/>
      <c r="BE34" s="190"/>
      <c r="BF34" s="190"/>
      <c r="BG34" s="190"/>
      <c r="BH34" s="190"/>
    </row>
    <row r="35" spans="2:60" ht="15.05" x14ac:dyDescent="0.25">
      <c r="B35" s="686">
        <v>1</v>
      </c>
      <c r="C35" s="939"/>
      <c r="D35" s="939"/>
      <c r="E35" s="939"/>
      <c r="F35" s="940"/>
      <c r="G35" s="941">
        <v>300</v>
      </c>
      <c r="H35" s="941"/>
      <c r="I35" s="766">
        <v>15</v>
      </c>
      <c r="J35" s="941">
        <v>1440000</v>
      </c>
      <c r="K35" s="941"/>
      <c r="L35" s="942">
        <v>1</v>
      </c>
      <c r="M35" s="942"/>
      <c r="N35" s="942">
        <v>1</v>
      </c>
      <c r="O35" s="942"/>
      <c r="P35" s="949">
        <f>IF(X35="","",X35/(T35-R35))</f>
        <v>1</v>
      </c>
      <c r="Q35" s="949"/>
      <c r="R35" s="941">
        <v>0</v>
      </c>
      <c r="S35" s="941"/>
      <c r="T35" s="950">
        <v>480</v>
      </c>
      <c r="U35" s="951"/>
      <c r="V35" s="767">
        <v>60</v>
      </c>
      <c r="W35" s="767">
        <v>10</v>
      </c>
      <c r="X35" s="768">
        <f>IF(T35="","",((T35-R35)-Y35))</f>
        <v>480</v>
      </c>
      <c r="Y35" s="765">
        <v>0</v>
      </c>
      <c r="Z35" s="765">
        <v>4</v>
      </c>
      <c r="AA35" s="952">
        <f>IF(OR(R35="",T35="",V35="",W35="",Y35="",Z35=""),"",60*(V35)*Z35/(T35-R35))</f>
        <v>30</v>
      </c>
      <c r="AB35" s="952"/>
      <c r="AC35" s="953"/>
      <c r="AD35" s="953"/>
      <c r="AE35" s="953"/>
      <c r="AF35" s="953"/>
      <c r="AG35" s="769">
        <f>IF(AK35="","",(AK35/J35))</f>
        <v>1.714285714285714</v>
      </c>
      <c r="AH35" s="954" t="str">
        <f>IF(J35="","",IF(AY35&gt;1,$AY$31&amp;"  "," ")&amp;IF(AZ35&gt;1,$AY$32," "))</f>
        <v xml:space="preserve">  </v>
      </c>
      <c r="AI35" s="954"/>
      <c r="AJ35" s="955"/>
      <c r="AK35" s="956">
        <f>IF(X35="","",((X35/(V35+W35))*60*$G$24*$I35*$R$24*L35*N35))</f>
        <v>2468571.4285714282</v>
      </c>
      <c r="AL35" s="957"/>
      <c r="AM35" s="193"/>
      <c r="AN35" s="193"/>
      <c r="AO35" s="193"/>
      <c r="AP35" s="193"/>
      <c r="AQ35" s="193"/>
      <c r="AR35" s="193"/>
      <c r="AS35" s="193"/>
      <c r="AT35" s="193"/>
      <c r="AU35" s="193"/>
      <c r="AV35" s="193"/>
      <c r="AW35" s="193"/>
      <c r="AX35" s="205"/>
      <c r="AY35" s="206">
        <f>IF(AG35="","",IF(AG35&gt;=1.2,1,IF(AND(AG35&gt;=1,AG35&lt;1.2),2,IF(AG35&lt;1,3,""))))</f>
        <v>1</v>
      </c>
      <c r="AZ35" s="205">
        <f>IF(AG35="","",IF((W35*100/V35)&gt;20,3,1))</f>
        <v>1</v>
      </c>
      <c r="BA35" s="193"/>
      <c r="BB35" s="193"/>
      <c r="BC35" s="193"/>
      <c r="BD35" s="193"/>
      <c r="BE35" s="193"/>
      <c r="BF35" s="193"/>
      <c r="BG35" s="193"/>
      <c r="BH35" s="193"/>
    </row>
    <row r="36" spans="2:60" ht="15.05" x14ac:dyDescent="0.25">
      <c r="B36" s="686">
        <v>2</v>
      </c>
      <c r="C36" s="939"/>
      <c r="D36" s="939"/>
      <c r="E36" s="939"/>
      <c r="F36" s="940"/>
      <c r="G36" s="941"/>
      <c r="H36" s="941"/>
      <c r="I36" s="766"/>
      <c r="J36" s="941"/>
      <c r="K36" s="941"/>
      <c r="L36" s="942"/>
      <c r="M36" s="942"/>
      <c r="N36" s="942"/>
      <c r="O36" s="942"/>
      <c r="P36" s="949" t="str">
        <f>IF(X36="","",X36/(T36-R36))</f>
        <v/>
      </c>
      <c r="Q36" s="949"/>
      <c r="R36" s="941"/>
      <c r="S36" s="941"/>
      <c r="T36" s="950"/>
      <c r="U36" s="951"/>
      <c r="V36" s="767"/>
      <c r="W36" s="767"/>
      <c r="X36" s="768" t="str">
        <f>IF(T36="","",((T36-R36)-Y36))</f>
        <v/>
      </c>
      <c r="Y36" s="765"/>
      <c r="Z36" s="765"/>
      <c r="AA36" s="952" t="str">
        <f t="shared" ref="AA36:AA37" si="0">IF(OR(R36="",T36="",V36="",W36="",Y36="",Z36=""),"",60*(V36)*Z36/(T36-R36))</f>
        <v/>
      </c>
      <c r="AB36" s="952"/>
      <c r="AC36" s="953"/>
      <c r="AD36" s="953"/>
      <c r="AE36" s="953"/>
      <c r="AF36" s="953"/>
      <c r="AG36" s="769" t="str">
        <f>IF(AK36="","",(AK36/J36))</f>
        <v/>
      </c>
      <c r="AH36" s="954" t="str">
        <f>IF(J36="","",IF(AY36&gt;1,$AY$31&amp;"  "," ")&amp;IF(AZ36&gt;1,$AY$32," "))</f>
        <v/>
      </c>
      <c r="AI36" s="954"/>
      <c r="AJ36" s="955"/>
      <c r="AK36" s="956" t="str">
        <f>IF(X36="","",((X36/(V36+W36))*60*$G$24*$I36*$R$24*L36*N36))</f>
        <v/>
      </c>
      <c r="AL36" s="957"/>
      <c r="AM36" s="193"/>
      <c r="AN36" s="193"/>
      <c r="AO36" s="193"/>
      <c r="AP36" s="193"/>
      <c r="AQ36" s="193"/>
      <c r="AR36" s="193"/>
      <c r="AS36" s="193"/>
      <c r="AT36" s="193"/>
      <c r="AU36" s="193"/>
      <c r="AV36" s="193"/>
      <c r="AW36" s="193"/>
      <c r="AX36" s="205"/>
      <c r="AY36" s="206" t="str">
        <f>IF(AG36="","",IF(AG36&gt;=1.2,1,IF(AND(AG36&gt;=1,AG36&lt;1.2),2,IF(AG36&lt;1,3,""))))</f>
        <v/>
      </c>
      <c r="AZ36" s="205" t="str">
        <f>IF(AG36="","",IF((W36*100/V36)&gt;20,3,1))</f>
        <v/>
      </c>
      <c r="BA36" s="193"/>
      <c r="BB36" s="193"/>
      <c r="BC36" s="193"/>
      <c r="BD36" s="193"/>
      <c r="BE36" s="193"/>
      <c r="BF36" s="193"/>
      <c r="BG36" s="193"/>
      <c r="BH36" s="193"/>
    </row>
    <row r="37" spans="2:60" ht="15.65" thickBot="1" x14ac:dyDescent="0.3">
      <c r="B37" s="770">
        <v>3</v>
      </c>
      <c r="C37" s="931"/>
      <c r="D37" s="931"/>
      <c r="E37" s="931"/>
      <c r="F37" s="932"/>
      <c r="G37" s="933"/>
      <c r="H37" s="933"/>
      <c r="I37" s="772"/>
      <c r="J37" s="933"/>
      <c r="K37" s="933"/>
      <c r="L37" s="934"/>
      <c r="M37" s="934"/>
      <c r="N37" s="934"/>
      <c r="O37" s="934"/>
      <c r="P37" s="944" t="str">
        <f>IF(X37="","",X37/(T37-R37))</f>
        <v/>
      </c>
      <c r="Q37" s="944"/>
      <c r="R37" s="933"/>
      <c r="S37" s="933"/>
      <c r="T37" s="945"/>
      <c r="U37" s="946"/>
      <c r="V37" s="773"/>
      <c r="W37" s="773"/>
      <c r="X37" s="774" t="str">
        <f t="shared" ref="X37" si="1">IF(T37="","",((T37-R37)-Y37))</f>
        <v/>
      </c>
      <c r="Y37" s="771"/>
      <c r="Z37" s="771"/>
      <c r="AA37" s="947" t="str">
        <f t="shared" si="0"/>
        <v/>
      </c>
      <c r="AB37" s="947"/>
      <c r="AC37" s="948"/>
      <c r="AD37" s="948"/>
      <c r="AE37" s="948"/>
      <c r="AF37" s="948"/>
      <c r="AG37" s="775" t="str">
        <f>IF(AK37="","",(AK37/J37))</f>
        <v/>
      </c>
      <c r="AH37" s="925" t="str">
        <f>IF(J37="","",IF(AY37&gt;1,$AY$31&amp;"  "," ")&amp;IF(AZ37&gt;1,$AY$32," "))</f>
        <v/>
      </c>
      <c r="AI37" s="925"/>
      <c r="AJ37" s="926"/>
      <c r="AK37" s="927" t="str">
        <f>IF(X37="","",((X37/(V37+W37))*60*$G$24*$I37*$R$24*L37*N37))</f>
        <v/>
      </c>
      <c r="AL37" s="928"/>
      <c r="AM37" s="193"/>
      <c r="AN37" s="193"/>
      <c r="AO37" s="193"/>
      <c r="AP37" s="193"/>
      <c r="AQ37" s="193"/>
      <c r="AR37" s="193"/>
      <c r="AS37" s="193"/>
      <c r="AT37" s="193"/>
      <c r="AU37" s="193"/>
      <c r="AV37" s="193"/>
      <c r="AW37" s="193"/>
      <c r="AX37" s="205"/>
      <c r="AY37" s="206" t="str">
        <f>IF(AG37="","",IF(AG37&gt;=1.2,1,IF(AND(AG37&gt;=1,AG37&lt;1.2),2,IF(AG37&lt;1,3,""))))</f>
        <v/>
      </c>
      <c r="AZ37" s="205" t="str">
        <f>IF(AG37="","",IF((W37*100/V37)&gt;20,3,1))</f>
        <v/>
      </c>
      <c r="BA37" s="193"/>
      <c r="BB37" s="193"/>
      <c r="BC37" s="193"/>
      <c r="BD37" s="193"/>
      <c r="BE37" s="193"/>
      <c r="BF37" s="193"/>
      <c r="BG37" s="193"/>
      <c r="BH37" s="193"/>
    </row>
    <row r="44" spans="2:60" ht="13.8" x14ac:dyDescent="0.25">
      <c r="R44" s="929" t="str">
        <f>HLOOKUP(LANGUAGE!$B$2,LANGUAGE!$C$14:$G$2000,1682)</f>
        <v>• Result green: result [13]&gt; anual demand [4] +20% AND unplaned downtimes [10]&lt; 20% of [9]</v>
      </c>
      <c r="S44" s="929"/>
      <c r="T44" s="929"/>
      <c r="U44" s="929"/>
      <c r="V44" s="929"/>
      <c r="W44" s="929"/>
      <c r="X44" s="929"/>
      <c r="Y44" s="929"/>
      <c r="Z44" s="929"/>
      <c r="AA44" s="929"/>
      <c r="AB44" s="929"/>
      <c r="AC44" s="929"/>
      <c r="AD44" s="929"/>
      <c r="AE44" s="929"/>
      <c r="AF44" s="929"/>
      <c r="AG44" s="929"/>
      <c r="AH44" s="929"/>
      <c r="AI44" s="929"/>
    </row>
    <row r="45" spans="2:60" ht="13.8" x14ac:dyDescent="0.25">
      <c r="R45" s="930" t="str">
        <f>HLOOKUP(LANGUAGE!$B$2,LANGUAGE!$C$14:$G$2000,1683)</f>
        <v>• Result yellow: anual demand [4] &lt; result [13] &lt; anual demand [4] + 20% AND unplaned downtimes [10] &lt; 20% of [9]</v>
      </c>
      <c r="S45" s="930"/>
      <c r="T45" s="930"/>
      <c r="U45" s="930"/>
      <c r="V45" s="930"/>
      <c r="W45" s="930"/>
      <c r="X45" s="930"/>
      <c r="Y45" s="930"/>
      <c r="Z45" s="930"/>
      <c r="AA45" s="930"/>
      <c r="AB45" s="930"/>
      <c r="AC45" s="930"/>
      <c r="AD45" s="930"/>
      <c r="AE45" s="930"/>
      <c r="AF45" s="930"/>
      <c r="AG45" s="930"/>
      <c r="AH45" s="930"/>
      <c r="AI45" s="930"/>
    </row>
    <row r="46" spans="2:60" ht="13.8" x14ac:dyDescent="0.25">
      <c r="R46" s="943" t="str">
        <f>HLOOKUP(LANGUAGE!$B$2,LANGUAGE!$C$14:$G$2000,1684)</f>
        <v>• Result red: result [13] &lt; anual demand [4] AND/OR unplaned downtimes [10] &gt; 20% of [9]</v>
      </c>
      <c r="S46" s="943"/>
      <c r="T46" s="943"/>
      <c r="U46" s="943"/>
      <c r="V46" s="943"/>
      <c r="W46" s="943"/>
      <c r="X46" s="943"/>
      <c r="Y46" s="943"/>
      <c r="Z46" s="943"/>
      <c r="AA46" s="943"/>
      <c r="AB46" s="943"/>
      <c r="AC46" s="943"/>
      <c r="AD46" s="943"/>
      <c r="AE46" s="943"/>
      <c r="AF46" s="943"/>
      <c r="AG46" s="943"/>
      <c r="AH46" s="943"/>
      <c r="AI46" s="943"/>
    </row>
    <row r="53" s="656" customFormat="1" ht="13.8" thickBot="1" x14ac:dyDescent="0.3"/>
  </sheetData>
  <sheetProtection algorithmName="SHA-512" hashValue="dvV3mhdObq1qmI+jklyX7rX8/5GX87rkMAGDSnIM5IaIvEPPAhQytDXREFBqc75scBBRDaLdX7ITvacf6Lk81A==" saltValue="u0zha91JDmq6tg+EaClh+Q==" spinCount="100000" sheet="1" objects="1" scenarios="1"/>
  <mergeCells count="92">
    <mergeCell ref="B1:K2"/>
    <mergeCell ref="L1:N1"/>
    <mergeCell ref="L2:N2"/>
    <mergeCell ref="M10:U10"/>
    <mergeCell ref="M9:U9"/>
    <mergeCell ref="M8:U8"/>
    <mergeCell ref="M7:U7"/>
    <mergeCell ref="M6:U6"/>
    <mergeCell ref="M5:U5"/>
    <mergeCell ref="B9:C9"/>
    <mergeCell ref="B10:C10"/>
    <mergeCell ref="D7:L7"/>
    <mergeCell ref="D6:L6"/>
    <mergeCell ref="D5:L5"/>
    <mergeCell ref="D8:L8"/>
    <mergeCell ref="D9:L9"/>
    <mergeCell ref="N17:U17"/>
    <mergeCell ref="B4:U4"/>
    <mergeCell ref="D10:L10"/>
    <mergeCell ref="B7:C7"/>
    <mergeCell ref="B8:C8"/>
    <mergeCell ref="B6:C6"/>
    <mergeCell ref="B5:C5"/>
    <mergeCell ref="B15:M15"/>
    <mergeCell ref="N15:U15"/>
    <mergeCell ref="B16:M16"/>
    <mergeCell ref="N16:U16"/>
    <mergeCell ref="B17:M17"/>
    <mergeCell ref="B24:F25"/>
    <mergeCell ref="X24:AB25"/>
    <mergeCell ref="M24:Q25"/>
    <mergeCell ref="R24:U25"/>
    <mergeCell ref="G24:J25"/>
    <mergeCell ref="AC35:AF35"/>
    <mergeCell ref="AH35:AJ35"/>
    <mergeCell ref="AK35:AL35"/>
    <mergeCell ref="AC27:AF34"/>
    <mergeCell ref="AG27:AJ34"/>
    <mergeCell ref="Z27:Z34"/>
    <mergeCell ref="AA27:AB34"/>
    <mergeCell ref="C35:F35"/>
    <mergeCell ref="G35:H35"/>
    <mergeCell ref="J35:K35"/>
    <mergeCell ref="L35:M35"/>
    <mergeCell ref="N35:O35"/>
    <mergeCell ref="P35:Q35"/>
    <mergeCell ref="R35:S35"/>
    <mergeCell ref="T35:U35"/>
    <mergeCell ref="AA35:AB35"/>
    <mergeCell ref="AH36:AJ36"/>
    <mergeCell ref="AK36:AL36"/>
    <mergeCell ref="AC24:AF25"/>
    <mergeCell ref="B27:F34"/>
    <mergeCell ref="G27:H34"/>
    <mergeCell ref="I27:I34"/>
    <mergeCell ref="J27:K34"/>
    <mergeCell ref="L27:M34"/>
    <mergeCell ref="N27:O34"/>
    <mergeCell ref="P27:Q34"/>
    <mergeCell ref="R27:S34"/>
    <mergeCell ref="T27:U34"/>
    <mergeCell ref="V27:V34"/>
    <mergeCell ref="W27:W34"/>
    <mergeCell ref="X27:X34"/>
    <mergeCell ref="Y27:Y34"/>
    <mergeCell ref="P36:Q36"/>
    <mergeCell ref="R36:S36"/>
    <mergeCell ref="T36:U36"/>
    <mergeCell ref="AA36:AB36"/>
    <mergeCell ref="AC36:AF36"/>
    <mergeCell ref="R46:AI46"/>
    <mergeCell ref="P37:Q37"/>
    <mergeCell ref="R37:S37"/>
    <mergeCell ref="T37:U37"/>
    <mergeCell ref="AA37:AB37"/>
    <mergeCell ref="AC37:AF37"/>
    <mergeCell ref="B20:O20"/>
    <mergeCell ref="AH37:AJ37"/>
    <mergeCell ref="AK37:AL37"/>
    <mergeCell ref="R44:AI44"/>
    <mergeCell ref="R45:AI45"/>
    <mergeCell ref="C37:F37"/>
    <mergeCell ref="G37:H37"/>
    <mergeCell ref="J37:K37"/>
    <mergeCell ref="L37:M37"/>
    <mergeCell ref="N37:O37"/>
    <mergeCell ref="AK27:AL34"/>
    <mergeCell ref="C36:F36"/>
    <mergeCell ref="G36:H36"/>
    <mergeCell ref="J36:K36"/>
    <mergeCell ref="L36:M36"/>
    <mergeCell ref="N36:O36"/>
  </mergeCells>
  <conditionalFormatting sqref="AG35:AH37">
    <cfRule type="expression" dxfId="614" priority="1">
      <formula>MAX($AY35:$AZ35)=1</formula>
    </cfRule>
    <cfRule type="expression" dxfId="613" priority="2">
      <formula>MAX($AY35:$AZ35)=2</formula>
    </cfRule>
    <cfRule type="expression" dxfId="612" priority="3">
      <formula>MAX($AY35:$AZ35)=3</formula>
    </cfRule>
  </conditionalFormatting>
  <printOptions horizontalCentered="1"/>
  <pageMargins left="0.70866141732283472" right="0.55118110236220474" top="0.98425196850393704" bottom="0.9055118110236221" header="0.23622047244094491" footer="0.27559055118110237"/>
  <pageSetup paperSize="9" scale="67"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73730" r:id="rId6" name="Drop Down 2">
              <controlPr defaultSize="0" autoLine="0" autoPict="0">
                <anchor moveWithCells="1">
                  <from>
                    <xdr:col>15</xdr:col>
                    <xdr:colOff>294198</xdr:colOff>
                    <xdr:row>0</xdr:row>
                    <xdr:rowOff>79513</xdr:rowOff>
                  </from>
                  <to>
                    <xdr:col>19</xdr:col>
                    <xdr:colOff>39757</xdr:colOff>
                    <xdr:row>1</xdr:row>
                    <xdr:rowOff>143123</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1">
    <tabColor theme="0" tint="-0.249977111117893"/>
    <pageSetUpPr fitToPage="1"/>
  </sheetPr>
  <dimension ref="A1:AJ39"/>
  <sheetViews>
    <sheetView showGridLines="0" topLeftCell="A16" zoomScaleNormal="100" zoomScaleSheetLayoutView="115" workbookViewId="0">
      <selection activeCell="V44" sqref="V44"/>
    </sheetView>
  </sheetViews>
  <sheetFormatPr baseColWidth="10" defaultColWidth="5.3984375" defaultRowHeight="17.7" customHeight="1" x14ac:dyDescent="0.25"/>
  <cols>
    <col min="1" max="4" width="5.3984375" style="343"/>
    <col min="5" max="5" width="6.3984375" style="343" customWidth="1"/>
    <col min="6" max="9" width="5.3984375" style="343"/>
    <col min="10" max="10" width="5.3984375" style="343" customWidth="1"/>
    <col min="11" max="29" width="5.3984375" style="343"/>
    <col min="30" max="30" width="0" style="343" hidden="1" customWidth="1"/>
    <col min="31" max="36" width="5.3984375" style="343" hidden="1" customWidth="1"/>
    <col min="37" max="16384" width="5.3984375" style="343"/>
  </cols>
  <sheetData>
    <row r="1" spans="1:35" ht="17.7" customHeight="1" x14ac:dyDescent="0.25">
      <c r="A1" s="1122"/>
      <c r="B1" s="1123" t="str">
        <f>HLOOKUP(LANGUAGE!$B$2,LANGUAGE!$C$14:$G$1500,194)</f>
        <v>Basic Data &amp; Contacts</v>
      </c>
      <c r="C1" s="1123"/>
      <c r="D1" s="1123"/>
      <c r="E1" s="1123"/>
      <c r="F1" s="1123"/>
      <c r="G1" s="1123"/>
      <c r="H1" s="1123"/>
      <c r="I1" s="1123"/>
      <c r="J1" s="1123"/>
      <c r="K1" s="342"/>
      <c r="L1" s="342"/>
      <c r="M1" s="342"/>
      <c r="N1" s="342"/>
      <c r="O1" s="342"/>
      <c r="P1" s="1024" t="s">
        <v>2</v>
      </c>
      <c r="Q1" s="1024"/>
      <c r="R1" s="1024"/>
      <c r="S1" s="342"/>
      <c r="T1" s="342"/>
      <c r="U1" s="342"/>
      <c r="V1" s="342"/>
      <c r="W1" s="342"/>
      <c r="X1" s="342"/>
      <c r="Y1" s="342"/>
      <c r="Z1" s="657"/>
      <c r="AA1" s="657"/>
      <c r="AB1" s="657"/>
      <c r="AC1" s="657"/>
      <c r="AD1" s="657"/>
      <c r="AE1" s="657"/>
      <c r="AF1" s="657"/>
      <c r="AG1" s="657"/>
      <c r="AH1" s="657"/>
      <c r="AI1" s="657"/>
    </row>
    <row r="2" spans="1:35" ht="17.7" customHeight="1" x14ac:dyDescent="0.25">
      <c r="A2" s="1122"/>
      <c r="B2" s="1123"/>
      <c r="C2" s="1123"/>
      <c r="D2" s="1123"/>
      <c r="E2" s="1123"/>
      <c r="F2" s="1123"/>
      <c r="G2" s="1123"/>
      <c r="H2" s="1123"/>
      <c r="I2" s="1123"/>
      <c r="J2" s="1123"/>
      <c r="K2" s="342"/>
      <c r="L2" s="342"/>
      <c r="M2" s="342"/>
      <c r="N2" s="342"/>
      <c r="O2" s="342"/>
      <c r="P2" s="1024" t="s">
        <v>1774</v>
      </c>
      <c r="Q2" s="1024"/>
      <c r="R2" s="1024"/>
      <c r="S2" s="342"/>
      <c r="T2" s="342"/>
      <c r="U2" s="342"/>
      <c r="V2" s="342"/>
      <c r="W2" s="342"/>
      <c r="X2" s="342"/>
      <c r="Y2" s="342"/>
      <c r="Z2" s="657"/>
      <c r="AA2" s="657"/>
      <c r="AB2" s="657"/>
      <c r="AC2" s="657"/>
      <c r="AD2" s="657"/>
      <c r="AE2" s="657"/>
      <c r="AF2" s="657"/>
      <c r="AG2" s="657"/>
      <c r="AH2" s="657"/>
      <c r="AI2" s="657"/>
    </row>
    <row r="4" spans="1:35" ht="17.7" customHeight="1" thickBot="1" x14ac:dyDescent="0.3">
      <c r="A4" s="657"/>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c r="AH4" s="657"/>
      <c r="AI4" s="657"/>
    </row>
    <row r="5" spans="1:35" ht="17.7" customHeight="1" x14ac:dyDescent="0.25">
      <c r="A5" s="657"/>
      <c r="B5" s="1050" t="str">
        <f>HLOOKUP(LANGUAGE!$B$2,LANGUAGE!$C$14:$G$1500,12)</f>
        <v>Project Data</v>
      </c>
      <c r="C5" s="1051"/>
      <c r="D5" s="1051"/>
      <c r="E5" s="1051"/>
      <c r="F5" s="1051"/>
      <c r="G5" s="1051"/>
      <c r="H5" s="1051"/>
      <c r="I5" s="1051"/>
      <c r="J5" s="1051"/>
      <c r="K5" s="1051"/>
      <c r="L5" s="1052"/>
      <c r="M5" s="657"/>
      <c r="N5" s="1050" t="str">
        <f>HLOOKUP(LANGUAGE!$B$2,LANGUAGE!$C$14:$G$1500,27)</f>
        <v>Supplier Data</v>
      </c>
      <c r="O5" s="1051"/>
      <c r="P5" s="1051"/>
      <c r="Q5" s="1051"/>
      <c r="R5" s="1051"/>
      <c r="S5" s="1051"/>
      <c r="T5" s="1051"/>
      <c r="U5" s="1051"/>
      <c r="V5" s="1051"/>
      <c r="W5" s="1051"/>
      <c r="X5" s="1052"/>
      <c r="Y5" s="657"/>
      <c r="Z5" s="657"/>
      <c r="AA5" s="657"/>
      <c r="AB5" s="657"/>
      <c r="AC5" s="657"/>
      <c r="AD5" s="657"/>
      <c r="AE5" s="1101" t="s">
        <v>1784</v>
      </c>
      <c r="AF5" s="1099" t="s">
        <v>11</v>
      </c>
      <c r="AG5" s="657"/>
      <c r="AH5" s="657"/>
      <c r="AI5" s="657"/>
    </row>
    <row r="6" spans="1:35" ht="17.7" customHeight="1" thickBot="1" x14ac:dyDescent="0.3">
      <c r="A6" s="657"/>
      <c r="B6" s="1085" t="str">
        <f>HLOOKUP(LANGUAGE!$B$2,LANGUAGE!$C$14:$G$1500,205)</f>
        <v>Project number</v>
      </c>
      <c r="C6" s="1086"/>
      <c r="D6" s="1086"/>
      <c r="E6" s="1086"/>
      <c r="F6" s="1116"/>
      <c r="G6" s="1117"/>
      <c r="H6" s="1117"/>
      <c r="I6" s="1117"/>
      <c r="J6" s="1117"/>
      <c r="K6" s="1117"/>
      <c r="L6" s="1118"/>
      <c r="M6" s="657"/>
      <c r="N6" s="1085" t="str">
        <f>HLOOKUP(LANGUAGE!$B$2,LANGUAGE!$C$14:$G$1500,220)</f>
        <v>Supplier name</v>
      </c>
      <c r="O6" s="1086"/>
      <c r="P6" s="1086"/>
      <c r="Q6" s="1086"/>
      <c r="R6" s="1116"/>
      <c r="S6" s="1117"/>
      <c r="T6" s="1117"/>
      <c r="U6" s="1117"/>
      <c r="V6" s="1117"/>
      <c r="W6" s="1117"/>
      <c r="X6" s="1118"/>
      <c r="Y6" s="657"/>
      <c r="Z6" s="657"/>
      <c r="AA6" s="657"/>
      <c r="AB6" s="657"/>
      <c r="AC6" s="657"/>
      <c r="AD6" s="657"/>
      <c r="AE6" s="1102"/>
      <c r="AF6" s="1100"/>
      <c r="AG6" s="657"/>
      <c r="AH6" s="657"/>
      <c r="AI6" s="657" t="s">
        <v>11</v>
      </c>
    </row>
    <row r="7" spans="1:35" ht="17.7" customHeight="1" x14ac:dyDescent="0.25">
      <c r="A7" s="657"/>
      <c r="B7" s="1085" t="str">
        <f>HLOOKUP(LANGUAGE!$B$2,LANGUAGE!$C$14:$G$1500,206)</f>
        <v>Project name</v>
      </c>
      <c r="C7" s="1086"/>
      <c r="D7" s="1086"/>
      <c r="E7" s="1086"/>
      <c r="F7" s="1119"/>
      <c r="G7" s="1120"/>
      <c r="H7" s="1120"/>
      <c r="I7" s="1120"/>
      <c r="J7" s="1120"/>
      <c r="K7" s="1120"/>
      <c r="L7" s="1121"/>
      <c r="M7" s="657"/>
      <c r="N7" s="1085" t="str">
        <f>HLOOKUP(LANGUAGE!$B$2,LANGUAGE!$C$14:$G$1500,221)</f>
        <v>Supplier code</v>
      </c>
      <c r="O7" s="1086"/>
      <c r="P7" s="1086"/>
      <c r="Q7" s="1086"/>
      <c r="R7" s="1119"/>
      <c r="S7" s="1120"/>
      <c r="T7" s="1120"/>
      <c r="U7" s="1120"/>
      <c r="V7" s="1120"/>
      <c r="W7" s="1120"/>
      <c r="X7" s="1121"/>
      <c r="Y7" s="657"/>
      <c r="Z7" s="657"/>
      <c r="AA7" s="657"/>
      <c r="AB7" s="657"/>
      <c r="AC7" s="657"/>
      <c r="AD7" s="657"/>
      <c r="AE7" s="657"/>
      <c r="AF7" s="657"/>
      <c r="AG7" s="657"/>
      <c r="AH7" s="657"/>
      <c r="AI7" s="657" t="s">
        <v>12</v>
      </c>
    </row>
    <row r="8" spans="1:35" ht="17.7" customHeight="1" thickBot="1" x14ac:dyDescent="0.3">
      <c r="A8" s="657"/>
      <c r="B8" s="1106" t="str">
        <f>HLOOKUP(LANGUAGE!$B$2,LANGUAGE!$C$14:$G$1500,14)</f>
        <v>Part Name(s)</v>
      </c>
      <c r="C8" s="1107"/>
      <c r="D8" s="1107"/>
      <c r="E8" s="1107"/>
      <c r="F8" s="1124"/>
      <c r="G8" s="1125"/>
      <c r="H8" s="1125"/>
      <c r="I8" s="1125"/>
      <c r="J8" s="1125"/>
      <c r="K8" s="1125"/>
      <c r="L8" s="1126"/>
      <c r="M8" s="657"/>
      <c r="N8" s="1085" t="str">
        <f>HLOOKUP(LANGUAGE!$B$2,LANGUAGE!$C$14:$G$1500,222)</f>
        <v>Address (street)</v>
      </c>
      <c r="O8" s="1086"/>
      <c r="P8" s="1086"/>
      <c r="Q8" s="1086"/>
      <c r="R8" s="1119"/>
      <c r="S8" s="1120"/>
      <c r="T8" s="1120"/>
      <c r="U8" s="1120"/>
      <c r="V8" s="1120"/>
      <c r="W8" s="1120"/>
      <c r="X8" s="1121"/>
      <c r="Y8" s="657"/>
      <c r="Z8" s="657"/>
      <c r="AA8" s="657"/>
      <c r="AB8" s="657"/>
      <c r="AC8" s="657"/>
      <c r="AD8" s="657"/>
      <c r="AE8" s="657"/>
      <c r="AF8" s="657"/>
      <c r="AG8" s="657"/>
      <c r="AH8" s="657"/>
      <c r="AI8" s="657"/>
    </row>
    <row r="9" spans="1:35" ht="17.7" customHeight="1" x14ac:dyDescent="0.25">
      <c r="A9" s="657"/>
      <c r="B9" s="657"/>
      <c r="C9" s="657"/>
      <c r="D9" s="657"/>
      <c r="E9" s="657"/>
      <c r="F9" s="657"/>
      <c r="G9" s="657"/>
      <c r="H9" s="657"/>
      <c r="I9" s="657"/>
      <c r="J9" s="657"/>
      <c r="K9" s="657"/>
      <c r="L9" s="657"/>
      <c r="M9" s="657"/>
      <c r="N9" s="1079" t="str">
        <f>HLOOKUP(LANGUAGE!$B$2,LANGUAGE!$C$14:$G$1500,223)</f>
        <v>Address (ZIP code, city)</v>
      </c>
      <c r="O9" s="1080"/>
      <c r="P9" s="1080"/>
      <c r="Q9" s="1081"/>
      <c r="R9" s="1119"/>
      <c r="S9" s="1120"/>
      <c r="T9" s="1120"/>
      <c r="U9" s="1120"/>
      <c r="V9" s="1120"/>
      <c r="W9" s="1120"/>
      <c r="X9" s="1121"/>
      <c r="Y9" s="657"/>
      <c r="Z9" s="657"/>
      <c r="AA9" s="657"/>
      <c r="AB9" s="657"/>
      <c r="AC9" s="657"/>
      <c r="AD9" s="657"/>
      <c r="AE9" s="657"/>
      <c r="AF9" s="657"/>
      <c r="AG9" s="657"/>
      <c r="AH9" s="657"/>
      <c r="AI9" s="657"/>
    </row>
    <row r="10" spans="1:35" ht="17.7" customHeight="1" thickBot="1" x14ac:dyDescent="0.3">
      <c r="A10" s="657"/>
      <c r="B10" s="231" t="str">
        <f>HLOOKUP(LANGUAGE!$B$2,LANGUAGE!$C$14:$G$1500,2)</f>
        <v>Attention!!!        Only yellow fields has to be filled</v>
      </c>
      <c r="C10" s="218"/>
      <c r="D10" s="231"/>
      <c r="E10" s="218"/>
      <c r="F10" s="218"/>
      <c r="G10" s="218"/>
      <c r="H10" s="218"/>
      <c r="I10" s="657"/>
      <c r="J10" s="657"/>
      <c r="K10" s="657"/>
      <c r="L10" s="657"/>
      <c r="M10" s="657"/>
      <c r="N10" s="1106" t="str">
        <f>HLOOKUP(LANGUAGE!$B$2,LANGUAGE!$C$14:$G$1500,224)</f>
        <v>Country</v>
      </c>
      <c r="O10" s="1107"/>
      <c r="P10" s="1107"/>
      <c r="Q10" s="1107"/>
      <c r="R10" s="1124"/>
      <c r="S10" s="1125"/>
      <c r="T10" s="1125"/>
      <c r="U10" s="1125"/>
      <c r="V10" s="1125"/>
      <c r="W10" s="1125"/>
      <c r="X10" s="1126"/>
      <c r="Y10" s="657"/>
      <c r="Z10" s="657"/>
      <c r="AA10" s="657"/>
      <c r="AB10" s="657"/>
      <c r="AC10" s="657"/>
      <c r="AD10" s="657"/>
      <c r="AE10" s="657"/>
      <c r="AF10" s="657"/>
      <c r="AG10" s="657"/>
      <c r="AH10" s="657"/>
      <c r="AI10" s="657"/>
    </row>
    <row r="11" spans="1:35" ht="17.7" customHeight="1" thickBot="1" x14ac:dyDescent="0.3">
      <c r="A11" s="657"/>
      <c r="B11" s="657"/>
      <c r="C11" s="657"/>
      <c r="D11" s="657"/>
      <c r="E11" s="657"/>
      <c r="F11" s="657"/>
      <c r="G11" s="657"/>
      <c r="H11" s="657"/>
      <c r="I11" s="657"/>
      <c r="J11" s="657"/>
      <c r="K11" s="657"/>
      <c r="L11" s="657"/>
      <c r="M11" s="657"/>
      <c r="N11" s="657"/>
      <c r="O11" s="657"/>
      <c r="P11" s="657"/>
      <c r="Q11" s="657"/>
      <c r="R11" s="657"/>
      <c r="S11" s="657"/>
      <c r="T11" s="657"/>
      <c r="U11" s="657"/>
      <c r="V11" s="657"/>
      <c r="W11" s="657"/>
      <c r="X11" s="657"/>
      <c r="Y11" s="657"/>
      <c r="Z11" s="657"/>
      <c r="AA11" s="657"/>
      <c r="AB11" s="657"/>
      <c r="AC11" s="657"/>
      <c r="AD11" s="657"/>
      <c r="AE11" s="657"/>
      <c r="AF11" s="657"/>
      <c r="AG11" s="657"/>
      <c r="AH11" s="657"/>
      <c r="AI11" s="657"/>
    </row>
    <row r="12" spans="1:35" ht="17.7" customHeight="1" x14ac:dyDescent="0.25">
      <c r="A12" s="657"/>
      <c r="B12" s="1050" t="str">
        <f>HLOOKUP(LANGUAGE!$B$2,LANGUAGE!$C$14:$G$1500,237)</f>
        <v>Contact data supplier</v>
      </c>
      <c r="C12" s="1051"/>
      <c r="D12" s="1051"/>
      <c r="E12" s="1051"/>
      <c r="F12" s="1051"/>
      <c r="G12" s="1051"/>
      <c r="H12" s="1051"/>
      <c r="I12" s="1051"/>
      <c r="J12" s="1051"/>
      <c r="K12" s="1051"/>
      <c r="L12" s="1051"/>
      <c r="M12" s="1051"/>
      <c r="N12" s="1051"/>
      <c r="O12" s="1051"/>
      <c r="P12" s="1051"/>
      <c r="Q12" s="1051"/>
      <c r="R12" s="1051"/>
      <c r="S12" s="1051"/>
      <c r="T12" s="1051"/>
      <c r="U12" s="1051"/>
      <c r="V12" s="1051"/>
      <c r="W12" s="1051"/>
      <c r="X12" s="1052"/>
      <c r="Y12" s="657"/>
      <c r="Z12" s="657"/>
      <c r="AA12" s="657"/>
      <c r="AB12" s="657"/>
      <c r="AC12" s="657"/>
      <c r="AD12" s="657"/>
      <c r="AE12" s="657"/>
      <c r="AF12" s="657"/>
      <c r="AG12" s="657"/>
      <c r="AH12" s="657"/>
      <c r="AI12" s="657"/>
    </row>
    <row r="13" spans="1:35" ht="17.7" customHeight="1" x14ac:dyDescent="0.25">
      <c r="A13" s="657"/>
      <c r="B13" s="1053" t="str">
        <f>HLOOKUP(LANGUAGE!$B$2,LANGUAGE!$C$14:$G$1500,238)</f>
        <v>Function</v>
      </c>
      <c r="C13" s="1054"/>
      <c r="D13" s="1054"/>
      <c r="E13" s="1054"/>
      <c r="F13" s="1055" t="str">
        <f>HLOOKUP(LANGUAGE!$B$2,LANGUAGE!$C$14:$G$1500,239)</f>
        <v>Name</v>
      </c>
      <c r="G13" s="1055" t="str">
        <f>IF($AF$5="English","Name","Name")</f>
        <v>Name</v>
      </c>
      <c r="H13" s="1055"/>
      <c r="I13" s="1055" t="str">
        <f>IF($AF$5="English","Name","Name")</f>
        <v>Name</v>
      </c>
      <c r="J13" s="1055" t="str">
        <f>IF($AF$5="English","Name","Name")</f>
        <v>Name</v>
      </c>
      <c r="K13" s="1054" t="str">
        <f>HLOOKUP(LANGUAGE!$B$2,LANGUAGE!$C$14:$G$1500,240)</f>
        <v>E-Mail</v>
      </c>
      <c r="L13" s="1054"/>
      <c r="M13" s="1054"/>
      <c r="N13" s="1054"/>
      <c r="O13" s="1054"/>
      <c r="P13" s="1054"/>
      <c r="Q13" s="1054" t="str">
        <f>HLOOKUP(LANGUAGE!$B$2,LANGUAGE!$C$14:$G$1500,241)</f>
        <v>Phone</v>
      </c>
      <c r="R13" s="1054"/>
      <c r="S13" s="1054"/>
      <c r="T13" s="1054"/>
      <c r="U13" s="1054" t="str">
        <f>HLOOKUP(LANGUAGE!$B$2,LANGUAGE!$C$14:$G$1500,242)</f>
        <v>Mobile</v>
      </c>
      <c r="V13" s="1054"/>
      <c r="W13" s="1054"/>
      <c r="X13" s="1056"/>
      <c r="Y13" s="657"/>
      <c r="Z13" s="657"/>
      <c r="AA13" s="657"/>
      <c r="AB13" s="657"/>
      <c r="AC13" s="657"/>
      <c r="AD13" s="657"/>
      <c r="AE13" s="657"/>
      <c r="AF13" s="657"/>
      <c r="AG13" s="657"/>
      <c r="AH13" s="657"/>
      <c r="AI13" s="657"/>
    </row>
    <row r="14" spans="1:35" ht="17.7" customHeight="1" x14ac:dyDescent="0.25">
      <c r="A14" s="657"/>
      <c r="B14" s="1079" t="str">
        <f>HLOOKUP(LANGUAGE!$B$2,LANGUAGE!$C$14:$G$1500,243)</f>
        <v>Project management</v>
      </c>
      <c r="C14" s="1080"/>
      <c r="D14" s="1080"/>
      <c r="E14" s="1081"/>
      <c r="F14" s="1114"/>
      <c r="G14" s="1061"/>
      <c r="H14" s="1061"/>
      <c r="I14" s="1061"/>
      <c r="J14" s="1062"/>
      <c r="K14" s="1108"/>
      <c r="L14" s="1109"/>
      <c r="M14" s="1109"/>
      <c r="N14" s="1109"/>
      <c r="O14" s="1109"/>
      <c r="P14" s="1110"/>
      <c r="Q14" s="1111"/>
      <c r="R14" s="1109"/>
      <c r="S14" s="1109"/>
      <c r="T14" s="1112"/>
      <c r="U14" s="1108"/>
      <c r="V14" s="1109"/>
      <c r="W14" s="1109"/>
      <c r="X14" s="1113"/>
      <c r="Y14" s="657"/>
      <c r="Z14" s="657"/>
      <c r="AA14" s="657"/>
      <c r="AB14" s="657"/>
      <c r="AC14" s="657"/>
      <c r="AD14" s="657"/>
      <c r="AE14" s="657"/>
      <c r="AF14" s="657"/>
      <c r="AG14" s="657"/>
      <c r="AH14" s="657"/>
      <c r="AI14" s="657"/>
    </row>
    <row r="15" spans="1:35" ht="17.7" customHeight="1" x14ac:dyDescent="0.25">
      <c r="A15" s="657"/>
      <c r="B15" s="1079" t="str">
        <f>HLOOKUP(LANGUAGE!$B$2,LANGUAGE!$C$14:$G$1500,244)</f>
        <v>Quality</v>
      </c>
      <c r="C15" s="1080"/>
      <c r="D15" s="1080"/>
      <c r="E15" s="1081"/>
      <c r="F15" s="1048"/>
      <c r="G15" s="1040"/>
      <c r="H15" s="1040"/>
      <c r="I15" s="1040"/>
      <c r="J15" s="1041"/>
      <c r="K15" s="1048"/>
      <c r="L15" s="1040"/>
      <c r="M15" s="1040"/>
      <c r="N15" s="1040"/>
      <c r="O15" s="1040"/>
      <c r="P15" s="1044"/>
      <c r="Q15" s="1049"/>
      <c r="R15" s="1040"/>
      <c r="S15" s="1040"/>
      <c r="T15" s="1041"/>
      <c r="U15" s="1048"/>
      <c r="V15" s="1040"/>
      <c r="W15" s="1040"/>
      <c r="X15" s="1043"/>
      <c r="Y15" s="657"/>
      <c r="Z15" s="657"/>
      <c r="AA15" s="657"/>
      <c r="AB15" s="657"/>
      <c r="AC15" s="657"/>
      <c r="AD15" s="657"/>
      <c r="AE15" s="657"/>
      <c r="AF15" s="657"/>
      <c r="AG15" s="657"/>
      <c r="AH15" s="657"/>
      <c r="AI15" s="657"/>
    </row>
    <row r="16" spans="1:35" ht="17.7" customHeight="1" x14ac:dyDescent="0.25">
      <c r="A16" s="657"/>
      <c r="B16" s="1079" t="str">
        <f>HLOOKUP(LANGUAGE!$B$2,LANGUAGE!$C$14:$G$1500,245)</f>
        <v>Sales</v>
      </c>
      <c r="C16" s="1080"/>
      <c r="D16" s="1080"/>
      <c r="E16" s="1081"/>
      <c r="F16" s="1048"/>
      <c r="G16" s="1040"/>
      <c r="H16" s="1040"/>
      <c r="I16" s="1040"/>
      <c r="J16" s="1041"/>
      <c r="K16" s="1048"/>
      <c r="L16" s="1040"/>
      <c r="M16" s="1040"/>
      <c r="N16" s="1040"/>
      <c r="O16" s="1040"/>
      <c r="P16" s="1044"/>
      <c r="Q16" s="1049"/>
      <c r="R16" s="1040"/>
      <c r="S16" s="1040"/>
      <c r="T16" s="1041"/>
      <c r="U16" s="1048"/>
      <c r="V16" s="1040"/>
      <c r="W16" s="1040"/>
      <c r="X16" s="1043"/>
      <c r="Y16" s="657"/>
      <c r="Z16" s="657"/>
      <c r="AA16" s="657"/>
      <c r="AB16" s="657"/>
      <c r="AC16" s="657"/>
      <c r="AD16" s="657"/>
      <c r="AE16" s="657"/>
      <c r="AF16" s="657"/>
      <c r="AG16" s="657"/>
      <c r="AH16" s="657"/>
      <c r="AI16" s="657"/>
    </row>
    <row r="17" spans="2:24" ht="17.7" customHeight="1" x14ac:dyDescent="0.25">
      <c r="B17" s="1088" t="str">
        <f>HLOOKUP(LANGUAGE!$B$2,LANGUAGE!$C$14:$G$1500,246)</f>
        <v>Process-/tool technologist</v>
      </c>
      <c r="C17" s="1089"/>
      <c r="D17" s="1089"/>
      <c r="E17" s="1090"/>
      <c r="F17" s="1103"/>
      <c r="G17" s="1104"/>
      <c r="H17" s="1104"/>
      <c r="I17" s="1104"/>
      <c r="J17" s="1105"/>
      <c r="K17" s="1097"/>
      <c r="L17" s="1095"/>
      <c r="M17" s="1095"/>
      <c r="N17" s="1095"/>
      <c r="O17" s="1095"/>
      <c r="P17" s="1115"/>
      <c r="Q17" s="1094"/>
      <c r="R17" s="1095"/>
      <c r="S17" s="1095"/>
      <c r="T17" s="1096"/>
      <c r="U17" s="1097"/>
      <c r="V17" s="1095"/>
      <c r="W17" s="1095"/>
      <c r="X17" s="1098"/>
    </row>
    <row r="18" spans="2:24" ht="17.7" customHeight="1" x14ac:dyDescent="0.25">
      <c r="B18" s="1091" t="str">
        <f>HLOOKUP(LANGUAGE!$B$2,LANGUAGE!$C$14:$G$1500,247)</f>
        <v>Following contacts can be filled optional</v>
      </c>
      <c r="C18" s="1092"/>
      <c r="D18" s="1092"/>
      <c r="E18" s="1092"/>
      <c r="F18" s="1092"/>
      <c r="G18" s="1092"/>
      <c r="H18" s="1092"/>
      <c r="I18" s="1092"/>
      <c r="J18" s="1092"/>
      <c r="K18" s="1092"/>
      <c r="L18" s="1092"/>
      <c r="M18" s="1092"/>
      <c r="N18" s="1092"/>
      <c r="O18" s="1092"/>
      <c r="P18" s="1092"/>
      <c r="Q18" s="1092"/>
      <c r="R18" s="1092"/>
      <c r="S18" s="1092"/>
      <c r="T18" s="1092"/>
      <c r="U18" s="1092"/>
      <c r="V18" s="1092"/>
      <c r="W18" s="1092"/>
      <c r="X18" s="1093"/>
    </row>
    <row r="19" spans="2:24" ht="17.7" customHeight="1" x14ac:dyDescent="0.25">
      <c r="B19" s="1085" t="str">
        <f>HLOOKUP(LANGUAGE!$B$2,LANGUAGE!$C$14:$G$1500,248)</f>
        <v>CEO</v>
      </c>
      <c r="C19" s="1086"/>
      <c r="D19" s="1086"/>
      <c r="E19" s="1087"/>
      <c r="F19" s="1076"/>
      <c r="G19" s="1074"/>
      <c r="H19" s="1074"/>
      <c r="I19" s="1074"/>
      <c r="J19" s="1075"/>
      <c r="K19" s="1076"/>
      <c r="L19" s="1074"/>
      <c r="M19" s="1074"/>
      <c r="N19" s="1074"/>
      <c r="O19" s="1074"/>
      <c r="P19" s="1127"/>
      <c r="Q19" s="1073"/>
      <c r="R19" s="1074"/>
      <c r="S19" s="1074"/>
      <c r="T19" s="1075"/>
      <c r="U19" s="1076"/>
      <c r="V19" s="1074"/>
      <c r="W19" s="1074"/>
      <c r="X19" s="1077"/>
    </row>
    <row r="20" spans="2:24" ht="17.7" customHeight="1" x14ac:dyDescent="0.25">
      <c r="B20" s="1079" t="str">
        <f>HLOOKUP(LANGUAGE!$B$2,LANGUAGE!$C$14:$G$1500,249)</f>
        <v>Plant manager</v>
      </c>
      <c r="C20" s="1080"/>
      <c r="D20" s="1080"/>
      <c r="E20" s="1081"/>
      <c r="F20" s="1048"/>
      <c r="G20" s="1040"/>
      <c r="H20" s="1040"/>
      <c r="I20" s="1040"/>
      <c r="J20" s="1041"/>
      <c r="K20" s="1048"/>
      <c r="L20" s="1040"/>
      <c r="M20" s="1040"/>
      <c r="N20" s="1040"/>
      <c r="O20" s="1040"/>
      <c r="P20" s="1044"/>
      <c r="Q20" s="1049"/>
      <c r="R20" s="1040"/>
      <c r="S20" s="1040"/>
      <c r="T20" s="1041"/>
      <c r="U20" s="1048"/>
      <c r="V20" s="1040"/>
      <c r="W20" s="1040"/>
      <c r="X20" s="1043"/>
    </row>
    <row r="21" spans="2:24" ht="17.7" customHeight="1" x14ac:dyDescent="0.25">
      <c r="B21" s="1079" t="str">
        <f>HLOOKUP(LANGUAGE!$B$2,LANGUAGE!$C$14:$G$1500,250)</f>
        <v>Head of operations</v>
      </c>
      <c r="C21" s="1080"/>
      <c r="D21" s="1080"/>
      <c r="E21" s="1081"/>
      <c r="F21" s="1048"/>
      <c r="G21" s="1040"/>
      <c r="H21" s="1040"/>
      <c r="I21" s="1040"/>
      <c r="J21" s="1041"/>
      <c r="K21" s="1048"/>
      <c r="L21" s="1040"/>
      <c r="M21" s="1040"/>
      <c r="N21" s="1040"/>
      <c r="O21" s="1040"/>
      <c r="P21" s="1044"/>
      <c r="Q21" s="1049"/>
      <c r="R21" s="1040"/>
      <c r="S21" s="1040"/>
      <c r="T21" s="1041"/>
      <c r="U21" s="1048"/>
      <c r="V21" s="1040"/>
      <c r="W21" s="1040"/>
      <c r="X21" s="1043"/>
    </row>
    <row r="22" spans="2:24" ht="17.7" customHeight="1" x14ac:dyDescent="0.25">
      <c r="B22" s="1079" t="str">
        <f>HLOOKUP(LANGUAGE!$B$2,LANGUAGE!$C$14:$G$1500,251)</f>
        <v>Head of quality</v>
      </c>
      <c r="C22" s="1080"/>
      <c r="D22" s="1080"/>
      <c r="E22" s="1081"/>
      <c r="F22" s="1048"/>
      <c r="G22" s="1040"/>
      <c r="H22" s="1040"/>
      <c r="I22" s="1040"/>
      <c r="J22" s="1041"/>
      <c r="K22" s="1048"/>
      <c r="L22" s="1040"/>
      <c r="M22" s="1040"/>
      <c r="N22" s="1040"/>
      <c r="O22" s="1040"/>
      <c r="P22" s="1044"/>
      <c r="Q22" s="1049"/>
      <c r="R22" s="1040"/>
      <c r="S22" s="1040"/>
      <c r="T22" s="1041"/>
      <c r="U22" s="1048"/>
      <c r="V22" s="1040"/>
      <c r="W22" s="1040"/>
      <c r="X22" s="1043"/>
    </row>
    <row r="23" spans="2:24" ht="17.7" customHeight="1" x14ac:dyDescent="0.25">
      <c r="B23" s="1079" t="str">
        <f>HLOOKUP(LANGUAGE!$B$2,LANGUAGE!$C$14:$G$1500,252)</f>
        <v>24 hour emergency contact</v>
      </c>
      <c r="C23" s="1080"/>
      <c r="D23" s="1080"/>
      <c r="E23" s="1081"/>
      <c r="F23" s="1048"/>
      <c r="G23" s="1040"/>
      <c r="H23" s="1040"/>
      <c r="I23" s="1040"/>
      <c r="J23" s="1041"/>
      <c r="K23" s="1048"/>
      <c r="L23" s="1040"/>
      <c r="M23" s="1040"/>
      <c r="N23" s="1040"/>
      <c r="O23" s="1040"/>
      <c r="P23" s="1044"/>
      <c r="Q23" s="1049"/>
      <c r="R23" s="1040"/>
      <c r="S23" s="1040"/>
      <c r="T23" s="1041"/>
      <c r="U23" s="1048"/>
      <c r="V23" s="1040"/>
      <c r="W23" s="1040"/>
      <c r="X23" s="1043"/>
    </row>
    <row r="24" spans="2:24" ht="17.7" customHeight="1" x14ac:dyDescent="0.25">
      <c r="B24" s="1079" t="str">
        <f>HLOOKUP(LANGUAGE!$B$2,LANGUAGE!$C$14:$G$1500,253)</f>
        <v>Engineering manager</v>
      </c>
      <c r="C24" s="1080"/>
      <c r="D24" s="1080"/>
      <c r="E24" s="1081"/>
      <c r="F24" s="1048"/>
      <c r="G24" s="1040"/>
      <c r="H24" s="1040"/>
      <c r="I24" s="1040"/>
      <c r="J24" s="1041"/>
      <c r="K24" s="1048"/>
      <c r="L24" s="1040"/>
      <c r="M24" s="1040"/>
      <c r="N24" s="1040"/>
      <c r="O24" s="1040"/>
      <c r="P24" s="1044"/>
      <c r="Q24" s="1049"/>
      <c r="R24" s="1040"/>
      <c r="S24" s="1040"/>
      <c r="T24" s="1041"/>
      <c r="U24" s="1048"/>
      <c r="V24" s="1040"/>
      <c r="W24" s="1040"/>
      <c r="X24" s="1043"/>
    </row>
    <row r="25" spans="2:24" ht="17.7" customHeight="1" x14ac:dyDescent="0.25">
      <c r="B25" s="1079" t="str">
        <f>HLOOKUP(LANGUAGE!$B$2,LANGUAGE!$C$14:$G$1500,254)</f>
        <v>Engineering</v>
      </c>
      <c r="C25" s="1080"/>
      <c r="D25" s="1080"/>
      <c r="E25" s="1081"/>
      <c r="F25" s="1048"/>
      <c r="G25" s="1040"/>
      <c r="H25" s="1040"/>
      <c r="I25" s="1040"/>
      <c r="J25" s="1041"/>
      <c r="K25" s="1048"/>
      <c r="L25" s="1040"/>
      <c r="M25" s="1040"/>
      <c r="N25" s="1040"/>
      <c r="O25" s="1040"/>
      <c r="P25" s="1044"/>
      <c r="Q25" s="1049"/>
      <c r="R25" s="1040"/>
      <c r="S25" s="1040"/>
      <c r="T25" s="1041"/>
      <c r="U25" s="1048"/>
      <c r="V25" s="1040"/>
      <c r="W25" s="1040"/>
      <c r="X25" s="1043"/>
    </row>
    <row r="26" spans="2:24" ht="17.7" customHeight="1" x14ac:dyDescent="0.25">
      <c r="B26" s="1079" t="str">
        <f>HLOOKUP(LANGUAGE!$B$2,LANGUAGE!$C$14:$G$1500,255)</f>
        <v>Logistics Manager</v>
      </c>
      <c r="C26" s="1080"/>
      <c r="D26" s="1080"/>
      <c r="E26" s="1081"/>
      <c r="F26" s="1048"/>
      <c r="G26" s="1040"/>
      <c r="H26" s="1040"/>
      <c r="I26" s="1040"/>
      <c r="J26" s="1041"/>
      <c r="K26" s="1048"/>
      <c r="L26" s="1040"/>
      <c r="M26" s="1040"/>
      <c r="N26" s="1040"/>
      <c r="O26" s="1040"/>
      <c r="P26" s="1044"/>
      <c r="Q26" s="1049"/>
      <c r="R26" s="1040"/>
      <c r="S26" s="1040"/>
      <c r="T26" s="1041"/>
      <c r="U26" s="1048"/>
      <c r="V26" s="1040"/>
      <c r="W26" s="1040"/>
      <c r="X26" s="1043"/>
    </row>
    <row r="27" spans="2:24" ht="17.7" customHeight="1" thickBot="1" x14ac:dyDescent="0.3">
      <c r="B27" s="1082" t="str">
        <f>HLOOKUP(LANGUAGE!$B$2,LANGUAGE!$C$14:$G$1500,256)</f>
        <v>Logistics Planner</v>
      </c>
      <c r="C27" s="1083"/>
      <c r="D27" s="1083"/>
      <c r="E27" s="1084"/>
      <c r="F27" s="1072"/>
      <c r="G27" s="1067"/>
      <c r="H27" s="1067"/>
      <c r="I27" s="1067"/>
      <c r="J27" s="1068"/>
      <c r="K27" s="1072"/>
      <c r="L27" s="1067"/>
      <c r="M27" s="1067"/>
      <c r="N27" s="1067"/>
      <c r="O27" s="1067"/>
      <c r="P27" s="1069"/>
      <c r="Q27" s="1078"/>
      <c r="R27" s="1067"/>
      <c r="S27" s="1067"/>
      <c r="T27" s="1068"/>
      <c r="U27" s="1072"/>
      <c r="V27" s="1067"/>
      <c r="W27" s="1067"/>
      <c r="X27" s="1071"/>
    </row>
    <row r="28" spans="2:24" ht="17.7" customHeight="1" collapsed="1" thickBot="1" x14ac:dyDescent="0.3">
      <c r="B28" s="657"/>
      <c r="C28" s="657"/>
      <c r="D28" s="657"/>
      <c r="E28" s="657"/>
      <c r="F28" s="657"/>
      <c r="G28" s="657"/>
      <c r="H28" s="657"/>
      <c r="I28" s="657"/>
      <c r="J28" s="657"/>
      <c r="K28" s="657"/>
      <c r="L28" s="657"/>
      <c r="M28" s="657"/>
      <c r="N28" s="657"/>
      <c r="O28" s="657"/>
      <c r="P28" s="657"/>
      <c r="Q28" s="657"/>
      <c r="R28" s="657"/>
      <c r="S28" s="657"/>
      <c r="T28" s="657"/>
      <c r="U28" s="657"/>
      <c r="V28" s="657"/>
      <c r="W28" s="657"/>
      <c r="X28" s="657"/>
    </row>
    <row r="29" spans="2:24" ht="17.7" customHeight="1" x14ac:dyDescent="0.25">
      <c r="B29" s="1050" t="str">
        <f>HLOOKUP(LANGUAGE!$B$2,LANGUAGE!$C$14:$G$1500,273)</f>
        <v>Contact data Brose</v>
      </c>
      <c r="C29" s="1051"/>
      <c r="D29" s="1051"/>
      <c r="E29" s="1051"/>
      <c r="F29" s="1051"/>
      <c r="G29" s="1051"/>
      <c r="H29" s="1051"/>
      <c r="I29" s="1051"/>
      <c r="J29" s="1051"/>
      <c r="K29" s="1051"/>
      <c r="L29" s="1051"/>
      <c r="M29" s="1051"/>
      <c r="N29" s="1051"/>
      <c r="O29" s="1051"/>
      <c r="P29" s="1051"/>
      <c r="Q29" s="1051"/>
      <c r="R29" s="1051"/>
      <c r="S29" s="1051"/>
      <c r="T29" s="1051"/>
      <c r="U29" s="1051"/>
      <c r="V29" s="1051"/>
      <c r="W29" s="1051"/>
      <c r="X29" s="1052"/>
    </row>
    <row r="30" spans="2:24" ht="17.7" customHeight="1" x14ac:dyDescent="0.25">
      <c r="B30" s="1053" t="str">
        <f>HLOOKUP(LANGUAGE!$B$2,LANGUAGE!$C$14:$G$1500,238)</f>
        <v>Function</v>
      </c>
      <c r="C30" s="1054"/>
      <c r="D30" s="1054"/>
      <c r="E30" s="1054"/>
      <c r="F30" s="1055" t="str">
        <f>HLOOKUP(LANGUAGE!$B$2,LANGUAGE!$C$14:$G$1500,239)</f>
        <v>Name</v>
      </c>
      <c r="G30" s="1055" t="str">
        <f>IF($AF$5="English","Name","Name")</f>
        <v>Name</v>
      </c>
      <c r="H30" s="1055"/>
      <c r="I30" s="1055" t="str">
        <f>IF($AF$5="English","Name","Name")</f>
        <v>Name</v>
      </c>
      <c r="J30" s="1055" t="str">
        <f>IF($AF$5="English","Name","Name")</f>
        <v>Name</v>
      </c>
      <c r="K30" s="1054" t="str">
        <f>HLOOKUP(LANGUAGE!$B$2,LANGUAGE!$C$14:$G$1500,240)</f>
        <v>E-Mail</v>
      </c>
      <c r="L30" s="1054"/>
      <c r="M30" s="1054"/>
      <c r="N30" s="1054"/>
      <c r="O30" s="1054"/>
      <c r="P30" s="1054"/>
      <c r="Q30" s="1054" t="str">
        <f>HLOOKUP(LANGUAGE!$B$2,LANGUAGE!$C$14:$G$1500,241)</f>
        <v>Phone</v>
      </c>
      <c r="R30" s="1054"/>
      <c r="S30" s="1054"/>
      <c r="T30" s="1054"/>
      <c r="U30" s="1054" t="str">
        <f>HLOOKUP(LANGUAGE!$B$2,LANGUAGE!$C$14:$G$1500,242)</f>
        <v>Mobile</v>
      </c>
      <c r="V30" s="1054"/>
      <c r="W30" s="1054"/>
      <c r="X30" s="1056"/>
    </row>
    <row r="31" spans="2:24" ht="17.7" customHeight="1" x14ac:dyDescent="0.25">
      <c r="B31" s="1045"/>
      <c r="C31" s="1046"/>
      <c r="D31" s="1046"/>
      <c r="E31" s="1047"/>
      <c r="F31" s="1060"/>
      <c r="G31" s="1061"/>
      <c r="H31" s="1061"/>
      <c r="I31" s="1061"/>
      <c r="J31" s="1062"/>
      <c r="K31" s="1060"/>
      <c r="L31" s="1061"/>
      <c r="M31" s="1061"/>
      <c r="N31" s="1061"/>
      <c r="O31" s="1061"/>
      <c r="P31" s="1063"/>
      <c r="Q31" s="1064"/>
      <c r="R31" s="1061"/>
      <c r="S31" s="1061"/>
      <c r="T31" s="1062"/>
      <c r="U31" s="1060"/>
      <c r="V31" s="1061"/>
      <c r="W31" s="1061"/>
      <c r="X31" s="1065"/>
    </row>
    <row r="32" spans="2:24" ht="17.7" customHeight="1" x14ac:dyDescent="0.25">
      <c r="B32" s="1045"/>
      <c r="C32" s="1046"/>
      <c r="D32" s="1046"/>
      <c r="E32" s="1047"/>
      <c r="F32" s="1042"/>
      <c r="G32" s="1040"/>
      <c r="H32" s="1040"/>
      <c r="I32" s="1040"/>
      <c r="J32" s="1041"/>
      <c r="K32" s="1042"/>
      <c r="L32" s="1040"/>
      <c r="M32" s="1040"/>
      <c r="N32" s="1040"/>
      <c r="O32" s="1040"/>
      <c r="P32" s="1044"/>
      <c r="Q32" s="1039"/>
      <c r="R32" s="1040"/>
      <c r="S32" s="1040"/>
      <c r="T32" s="1041"/>
      <c r="U32" s="1042"/>
      <c r="V32" s="1040"/>
      <c r="W32" s="1040"/>
      <c r="X32" s="1043"/>
    </row>
    <row r="33" spans="2:24" ht="17.7" customHeight="1" x14ac:dyDescent="0.25">
      <c r="B33" s="1045"/>
      <c r="C33" s="1046"/>
      <c r="D33" s="1046"/>
      <c r="E33" s="1047"/>
      <c r="F33" s="1042"/>
      <c r="G33" s="1040"/>
      <c r="H33" s="1040"/>
      <c r="I33" s="1040"/>
      <c r="J33" s="1041"/>
      <c r="K33" s="1042"/>
      <c r="L33" s="1040"/>
      <c r="M33" s="1040"/>
      <c r="N33" s="1040"/>
      <c r="O33" s="1040"/>
      <c r="P33" s="1044"/>
      <c r="Q33" s="1039"/>
      <c r="R33" s="1040"/>
      <c r="S33" s="1040"/>
      <c r="T33" s="1041"/>
      <c r="U33" s="1042"/>
      <c r="V33" s="1040"/>
      <c r="W33" s="1040"/>
      <c r="X33" s="1043"/>
    </row>
    <row r="34" spans="2:24" ht="17.7" customHeight="1" x14ac:dyDescent="0.25">
      <c r="B34" s="1045"/>
      <c r="C34" s="1046"/>
      <c r="D34" s="1046"/>
      <c r="E34" s="1047"/>
      <c r="F34" s="1042"/>
      <c r="G34" s="1040"/>
      <c r="H34" s="1040"/>
      <c r="I34" s="1040"/>
      <c r="J34" s="1041"/>
      <c r="K34" s="1042"/>
      <c r="L34" s="1040"/>
      <c r="M34" s="1040"/>
      <c r="N34" s="1040"/>
      <c r="O34" s="1040"/>
      <c r="P34" s="1044"/>
      <c r="Q34" s="1039"/>
      <c r="R34" s="1040"/>
      <c r="S34" s="1040"/>
      <c r="T34" s="1041"/>
      <c r="U34" s="1042"/>
      <c r="V34" s="1040"/>
      <c r="W34" s="1040"/>
      <c r="X34" s="1043"/>
    </row>
    <row r="35" spans="2:24" ht="17.7" customHeight="1" x14ac:dyDescent="0.25">
      <c r="B35" s="1045"/>
      <c r="C35" s="1046"/>
      <c r="D35" s="1046"/>
      <c r="E35" s="1047"/>
      <c r="F35" s="1042"/>
      <c r="G35" s="1040"/>
      <c r="H35" s="1040"/>
      <c r="I35" s="1040"/>
      <c r="J35" s="1041"/>
      <c r="K35" s="1042"/>
      <c r="L35" s="1040"/>
      <c r="M35" s="1040"/>
      <c r="N35" s="1040"/>
      <c r="O35" s="1040"/>
      <c r="P35" s="1044"/>
      <c r="Q35" s="1039"/>
      <c r="R35" s="1040"/>
      <c r="S35" s="1040"/>
      <c r="T35" s="1041"/>
      <c r="U35" s="1042"/>
      <c r="V35" s="1040"/>
      <c r="W35" s="1040"/>
      <c r="X35" s="1043"/>
    </row>
    <row r="36" spans="2:24" ht="17.7" customHeight="1" x14ac:dyDescent="0.25">
      <c r="B36" s="1045"/>
      <c r="C36" s="1046"/>
      <c r="D36" s="1046"/>
      <c r="E36" s="1047"/>
      <c r="F36" s="1042"/>
      <c r="G36" s="1040"/>
      <c r="H36" s="1040"/>
      <c r="I36" s="1040"/>
      <c r="J36" s="1041"/>
      <c r="K36" s="1042"/>
      <c r="L36" s="1040"/>
      <c r="M36" s="1040"/>
      <c r="N36" s="1040"/>
      <c r="O36" s="1040"/>
      <c r="P36" s="1044"/>
      <c r="Q36" s="1039"/>
      <c r="R36" s="1040"/>
      <c r="S36" s="1040"/>
      <c r="T36" s="1041"/>
      <c r="U36" s="1042"/>
      <c r="V36" s="1040"/>
      <c r="W36" s="1040"/>
      <c r="X36" s="1043"/>
    </row>
    <row r="37" spans="2:24" ht="17.7" customHeight="1" x14ac:dyDescent="0.25">
      <c r="B37" s="1045"/>
      <c r="C37" s="1046"/>
      <c r="D37" s="1046"/>
      <c r="E37" s="1047"/>
      <c r="F37" s="1042"/>
      <c r="G37" s="1040"/>
      <c r="H37" s="1040"/>
      <c r="I37" s="1040"/>
      <c r="J37" s="1041"/>
      <c r="K37" s="1042"/>
      <c r="L37" s="1040"/>
      <c r="M37" s="1040"/>
      <c r="N37" s="1040"/>
      <c r="O37" s="1040"/>
      <c r="P37" s="1044"/>
      <c r="Q37" s="1039"/>
      <c r="R37" s="1040"/>
      <c r="S37" s="1040"/>
      <c r="T37" s="1041"/>
      <c r="U37" s="1042"/>
      <c r="V37" s="1040"/>
      <c r="W37" s="1040"/>
      <c r="X37" s="1043"/>
    </row>
    <row r="38" spans="2:24" ht="17.7" customHeight="1" x14ac:dyDescent="0.25">
      <c r="B38" s="1045"/>
      <c r="C38" s="1046"/>
      <c r="D38" s="1046"/>
      <c r="E38" s="1047"/>
      <c r="F38" s="1042"/>
      <c r="G38" s="1040"/>
      <c r="H38" s="1040"/>
      <c r="I38" s="1040"/>
      <c r="J38" s="1041"/>
      <c r="K38" s="1042"/>
      <c r="L38" s="1040"/>
      <c r="M38" s="1040"/>
      <c r="N38" s="1040"/>
      <c r="O38" s="1040"/>
      <c r="P38" s="1044"/>
      <c r="Q38" s="1039"/>
      <c r="R38" s="1040"/>
      <c r="S38" s="1040"/>
      <c r="T38" s="1041"/>
      <c r="U38" s="1042"/>
      <c r="V38" s="1040"/>
      <c r="W38" s="1040"/>
      <c r="X38" s="1043"/>
    </row>
    <row r="39" spans="2:24" ht="17.7" customHeight="1" thickBot="1" x14ac:dyDescent="0.3">
      <c r="B39" s="1057"/>
      <c r="C39" s="1058"/>
      <c r="D39" s="1058"/>
      <c r="E39" s="1059"/>
      <c r="F39" s="1066"/>
      <c r="G39" s="1067"/>
      <c r="H39" s="1067"/>
      <c r="I39" s="1067"/>
      <c r="J39" s="1068"/>
      <c r="K39" s="1066"/>
      <c r="L39" s="1067"/>
      <c r="M39" s="1067"/>
      <c r="N39" s="1067"/>
      <c r="O39" s="1067"/>
      <c r="P39" s="1069"/>
      <c r="Q39" s="1070"/>
      <c r="R39" s="1067"/>
      <c r="S39" s="1067"/>
      <c r="T39" s="1068"/>
      <c r="U39" s="1066"/>
      <c r="V39" s="1067"/>
      <c r="W39" s="1067"/>
      <c r="X39" s="1071"/>
    </row>
  </sheetData>
  <sheetProtection algorithmName="SHA-512" hashValue="3CyLSBIDi2mM/ijvcKot1G/YplzwyxJdmer2mnM0J91x3TOUhdKps9r1UeRFTvueE3gS4NTLkfmjkRAoHjtyWA==" saltValue="AnihLY4wJMfVXjJPI8mhUQ==" spinCount="100000" sheet="1" objects="1" scenarios="1"/>
  <mergeCells count="147">
    <mergeCell ref="A1:A2"/>
    <mergeCell ref="P1:R1"/>
    <mergeCell ref="P2:R2"/>
    <mergeCell ref="B1:J2"/>
    <mergeCell ref="Q25:T25"/>
    <mergeCell ref="N6:Q6"/>
    <mergeCell ref="N7:Q7"/>
    <mergeCell ref="N8:Q8"/>
    <mergeCell ref="N10:Q10"/>
    <mergeCell ref="R6:X6"/>
    <mergeCell ref="R7:X7"/>
    <mergeCell ref="R8:X8"/>
    <mergeCell ref="R9:X9"/>
    <mergeCell ref="R10:X10"/>
    <mergeCell ref="N5:X5"/>
    <mergeCell ref="F21:J21"/>
    <mergeCell ref="F22:J22"/>
    <mergeCell ref="F23:J23"/>
    <mergeCell ref="N9:Q9"/>
    <mergeCell ref="K19:P19"/>
    <mergeCell ref="K20:P20"/>
    <mergeCell ref="F8:L8"/>
    <mergeCell ref="AF5:AF6"/>
    <mergeCell ref="AE5:AE6"/>
    <mergeCell ref="B14:E14"/>
    <mergeCell ref="F17:J17"/>
    <mergeCell ref="B13:E13"/>
    <mergeCell ref="B6:E6"/>
    <mergeCell ref="B7:E7"/>
    <mergeCell ref="B8:E8"/>
    <mergeCell ref="B12:X12"/>
    <mergeCell ref="K14:P14"/>
    <mergeCell ref="Q14:T14"/>
    <mergeCell ref="U14:X14"/>
    <mergeCell ref="K15:P15"/>
    <mergeCell ref="Q15:T15"/>
    <mergeCell ref="U15:X15"/>
    <mergeCell ref="F13:J13"/>
    <mergeCell ref="F14:J14"/>
    <mergeCell ref="U13:X13"/>
    <mergeCell ref="Q13:T13"/>
    <mergeCell ref="B5:L5"/>
    <mergeCell ref="K13:P13"/>
    <mergeCell ref="K17:P17"/>
    <mergeCell ref="F6:L6"/>
    <mergeCell ref="F7:L7"/>
    <mergeCell ref="F26:J26"/>
    <mergeCell ref="F27:J27"/>
    <mergeCell ref="B22:E22"/>
    <mergeCell ref="B23:E23"/>
    <mergeCell ref="B24:E24"/>
    <mergeCell ref="B25:E25"/>
    <mergeCell ref="B26:E26"/>
    <mergeCell ref="B15:E15"/>
    <mergeCell ref="F19:J19"/>
    <mergeCell ref="F20:J20"/>
    <mergeCell ref="F15:J15"/>
    <mergeCell ref="B27:E27"/>
    <mergeCell ref="B16:E16"/>
    <mergeCell ref="B21:E21"/>
    <mergeCell ref="B20:E20"/>
    <mergeCell ref="B19:E19"/>
    <mergeCell ref="B17:E17"/>
    <mergeCell ref="B18:X18"/>
    <mergeCell ref="F16:J16"/>
    <mergeCell ref="K16:P16"/>
    <mergeCell ref="Q16:T16"/>
    <mergeCell ref="U16:X16"/>
    <mergeCell ref="Q17:T17"/>
    <mergeCell ref="U17:X17"/>
    <mergeCell ref="K27:P27"/>
    <mergeCell ref="Q19:T19"/>
    <mergeCell ref="U19:X19"/>
    <mergeCell ref="Q20:T20"/>
    <mergeCell ref="U20:X20"/>
    <mergeCell ref="Q21:T21"/>
    <mergeCell ref="U21:X21"/>
    <mergeCell ref="Q22:T22"/>
    <mergeCell ref="K22:P22"/>
    <mergeCell ref="K23:P23"/>
    <mergeCell ref="K24:P24"/>
    <mergeCell ref="K25:P25"/>
    <mergeCell ref="K26:P26"/>
    <mergeCell ref="K21:P21"/>
    <mergeCell ref="U25:X25"/>
    <mergeCell ref="Q26:T26"/>
    <mergeCell ref="U26:X26"/>
    <mergeCell ref="Q27:T27"/>
    <mergeCell ref="U27:X27"/>
    <mergeCell ref="B39:E39"/>
    <mergeCell ref="B34:E34"/>
    <mergeCell ref="B37:E37"/>
    <mergeCell ref="F31:J31"/>
    <mergeCell ref="K31:P31"/>
    <mergeCell ref="Q31:T31"/>
    <mergeCell ref="U31:X31"/>
    <mergeCell ref="F32:J32"/>
    <mergeCell ref="K32:P32"/>
    <mergeCell ref="Q32:T32"/>
    <mergeCell ref="U32:X32"/>
    <mergeCell ref="F33:J33"/>
    <mergeCell ref="K33:P33"/>
    <mergeCell ref="Q33:T33"/>
    <mergeCell ref="U33:X33"/>
    <mergeCell ref="F39:J39"/>
    <mergeCell ref="K39:P39"/>
    <mergeCell ref="Q39:T39"/>
    <mergeCell ref="U39:X39"/>
    <mergeCell ref="B38:E38"/>
    <mergeCell ref="F38:J38"/>
    <mergeCell ref="K38:P38"/>
    <mergeCell ref="Q38:T38"/>
    <mergeCell ref="U38:X38"/>
    <mergeCell ref="B36:E36"/>
    <mergeCell ref="F36:J36"/>
    <mergeCell ref="K36:P36"/>
    <mergeCell ref="Q36:T36"/>
    <mergeCell ref="U36:X36"/>
    <mergeCell ref="B35:E35"/>
    <mergeCell ref="F35:J35"/>
    <mergeCell ref="U22:X22"/>
    <mergeCell ref="Q23:T23"/>
    <mergeCell ref="U23:X23"/>
    <mergeCell ref="Q24:T24"/>
    <mergeCell ref="U24:X24"/>
    <mergeCell ref="F24:J24"/>
    <mergeCell ref="F25:J25"/>
    <mergeCell ref="B29:X29"/>
    <mergeCell ref="B30:E30"/>
    <mergeCell ref="F30:J30"/>
    <mergeCell ref="K30:P30"/>
    <mergeCell ref="Q30:T30"/>
    <mergeCell ref="U30:X30"/>
    <mergeCell ref="B31:E31"/>
    <mergeCell ref="B32:E32"/>
    <mergeCell ref="B33:E33"/>
    <mergeCell ref="K35:P35"/>
    <mergeCell ref="Q35:T35"/>
    <mergeCell ref="U35:X35"/>
    <mergeCell ref="F34:J34"/>
    <mergeCell ref="K34:P34"/>
    <mergeCell ref="Q34:T34"/>
    <mergeCell ref="U34:X34"/>
    <mergeCell ref="F37:J37"/>
    <mergeCell ref="K37:P37"/>
    <mergeCell ref="Q37:T37"/>
    <mergeCell ref="U37:X37"/>
  </mergeCells>
  <dataValidations count="3">
    <dataValidation type="list" allowBlank="1" showInputMessage="1" showErrorMessage="1" sqref="AF5" xr:uid="{00000000-0002-0000-0300-000000000000}">
      <formula1>$AI$6:$AI$7</formula1>
    </dataValidation>
    <dataValidation type="list" allowBlank="1" showErrorMessage="1" sqref="B41" xr:uid="{00000000-0002-0000-0300-000001000000}">
      <formula1>contact_persons</formula1>
    </dataValidation>
    <dataValidation type="list" allowBlank="1" showErrorMessage="1" errorTitle="please select!" sqref="B31:E39" xr:uid="{00000000-0002-0000-0300-000002000000}">
      <formula1>contact_persons</formula1>
    </dataValidation>
  </dataValidations>
  <printOptions horizontalCentered="1"/>
  <pageMargins left="0.70866141732283472" right="0.55118110236220474" top="0.98425196850393704" bottom="0.9055118110236221" header="0.23622047244094491" footer="0.27559055118110237"/>
  <pageSetup paperSize="9" scale="64"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olBreaks count="1" manualBreakCount="1">
    <brk id="6" max="1048575" man="1"/>
  </colBreaks>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1267" r:id="rId6" name="Drop Down 3">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92D050"/>
    <pageSetUpPr fitToPage="1"/>
  </sheetPr>
  <dimension ref="A1:AN37"/>
  <sheetViews>
    <sheetView showGridLines="0" showZeros="0" topLeftCell="A12" zoomScaleNormal="100" zoomScaleSheetLayoutView="100" zoomScalePageLayoutView="70" workbookViewId="0">
      <selection activeCell="M164" sqref="M164:T166"/>
    </sheetView>
  </sheetViews>
  <sheetFormatPr baseColWidth="10" defaultColWidth="5.3984375" defaultRowHeight="13.15" x14ac:dyDescent="0.25"/>
  <cols>
    <col min="1" max="16384" width="5.3984375" style="8"/>
  </cols>
  <sheetData>
    <row r="1" spans="1:40" ht="17.7" customHeight="1" x14ac:dyDescent="0.25">
      <c r="A1" s="175"/>
      <c r="B1" s="1139" t="str">
        <f>HLOOKUP(LANGUAGE!$B$2,LANGUAGE!$C$14:$G$2573,1927)</f>
        <v>Development Supplier Quality Gates Overview</v>
      </c>
      <c r="C1" s="1139"/>
      <c r="D1" s="1139"/>
      <c r="E1" s="1139"/>
      <c r="F1" s="1139"/>
      <c r="G1" s="1139"/>
      <c r="H1" s="1139"/>
      <c r="I1" s="1139"/>
      <c r="J1" s="1139"/>
      <c r="K1" s="1139"/>
      <c r="L1" s="1139"/>
      <c r="M1" s="1139"/>
      <c r="N1" s="1139"/>
      <c r="O1" s="1139"/>
      <c r="P1" s="1140" t="s">
        <v>2</v>
      </c>
      <c r="Q1" s="1140"/>
      <c r="R1" s="1140"/>
      <c r="S1" s="497"/>
      <c r="T1" s="497"/>
      <c r="U1" s="497"/>
      <c r="V1" s="497"/>
      <c r="W1" s="497"/>
      <c r="X1" s="497"/>
      <c r="Y1" s="497"/>
      <c r="Z1" s="176"/>
      <c r="AA1" s="176"/>
      <c r="AB1" s="176"/>
      <c r="AC1" s="176"/>
      <c r="AD1" s="176"/>
      <c r="AE1" s="176"/>
      <c r="AF1" s="176"/>
      <c r="AG1" s="176"/>
      <c r="AH1" s="176"/>
      <c r="AI1" s="176"/>
      <c r="AJ1" s="176"/>
      <c r="AK1" s="176"/>
      <c r="AL1" s="176"/>
      <c r="AM1" s="176"/>
      <c r="AN1" s="176"/>
    </row>
    <row r="2" spans="1:40" ht="17.7" customHeight="1" x14ac:dyDescent="0.25">
      <c r="A2" s="175"/>
      <c r="B2" s="1139"/>
      <c r="C2" s="1139"/>
      <c r="D2" s="1139"/>
      <c r="E2" s="1139"/>
      <c r="F2" s="1139"/>
      <c r="G2" s="1139"/>
      <c r="H2" s="1139"/>
      <c r="I2" s="1139"/>
      <c r="J2" s="1139"/>
      <c r="K2" s="1139"/>
      <c r="L2" s="1139"/>
      <c r="M2" s="1139"/>
      <c r="N2" s="1139"/>
      <c r="O2" s="1139"/>
      <c r="P2" s="1140" t="s">
        <v>1774</v>
      </c>
      <c r="Q2" s="1140"/>
      <c r="R2" s="1140"/>
      <c r="S2" s="497"/>
      <c r="T2" s="497"/>
      <c r="U2" s="497"/>
      <c r="V2" s="497"/>
      <c r="W2" s="497"/>
      <c r="X2" s="497"/>
      <c r="Y2" s="497"/>
      <c r="Z2" s="176"/>
      <c r="AA2" s="176"/>
      <c r="AB2" s="176"/>
      <c r="AC2" s="176"/>
      <c r="AD2" s="176"/>
      <c r="AE2" s="176"/>
      <c r="AF2" s="176"/>
      <c r="AG2" s="176"/>
      <c r="AH2" s="176"/>
      <c r="AI2" s="176"/>
      <c r="AJ2" s="176"/>
      <c r="AK2" s="176"/>
      <c r="AL2" s="176"/>
      <c r="AM2" s="176"/>
      <c r="AN2" s="176"/>
    </row>
    <row r="3" spans="1:40" ht="17.7" customHeight="1" x14ac:dyDescent="0.25">
      <c r="B3" s="1141" t="str">
        <f>HLOOKUP(LANGUAGE!$B$2,LANGUAGE!$C$14:$G$2573,1938)</f>
        <v>Target: to ensure the maturaty level of the project and if necessary to implement actions to assure keeping development milestones on track.</v>
      </c>
      <c r="C3" s="1141"/>
      <c r="D3" s="1141"/>
      <c r="E3" s="1141"/>
      <c r="F3" s="1141"/>
      <c r="G3" s="1141"/>
      <c r="H3" s="1141"/>
      <c r="I3" s="1141"/>
      <c r="J3" s="1141"/>
      <c r="K3" s="1141"/>
      <c r="L3" s="1141"/>
      <c r="M3" s="1141"/>
      <c r="N3" s="1141"/>
      <c r="O3" s="1141"/>
      <c r="P3" s="1141"/>
      <c r="Q3" s="1141"/>
      <c r="R3" s="1141"/>
      <c r="S3" s="1141"/>
      <c r="T3" s="1141"/>
      <c r="U3" s="1141"/>
      <c r="V3" s="1141"/>
      <c r="W3" s="1141"/>
      <c r="X3" s="1141"/>
      <c r="Y3" s="1141"/>
      <c r="Z3" s="1141"/>
      <c r="AA3" s="1141"/>
      <c r="AB3" s="1141"/>
      <c r="AC3" s="1141"/>
      <c r="AD3" s="1141"/>
      <c r="AE3" s="1141"/>
      <c r="AF3" s="1141"/>
      <c r="AG3" s="1141"/>
      <c r="AH3" s="1141"/>
      <c r="AI3" s="1141"/>
      <c r="AJ3" s="1141"/>
      <c r="AK3" s="1141"/>
      <c r="AL3" s="1141"/>
      <c r="AM3" s="1141"/>
    </row>
    <row r="4" spans="1:40" ht="17.7" customHeight="1" thickBot="1" x14ac:dyDescent="0.3">
      <c r="B4" s="219"/>
    </row>
    <row r="5" spans="1:40" ht="17.7" customHeight="1" x14ac:dyDescent="0.25">
      <c r="B5" s="1142" t="str">
        <f>HLOOKUP(LANGUAGE!$B$2,LANGUAGE!$C$14:$G$1500,12)</f>
        <v>Project Data</v>
      </c>
      <c r="C5" s="1143"/>
      <c r="D5" s="1143"/>
      <c r="E5" s="1143"/>
      <c r="F5" s="1143"/>
      <c r="G5" s="1143"/>
      <c r="H5" s="1143"/>
      <c r="I5" s="1143"/>
      <c r="J5" s="1143"/>
      <c r="K5" s="1143"/>
      <c r="L5" s="1143"/>
      <c r="M5" s="1144"/>
      <c r="O5" s="1142" t="str">
        <f>HLOOKUP(LANGUAGE!$B$2,LANGUAGE!$C$14:$G$1500,27)</f>
        <v>Supplier Data</v>
      </c>
      <c r="P5" s="1143"/>
      <c r="Q5" s="1143"/>
      <c r="R5" s="1143"/>
      <c r="S5" s="1143"/>
      <c r="T5" s="1143"/>
      <c r="U5" s="1143"/>
      <c r="V5" s="1143"/>
      <c r="W5" s="1143"/>
      <c r="X5" s="1143"/>
      <c r="Y5" s="1143"/>
      <c r="Z5" s="1144"/>
    </row>
    <row r="6" spans="1:40" ht="17.7" customHeight="1" x14ac:dyDescent="0.25">
      <c r="B6" s="1128" t="str">
        <f>HLOOKUP(LANGUAGE!$B$2,LANGUAGE!$C$14:$G$1500,13)</f>
        <v>Project</v>
      </c>
      <c r="C6" s="1129"/>
      <c r="D6" s="1129"/>
      <c r="E6" s="1129"/>
      <c r="F6" s="1130" t="str">
        <f>IF(Basic_Data!F6&lt;&gt;"",CONCATENATE(Basic_Data!F6," / ",Basic_Data!F7,""),"")</f>
        <v/>
      </c>
      <c r="G6" s="1130"/>
      <c r="H6" s="1130"/>
      <c r="I6" s="1130"/>
      <c r="J6" s="1130"/>
      <c r="K6" s="1130"/>
      <c r="L6" s="1130"/>
      <c r="M6" s="1131"/>
      <c r="O6" s="1128" t="str">
        <f>HLOOKUP(LANGUAGE!$B$2,LANGUAGE!$C$14:$G$1500,28)</f>
        <v>Supplier</v>
      </c>
      <c r="P6" s="1129"/>
      <c r="Q6" s="1129"/>
      <c r="R6" s="1129"/>
      <c r="S6" s="1130" t="str">
        <f>IF(Basic_Data!R6&lt;&gt;"",CONCATENATE(Basic_Data!R6," (",Basic_Data!R7,")"),"")</f>
        <v/>
      </c>
      <c r="T6" s="1130"/>
      <c r="U6" s="1130"/>
      <c r="V6" s="1130"/>
      <c r="W6" s="1130"/>
      <c r="X6" s="1130"/>
      <c r="Y6" s="1130"/>
      <c r="Z6" s="1131"/>
      <c r="AC6" s="226"/>
    </row>
    <row r="7" spans="1:40" ht="17.7" customHeight="1" thickBot="1" x14ac:dyDescent="0.3">
      <c r="B7" s="1132" t="str">
        <f>HLOOKUP(LANGUAGE!$B$2,LANGUAGE!$C$14:$G$1500,14)</f>
        <v>Part Name(s)</v>
      </c>
      <c r="C7" s="1133"/>
      <c r="D7" s="1133"/>
      <c r="E7" s="1134"/>
      <c r="F7" s="1135" t="str">
        <f>IF(Basic_Data!F8&lt;&gt;"",Basic_Data!F8,"")</f>
        <v/>
      </c>
      <c r="G7" s="1135"/>
      <c r="H7" s="1135"/>
      <c r="I7" s="1135"/>
      <c r="J7" s="1135"/>
      <c r="K7" s="1135"/>
      <c r="L7" s="1135"/>
      <c r="M7" s="1136"/>
      <c r="O7" s="1137" t="str">
        <f>HLOOKUP(LANGUAGE!$B$2,LANGUAGE!$C$14:$G$1500,29)</f>
        <v>Address</v>
      </c>
      <c r="P7" s="1138"/>
      <c r="Q7" s="1138"/>
      <c r="R7" s="1138"/>
      <c r="S7" s="1135" t="str">
        <f>IF(Basic_Data!R8&lt;&gt;"",CONCATENATE(Basic_Data!R8,", ",Basic_Data!R9,", ",Basic_Data!R10,""),"")</f>
        <v/>
      </c>
      <c r="T7" s="1135"/>
      <c r="U7" s="1135"/>
      <c r="V7" s="1135"/>
      <c r="W7" s="1135"/>
      <c r="X7" s="1135"/>
      <c r="Y7" s="1135"/>
      <c r="Z7" s="1136"/>
    </row>
    <row r="8" spans="1:40" ht="17.7" customHeight="1" thickBot="1" x14ac:dyDescent="0.3"/>
    <row r="9" spans="1:40" ht="17.7" customHeight="1" x14ac:dyDescent="0.25">
      <c r="B9" s="1147" t="str">
        <f>HLOOKUP(LANGUAGE!$B$2,LANGUAGE!$C$14:$G$2573,1942)</f>
        <v>DSQG 0</v>
      </c>
      <c r="C9" s="1148"/>
      <c r="D9" s="1148"/>
      <c r="E9" s="1148"/>
      <c r="F9" s="1148"/>
      <c r="G9" s="1148"/>
      <c r="H9" s="1148"/>
      <c r="I9" s="1148"/>
      <c r="J9" s="1148"/>
      <c r="K9" s="1148"/>
      <c r="L9" s="1148"/>
      <c r="M9" s="1149"/>
      <c r="N9" s="177"/>
      <c r="O9" s="1147" t="str">
        <f>HLOOKUP(LANGUAGE!$B$2,LANGUAGE!$C$14:$G$2573,1943)</f>
        <v>DSQG 1</v>
      </c>
      <c r="P9" s="1148"/>
      <c r="Q9" s="1148"/>
      <c r="R9" s="1148"/>
      <c r="S9" s="1148"/>
      <c r="T9" s="1148"/>
      <c r="U9" s="1148"/>
      <c r="V9" s="1148"/>
      <c r="W9" s="1148"/>
      <c r="X9" s="1148"/>
      <c r="Y9" s="1148"/>
      <c r="Z9" s="1149"/>
      <c r="AA9" s="658"/>
      <c r="AB9" s="1147" t="str">
        <f>HLOOKUP(LANGUAGE!$B$2,LANGUAGE!$C$14:$G$2573,1944)</f>
        <v>DSQG 2</v>
      </c>
      <c r="AC9" s="1148"/>
      <c r="AD9" s="1148"/>
      <c r="AE9" s="1148"/>
      <c r="AF9" s="1148"/>
      <c r="AG9" s="1148"/>
      <c r="AH9" s="1148"/>
      <c r="AI9" s="1148"/>
      <c r="AJ9" s="1148"/>
      <c r="AK9" s="1148"/>
      <c r="AL9" s="1148"/>
      <c r="AM9" s="1149"/>
    </row>
    <row r="10" spans="1:40" ht="17.7" customHeight="1" x14ac:dyDescent="0.25">
      <c r="B10" s="1150" t="str">
        <f>HLOOKUP(LANGUAGE!$B$2,LANGUAGE!$C$14:$G$1500,41)</f>
        <v>Brose Part No.</v>
      </c>
      <c r="C10" s="1151"/>
      <c r="D10" s="1151"/>
      <c r="E10" s="1152"/>
      <c r="F10" s="1156" t="str">
        <f>HLOOKUP(LANGUAGE!$B$2,LANGUAGE!$C$14:$G$1500,42)</f>
        <v>Index</v>
      </c>
      <c r="G10" s="1152"/>
      <c r="H10" s="1158" t="str">
        <f>HLOOKUP(LANGUAGE!$B$2,LANGUAGE!$C$14:$G$1500,43)</f>
        <v>Brose Drawing No.</v>
      </c>
      <c r="I10" s="1159"/>
      <c r="J10" s="1159"/>
      <c r="K10" s="1160"/>
      <c r="L10" s="1164" t="str">
        <f>HLOOKUP(LANGUAGE!$B$2,LANGUAGE!$C$14:$G$1500,42)</f>
        <v>Index</v>
      </c>
      <c r="M10" s="1165"/>
      <c r="N10" s="177"/>
      <c r="O10" s="1150" t="str">
        <f>HLOOKUP(LANGUAGE!$B$2,LANGUAGE!$C$14:$G$1500,41)</f>
        <v>Brose Part No.</v>
      </c>
      <c r="P10" s="1151"/>
      <c r="Q10" s="1151"/>
      <c r="R10" s="1152"/>
      <c r="S10" s="1156" t="str">
        <f>HLOOKUP(LANGUAGE!$B$2,LANGUAGE!$C$14:$G$1500,42)</f>
        <v>Index</v>
      </c>
      <c r="T10" s="1152"/>
      <c r="U10" s="1158" t="str">
        <f>HLOOKUP(LANGUAGE!$B$2,LANGUAGE!$C$14:$G$1500,43)</f>
        <v>Brose Drawing No.</v>
      </c>
      <c r="V10" s="1159"/>
      <c r="W10" s="1159"/>
      <c r="X10" s="1160"/>
      <c r="Y10" s="1164" t="str">
        <f>HLOOKUP(LANGUAGE!$B$2,LANGUAGE!$C$14:$G$1500,42)</f>
        <v>Index</v>
      </c>
      <c r="Z10" s="1165"/>
      <c r="AA10" s="658"/>
      <c r="AB10" s="1150" t="str">
        <f>HLOOKUP(LANGUAGE!$B$2,LANGUAGE!$C$14:$G$1500,41)</f>
        <v>Brose Part No.</v>
      </c>
      <c r="AC10" s="1151"/>
      <c r="AD10" s="1151"/>
      <c r="AE10" s="1152"/>
      <c r="AF10" s="1156" t="str">
        <f>HLOOKUP(LANGUAGE!$B$2,LANGUAGE!$C$14:$G$1500,42)</f>
        <v>Index</v>
      </c>
      <c r="AG10" s="1152"/>
      <c r="AH10" s="1158" t="str">
        <f>HLOOKUP(LANGUAGE!$B$2,LANGUAGE!$C$14:$G$1500,43)</f>
        <v>Brose Drawing No.</v>
      </c>
      <c r="AI10" s="1159"/>
      <c r="AJ10" s="1159"/>
      <c r="AK10" s="1160"/>
      <c r="AL10" s="1164" t="str">
        <f>HLOOKUP(LANGUAGE!$B$2,LANGUAGE!$C$14:$G$1500,42)</f>
        <v>Index</v>
      </c>
      <c r="AM10" s="1165"/>
    </row>
    <row r="11" spans="1:40" ht="17.7" customHeight="1" x14ac:dyDescent="0.25">
      <c r="B11" s="1153"/>
      <c r="C11" s="1154"/>
      <c r="D11" s="1154"/>
      <c r="E11" s="1155"/>
      <c r="F11" s="1157"/>
      <c r="G11" s="1155"/>
      <c r="H11" s="1161"/>
      <c r="I11" s="1162"/>
      <c r="J11" s="1162"/>
      <c r="K11" s="1163"/>
      <c r="L11" s="1166"/>
      <c r="M11" s="1167"/>
      <c r="N11" s="177"/>
      <c r="O11" s="1153"/>
      <c r="P11" s="1154"/>
      <c r="Q11" s="1154"/>
      <c r="R11" s="1155"/>
      <c r="S11" s="1157"/>
      <c r="T11" s="1155"/>
      <c r="U11" s="1161"/>
      <c r="V11" s="1162"/>
      <c r="W11" s="1162"/>
      <c r="X11" s="1163"/>
      <c r="Y11" s="1166"/>
      <c r="Z11" s="1167"/>
      <c r="AA11" s="658"/>
      <c r="AB11" s="1153"/>
      <c r="AC11" s="1154"/>
      <c r="AD11" s="1154"/>
      <c r="AE11" s="1155"/>
      <c r="AF11" s="1157"/>
      <c r="AG11" s="1155"/>
      <c r="AH11" s="1161"/>
      <c r="AI11" s="1162"/>
      <c r="AJ11" s="1162"/>
      <c r="AK11" s="1163"/>
      <c r="AL11" s="1166"/>
      <c r="AM11" s="1167"/>
    </row>
    <row r="12" spans="1:40" ht="17.7" customHeight="1" x14ac:dyDescent="0.25">
      <c r="B12" s="1169" t="str">
        <f>IF(DSQG_0!B11="","",DSQG_0!B11)</f>
        <v/>
      </c>
      <c r="C12" s="1170"/>
      <c r="D12" s="1170"/>
      <c r="E12" s="1170"/>
      <c r="F12" s="1170" t="str">
        <f>IF(DSQG_0!F11="","",DSQG_0!F11)</f>
        <v/>
      </c>
      <c r="G12" s="1170"/>
      <c r="H12" s="1170" t="str">
        <f>IF(DSQG_0!I11="","",DSQG_0!I11)</f>
        <v/>
      </c>
      <c r="I12" s="1170"/>
      <c r="J12" s="1170"/>
      <c r="K12" s="1170"/>
      <c r="L12" s="1170" t="str">
        <f>IF(DSQG_0!M11="","",DSQG_0!M11)</f>
        <v/>
      </c>
      <c r="M12" s="1171"/>
      <c r="O12" s="1169" t="str">
        <f>IF(DSQG_1!B11="","",DSQG_1!B11)</f>
        <v/>
      </c>
      <c r="P12" s="1170"/>
      <c r="Q12" s="1170"/>
      <c r="R12" s="1170"/>
      <c r="S12" s="1170" t="str">
        <f>IF(DSQG_1!F11="","",DSQG_1!F11)</f>
        <v/>
      </c>
      <c r="T12" s="1170"/>
      <c r="U12" s="1170" t="str">
        <f>IF(DSQG_1!I11="","",DSQG_1!I11)</f>
        <v/>
      </c>
      <c r="V12" s="1170"/>
      <c r="W12" s="1170"/>
      <c r="X12" s="1170"/>
      <c r="Y12" s="1170" t="str">
        <f>IF(DSQG_1!M11="","",DSQG_1!M11)</f>
        <v/>
      </c>
      <c r="Z12" s="1171"/>
      <c r="AB12" s="1169" t="str">
        <f>IF(DSQG_2!B11="","",DSQG_2!B11)</f>
        <v/>
      </c>
      <c r="AC12" s="1170"/>
      <c r="AD12" s="1170"/>
      <c r="AE12" s="1170"/>
      <c r="AF12" s="1170" t="str">
        <f>IF(DSQG_2!F11="","",DSQG_2!F11)</f>
        <v/>
      </c>
      <c r="AG12" s="1170"/>
      <c r="AH12" s="1170" t="str">
        <f>IF(DSQG_2!I11="","",DSQG_2!I11)</f>
        <v/>
      </c>
      <c r="AI12" s="1170"/>
      <c r="AJ12" s="1170"/>
      <c r="AK12" s="1170"/>
      <c r="AL12" s="1170" t="str">
        <f>IF(DSQG_2!M11="","",DSQG_2!M11)</f>
        <v/>
      </c>
      <c r="AM12" s="1171"/>
    </row>
    <row r="13" spans="1:40" ht="17.7" customHeight="1" x14ac:dyDescent="0.25">
      <c r="B13" s="1168" t="str">
        <f>IF(DSQG_0!B12="","",DSQG_0!B12)</f>
        <v/>
      </c>
      <c r="C13" s="1145"/>
      <c r="D13" s="1145"/>
      <c r="E13" s="1145"/>
      <c r="F13" s="1145" t="str">
        <f>IF(DSQG_0!F12="","",DSQG_0!F12)</f>
        <v/>
      </c>
      <c r="G13" s="1145"/>
      <c r="H13" s="1145" t="str">
        <f>IF(DSQG_0!I12="","",DSQG_0!I12)</f>
        <v/>
      </c>
      <c r="I13" s="1145"/>
      <c r="J13" s="1145"/>
      <c r="K13" s="1145"/>
      <c r="L13" s="1145" t="str">
        <f>IF(DSQG_0!M12="","",DSQG_0!M12)</f>
        <v/>
      </c>
      <c r="M13" s="1146"/>
      <c r="O13" s="1172" t="str">
        <f>IF(DSQG_1!B12="","",DSQG_1!B12)</f>
        <v/>
      </c>
      <c r="P13" s="1173"/>
      <c r="Q13" s="1173"/>
      <c r="R13" s="1173"/>
      <c r="S13" s="1173" t="str">
        <f>IF(DSQG_1!F12="","",DSQG_1!F12)</f>
        <v/>
      </c>
      <c r="T13" s="1173"/>
      <c r="U13" s="1173" t="str">
        <f>IF(DSQG_1!I12="","",DSQG_1!I12)</f>
        <v/>
      </c>
      <c r="V13" s="1173"/>
      <c r="W13" s="1173"/>
      <c r="X13" s="1173"/>
      <c r="Y13" s="1173" t="str">
        <f>IF(DSQG_1!M12="","",DSQG_1!M12)</f>
        <v/>
      </c>
      <c r="Z13" s="1174"/>
      <c r="AB13" s="1168" t="str">
        <f>IF(DSQG_2!B12="","",DSQG_2!B12)</f>
        <v/>
      </c>
      <c r="AC13" s="1145"/>
      <c r="AD13" s="1145"/>
      <c r="AE13" s="1145"/>
      <c r="AF13" s="1145" t="str">
        <f>IF(DSQG_2!F12="","",DSQG_2!F12)</f>
        <v/>
      </c>
      <c r="AG13" s="1145"/>
      <c r="AH13" s="1145" t="str">
        <f>IF(DSQG_2!I12="","",DSQG_2!I12)</f>
        <v/>
      </c>
      <c r="AI13" s="1145"/>
      <c r="AJ13" s="1145"/>
      <c r="AK13" s="1145"/>
      <c r="AL13" s="1145" t="str">
        <f>IF(DSQG_2!M12="","",DSQG_2!M12)</f>
        <v/>
      </c>
      <c r="AM13" s="1146"/>
    </row>
    <row r="14" spans="1:40" ht="17.7" customHeight="1" x14ac:dyDescent="0.25">
      <c r="B14" s="1168" t="str">
        <f>IF(DSQG_0!B13="","",DSQG_0!B13)</f>
        <v/>
      </c>
      <c r="C14" s="1145"/>
      <c r="D14" s="1145"/>
      <c r="E14" s="1145"/>
      <c r="F14" s="1145" t="str">
        <f>IF(DSQG_0!F13="","",DSQG_0!F13)</f>
        <v/>
      </c>
      <c r="G14" s="1145"/>
      <c r="H14" s="1145" t="str">
        <f>IF(DSQG_0!I13="","",DSQG_0!I13)</f>
        <v/>
      </c>
      <c r="I14" s="1145"/>
      <c r="J14" s="1145"/>
      <c r="K14" s="1145"/>
      <c r="L14" s="1145" t="str">
        <f>IF(DSQG_0!M13="","",DSQG_0!M13)</f>
        <v/>
      </c>
      <c r="M14" s="1146"/>
      <c r="O14" s="1168" t="str">
        <f>IF(DSQG_1!B13="","",DSQG_1!B13)</f>
        <v/>
      </c>
      <c r="P14" s="1145"/>
      <c r="Q14" s="1145"/>
      <c r="R14" s="1145"/>
      <c r="S14" s="1145" t="str">
        <f>IF(DSQG_1!F13="","",DSQG_1!F13)</f>
        <v/>
      </c>
      <c r="T14" s="1145"/>
      <c r="U14" s="1145" t="str">
        <f>IF(DSQG_1!I13="","",DSQG_1!I13)</f>
        <v/>
      </c>
      <c r="V14" s="1145"/>
      <c r="W14" s="1145"/>
      <c r="X14" s="1145"/>
      <c r="Y14" s="1145" t="str">
        <f>IF(DSQG_1!M13="","",DSQG_1!M13)</f>
        <v/>
      </c>
      <c r="Z14" s="1146"/>
      <c r="AB14" s="1168" t="str">
        <f>IF(DSQG_2!B13="","",DSQG_2!B13)</f>
        <v/>
      </c>
      <c r="AC14" s="1145"/>
      <c r="AD14" s="1145"/>
      <c r="AE14" s="1145"/>
      <c r="AF14" s="1145" t="str">
        <f>IF(DSQG_2!F13="","",DSQG_2!F13)</f>
        <v/>
      </c>
      <c r="AG14" s="1145"/>
      <c r="AH14" s="1145" t="str">
        <f>IF(DSQG_2!I13="","",DSQG_2!I13)</f>
        <v/>
      </c>
      <c r="AI14" s="1145"/>
      <c r="AJ14" s="1145"/>
      <c r="AK14" s="1145"/>
      <c r="AL14" s="1145" t="str">
        <f>IF(DSQG_2!M13="","",DSQG_2!M13)</f>
        <v/>
      </c>
      <c r="AM14" s="1146"/>
    </row>
    <row r="15" spans="1:40" ht="17.7" customHeight="1" x14ac:dyDescent="0.25">
      <c r="B15" s="1168" t="str">
        <f>IF(DSQG_0!B14="","",DSQG_0!B14)</f>
        <v/>
      </c>
      <c r="C15" s="1145"/>
      <c r="D15" s="1145"/>
      <c r="E15" s="1145"/>
      <c r="F15" s="1145" t="str">
        <f>IF(DSQG_0!F14="","",DSQG_0!F14)</f>
        <v/>
      </c>
      <c r="G15" s="1145"/>
      <c r="H15" s="1145" t="str">
        <f>IF(DSQG_0!I14="","",DSQG_0!I14)</f>
        <v/>
      </c>
      <c r="I15" s="1145"/>
      <c r="J15" s="1145"/>
      <c r="K15" s="1145"/>
      <c r="L15" s="1145" t="str">
        <f>IF(DSQG_0!M14="","",DSQG_0!M14)</f>
        <v/>
      </c>
      <c r="M15" s="1146"/>
      <c r="O15" s="1168" t="str">
        <f>IF(DSQG_1!B14="","",DSQG_1!B14)</f>
        <v/>
      </c>
      <c r="P15" s="1145"/>
      <c r="Q15" s="1145"/>
      <c r="R15" s="1145"/>
      <c r="S15" s="1145" t="str">
        <f>IF(DSQG_1!F14="","",DSQG_1!F14)</f>
        <v/>
      </c>
      <c r="T15" s="1145"/>
      <c r="U15" s="1145" t="str">
        <f>IF(DSQG_1!I14="","",DSQG_1!I14)</f>
        <v/>
      </c>
      <c r="V15" s="1145"/>
      <c r="W15" s="1145"/>
      <c r="X15" s="1145"/>
      <c r="Y15" s="1145" t="str">
        <f>IF(DSQG_1!M14="","",DSQG_1!M14)</f>
        <v/>
      </c>
      <c r="Z15" s="1146"/>
      <c r="AB15" s="1168" t="str">
        <f>IF(DSQG_2!B14="","",DSQG_2!B14)</f>
        <v/>
      </c>
      <c r="AC15" s="1145"/>
      <c r="AD15" s="1145"/>
      <c r="AE15" s="1145"/>
      <c r="AF15" s="1145" t="str">
        <f>IF(DSQG_2!F14="","",DSQG_2!F14)</f>
        <v/>
      </c>
      <c r="AG15" s="1145"/>
      <c r="AH15" s="1145" t="str">
        <f>IF(DSQG_2!I14="","",DSQG_2!I14)</f>
        <v/>
      </c>
      <c r="AI15" s="1145"/>
      <c r="AJ15" s="1145"/>
      <c r="AK15" s="1145"/>
      <c r="AL15" s="1145" t="str">
        <f>IF(DSQG_2!M14="","",DSQG_2!M14)</f>
        <v/>
      </c>
      <c r="AM15" s="1146"/>
    </row>
    <row r="16" spans="1:40" ht="17.7" customHeight="1" x14ac:dyDescent="0.25">
      <c r="B16" s="1177" t="str">
        <f>IF(DSQG_0!B15="","",DSQG_0!B15)</f>
        <v/>
      </c>
      <c r="C16" s="1175"/>
      <c r="D16" s="1175"/>
      <c r="E16" s="1175"/>
      <c r="F16" s="1175" t="str">
        <f>IF(DSQG_0!F15="","",DSQG_0!F15)</f>
        <v/>
      </c>
      <c r="G16" s="1175"/>
      <c r="H16" s="1175" t="str">
        <f>IF(DSQG_0!I15="","",DSQG_0!I15)</f>
        <v/>
      </c>
      <c r="I16" s="1175"/>
      <c r="J16" s="1175"/>
      <c r="K16" s="1175"/>
      <c r="L16" s="1175" t="str">
        <f>IF(DSQG_0!M15="","",DSQG_0!M15)</f>
        <v/>
      </c>
      <c r="M16" s="1176"/>
      <c r="O16" s="1177" t="str">
        <f>IF(DSQG_1!B15="","",DSQG_1!B15)</f>
        <v/>
      </c>
      <c r="P16" s="1175"/>
      <c r="Q16" s="1175"/>
      <c r="R16" s="1175"/>
      <c r="S16" s="1175" t="str">
        <f>IF(DSQG_1!F15="","",DSQG_1!F15)</f>
        <v/>
      </c>
      <c r="T16" s="1175"/>
      <c r="U16" s="1175" t="str">
        <f>IF(DSQG_1!I15="","",DSQG_1!I15)</f>
        <v/>
      </c>
      <c r="V16" s="1175"/>
      <c r="W16" s="1175"/>
      <c r="X16" s="1175"/>
      <c r="Y16" s="1175" t="str">
        <f>IF(DSQG_1!M15="","",DSQG_1!M15)</f>
        <v/>
      </c>
      <c r="Z16" s="1176"/>
      <c r="AB16" s="1177" t="str">
        <f>IF(DSQG_2!B15="","",DSQG_2!B15)</f>
        <v/>
      </c>
      <c r="AC16" s="1175"/>
      <c r="AD16" s="1175"/>
      <c r="AE16" s="1175"/>
      <c r="AF16" s="1175" t="str">
        <f>IF(DSQG_2!F15="","",DSQG_2!F15)</f>
        <v/>
      </c>
      <c r="AG16" s="1175"/>
      <c r="AH16" s="1175" t="str">
        <f>IF(DSQG_2!I15="","",DSQG_2!I15)</f>
        <v/>
      </c>
      <c r="AI16" s="1175"/>
      <c r="AJ16" s="1175"/>
      <c r="AK16" s="1175"/>
      <c r="AL16" s="1175" t="str">
        <f>IF(DSQG_2!M15="","",DSQG_2!M15)</f>
        <v/>
      </c>
      <c r="AM16" s="1176"/>
    </row>
    <row r="17" spans="2:39" ht="17.7" customHeight="1" x14ac:dyDescent="0.25">
      <c r="B17" s="245"/>
      <c r="C17" s="9"/>
      <c r="D17" s="9"/>
      <c r="E17" s="9"/>
      <c r="F17" s="9"/>
      <c r="G17" s="9"/>
      <c r="H17" s="9"/>
      <c r="I17" s="9"/>
      <c r="J17" s="9"/>
      <c r="K17" s="9"/>
      <c r="L17" s="9"/>
      <c r="M17" s="246"/>
      <c r="N17" s="9"/>
      <c r="O17" s="245"/>
      <c r="P17" s="9"/>
      <c r="Q17" s="9"/>
      <c r="R17" s="9"/>
      <c r="S17" s="9"/>
      <c r="T17" s="9"/>
      <c r="U17" s="9"/>
      <c r="V17" s="9"/>
      <c r="W17" s="9"/>
      <c r="X17" s="9"/>
      <c r="Y17" s="9"/>
      <c r="Z17" s="246"/>
      <c r="AB17" s="245"/>
      <c r="AC17" s="9"/>
      <c r="AD17" s="9"/>
      <c r="AE17" s="9"/>
      <c r="AF17" s="9"/>
      <c r="AG17" s="9"/>
      <c r="AH17" s="9"/>
      <c r="AI17" s="9"/>
      <c r="AJ17" s="9"/>
      <c r="AK17" s="9"/>
      <c r="AL17" s="9"/>
      <c r="AM17" s="246"/>
    </row>
    <row r="18" spans="2:39" ht="17.7" customHeight="1" x14ac:dyDescent="0.25">
      <c r="B18" s="1002" t="str">
        <f>HLOOKUP(LANGUAGE!$B$2,LANGUAGE!$C$14:$G$1500,73)</f>
        <v>Topic</v>
      </c>
      <c r="C18" s="1003"/>
      <c r="D18" s="1003"/>
      <c r="E18" s="1003"/>
      <c r="F18" s="1203" t="str">
        <f>HLOOKUP(LANGUAGE!$B$2,LANGUAGE!$C$14:$G$1500,74)</f>
        <v>Evaluation</v>
      </c>
      <c r="G18" s="1203"/>
      <c r="H18" s="1203" t="str">
        <f>HLOOKUP(LANGUAGE!$B$2,LANGUAGE!$C$14:$G$1500,75)</f>
        <v>Action status</v>
      </c>
      <c r="I18" s="1203"/>
      <c r="J18" s="1203"/>
      <c r="K18" s="1203"/>
      <c r="L18" s="1203"/>
      <c r="M18" s="1204"/>
      <c r="N18" s="9"/>
      <c r="O18" s="1002" t="str">
        <f>HLOOKUP(LANGUAGE!$B$2,LANGUAGE!$C$14:$G$1500,73)</f>
        <v>Topic</v>
      </c>
      <c r="P18" s="1003"/>
      <c r="Q18" s="1003"/>
      <c r="R18" s="1003"/>
      <c r="S18" s="1203" t="str">
        <f>HLOOKUP(LANGUAGE!$B$2,LANGUAGE!$C$14:$G$1500,74)</f>
        <v>Evaluation</v>
      </c>
      <c r="T18" s="1203"/>
      <c r="U18" s="1203" t="str">
        <f>HLOOKUP(LANGUAGE!$B$2,LANGUAGE!$C$14:$G$1500,75)</f>
        <v>Action status</v>
      </c>
      <c r="V18" s="1203"/>
      <c r="W18" s="1203"/>
      <c r="X18" s="1203"/>
      <c r="Y18" s="1203"/>
      <c r="Z18" s="1204"/>
      <c r="AB18" s="1002" t="str">
        <f>HLOOKUP(LANGUAGE!$B$2,LANGUAGE!$C$14:$G$1500,73)</f>
        <v>Topic</v>
      </c>
      <c r="AC18" s="1003"/>
      <c r="AD18" s="1003"/>
      <c r="AE18" s="1003"/>
      <c r="AF18" s="1203" t="str">
        <f>HLOOKUP(LANGUAGE!$B$2,LANGUAGE!$C$14:$G$1500,74)</f>
        <v>Evaluation</v>
      </c>
      <c r="AG18" s="1203"/>
      <c r="AH18" s="1203" t="str">
        <f>HLOOKUP(LANGUAGE!$B$2,LANGUAGE!$C$14:$G$1500,75)</f>
        <v>Action status</v>
      </c>
      <c r="AI18" s="1203"/>
      <c r="AJ18" s="1203"/>
      <c r="AK18" s="1203"/>
      <c r="AL18" s="1203"/>
      <c r="AM18" s="1204"/>
    </row>
    <row r="19" spans="2:39" ht="17.7" customHeight="1" x14ac:dyDescent="0.25">
      <c r="B19" s="1217" t="str">
        <f>HLOOKUP(LANGUAGE!$B$2,LANGUAGE!$C$14:$G$2573,1965)</f>
        <v>Commercial</v>
      </c>
      <c r="C19" s="1218"/>
      <c r="D19" s="1218"/>
      <c r="E19" s="1219"/>
      <c r="F19" s="1220"/>
      <c r="G19" s="1221"/>
      <c r="H19" s="1224" t="str">
        <f>(IF(DSQG_0!BD22&lt;&gt;"",DSQG_0!BD18&amp;" "&amp;DSQG_0!BD22,""))&amp;CHAR(10)&amp;(IF(DSQG_0!BE22&lt;&gt;"",DSQG_0!BE18&amp;" "&amp;DSQG_0!BE22,""))</f>
        <v xml:space="preserve">
</v>
      </c>
      <c r="I19" s="1225"/>
      <c r="J19" s="1225"/>
      <c r="K19" s="1225"/>
      <c r="L19" s="1225"/>
      <c r="M19" s="1226"/>
      <c r="O19" s="1200"/>
      <c r="P19" s="1201"/>
      <c r="Q19" s="1201"/>
      <c r="R19" s="1201"/>
      <c r="S19" s="1201"/>
      <c r="T19" s="1201"/>
      <c r="U19" s="1201"/>
      <c r="V19" s="1201"/>
      <c r="W19" s="1201"/>
      <c r="X19" s="1201"/>
      <c r="Y19" s="1201"/>
      <c r="Z19" s="1202"/>
      <c r="AB19" s="1178"/>
      <c r="AC19" s="1179"/>
      <c r="AD19" s="1179"/>
      <c r="AE19" s="1179"/>
      <c r="AF19" s="1179"/>
      <c r="AG19" s="1179"/>
      <c r="AH19" s="1179"/>
      <c r="AI19" s="1179"/>
      <c r="AJ19" s="1179"/>
      <c r="AK19" s="1179"/>
      <c r="AL19" s="1179"/>
      <c r="AM19" s="1180"/>
    </row>
    <row r="20" spans="2:39" ht="17.7" customHeight="1" x14ac:dyDescent="0.25">
      <c r="B20" s="1187"/>
      <c r="C20" s="1188"/>
      <c r="D20" s="1188"/>
      <c r="E20" s="1189"/>
      <c r="F20" s="1222"/>
      <c r="G20" s="1223"/>
      <c r="H20" s="1227"/>
      <c r="I20" s="1228"/>
      <c r="J20" s="1228"/>
      <c r="K20" s="1228"/>
      <c r="L20" s="1228"/>
      <c r="M20" s="1229"/>
      <c r="O20" s="1181"/>
      <c r="P20" s="1182"/>
      <c r="Q20" s="1182"/>
      <c r="R20" s="1182"/>
      <c r="S20" s="1182"/>
      <c r="T20" s="1182"/>
      <c r="U20" s="1182"/>
      <c r="V20" s="1182"/>
      <c r="W20" s="1182"/>
      <c r="X20" s="1182"/>
      <c r="Y20" s="1182"/>
      <c r="Z20" s="1183"/>
      <c r="AB20" s="1181"/>
      <c r="AC20" s="1182"/>
      <c r="AD20" s="1182"/>
      <c r="AE20" s="1182"/>
      <c r="AF20" s="1182"/>
      <c r="AG20" s="1182"/>
      <c r="AH20" s="1182"/>
      <c r="AI20" s="1182"/>
      <c r="AJ20" s="1182"/>
      <c r="AK20" s="1182"/>
      <c r="AL20" s="1182"/>
      <c r="AM20" s="1183"/>
    </row>
    <row r="21" spans="2:39" ht="17.7" customHeight="1" x14ac:dyDescent="0.25">
      <c r="B21" s="1184" t="str">
        <f>HLOOKUP(LANGUAGE!$B$2,LANGUAGE!$C$14:$G$3073,1972)</f>
        <v>Feasibility</v>
      </c>
      <c r="C21" s="1185"/>
      <c r="D21" s="1185"/>
      <c r="E21" s="1186"/>
      <c r="F21" s="1190"/>
      <c r="G21" s="1191"/>
      <c r="H21" s="1205" t="str">
        <f>(IF(DSQG_0!BD28&lt;&gt;"",DSQG_0!BD18&amp;" "&amp;DSQG_0!BD28,""))&amp;CHAR(10)&amp;(IF(DSQG_0!BE28&lt;&gt;"",DSQG_0!BE18&amp;" "&amp;DSQG_0!BE28,""))</f>
        <v xml:space="preserve">
</v>
      </c>
      <c r="I21" s="1206"/>
      <c r="J21" s="1206"/>
      <c r="K21" s="1206"/>
      <c r="L21" s="1206"/>
      <c r="M21" s="1207"/>
      <c r="O21" s="1211" t="str">
        <f>HLOOKUP(LANGUAGE!$B$2,LANGUAGE!$C$14:$G$3515,2104)</f>
        <v>Feasibility</v>
      </c>
      <c r="P21" s="1212"/>
      <c r="Q21" s="1212"/>
      <c r="R21" s="1213"/>
      <c r="S21" s="1190"/>
      <c r="T21" s="1191"/>
      <c r="U21" s="1205" t="str">
        <f>(IF(DSQG_1!BD22&lt;&gt;"",DSQG_1!BD21&amp;" "&amp;DSQG_1!BD22,""))&amp;CHAR(10)&amp;(IF(DSQG_1!BE22&lt;&gt;"",DSQG_1!BE21&amp;" "&amp;DSQG_1!BE22,""))</f>
        <v xml:space="preserve">
</v>
      </c>
      <c r="V21" s="1206"/>
      <c r="W21" s="1206"/>
      <c r="X21" s="1206"/>
      <c r="Y21" s="1206"/>
      <c r="Z21" s="1207"/>
      <c r="AB21" s="1184" t="str">
        <f>HLOOKUP(LANGUAGE!$B$2,LANGUAGE!$C$14:$G$3493,2219)</f>
        <v>Feasibility</v>
      </c>
      <c r="AC21" s="1185"/>
      <c r="AD21" s="1185"/>
      <c r="AE21" s="1186"/>
      <c r="AF21" s="1190"/>
      <c r="AG21" s="1191"/>
      <c r="AH21" s="1194" t="str">
        <f>(IF(DSQG_2!BD20&lt;&gt;"",DSQG_2!BD17&amp;" "&amp;DSQG_2!BD20,""))&amp;CHAR(10)&amp;(IF(DSQG_2!BE20&lt;&gt;"",DSQG_2!BE17&amp;" "&amp;DSQG_2!BE20,""))</f>
        <v xml:space="preserve">
</v>
      </c>
      <c r="AI21" s="1195"/>
      <c r="AJ21" s="1195"/>
      <c r="AK21" s="1195"/>
      <c r="AL21" s="1195"/>
      <c r="AM21" s="1196"/>
    </row>
    <row r="22" spans="2:39" ht="17.7" customHeight="1" x14ac:dyDescent="0.25">
      <c r="B22" s="1187"/>
      <c r="C22" s="1188"/>
      <c r="D22" s="1188"/>
      <c r="E22" s="1189"/>
      <c r="F22" s="1192"/>
      <c r="G22" s="1193"/>
      <c r="H22" s="1208"/>
      <c r="I22" s="1209"/>
      <c r="J22" s="1209"/>
      <c r="K22" s="1209"/>
      <c r="L22" s="1209"/>
      <c r="M22" s="1210"/>
      <c r="O22" s="1214"/>
      <c r="P22" s="1215"/>
      <c r="Q22" s="1215"/>
      <c r="R22" s="1216"/>
      <c r="S22" s="1192"/>
      <c r="T22" s="1193"/>
      <c r="U22" s="1208"/>
      <c r="V22" s="1209"/>
      <c r="W22" s="1209"/>
      <c r="X22" s="1209"/>
      <c r="Y22" s="1209"/>
      <c r="Z22" s="1210"/>
      <c r="AB22" s="1187"/>
      <c r="AC22" s="1188"/>
      <c r="AD22" s="1188"/>
      <c r="AE22" s="1189"/>
      <c r="AF22" s="1192"/>
      <c r="AG22" s="1193"/>
      <c r="AH22" s="1197"/>
      <c r="AI22" s="1198"/>
      <c r="AJ22" s="1198"/>
      <c r="AK22" s="1198"/>
      <c r="AL22" s="1198"/>
      <c r="AM22" s="1199"/>
    </row>
    <row r="23" spans="2:39" ht="17.7" customHeight="1" x14ac:dyDescent="0.25">
      <c r="B23" s="1184" t="str">
        <f>HLOOKUP(LANGUAGE!$B$2,LANGUAGE!$C$14:$G$3073,1979)</f>
        <v>Project management</v>
      </c>
      <c r="C23" s="1185"/>
      <c r="D23" s="1185"/>
      <c r="E23" s="1186"/>
      <c r="F23" s="1190"/>
      <c r="G23" s="1191"/>
      <c r="H23" s="1205" t="str">
        <f>(IF(DSQG_0!BD33&lt;&gt;"",DSQG_0!BD18&amp;" "&amp;DSQG_0!BD33,""))&amp;CHAR(10)&amp;(IF(DSQG_0!BE33&lt;&gt;"",DSQG_0!BE18&amp;" "&amp;DSQG_0!BE33,""))</f>
        <v xml:space="preserve">
</v>
      </c>
      <c r="I23" s="1206"/>
      <c r="J23" s="1206"/>
      <c r="K23" s="1206"/>
      <c r="L23" s="1206"/>
      <c r="M23" s="1207"/>
      <c r="O23" s="1211" t="str">
        <f>HLOOKUP(LANGUAGE!$B$2,LANGUAGE!$C$14:$G$3515,2111)</f>
        <v>Project management</v>
      </c>
      <c r="P23" s="1212"/>
      <c r="Q23" s="1212"/>
      <c r="R23" s="1213"/>
      <c r="S23" s="1190"/>
      <c r="T23" s="1191"/>
      <c r="U23" s="1205" t="str">
        <f>(IF(DSQG_1!BD27&lt;&gt;"",DSQG_1!BD21&amp;" "&amp;DSQG_1!BD27,""))&amp;CHAR(10)&amp;(IF(DSQG_1!BE27&lt;&gt;"",DSQG_1!BE21&amp;" "&amp;DSQG_1!BE27,""))</f>
        <v xml:space="preserve">
</v>
      </c>
      <c r="V23" s="1206"/>
      <c r="W23" s="1206"/>
      <c r="X23" s="1206"/>
      <c r="Y23" s="1206"/>
      <c r="Z23" s="1207"/>
      <c r="AB23" s="1184" t="str">
        <f>HLOOKUP(LANGUAGE!$B$2,LANGUAGE!$C$14:$G$3493,2226)</f>
        <v>Project management</v>
      </c>
      <c r="AC23" s="1185"/>
      <c r="AD23" s="1185"/>
      <c r="AE23" s="1186"/>
      <c r="AF23" s="1190"/>
      <c r="AG23" s="1191"/>
      <c r="AH23" s="1194" t="str">
        <f>(IF(DSQG_2!BD27&lt;&gt;"",DSQG_2!BD17&amp;" "&amp;DSQG_2!BD27,""))&amp;CHAR(10)&amp;(IF(DSQG_2!BE27&lt;&gt;"",DSQG_2!BE17&amp;" "&amp;DSQG_2!BE27,""))</f>
        <v xml:space="preserve">
</v>
      </c>
      <c r="AI23" s="1195"/>
      <c r="AJ23" s="1195"/>
      <c r="AK23" s="1195"/>
      <c r="AL23" s="1195"/>
      <c r="AM23" s="1196"/>
    </row>
    <row r="24" spans="2:39" ht="17.7" customHeight="1" x14ac:dyDescent="0.25">
      <c r="B24" s="1187"/>
      <c r="C24" s="1188"/>
      <c r="D24" s="1188"/>
      <c r="E24" s="1189"/>
      <c r="F24" s="1192"/>
      <c r="G24" s="1193"/>
      <c r="H24" s="1208"/>
      <c r="I24" s="1209"/>
      <c r="J24" s="1209"/>
      <c r="K24" s="1209"/>
      <c r="L24" s="1209"/>
      <c r="M24" s="1210"/>
      <c r="O24" s="1214"/>
      <c r="P24" s="1215"/>
      <c r="Q24" s="1215"/>
      <c r="R24" s="1216"/>
      <c r="S24" s="1192"/>
      <c r="T24" s="1193"/>
      <c r="U24" s="1208"/>
      <c r="V24" s="1209"/>
      <c r="W24" s="1209"/>
      <c r="X24" s="1209"/>
      <c r="Y24" s="1209"/>
      <c r="Z24" s="1210"/>
      <c r="AB24" s="1187"/>
      <c r="AC24" s="1188"/>
      <c r="AD24" s="1188"/>
      <c r="AE24" s="1189"/>
      <c r="AF24" s="1192"/>
      <c r="AG24" s="1193"/>
      <c r="AH24" s="1197"/>
      <c r="AI24" s="1198"/>
      <c r="AJ24" s="1198"/>
      <c r="AK24" s="1198"/>
      <c r="AL24" s="1198"/>
      <c r="AM24" s="1199"/>
    </row>
    <row r="25" spans="2:39" ht="17.7" customHeight="1" x14ac:dyDescent="0.25">
      <c r="B25" s="1184" t="str">
        <f>HLOOKUP(LANGUAGE!$B$2,LANGUAGE!$C$14:$G$3015,2034)</f>
        <v>Quality</v>
      </c>
      <c r="C25" s="1185"/>
      <c r="D25" s="1185"/>
      <c r="E25" s="1186"/>
      <c r="F25" s="1190"/>
      <c r="G25" s="1191"/>
      <c r="H25" s="1205" t="str">
        <f>(IF(DSQG_0!BD47&lt;&gt;"",DSQG_0!BD18&amp;" "&amp;DSQG_0!BD47,""))&amp;CHAR(10)&amp;(IF(DSQG_0!BE47&lt;&gt;"",DSQG_0!BE18&amp;" "&amp;DSQG_0!BE47,""))</f>
        <v xml:space="preserve">
</v>
      </c>
      <c r="I25" s="1206"/>
      <c r="J25" s="1206"/>
      <c r="K25" s="1206"/>
      <c r="L25" s="1206"/>
      <c r="M25" s="1207"/>
      <c r="O25" s="1200"/>
      <c r="P25" s="1201"/>
      <c r="Q25" s="1201"/>
      <c r="R25" s="1201"/>
      <c r="S25" s="1201"/>
      <c r="T25" s="1201"/>
      <c r="U25" s="1201"/>
      <c r="V25" s="1201"/>
      <c r="W25" s="1201"/>
      <c r="X25" s="1201"/>
      <c r="Y25" s="1201"/>
      <c r="Z25" s="1202"/>
      <c r="AB25" s="1184" t="str">
        <f>HLOOKUP(LANGUAGE!$B$2,LANGUAGE!$C$14:$G$3493,2281)</f>
        <v>Quality</v>
      </c>
      <c r="AC25" s="1185"/>
      <c r="AD25" s="1185"/>
      <c r="AE25" s="1186"/>
      <c r="AF25" s="1190"/>
      <c r="AG25" s="1191"/>
      <c r="AH25" s="1194" t="str">
        <f>(IF(DSQG_2!BD39&lt;&gt;"",DSQG_2!BD17&amp;" "&amp;DSQG_2!BD39,""))&amp;CHAR(10)&amp;(IF(DSQG_2!BE39&lt;&gt;"",DSQG_2!BE17&amp;" "&amp;DSQG_2!BE39,""))</f>
        <v xml:space="preserve">
</v>
      </c>
      <c r="AI25" s="1195"/>
      <c r="AJ25" s="1195"/>
      <c r="AK25" s="1195"/>
      <c r="AL25" s="1195"/>
      <c r="AM25" s="1196"/>
    </row>
    <row r="26" spans="2:39" ht="17.7" customHeight="1" thickBot="1" x14ac:dyDescent="0.3">
      <c r="B26" s="1217"/>
      <c r="C26" s="1218"/>
      <c r="D26" s="1218"/>
      <c r="E26" s="1219"/>
      <c r="F26" s="1192"/>
      <c r="G26" s="1193"/>
      <c r="H26" s="1230"/>
      <c r="I26" s="1231"/>
      <c r="J26" s="1231"/>
      <c r="K26" s="1231"/>
      <c r="L26" s="1231"/>
      <c r="M26" s="1232"/>
      <c r="O26" s="1181"/>
      <c r="P26" s="1182"/>
      <c r="Q26" s="1182"/>
      <c r="R26" s="1182"/>
      <c r="S26" s="1182"/>
      <c r="T26" s="1182"/>
      <c r="U26" s="1182"/>
      <c r="V26" s="1182"/>
      <c r="W26" s="1182"/>
      <c r="X26" s="1182"/>
      <c r="Y26" s="1182"/>
      <c r="Z26" s="1183"/>
      <c r="AB26" s="1187"/>
      <c r="AC26" s="1188"/>
      <c r="AD26" s="1188"/>
      <c r="AE26" s="1189"/>
      <c r="AF26" s="1192"/>
      <c r="AG26" s="1193"/>
      <c r="AH26" s="1197"/>
      <c r="AI26" s="1198"/>
      <c r="AJ26" s="1198"/>
      <c r="AK26" s="1198"/>
      <c r="AL26" s="1198"/>
      <c r="AM26" s="1199"/>
    </row>
    <row r="27" spans="2:39" ht="17.7" customHeight="1" x14ac:dyDescent="0.25">
      <c r="B27" s="1238" t="str">
        <f>HLOOKUP(LANGUAGE!$B$2,LANGUAGE!$C$14:$G$1500,80)</f>
        <v>Overal status</v>
      </c>
      <c r="C27" s="1239"/>
      <c r="D27" s="1239"/>
      <c r="E27" s="1239"/>
      <c r="F27" s="1262" t="str">
        <f>DSQG_0!AG11</f>
        <v/>
      </c>
      <c r="G27" s="1263"/>
      <c r="H27" s="1246" t="str">
        <f>COUNTIFS(DSQG_0!AZ22:AZ49,3,DSQG_0!BA22:BA49,3)&amp;" "&amp;LANGUAGE!F6&amp;" &amp; "&amp;COUNTIFS(DSQG_0!AZ22:AZ49,2,DSQG_0!BA22:BA49,3)&amp;" "&amp;LANGUAGE!F5</f>
        <v>0 red &amp; 0 yellow</v>
      </c>
      <c r="I27" s="1246"/>
      <c r="J27" s="1246"/>
      <c r="K27" s="1246"/>
      <c r="L27" s="1246"/>
      <c r="M27" s="1247"/>
      <c r="O27" s="1238" t="str">
        <f>HLOOKUP(LANGUAGE!$B$2,LANGUAGE!$C$14:$G$1500,80)</f>
        <v>Overal status</v>
      </c>
      <c r="P27" s="1239"/>
      <c r="Q27" s="1239"/>
      <c r="R27" s="1239"/>
      <c r="S27" s="1242" t="str">
        <f>DSQG_1!AG11</f>
        <v/>
      </c>
      <c r="T27" s="1243"/>
      <c r="U27" s="1246" t="str">
        <f>COUNTIFS(DSQG_1!AZ17:AZ36,"3",DSQG_1!BA17:BA36,"3")&amp;" "&amp;LANGUAGE!F6&amp;" &amp; "&amp;COUNTIFS(DSQG_1!AZ17:AZ36,"2",DSQG_1!BA17:BA36,"3")&amp;" "&amp;LANGUAGE!F5</f>
        <v>0 red &amp; 0 yellow</v>
      </c>
      <c r="V27" s="1246"/>
      <c r="W27" s="1246"/>
      <c r="X27" s="1246"/>
      <c r="Y27" s="1246"/>
      <c r="Z27" s="1247"/>
      <c r="AB27" s="1238" t="str">
        <f>HLOOKUP(LANGUAGE!$B$2,LANGUAGE!$C$14:$G$1500,80)</f>
        <v>Overal status</v>
      </c>
      <c r="AC27" s="1239"/>
      <c r="AD27" s="1239"/>
      <c r="AE27" s="1239"/>
      <c r="AF27" s="1242" t="str">
        <f>DSQG_2!AG11</f>
        <v/>
      </c>
      <c r="AG27" s="1243"/>
      <c r="AH27" s="1246" t="str">
        <f>COUNTIFS(DSQG_2!AZ21:AZ43,"3",DSQG_2!BA21:BA43,"3")&amp;" "&amp;LANGUAGE!F6&amp;" &amp; "&amp;COUNTIFS(DSQG_2!AZ21:AZ43,"2",DSQG_2!BA21:BA43,"3")&amp;" "&amp;LANGUAGE!F5</f>
        <v>0 red &amp; 0 yellow</v>
      </c>
      <c r="AI27" s="1246"/>
      <c r="AJ27" s="1246"/>
      <c r="AK27" s="1246"/>
      <c r="AL27" s="1246"/>
      <c r="AM27" s="1247"/>
    </row>
    <row r="28" spans="2:39" ht="17.7" customHeight="1" thickBot="1" x14ac:dyDescent="0.3">
      <c r="B28" s="1240"/>
      <c r="C28" s="1241"/>
      <c r="D28" s="1241"/>
      <c r="E28" s="1241"/>
      <c r="F28" s="1264"/>
      <c r="G28" s="1265"/>
      <c r="H28" s="1248"/>
      <c r="I28" s="1248"/>
      <c r="J28" s="1248"/>
      <c r="K28" s="1248"/>
      <c r="L28" s="1248"/>
      <c r="M28" s="1249"/>
      <c r="O28" s="1240"/>
      <c r="P28" s="1241"/>
      <c r="Q28" s="1241"/>
      <c r="R28" s="1241"/>
      <c r="S28" s="1244"/>
      <c r="T28" s="1245"/>
      <c r="U28" s="1248"/>
      <c r="V28" s="1248"/>
      <c r="W28" s="1248"/>
      <c r="X28" s="1248"/>
      <c r="Y28" s="1248"/>
      <c r="Z28" s="1249"/>
      <c r="AB28" s="1240"/>
      <c r="AC28" s="1241"/>
      <c r="AD28" s="1241"/>
      <c r="AE28" s="1241"/>
      <c r="AF28" s="1244"/>
      <c r="AG28" s="1245"/>
      <c r="AH28" s="1248"/>
      <c r="AI28" s="1248"/>
      <c r="AJ28" s="1248"/>
      <c r="AK28" s="1248"/>
      <c r="AL28" s="1248"/>
      <c r="AM28" s="1249"/>
    </row>
    <row r="29" spans="2:39" ht="17.7" customHeight="1" thickBot="1" x14ac:dyDescent="0.3"/>
    <row r="30" spans="2:39" ht="17.7" customHeight="1" x14ac:dyDescent="0.25">
      <c r="B30" s="1238" t="str">
        <f>HLOOKUP(LANGUAGE!$B$2,LANGUAGE!$C$14:$G$1500,114)</f>
        <v>Remarks</v>
      </c>
      <c r="C30" s="1239"/>
      <c r="D30" s="1239"/>
      <c r="E30" s="1239"/>
      <c r="F30" s="1254">
        <f>DSQG_0!B51</f>
        <v>0</v>
      </c>
      <c r="G30" s="1254"/>
      <c r="H30" s="1254"/>
      <c r="I30" s="1254"/>
      <c r="J30" s="1254"/>
      <c r="K30" s="1254"/>
      <c r="L30" s="1254"/>
      <c r="M30" s="1255"/>
      <c r="N30" s="250"/>
      <c r="O30" s="1238" t="str">
        <f>HLOOKUP(LANGUAGE!$B$2,LANGUAGE!$C$14:$G$1500,114)</f>
        <v>Remarks</v>
      </c>
      <c r="P30" s="1239"/>
      <c r="Q30" s="1239"/>
      <c r="R30" s="1239"/>
      <c r="S30" s="1254">
        <f>DSQG_1!B39</f>
        <v>0</v>
      </c>
      <c r="T30" s="1254"/>
      <c r="U30" s="1254"/>
      <c r="V30" s="1254"/>
      <c r="W30" s="1254"/>
      <c r="X30" s="1254"/>
      <c r="Y30" s="1254"/>
      <c r="Z30" s="1255"/>
      <c r="AA30" s="250"/>
      <c r="AB30" s="1238" t="str">
        <f>HLOOKUP(LANGUAGE!$B$2,LANGUAGE!$C$14:$G$1500,114)</f>
        <v>Remarks</v>
      </c>
      <c r="AC30" s="1239"/>
      <c r="AD30" s="1239"/>
      <c r="AE30" s="1239"/>
      <c r="AF30" s="1254">
        <f>DSQG_2!B44</f>
        <v>0</v>
      </c>
      <c r="AG30" s="1254"/>
      <c r="AH30" s="1254"/>
      <c r="AI30" s="1254"/>
      <c r="AJ30" s="1254"/>
      <c r="AK30" s="1254"/>
      <c r="AL30" s="1254"/>
      <c r="AM30" s="1255"/>
    </row>
    <row r="31" spans="2:39" ht="17.7" customHeight="1" x14ac:dyDescent="0.25">
      <c r="B31" s="1250"/>
      <c r="C31" s="1251"/>
      <c r="D31" s="1251"/>
      <c r="E31" s="1251"/>
      <c r="F31" s="1256"/>
      <c r="G31" s="1256"/>
      <c r="H31" s="1256"/>
      <c r="I31" s="1256"/>
      <c r="J31" s="1256"/>
      <c r="K31" s="1256"/>
      <c r="L31" s="1256"/>
      <c r="M31" s="1257"/>
      <c r="N31" s="250"/>
      <c r="O31" s="1250"/>
      <c r="P31" s="1251"/>
      <c r="Q31" s="1251"/>
      <c r="R31" s="1251"/>
      <c r="S31" s="1256"/>
      <c r="T31" s="1256"/>
      <c r="U31" s="1256"/>
      <c r="V31" s="1256"/>
      <c r="W31" s="1256"/>
      <c r="X31" s="1256"/>
      <c r="Y31" s="1256"/>
      <c r="Z31" s="1257"/>
      <c r="AA31" s="250"/>
      <c r="AB31" s="1250"/>
      <c r="AC31" s="1251"/>
      <c r="AD31" s="1251"/>
      <c r="AE31" s="1251"/>
      <c r="AF31" s="1256"/>
      <c r="AG31" s="1256"/>
      <c r="AH31" s="1256"/>
      <c r="AI31" s="1256"/>
      <c r="AJ31" s="1256"/>
      <c r="AK31" s="1256"/>
      <c r="AL31" s="1256"/>
      <c r="AM31" s="1257"/>
    </row>
    <row r="32" spans="2:39" ht="17.7" customHeight="1" x14ac:dyDescent="0.25">
      <c r="B32" s="1252"/>
      <c r="C32" s="1253"/>
      <c r="D32" s="1253"/>
      <c r="E32" s="1253"/>
      <c r="F32" s="1258"/>
      <c r="G32" s="1258"/>
      <c r="H32" s="1258"/>
      <c r="I32" s="1258"/>
      <c r="J32" s="1258"/>
      <c r="K32" s="1258"/>
      <c r="L32" s="1258"/>
      <c r="M32" s="1259"/>
      <c r="N32" s="250"/>
      <c r="O32" s="1252"/>
      <c r="P32" s="1253"/>
      <c r="Q32" s="1253"/>
      <c r="R32" s="1253"/>
      <c r="S32" s="1258"/>
      <c r="T32" s="1258"/>
      <c r="U32" s="1258"/>
      <c r="V32" s="1258"/>
      <c r="W32" s="1258"/>
      <c r="X32" s="1258"/>
      <c r="Y32" s="1258"/>
      <c r="Z32" s="1259"/>
      <c r="AA32" s="250"/>
      <c r="AB32" s="1252"/>
      <c r="AC32" s="1253"/>
      <c r="AD32" s="1253"/>
      <c r="AE32" s="1253"/>
      <c r="AF32" s="1258"/>
      <c r="AG32" s="1258"/>
      <c r="AH32" s="1258"/>
      <c r="AI32" s="1258"/>
      <c r="AJ32" s="1258"/>
      <c r="AK32" s="1258"/>
      <c r="AL32" s="1258"/>
      <c r="AM32" s="1259"/>
    </row>
    <row r="33" spans="2:39" ht="17.7" customHeight="1" thickBot="1" x14ac:dyDescent="0.3">
      <c r="B33" s="1240"/>
      <c r="C33" s="1241"/>
      <c r="D33" s="1241"/>
      <c r="E33" s="1241"/>
      <c r="F33" s="1260"/>
      <c r="G33" s="1260"/>
      <c r="H33" s="1260"/>
      <c r="I33" s="1260"/>
      <c r="J33" s="1260"/>
      <c r="K33" s="1260"/>
      <c r="L33" s="1260"/>
      <c r="M33" s="1261"/>
      <c r="N33" s="250"/>
      <c r="O33" s="1240"/>
      <c r="P33" s="1241"/>
      <c r="Q33" s="1241"/>
      <c r="R33" s="1241"/>
      <c r="S33" s="1260"/>
      <c r="T33" s="1260"/>
      <c r="U33" s="1260"/>
      <c r="V33" s="1260"/>
      <c r="W33" s="1260"/>
      <c r="X33" s="1260"/>
      <c r="Y33" s="1260"/>
      <c r="Z33" s="1261"/>
      <c r="AA33" s="250"/>
      <c r="AB33" s="1240"/>
      <c r="AC33" s="1241"/>
      <c r="AD33" s="1241"/>
      <c r="AE33" s="1241"/>
      <c r="AF33" s="1260"/>
      <c r="AG33" s="1260"/>
      <c r="AH33" s="1260"/>
      <c r="AI33" s="1260"/>
      <c r="AJ33" s="1260"/>
      <c r="AK33" s="1260"/>
      <c r="AL33" s="1260"/>
      <c r="AM33" s="1261"/>
    </row>
    <row r="34" spans="2:39" ht="17.7" customHeight="1" thickBot="1" x14ac:dyDescent="0.3">
      <c r="B34" s="658"/>
      <c r="C34" s="658"/>
      <c r="D34" s="658"/>
      <c r="E34" s="658"/>
      <c r="F34" s="250"/>
      <c r="G34" s="250"/>
      <c r="H34" s="250"/>
      <c r="I34" s="250"/>
      <c r="J34" s="250"/>
      <c r="K34" s="250"/>
      <c r="L34" s="250"/>
      <c r="M34" s="250"/>
      <c r="N34" s="250"/>
      <c r="O34" s="659"/>
      <c r="P34" s="659"/>
      <c r="Q34" s="659"/>
      <c r="R34" s="659"/>
      <c r="S34" s="250"/>
      <c r="T34" s="250"/>
      <c r="U34" s="250"/>
      <c r="V34" s="250"/>
      <c r="W34" s="250"/>
      <c r="X34" s="250"/>
      <c r="Y34" s="250"/>
      <c r="Z34" s="250"/>
      <c r="AA34" s="250"/>
      <c r="AB34" s="658"/>
      <c r="AC34" s="658"/>
      <c r="AD34" s="658"/>
      <c r="AE34" s="658"/>
      <c r="AF34" s="250"/>
      <c r="AG34" s="250"/>
      <c r="AH34" s="250"/>
      <c r="AI34" s="250"/>
      <c r="AJ34" s="250"/>
      <c r="AK34" s="250"/>
      <c r="AL34" s="250"/>
      <c r="AM34" s="250"/>
    </row>
    <row r="35" spans="2:39" ht="17.7" customHeight="1" thickBot="1" x14ac:dyDescent="0.3">
      <c r="B35" s="1233" t="str">
        <f>HLOOKUP(LANGUAGE!$B$2,LANGUAGE!$C$14:$G$1500,21)</f>
        <v>Date</v>
      </c>
      <c r="C35" s="1234"/>
      <c r="D35" s="1234"/>
      <c r="E35" s="1234"/>
      <c r="F35" s="1235" t="str">
        <f>IF(DSQG_0!AG6,DSQG_0!AG6,"")</f>
        <v/>
      </c>
      <c r="G35" s="1236"/>
      <c r="H35" s="1236"/>
      <c r="I35" s="1236"/>
      <c r="J35" s="1236"/>
      <c r="K35" s="1236"/>
      <c r="L35" s="1236"/>
      <c r="M35" s="1237"/>
      <c r="N35" s="251"/>
      <c r="O35" s="1233" t="str">
        <f>HLOOKUP(LANGUAGE!$B$2,LANGUAGE!$C$14:$G$1500,21)</f>
        <v>Date</v>
      </c>
      <c r="P35" s="1234"/>
      <c r="Q35" s="1234"/>
      <c r="R35" s="1234"/>
      <c r="S35" s="1236" t="str">
        <f>IF(DSQG_1!AG6,DSQG_1!AG6,"")</f>
        <v/>
      </c>
      <c r="T35" s="1236"/>
      <c r="U35" s="1236"/>
      <c r="V35" s="1236"/>
      <c r="W35" s="1236"/>
      <c r="X35" s="1236"/>
      <c r="Y35" s="1236"/>
      <c r="Z35" s="1237"/>
      <c r="AA35" s="250"/>
      <c r="AB35" s="1233" t="str">
        <f>HLOOKUP(LANGUAGE!$B$2,LANGUAGE!$C$14:$G$1500,21)</f>
        <v>Date</v>
      </c>
      <c r="AC35" s="1234"/>
      <c r="AD35" s="1234"/>
      <c r="AE35" s="1234"/>
      <c r="AF35" s="1236" t="str">
        <f>IF(DSQG_2!$AG$6,DSQG_2!$AG$6,"")</f>
        <v/>
      </c>
      <c r="AG35" s="1236"/>
      <c r="AH35" s="1236"/>
      <c r="AI35" s="1236"/>
      <c r="AJ35" s="1236"/>
      <c r="AK35" s="1236"/>
      <c r="AL35" s="1236"/>
      <c r="AM35" s="1237"/>
    </row>
    <row r="36" spans="2:39" ht="17.7" customHeight="1" x14ac:dyDescent="0.25"/>
    <row r="37" spans="2:39" x14ac:dyDescent="0.25">
      <c r="B37" s="183"/>
    </row>
  </sheetData>
  <sheetProtection algorithmName="SHA-512" hashValue="ZzBFgt54FKKrscKCZQXWmUwbWE8qN0uX3O5s03XJKTOuew1Jp9fFnfoSrZppX8EePRGP9uSyN6t0y3C3PY85xQ==" saltValue="Nm4lfvxkyD1P8vIPgycnaQ==" spinCount="100000" sheet="1" objects="1" scenarios="1"/>
  <mergeCells count="149">
    <mergeCell ref="B35:E35"/>
    <mergeCell ref="F35:M35"/>
    <mergeCell ref="O35:R35"/>
    <mergeCell ref="S35:Z35"/>
    <mergeCell ref="AB35:AE35"/>
    <mergeCell ref="AF35:AM35"/>
    <mergeCell ref="AB27:AE28"/>
    <mergeCell ref="AF27:AG28"/>
    <mergeCell ref="AH27:AM28"/>
    <mergeCell ref="B30:E33"/>
    <mergeCell ref="F30:M33"/>
    <mergeCell ref="O30:R33"/>
    <mergeCell ref="S30:Z33"/>
    <mergeCell ref="AB30:AE33"/>
    <mergeCell ref="AF30:AM33"/>
    <mergeCell ref="B27:E28"/>
    <mergeCell ref="F27:G28"/>
    <mergeCell ref="H27:M28"/>
    <mergeCell ref="O27:R28"/>
    <mergeCell ref="S27:T28"/>
    <mergeCell ref="U27:Z28"/>
    <mergeCell ref="AF23:AG24"/>
    <mergeCell ref="AH23:AM24"/>
    <mergeCell ref="B25:E26"/>
    <mergeCell ref="F25:G26"/>
    <mergeCell ref="H25:M26"/>
    <mergeCell ref="O25:Z26"/>
    <mergeCell ref="AB25:AE26"/>
    <mergeCell ref="AF25:AG26"/>
    <mergeCell ref="AH25:AM26"/>
    <mergeCell ref="B23:E24"/>
    <mergeCell ref="F23:G24"/>
    <mergeCell ref="H23:M24"/>
    <mergeCell ref="O23:R24"/>
    <mergeCell ref="S23:T24"/>
    <mergeCell ref="U23:Z24"/>
    <mergeCell ref="AB23:AE24"/>
    <mergeCell ref="B21:E22"/>
    <mergeCell ref="F21:G22"/>
    <mergeCell ref="H21:M22"/>
    <mergeCell ref="O21:R22"/>
    <mergeCell ref="S21:T22"/>
    <mergeCell ref="U21:Z22"/>
    <mergeCell ref="B19:E20"/>
    <mergeCell ref="F19:G20"/>
    <mergeCell ref="H19:M20"/>
    <mergeCell ref="AB19:AM20"/>
    <mergeCell ref="AB21:AE22"/>
    <mergeCell ref="AF21:AG22"/>
    <mergeCell ref="AH21:AM22"/>
    <mergeCell ref="O19:Z20"/>
    <mergeCell ref="AF16:AG16"/>
    <mergeCell ref="AH16:AK16"/>
    <mergeCell ref="AL16:AM16"/>
    <mergeCell ref="B18:E18"/>
    <mergeCell ref="F18:G18"/>
    <mergeCell ref="H18:M18"/>
    <mergeCell ref="O18:R18"/>
    <mergeCell ref="S18:T18"/>
    <mergeCell ref="U18:Z18"/>
    <mergeCell ref="AB18:AE18"/>
    <mergeCell ref="AF18:AG18"/>
    <mergeCell ref="AH18:AM18"/>
    <mergeCell ref="B16:E16"/>
    <mergeCell ref="F16:G16"/>
    <mergeCell ref="H16:K16"/>
    <mergeCell ref="L16:M16"/>
    <mergeCell ref="O16:R16"/>
    <mergeCell ref="S16:T16"/>
    <mergeCell ref="U16:X16"/>
    <mergeCell ref="Y16:Z16"/>
    <mergeCell ref="AB16:AE16"/>
    <mergeCell ref="AF14:AG14"/>
    <mergeCell ref="AH14:AK14"/>
    <mergeCell ref="AL14:AM14"/>
    <mergeCell ref="B15:E15"/>
    <mergeCell ref="F15:G15"/>
    <mergeCell ref="H15:K15"/>
    <mergeCell ref="L15:M15"/>
    <mergeCell ref="O15:R15"/>
    <mergeCell ref="AL15:AM15"/>
    <mergeCell ref="S15:T15"/>
    <mergeCell ref="U15:X15"/>
    <mergeCell ref="Y15:Z15"/>
    <mergeCell ref="AB15:AE15"/>
    <mergeCell ref="AF15:AG15"/>
    <mergeCell ref="AH15:AK15"/>
    <mergeCell ref="B14:E14"/>
    <mergeCell ref="F14:G14"/>
    <mergeCell ref="H14:K14"/>
    <mergeCell ref="L14:M14"/>
    <mergeCell ref="O14:R14"/>
    <mergeCell ref="S14:T14"/>
    <mergeCell ref="U14:X14"/>
    <mergeCell ref="Y14:Z14"/>
    <mergeCell ref="AB14:AE14"/>
    <mergeCell ref="B12:E12"/>
    <mergeCell ref="F12:G12"/>
    <mergeCell ref="H12:K12"/>
    <mergeCell ref="L12:M12"/>
    <mergeCell ref="O12:R12"/>
    <mergeCell ref="AL12:AM12"/>
    <mergeCell ref="B13:E13"/>
    <mergeCell ref="F13:G13"/>
    <mergeCell ref="H13:K13"/>
    <mergeCell ref="L13:M13"/>
    <mergeCell ref="O13:R13"/>
    <mergeCell ref="S13:T13"/>
    <mergeCell ref="U13:X13"/>
    <mergeCell ref="Y13:Z13"/>
    <mergeCell ref="AB13:AE13"/>
    <mergeCell ref="S12:T12"/>
    <mergeCell ref="U12:X12"/>
    <mergeCell ref="Y12:Z12"/>
    <mergeCell ref="AB12:AE12"/>
    <mergeCell ref="AF12:AG12"/>
    <mergeCell ref="AH12:AK12"/>
    <mergeCell ref="AF13:AG13"/>
    <mergeCell ref="AH13:AK13"/>
    <mergeCell ref="AL13:AM13"/>
    <mergeCell ref="B9:M9"/>
    <mergeCell ref="O9:Z9"/>
    <mergeCell ref="AB9:AM9"/>
    <mergeCell ref="B10:E11"/>
    <mergeCell ref="F10:G11"/>
    <mergeCell ref="H10:K11"/>
    <mergeCell ref="L10:M11"/>
    <mergeCell ref="O10:R11"/>
    <mergeCell ref="S10:T11"/>
    <mergeCell ref="U10:X11"/>
    <mergeCell ref="Y10:Z11"/>
    <mergeCell ref="AB10:AE11"/>
    <mergeCell ref="AF10:AG11"/>
    <mergeCell ref="AH10:AK11"/>
    <mergeCell ref="AL10:AM11"/>
    <mergeCell ref="B6:E6"/>
    <mergeCell ref="F6:M6"/>
    <mergeCell ref="O6:R6"/>
    <mergeCell ref="S6:Z6"/>
    <mergeCell ref="B7:E7"/>
    <mergeCell ref="F7:M7"/>
    <mergeCell ref="O7:R7"/>
    <mergeCell ref="S7:Z7"/>
    <mergeCell ref="B1:O2"/>
    <mergeCell ref="P1:R1"/>
    <mergeCell ref="P2:R2"/>
    <mergeCell ref="B3:AM3"/>
    <mergeCell ref="B5:M5"/>
    <mergeCell ref="O5:Z5"/>
  </mergeCells>
  <printOptions horizontalCentered="1"/>
  <pageMargins left="0.70866141732283472" right="0.55118110236220474" top="0.98425196850393704" bottom="0.9055118110236221" header="0.23622047244094491" footer="0.27559055118110237"/>
  <pageSetup paperSize="9" scale="58"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0353" r:id="rId6" name="Drop Down 1">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8" id="{1E7D0A77-BEE6-479C-98A2-6AACFBC32FBE}">
            <xm:f>MAX(DSQG_0!$AZ$22)=0</xm:f>
            <x14:dxf>
              <fill>
                <patternFill>
                  <bgColor theme="0" tint="-0.14996795556505021"/>
                </patternFill>
              </fill>
            </x14:dxf>
          </x14:cfRule>
          <x14:cfRule type="expression" priority="46" id="{C4C4F529-9B5C-4215-B3B4-08C74680A9C0}">
            <xm:f>MAX(DSQG_0!$AZ$22)=2</xm:f>
            <x14:dxf>
              <fill>
                <patternFill>
                  <bgColor rgb="FFFFFF00"/>
                </patternFill>
              </fill>
            </x14:dxf>
          </x14:cfRule>
          <x14:cfRule type="expression" priority="45" id="{F2D20AC0-F882-4E81-93EC-60E90A0B2D34}">
            <xm:f>MAX(DSQG_0!$AZ$22)=3</xm:f>
            <x14:dxf>
              <fill>
                <patternFill>
                  <bgColor rgb="FFFF0000"/>
                </patternFill>
              </fill>
            </x14:dxf>
          </x14:cfRule>
          <x14:cfRule type="expression" priority="47" id="{879752A4-0F7E-4729-AABB-A6888D26B69F}">
            <xm:f>MAX(DSQG_0!$AZ$22)=1</xm:f>
            <x14:dxf>
              <fill>
                <patternFill>
                  <bgColor rgb="FF00FF00"/>
                </patternFill>
              </fill>
            </x14:dxf>
          </x14:cfRule>
          <xm:sqref>F19:G20</xm:sqref>
        </x14:conditionalFormatting>
        <x14:conditionalFormatting xmlns:xm="http://schemas.microsoft.com/office/excel/2006/main">
          <x14:cfRule type="expression" priority="42" id="{224AC993-3B70-4EA5-B3D6-71694DEE0CB9}">
            <xm:f>MAX(DSQG_0!$AZ$28)=0</xm:f>
            <x14:dxf>
              <fill>
                <patternFill>
                  <bgColor theme="0" tint="-0.14996795556505021"/>
                </patternFill>
              </fill>
            </x14:dxf>
          </x14:cfRule>
          <x14:cfRule type="expression" priority="40" id="{6B9F31DC-6075-4633-8F70-EC3AA6F0E84E}">
            <xm:f>MAX(DSQG_0!$AZ$28)=1</xm:f>
            <x14:dxf>
              <fill>
                <patternFill>
                  <bgColor rgb="FF00FF00"/>
                </patternFill>
              </fill>
            </x14:dxf>
          </x14:cfRule>
          <x14:cfRule type="expression" priority="39" id="{E8C4E544-A88F-4E8F-9842-6A929BCDF4EE}">
            <xm:f>MAX(DSQG_0!$AZ$28)=2</xm:f>
            <x14:dxf>
              <fill>
                <patternFill>
                  <bgColor rgb="FFFFFF00"/>
                </patternFill>
              </fill>
            </x14:dxf>
          </x14:cfRule>
          <x14:cfRule type="expression" priority="38" id="{99E5E669-2F67-4360-8A75-B6414CE3EAF9}">
            <xm:f>MAX(DSQG_0!$AZ$28)=3</xm:f>
            <x14:dxf>
              <fill>
                <patternFill>
                  <bgColor rgb="FFFF0000"/>
                </patternFill>
              </fill>
            </x14:dxf>
          </x14:cfRule>
          <xm:sqref>F21:G22</xm:sqref>
        </x14:conditionalFormatting>
        <x14:conditionalFormatting xmlns:xm="http://schemas.microsoft.com/office/excel/2006/main">
          <x14:cfRule type="expression" priority="37" id="{6F3E03D3-FE1F-4439-9E76-D932F388B460}">
            <xm:f>MAX(DSQG_0!$AZ$34:$AZ$42)=1</xm:f>
            <x14:dxf>
              <fill>
                <patternFill>
                  <bgColor rgb="FF00FF00"/>
                </patternFill>
              </fill>
            </x14:dxf>
          </x14:cfRule>
          <x14:cfRule type="expression" priority="36" id="{30670C60-802E-4293-9A14-41203B635D22}">
            <xm:f>MAX(DSQG_0!$AZ$34:$AZ$42)=2</xm:f>
            <x14:dxf>
              <fill>
                <patternFill>
                  <bgColor rgb="FFFFFF00"/>
                </patternFill>
              </fill>
            </x14:dxf>
          </x14:cfRule>
          <x14:cfRule type="expression" priority="35" id="{8FEF6EF5-569A-4DFC-B0AE-A3A170F6F1A2}">
            <xm:f>MAX(DSQG_0!$AZ$34:$AZ$42)=3</xm:f>
            <x14:dxf>
              <fill>
                <patternFill>
                  <bgColor rgb="FFFF0000"/>
                </patternFill>
              </fill>
            </x14:dxf>
          </x14:cfRule>
          <x14:cfRule type="expression" priority="43" id="{BFC5830F-4E67-4B0B-9EAA-8EBD335366BA}">
            <xm:f>MAX(DSQG_0!$AZ$34:$AZ$42)=0</xm:f>
            <x14:dxf>
              <fill>
                <patternFill>
                  <bgColor theme="0" tint="-0.14996795556505021"/>
                </patternFill>
              </fill>
            </x14:dxf>
          </x14:cfRule>
          <xm:sqref>F23:G24</xm:sqref>
        </x14:conditionalFormatting>
        <x14:conditionalFormatting xmlns:xm="http://schemas.microsoft.com/office/excel/2006/main">
          <x14:cfRule type="expression" priority="34" id="{F6259690-5AC9-4389-BD22-55BB59253337}">
            <xm:f>MAX(DSQG_0!$AZ$48)=1</xm:f>
            <x14:dxf>
              <fill>
                <patternFill>
                  <bgColor rgb="FF00FF00"/>
                </patternFill>
              </fill>
            </x14:dxf>
          </x14:cfRule>
          <x14:cfRule type="expression" priority="33" id="{2F6FBC8D-7D51-461D-9ED3-84567DF7677C}">
            <xm:f>MAX(DSQG_0!$AZ$48)=2</xm:f>
            <x14:dxf>
              <fill>
                <patternFill>
                  <bgColor rgb="FFFFFF00"/>
                </patternFill>
              </fill>
            </x14:dxf>
          </x14:cfRule>
          <x14:cfRule type="expression" priority="41" id="{5A3AA3E5-D690-44CE-9B7F-48145CA84795}">
            <xm:f>MAX(DSQG_0!$AZ$48)=0</xm:f>
            <x14:dxf>
              <fill>
                <patternFill>
                  <bgColor theme="0" tint="-0.14996795556505021"/>
                </patternFill>
              </fill>
            </x14:dxf>
          </x14:cfRule>
          <x14:cfRule type="expression" priority="32" id="{26037C19-5D6F-4B46-ACDA-1C260B0DFA0B}">
            <xm:f>MAX(DSQG_0!$AZ$48)=3</xm:f>
            <x14:dxf>
              <fill>
                <patternFill>
                  <bgColor rgb="FFFF0000"/>
                </patternFill>
              </fill>
            </x14:dxf>
          </x14:cfRule>
          <xm:sqref>F25:G26</xm:sqref>
        </x14:conditionalFormatting>
        <x14:conditionalFormatting xmlns:xm="http://schemas.microsoft.com/office/excel/2006/main">
          <x14:cfRule type="cellIs" priority="28" operator="equal" id="{4F563927-AB96-45D6-99BB-CC3684777286}">
            <xm:f>LANGUAGE!$F$4</xm:f>
            <x14:dxf>
              <font>
                <color rgb="FF00FF00"/>
              </font>
              <fill>
                <patternFill>
                  <bgColor rgb="FF00FF00"/>
                </patternFill>
              </fill>
            </x14:dxf>
          </x14:cfRule>
          <x14:cfRule type="cellIs" priority="29" operator="equal" id="{36EE054D-4AC3-4326-911A-76685EC6C554}">
            <xm:f>LANGUAGE!$F$5</xm:f>
            <x14:dxf>
              <font>
                <color rgb="FFFFFF00"/>
              </font>
              <fill>
                <patternFill>
                  <bgColor rgb="FFFFFF00"/>
                </patternFill>
              </fill>
            </x14:dxf>
          </x14:cfRule>
          <x14:cfRule type="cellIs" priority="31" operator="equal" id="{47C4D4D3-C0D3-4415-8969-86892AFFD830}">
            <xm:f>LANGUAGE!$F$6</xm:f>
            <x14:dxf>
              <font>
                <color rgb="FFFF0000"/>
              </font>
              <fill>
                <patternFill>
                  <bgColor rgb="FFFF0000"/>
                </patternFill>
              </fill>
            </x14:dxf>
          </x14:cfRule>
          <xm:sqref>F27:G28</xm:sqref>
        </x14:conditionalFormatting>
        <x14:conditionalFormatting xmlns:xm="http://schemas.microsoft.com/office/excel/2006/main">
          <x14:cfRule type="expression" priority="27" id="{65988B0E-E887-48A3-90A1-76067B93B2C2}">
            <xm:f>MAX(DSQG_1!$AZ$22)=3</xm:f>
            <x14:dxf>
              <font>
                <color auto="1"/>
              </font>
              <fill>
                <patternFill>
                  <bgColor rgb="FFFF0000"/>
                </patternFill>
              </fill>
            </x14:dxf>
          </x14:cfRule>
          <x14:cfRule type="expression" priority="26" id="{4A2191F3-5935-48CC-B9A1-ADA851CF7B83}">
            <xm:f>MAX(DSQG_1!$AZ$22)=2</xm:f>
            <x14:dxf>
              <fill>
                <patternFill>
                  <bgColor rgb="FFFFFF00"/>
                </patternFill>
              </fill>
            </x14:dxf>
          </x14:cfRule>
          <x14:cfRule type="expression" priority="25" id="{4952A61D-BA49-4D68-8C69-D3B08F76C817}">
            <xm:f>MAX(DSQG_1!$AZ$22)=1</xm:f>
            <x14:dxf>
              <fill>
                <patternFill>
                  <bgColor rgb="FF00FF00"/>
                </patternFill>
              </fill>
            </x14:dxf>
          </x14:cfRule>
          <x14:cfRule type="expression" priority="24" id="{B1D0CC7F-A8DB-4D00-95D3-4F6B7CB410B0}">
            <xm:f>MAX(DSQG_1!$AZ$22)=0</xm:f>
            <x14:dxf>
              <fill>
                <patternFill>
                  <bgColor theme="0" tint="-0.14996795556505021"/>
                </patternFill>
              </fill>
            </x14:dxf>
          </x14:cfRule>
          <xm:sqref>S21:T22</xm:sqref>
        </x14:conditionalFormatting>
        <x14:conditionalFormatting xmlns:xm="http://schemas.microsoft.com/office/excel/2006/main">
          <x14:cfRule type="expression" priority="22" id="{ECC5978C-F088-46CB-B9E0-61B7A0AA7C33}">
            <xm:f>MAX(DSQG_1!$AZ$28:$AZ$36)=3</xm:f>
            <x14:dxf>
              <fill>
                <patternFill>
                  <bgColor rgb="FFFF0000"/>
                </patternFill>
              </fill>
            </x14:dxf>
          </x14:cfRule>
          <x14:cfRule type="expression" priority="21" id="{D3AE57D4-94FC-4D71-A818-AF51962DF738}">
            <xm:f>MAX(DSQG_1!$AZ$28:$AZ$36)=2</xm:f>
            <x14:dxf>
              <fill>
                <patternFill>
                  <bgColor rgb="FFFFFF00"/>
                </patternFill>
              </fill>
            </x14:dxf>
          </x14:cfRule>
          <x14:cfRule type="expression" priority="20" id="{FCCCF12C-C030-42F5-9F4D-837E3912A481}">
            <xm:f>MAX(DSQG_1!$AZ$28:$AZ$36)=1</xm:f>
            <x14:dxf>
              <fill>
                <patternFill>
                  <bgColor rgb="FF00FF00"/>
                </patternFill>
              </fill>
            </x14:dxf>
          </x14:cfRule>
          <x14:cfRule type="expression" priority="19" id="{A767B040-A4BE-4F47-8541-A5448A38900F}">
            <xm:f>MAX(DSQG_1!$AZ$28:$AZ$36)=0</xm:f>
            <x14:dxf>
              <fill>
                <patternFill>
                  <bgColor theme="0" tint="-0.14996795556505021"/>
                </patternFill>
              </fill>
            </x14:dxf>
          </x14:cfRule>
          <xm:sqref>S23:T24</xm:sqref>
        </x14:conditionalFormatting>
        <x14:conditionalFormatting xmlns:xm="http://schemas.microsoft.com/office/excel/2006/main">
          <x14:cfRule type="cellIs" priority="18" operator="equal" id="{8B356350-8DE0-4679-B207-3AA68ADD4E18}">
            <xm:f>LANGUAGE!$F$4</xm:f>
            <x14:dxf>
              <font>
                <color rgb="FF00FF00"/>
              </font>
              <fill>
                <patternFill>
                  <bgColor rgb="FF00FF00"/>
                </patternFill>
              </fill>
            </x14:dxf>
          </x14:cfRule>
          <x14:cfRule type="cellIs" priority="17" operator="equal" id="{6B18AD06-1ABA-4A67-9A33-F24357BC676C}">
            <xm:f>LANGUAGE!$F$5</xm:f>
            <x14:dxf>
              <font>
                <color rgb="FFFFFF00"/>
              </font>
              <fill>
                <patternFill>
                  <bgColor rgb="FFFFFF00"/>
                </patternFill>
              </fill>
            </x14:dxf>
          </x14:cfRule>
          <x14:cfRule type="cellIs" priority="16" operator="equal" id="{2A0DF050-7B0F-4BFE-80E7-618F9B399BF1}">
            <xm:f>LANGUAGE!$F$6</xm:f>
            <x14:dxf>
              <font>
                <color rgb="FFFF0000"/>
              </font>
              <fill>
                <patternFill>
                  <bgColor rgb="FFFF0000"/>
                </patternFill>
              </fill>
            </x14:dxf>
          </x14:cfRule>
          <xm:sqref>S27:T28</xm:sqref>
        </x14:conditionalFormatting>
        <x14:conditionalFormatting xmlns:xm="http://schemas.microsoft.com/office/excel/2006/main">
          <x14:cfRule type="expression" priority="15" id="{9B011CF2-65DC-4B25-AD1D-6EA652427109}">
            <xm:f>MAX(DSQG_2!$AZ$21)=0</xm:f>
            <x14:dxf>
              <fill>
                <patternFill>
                  <bgColor theme="0" tint="-0.14996795556505021"/>
                </patternFill>
              </fill>
            </x14:dxf>
          </x14:cfRule>
          <x14:cfRule type="expression" priority="10" id="{92C43CF4-4167-4E6A-8646-77C66BFAA37E}">
            <xm:f>MAX(DSQG_2!$AZ$21)=3</xm:f>
            <x14:dxf>
              <fill>
                <patternFill>
                  <bgColor rgb="FFFF0000"/>
                </patternFill>
              </fill>
            </x14:dxf>
          </x14:cfRule>
          <x14:cfRule type="expression" priority="12" id="{1ACC04F9-2648-4E4F-A61B-B4C73EFDCE60}">
            <xm:f>MAX(DSQG_2!$AZ$21)=1</xm:f>
            <x14:dxf>
              <fill>
                <patternFill>
                  <bgColor rgb="FF00FF00"/>
                </patternFill>
              </fill>
            </x14:dxf>
          </x14:cfRule>
          <x14:cfRule type="expression" priority="11" id="{D26CF751-EC1E-4D05-932F-93183567C155}">
            <xm:f>MAX(DSQG_2!$AZ$21)=2</xm:f>
            <x14:dxf>
              <fill>
                <patternFill>
                  <bgColor rgb="FFFFFF00"/>
                </patternFill>
              </fill>
            </x14:dxf>
          </x14:cfRule>
          <xm:sqref>AF21:AG22</xm:sqref>
        </x14:conditionalFormatting>
        <x14:conditionalFormatting xmlns:xm="http://schemas.microsoft.com/office/excel/2006/main">
          <x14:cfRule type="expression" priority="973" id="{FD1F16D2-5D36-43BD-AD45-1F4023A3273C}">
            <xm:f>MAX(DSQG_2!$AZ$28:$AZ$34)=3</xm:f>
            <x14:dxf>
              <fill>
                <patternFill>
                  <bgColor rgb="FFFF0000"/>
                </patternFill>
              </fill>
            </x14:dxf>
          </x14:cfRule>
          <x14:cfRule type="expression" priority="974" id="{E36C2D7D-3F0F-4C52-A452-1C3A488153C0}">
            <xm:f>MAX(DSQG_2!$AZ$28:$AZ$34)=2</xm:f>
            <x14:dxf>
              <fill>
                <patternFill>
                  <bgColor rgb="FFFFFF00"/>
                </patternFill>
              </fill>
            </x14:dxf>
          </x14:cfRule>
          <x14:cfRule type="expression" priority="975" id="{CD9032E9-EBA6-4F4A-8018-4018908316FA}">
            <xm:f>MAX(DSQG_2!$AZ$28:$AZ$34)=1</xm:f>
            <x14:dxf>
              <fill>
                <patternFill>
                  <bgColor rgb="FF00FF00"/>
                </patternFill>
              </fill>
            </x14:dxf>
          </x14:cfRule>
          <x14:cfRule type="expression" priority="976" id="{8413CF28-B7E2-4B43-848B-B00308AD3308}">
            <xm:f>MAX(DSQG_2!$AZ$28:$AZ$34)=0</xm:f>
            <x14:dxf>
              <fill>
                <patternFill>
                  <bgColor theme="0" tint="-0.14996795556505021"/>
                </patternFill>
              </fill>
            </x14:dxf>
          </x14:cfRule>
          <xm:sqref>AF23:AG24</xm:sqref>
        </x14:conditionalFormatting>
        <x14:conditionalFormatting xmlns:xm="http://schemas.microsoft.com/office/excel/2006/main">
          <x14:cfRule type="expression" priority="4" id="{5B27D373-8380-4140-A96C-C54A9AF50CB2}">
            <xm:f>MAX(DSQG_2!$AZ$40:$AZ$41)=3</xm:f>
            <x14:dxf>
              <fill>
                <patternFill>
                  <bgColor rgb="FFFF0000"/>
                </patternFill>
              </fill>
            </x14:dxf>
          </x14:cfRule>
          <x14:cfRule type="expression" priority="5" id="{6811FED1-8275-486C-9963-EA7213CBD03C}">
            <xm:f>MAX(DSQG_2!$AZ$40:$AZ$41)=2</xm:f>
            <x14:dxf>
              <fill>
                <patternFill>
                  <bgColor rgb="FFFFFF00"/>
                </patternFill>
              </fill>
            </x14:dxf>
          </x14:cfRule>
          <x14:cfRule type="expression" priority="13" id="{CC519681-BF7E-47E5-B654-F1EA9B212FC0}">
            <xm:f>MAX(DSQG_2!$AZ$40:$AZ$41)=0</xm:f>
            <x14:dxf>
              <fill>
                <patternFill>
                  <bgColor theme="0" tint="-0.14996795556505021"/>
                </patternFill>
              </fill>
            </x14:dxf>
          </x14:cfRule>
          <x14:cfRule type="expression" priority="6" id="{48D6F4A5-2C4B-4F73-8E21-80AD9145E42C}">
            <xm:f>MAX(DSQG_2!$AZ$40:$AZ$41)=1</xm:f>
            <x14:dxf>
              <fill>
                <patternFill>
                  <bgColor rgb="FF00FF00"/>
                </patternFill>
              </fill>
            </x14:dxf>
          </x14:cfRule>
          <xm:sqref>AF25:AG26</xm:sqref>
        </x14:conditionalFormatting>
        <x14:conditionalFormatting xmlns:xm="http://schemas.microsoft.com/office/excel/2006/main">
          <x14:cfRule type="cellIs" priority="2" operator="equal" id="{B6D6422D-651C-47B4-9B2C-46A6F9EEBC0D}">
            <xm:f>LANGUAGE!$F$5</xm:f>
            <x14:dxf>
              <font>
                <color rgb="FFFFFF00"/>
              </font>
              <fill>
                <patternFill>
                  <bgColor rgb="FFFFFF00"/>
                </patternFill>
              </fill>
            </x14:dxf>
          </x14:cfRule>
          <x14:cfRule type="cellIs" priority="3" operator="equal" id="{4CB7BAE7-FA30-4AF5-B884-17B831BDE57D}">
            <xm:f>LANGUAGE!$F$6</xm:f>
            <x14:dxf>
              <font>
                <color rgb="FFFF0000"/>
              </font>
              <fill>
                <patternFill>
                  <bgColor rgb="FFFF0000"/>
                </patternFill>
              </fill>
            </x14:dxf>
          </x14:cfRule>
          <x14:cfRule type="cellIs" priority="1" operator="equal" id="{67E2B2E4-E117-4058-9715-877C45DCB2C7}">
            <xm:f>LANGUAGE!$F$4</xm:f>
            <x14:dxf>
              <font>
                <color rgb="FF00FF00"/>
              </font>
              <fill>
                <patternFill>
                  <bgColor rgb="FF00FF00"/>
                </patternFill>
              </fill>
            </x14:dxf>
          </x14:cfRule>
          <xm:sqref>AF27:AG28</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92D050"/>
  </sheetPr>
  <dimension ref="A1:BJ64"/>
  <sheetViews>
    <sheetView showGridLines="0" topLeftCell="A41" zoomScaleNormal="100" zoomScaleSheetLayoutView="100" zoomScalePageLayoutView="55" workbookViewId="0">
      <selection activeCell="M164" sqref="M164:T166"/>
    </sheetView>
  </sheetViews>
  <sheetFormatPr baseColWidth="10" defaultColWidth="5.3984375" defaultRowHeight="13.15" x14ac:dyDescent="0.25"/>
  <cols>
    <col min="4" max="4" width="6.19921875" customWidth="1"/>
    <col min="38" max="55" width="5.3984375" customWidth="1"/>
    <col min="56" max="56" width="8.19921875" style="3" customWidth="1"/>
    <col min="57" max="57" width="9.3984375" style="3" customWidth="1"/>
    <col min="58" max="63" width="5.3984375" customWidth="1"/>
  </cols>
  <sheetData>
    <row r="1" spans="1:57" ht="17.7" customHeight="1" x14ac:dyDescent="0.25">
      <c r="A1" s="153"/>
      <c r="B1" s="1139" t="str">
        <f>HLOOKUP(LANGUAGE!$B$2,LANGUAGE!$C$14:$G$2573,1952)</f>
        <v>Development Supplier Quality Gate 0</v>
      </c>
      <c r="C1" s="1139"/>
      <c r="D1" s="1139"/>
      <c r="E1" s="1139"/>
      <c r="F1" s="1139"/>
      <c r="G1" s="1139"/>
      <c r="H1" s="1139"/>
      <c r="I1" s="1139"/>
      <c r="J1" s="1139"/>
      <c r="K1" s="1139"/>
      <c r="L1" s="1139"/>
      <c r="M1" s="1139"/>
      <c r="N1" s="1139"/>
      <c r="O1" s="1139"/>
      <c r="P1" s="1140" t="s">
        <v>2</v>
      </c>
      <c r="Q1" s="1140"/>
      <c r="R1" s="1140"/>
      <c r="S1" s="185"/>
      <c r="T1" s="185"/>
      <c r="U1" s="185"/>
      <c r="V1" s="185"/>
      <c r="W1" s="185"/>
      <c r="X1" s="185"/>
      <c r="Y1" s="185"/>
      <c r="Z1" s="174"/>
      <c r="AA1" s="174"/>
      <c r="AB1" s="174"/>
      <c r="AC1" s="174"/>
      <c r="AD1" s="174"/>
      <c r="AE1" s="174"/>
      <c r="AF1" s="174"/>
      <c r="AG1" s="174"/>
      <c r="AH1" s="174"/>
      <c r="AI1" s="174"/>
      <c r="AJ1" s="174"/>
      <c r="AK1" s="174"/>
      <c r="AL1" s="174"/>
    </row>
    <row r="2" spans="1:57" ht="17.7" customHeight="1" x14ac:dyDescent="0.25">
      <c r="A2" s="153"/>
      <c r="B2" s="1139"/>
      <c r="C2" s="1139"/>
      <c r="D2" s="1139"/>
      <c r="E2" s="1139"/>
      <c r="F2" s="1139"/>
      <c r="G2" s="1139"/>
      <c r="H2" s="1139"/>
      <c r="I2" s="1139"/>
      <c r="J2" s="1139"/>
      <c r="K2" s="1139"/>
      <c r="L2" s="1139"/>
      <c r="M2" s="1139"/>
      <c r="N2" s="1139"/>
      <c r="O2" s="1139"/>
      <c r="P2" s="1140" t="s">
        <v>1774</v>
      </c>
      <c r="Q2" s="1140"/>
      <c r="R2" s="1140"/>
      <c r="S2" s="185"/>
      <c r="T2" s="185"/>
      <c r="U2" s="185"/>
      <c r="V2" s="185"/>
      <c r="W2" s="185"/>
      <c r="X2" s="185"/>
      <c r="Y2" s="185"/>
      <c r="Z2" s="174"/>
      <c r="AA2" s="174"/>
      <c r="AB2" s="174"/>
      <c r="AC2" s="174"/>
      <c r="AD2" s="174"/>
      <c r="AE2" s="174"/>
      <c r="AF2" s="174"/>
      <c r="AG2" s="174"/>
      <c r="AH2" s="174"/>
      <c r="AI2" s="174"/>
      <c r="AJ2" s="174"/>
      <c r="AK2" s="174"/>
      <c r="AL2" s="174"/>
    </row>
    <row r="3" spans="1:57" ht="17.7" customHeight="1" x14ac:dyDescent="0.25">
      <c r="B3" s="201" t="str">
        <f>HLOOKUP(LANGUAGE!$B$2,LANGUAGE!$C$14:$G$2573,1953)</f>
        <v>Target: All required information/ documents are available at the project kick-off.</v>
      </c>
      <c r="C3" s="30"/>
      <c r="D3" s="30"/>
      <c r="E3" s="30"/>
      <c r="F3" s="30"/>
      <c r="G3" s="30"/>
      <c r="H3" s="30"/>
      <c r="I3" s="30"/>
      <c r="J3" s="30"/>
      <c r="K3" s="30"/>
      <c r="L3" s="30"/>
      <c r="M3" s="30"/>
      <c r="N3" s="30"/>
      <c r="O3" s="30"/>
      <c r="P3" s="30"/>
      <c r="Q3" s="221" t="str">
        <f>HLOOKUP(LANGUAGE!$B$2,LANGUAGE!$C$14:$G$1500,2)</f>
        <v>Attention!!!        Only yellow fields has to be filled</v>
      </c>
      <c r="R3" s="30"/>
      <c r="S3" s="30"/>
      <c r="T3" s="30"/>
      <c r="U3" s="30"/>
      <c r="V3" s="30"/>
      <c r="W3" s="30"/>
      <c r="X3" s="30"/>
      <c r="Y3" s="30"/>
      <c r="Z3" s="30"/>
      <c r="AA3" s="30"/>
      <c r="AB3" s="30"/>
      <c r="AC3" s="30"/>
      <c r="AD3" s="30"/>
      <c r="AE3" s="30"/>
      <c r="AF3" s="30"/>
      <c r="AG3" s="30"/>
    </row>
    <row r="4" spans="1:57" ht="17.7" customHeight="1" thickBot="1" x14ac:dyDescent="0.3">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row>
    <row r="5" spans="1:57" ht="17.7" customHeight="1" x14ac:dyDescent="0.25">
      <c r="B5" s="1142" t="str">
        <f>HLOOKUP(LANGUAGE!$B$2,LANGUAGE!$C$14:$G$1500,12)</f>
        <v>Project Data</v>
      </c>
      <c r="C5" s="1143"/>
      <c r="D5" s="1143"/>
      <c r="E5" s="1143"/>
      <c r="F5" s="1143"/>
      <c r="G5" s="1143"/>
      <c r="H5" s="1143"/>
      <c r="I5" s="1143"/>
      <c r="J5" s="1143"/>
      <c r="K5" s="1143"/>
      <c r="L5" s="1143"/>
      <c r="M5" s="1143"/>
      <c r="N5" s="1143"/>
      <c r="O5" s="1144"/>
      <c r="P5" s="252"/>
      <c r="Q5" s="1142" t="str">
        <f>HLOOKUP(LANGUAGE!$B$2,LANGUAGE!$C$14:$G$1500,27)</f>
        <v>Supplier Data</v>
      </c>
      <c r="R5" s="1143"/>
      <c r="S5" s="1143"/>
      <c r="T5" s="1143"/>
      <c r="U5" s="1143"/>
      <c r="V5" s="1143"/>
      <c r="W5" s="1143"/>
      <c r="X5" s="1143"/>
      <c r="Y5" s="1143"/>
      <c r="Z5" s="1143"/>
      <c r="AA5" s="1143"/>
      <c r="AB5" s="1143"/>
      <c r="AC5" s="1143"/>
      <c r="AD5" s="1143"/>
      <c r="AE5" s="1144"/>
      <c r="AF5" s="252"/>
      <c r="AG5" s="1266" t="str">
        <f>HLOOKUP(LANGUAGE!$B$2,LANGUAGE!$C$14:$G$1500,21)</f>
        <v>Date</v>
      </c>
      <c r="AH5" s="1267"/>
      <c r="AI5" s="1267"/>
      <c r="AJ5" s="1267"/>
      <c r="AK5" s="1268"/>
      <c r="BD5"/>
      <c r="BE5"/>
    </row>
    <row r="6" spans="1:57" ht="17.7" customHeight="1" x14ac:dyDescent="0.25">
      <c r="B6" s="1269" t="str">
        <f>HLOOKUP(LANGUAGE!$B$2,LANGUAGE!$C$14:$G$1500,13)</f>
        <v>Project</v>
      </c>
      <c r="C6" s="1270"/>
      <c r="D6" s="1270"/>
      <c r="E6" s="1270"/>
      <c r="F6" s="1270"/>
      <c r="G6" s="1271" t="str">
        <f>IF(Basic_Data!F6&lt;&gt;"",CONCATENATE(Basic_Data!F6," / ",Basic_Data!F7,""),"")</f>
        <v/>
      </c>
      <c r="H6" s="1271"/>
      <c r="I6" s="1271"/>
      <c r="J6" s="1271"/>
      <c r="K6" s="1271"/>
      <c r="L6" s="1271"/>
      <c r="M6" s="1271"/>
      <c r="N6" s="1271"/>
      <c r="O6" s="1272"/>
      <c r="P6" s="252"/>
      <c r="Q6" s="1269" t="str">
        <f>HLOOKUP(LANGUAGE!$B$2,LANGUAGE!$C$14:$G$1500,28)</f>
        <v>Supplier</v>
      </c>
      <c r="R6" s="1270"/>
      <c r="S6" s="1270"/>
      <c r="T6" s="1270"/>
      <c r="U6" s="1270"/>
      <c r="V6" s="1271" t="str">
        <f>IF(Basic_Data!R6&lt;&gt;"",CONCATENATE(Basic_Data!R6," (",Basic_Data!R7,")"),"")</f>
        <v/>
      </c>
      <c r="W6" s="1271"/>
      <c r="X6" s="1271"/>
      <c r="Y6" s="1271"/>
      <c r="Z6" s="1271"/>
      <c r="AA6" s="1271"/>
      <c r="AB6" s="1271"/>
      <c r="AC6" s="1271"/>
      <c r="AD6" s="1271"/>
      <c r="AE6" s="1272"/>
      <c r="AF6" s="252"/>
      <c r="AG6" s="1273"/>
      <c r="AH6" s="1274"/>
      <c r="AI6" s="1274"/>
      <c r="AJ6" s="1274"/>
      <c r="AK6" s="1275"/>
      <c r="BD6"/>
      <c r="BE6"/>
    </row>
    <row r="7" spans="1:57" ht="17.7" customHeight="1" thickBot="1" x14ac:dyDescent="0.3">
      <c r="B7" s="1137" t="str">
        <f>HLOOKUP(LANGUAGE!$B$2,LANGUAGE!$C$14:$G$1500,14)</f>
        <v>Part Name(s)</v>
      </c>
      <c r="C7" s="1138"/>
      <c r="D7" s="1138"/>
      <c r="E7" s="1138"/>
      <c r="F7" s="1138"/>
      <c r="G7" s="1279" t="str">
        <f>IF(Basic_Data!F8&lt;&gt;"",Basic_Data!F8,"")</f>
        <v/>
      </c>
      <c r="H7" s="1279"/>
      <c r="I7" s="1279"/>
      <c r="J7" s="1279"/>
      <c r="K7" s="1279"/>
      <c r="L7" s="1279"/>
      <c r="M7" s="1279"/>
      <c r="N7" s="1279"/>
      <c r="O7" s="1280"/>
      <c r="P7" s="252"/>
      <c r="Q7" s="1137" t="str">
        <f>HLOOKUP(LANGUAGE!$B$2,LANGUAGE!$C$14:$G$1500,29)</f>
        <v>Address</v>
      </c>
      <c r="R7" s="1138"/>
      <c r="S7" s="1138"/>
      <c r="T7" s="1138"/>
      <c r="U7" s="1138"/>
      <c r="V7" s="1279" t="str">
        <f>IF(Basic_Data!R8&lt;&gt;"",CONCATENATE(Basic_Data!R8,", ",Basic_Data!R9,", ",Basic_Data!R10,""),"")</f>
        <v/>
      </c>
      <c r="W7" s="1279"/>
      <c r="X7" s="1279"/>
      <c r="Y7" s="1279"/>
      <c r="Z7" s="1279"/>
      <c r="AA7" s="1279"/>
      <c r="AB7" s="1279"/>
      <c r="AC7" s="1279"/>
      <c r="AD7" s="1279"/>
      <c r="AE7" s="1280"/>
      <c r="AF7" s="252"/>
      <c r="AG7" s="1276"/>
      <c r="AH7" s="1277"/>
      <c r="AI7" s="1277"/>
      <c r="AJ7" s="1277"/>
      <c r="AK7" s="1278"/>
      <c r="BA7" s="3"/>
      <c r="BD7"/>
      <c r="BE7"/>
    </row>
    <row r="8" spans="1:57" ht="17.7" customHeight="1" thickBot="1" x14ac:dyDescent="0.3">
      <c r="B8" s="498"/>
      <c r="C8" s="498"/>
      <c r="D8" s="498"/>
      <c r="E8" s="252"/>
      <c r="F8" s="252"/>
      <c r="G8" s="252"/>
      <c r="H8" s="252"/>
      <c r="I8" s="252"/>
      <c r="J8" s="252"/>
      <c r="K8" s="252"/>
      <c r="L8" s="252"/>
      <c r="M8" s="252"/>
      <c r="N8" s="252"/>
      <c r="O8" s="252"/>
      <c r="P8" s="252"/>
      <c r="Q8" s="252"/>
      <c r="R8" s="252"/>
      <c r="S8" s="498"/>
      <c r="T8" s="498"/>
      <c r="U8" s="498"/>
      <c r="V8" s="498"/>
      <c r="W8" s="252"/>
      <c r="X8" s="252"/>
      <c r="Y8" s="252"/>
      <c r="Z8" s="252"/>
      <c r="AA8" s="252"/>
      <c r="AB8" s="252"/>
      <c r="AC8" s="252"/>
      <c r="AD8" s="252"/>
      <c r="AE8" s="252"/>
      <c r="AF8" s="252"/>
      <c r="AG8" s="252"/>
      <c r="AH8" s="154"/>
      <c r="AI8" s="154"/>
      <c r="AJ8" s="252"/>
      <c r="AK8" s="252"/>
      <c r="BD8"/>
      <c r="BE8"/>
    </row>
    <row r="9" spans="1:57" ht="17.7" customHeight="1" x14ac:dyDescent="0.25">
      <c r="B9" s="1142" t="str">
        <f>HLOOKUP(LANGUAGE!$B$2,LANGUAGE!$C$14:$G$1500,40)</f>
        <v>Material Data</v>
      </c>
      <c r="C9" s="1143"/>
      <c r="D9" s="1143"/>
      <c r="E9" s="1143"/>
      <c r="F9" s="1143"/>
      <c r="G9" s="1143"/>
      <c r="H9" s="1143"/>
      <c r="I9" s="1143"/>
      <c r="J9" s="1143"/>
      <c r="K9" s="1143"/>
      <c r="L9" s="1143"/>
      <c r="M9" s="1143"/>
      <c r="N9" s="1143"/>
      <c r="O9" s="1144"/>
      <c r="P9" s="252"/>
      <c r="Q9" s="1142" t="str">
        <f>HLOOKUP(LANGUAGE!$B$2,LANGUAGE!$C$14:$G$1500,54)</f>
        <v>Deadlines</v>
      </c>
      <c r="R9" s="1143"/>
      <c r="S9" s="1143"/>
      <c r="T9" s="1143"/>
      <c r="U9" s="1143"/>
      <c r="V9" s="1143"/>
      <c r="W9" s="1143"/>
      <c r="X9" s="1143"/>
      <c r="Y9" s="1143"/>
      <c r="Z9" s="1143"/>
      <c r="AA9" s="1143"/>
      <c r="AB9" s="1143"/>
      <c r="AC9" s="1143"/>
      <c r="AD9" s="1143"/>
      <c r="AE9" s="1144"/>
      <c r="AF9" s="252"/>
      <c r="AG9" s="1281" t="str">
        <f>HLOOKUP(LANGUAGE!$B$2,LANGUAGE!$C$14:$G$2573,1955)</f>
        <v>Overall status
Development Supplier 
Quality Gate 0</v>
      </c>
      <c r="AH9" s="1282"/>
      <c r="AI9" s="1282"/>
      <c r="AJ9" s="1282"/>
      <c r="AK9" s="1283"/>
      <c r="BD9"/>
      <c r="BE9"/>
    </row>
    <row r="10" spans="1:57" ht="17.7" customHeight="1" x14ac:dyDescent="0.25">
      <c r="B10" s="1287" t="str">
        <f>HLOOKUP(LANGUAGE!$B$2,LANGUAGE!$C$14:$G$1500,41)</f>
        <v>Brose Part No.</v>
      </c>
      <c r="C10" s="1288"/>
      <c r="D10" s="1288"/>
      <c r="E10" s="1288"/>
      <c r="F10" s="1288" t="str">
        <f>HLOOKUP(LANGUAGE!$B$2,LANGUAGE!$C$14:$G$1500,42)</f>
        <v>Index</v>
      </c>
      <c r="G10" s="1288"/>
      <c r="H10" s="1288"/>
      <c r="I10" s="1289" t="str">
        <f>HLOOKUP(LANGUAGE!$B$2,LANGUAGE!$C$14:$G$1500,43)</f>
        <v>Brose Drawing No.</v>
      </c>
      <c r="J10" s="1289"/>
      <c r="K10" s="1289"/>
      <c r="L10" s="1289"/>
      <c r="M10" s="1288" t="str">
        <f>HLOOKUP(LANGUAGE!$B$2,LANGUAGE!$C$14:$G$1500,42)</f>
        <v>Index</v>
      </c>
      <c r="N10" s="1288"/>
      <c r="O10" s="1290"/>
      <c r="P10" s="252"/>
      <c r="Q10" s="1291" t="str">
        <f>HLOOKUP(LANGUAGE!$B$2,LANGUAGE!$C$14:$G$1500,55)</f>
        <v>Milestones</v>
      </c>
      <c r="R10" s="1292"/>
      <c r="S10" s="1292"/>
      <c r="T10" s="1292"/>
      <c r="U10" s="1292"/>
      <c r="V10" s="1292" t="str">
        <f>HLOOKUP(LANGUAGE!$B$2,LANGUAGE!$C$14:$G$1500,56)</f>
        <v>Target date (acc. Order)</v>
      </c>
      <c r="W10" s="1292"/>
      <c r="X10" s="1292"/>
      <c r="Y10" s="1292"/>
      <c r="Z10" s="1292"/>
      <c r="AA10" s="1292" t="str">
        <f>HLOOKUP(LANGUAGE!$B$2,LANGUAGE!$C$14:$G$1500,57)</f>
        <v>Actual date (acc. Timing plan)</v>
      </c>
      <c r="AB10" s="1292"/>
      <c r="AC10" s="1292"/>
      <c r="AD10" s="1292"/>
      <c r="AE10" s="1293"/>
      <c r="AF10" s="252"/>
      <c r="AG10" s="1284"/>
      <c r="AH10" s="1285"/>
      <c r="AI10" s="1285"/>
      <c r="AJ10" s="1285"/>
      <c r="AK10" s="1286"/>
      <c r="BD10"/>
      <c r="BE10"/>
    </row>
    <row r="11" spans="1:57" ht="17.7" customHeight="1" x14ac:dyDescent="0.25">
      <c r="B11" s="1310"/>
      <c r="C11" s="1311"/>
      <c r="D11" s="1311"/>
      <c r="E11" s="1311"/>
      <c r="F11" s="1312"/>
      <c r="G11" s="1311"/>
      <c r="H11" s="1311"/>
      <c r="I11" s="1312"/>
      <c r="J11" s="1311"/>
      <c r="K11" s="1311"/>
      <c r="L11" s="1311"/>
      <c r="M11" s="1312"/>
      <c r="N11" s="1311"/>
      <c r="O11" s="1313"/>
      <c r="P11" s="252"/>
      <c r="Q11" s="1296" t="str">
        <f>HLOOKUP(LANGUAGE!$B$2,LANGUAGE!$C$14:$G$2573,1958)</f>
        <v>nomination of development request</v>
      </c>
      <c r="R11" s="1297"/>
      <c r="S11" s="1297"/>
      <c r="T11" s="1297"/>
      <c r="U11" s="1297"/>
      <c r="V11" s="1314"/>
      <c r="W11" s="1314"/>
      <c r="X11" s="1314"/>
      <c r="Y11" s="1314"/>
      <c r="Z11" s="1314"/>
      <c r="AA11" s="1300"/>
      <c r="AB11" s="1300"/>
      <c r="AC11" s="1300"/>
      <c r="AD11" s="1300"/>
      <c r="AE11" s="1301"/>
      <c r="AF11" s="252"/>
      <c r="AG11" s="1302" t="str">
        <f>IF(AND(BB21&gt;0,BB21&lt;5),LANGUAGE!F4,IF(BB21=5,LANGUAGE!F5,IF(BB21=6,LANGUAGE!F6,IF(BB21=10,HLOOKUP(LANGUAGE!$B$2,LANGUAGE!$C$14:$G$1500,67),""))))</f>
        <v/>
      </c>
      <c r="AH11" s="1303"/>
      <c r="AI11" s="1303"/>
      <c r="AJ11" s="1303"/>
      <c r="AK11" s="1304"/>
      <c r="BD11"/>
      <c r="BE11"/>
    </row>
    <row r="12" spans="1:57" ht="17.7" customHeight="1" x14ac:dyDescent="0.25">
      <c r="B12" s="1308"/>
      <c r="C12" s="1294"/>
      <c r="D12" s="1294"/>
      <c r="E12" s="1294"/>
      <c r="F12" s="1309"/>
      <c r="G12" s="1294"/>
      <c r="H12" s="1294"/>
      <c r="I12" s="1309"/>
      <c r="J12" s="1294"/>
      <c r="K12" s="1294"/>
      <c r="L12" s="1294"/>
      <c r="M12" s="1309"/>
      <c r="N12" s="1294"/>
      <c r="O12" s="1295"/>
      <c r="P12" s="252"/>
      <c r="Q12" s="1296" t="str">
        <f>HLOOKUP(LANGUAGE!$B$2,LANGUAGE!$C$14:$G$2573,1959)</f>
        <v>Test release 0</v>
      </c>
      <c r="R12" s="1297"/>
      <c r="S12" s="1297"/>
      <c r="T12" s="1297"/>
      <c r="U12" s="1297"/>
      <c r="V12" s="1298"/>
      <c r="W12" s="1298"/>
      <c r="X12" s="1298"/>
      <c r="Y12" s="1298"/>
      <c r="Z12" s="1298"/>
      <c r="AA12" s="1298"/>
      <c r="AB12" s="1298"/>
      <c r="AC12" s="1298"/>
      <c r="AD12" s="1298"/>
      <c r="AE12" s="1299"/>
      <c r="AF12" s="252"/>
      <c r="AG12" s="1302"/>
      <c r="AH12" s="1303"/>
      <c r="AI12" s="1303"/>
      <c r="AJ12" s="1303"/>
      <c r="AK12" s="1304"/>
      <c r="AM12" s="225"/>
      <c r="BD12"/>
      <c r="BE12"/>
    </row>
    <row r="13" spans="1:57" ht="17.25" customHeight="1" x14ac:dyDescent="0.25">
      <c r="B13" s="1308"/>
      <c r="C13" s="1294"/>
      <c r="D13" s="1294"/>
      <c r="E13" s="1294"/>
      <c r="F13" s="1294"/>
      <c r="G13" s="1294"/>
      <c r="H13" s="1294"/>
      <c r="I13" s="1294"/>
      <c r="J13" s="1294"/>
      <c r="K13" s="1294"/>
      <c r="L13" s="1294"/>
      <c r="M13" s="1294"/>
      <c r="N13" s="1294"/>
      <c r="O13" s="1295"/>
      <c r="P13" s="252"/>
      <c r="Q13" s="1296" t="str">
        <f>HLOOKUP(LANGUAGE!$B$2,LANGUAGE!$C$14:$G$2573,1960)</f>
        <v>Release of drawing index 100</v>
      </c>
      <c r="R13" s="1297"/>
      <c r="S13" s="1297"/>
      <c r="T13" s="1297"/>
      <c r="U13" s="1297"/>
      <c r="V13" s="1298"/>
      <c r="W13" s="1298"/>
      <c r="X13" s="1298"/>
      <c r="Y13" s="1298"/>
      <c r="Z13" s="1298"/>
      <c r="AA13" s="1298"/>
      <c r="AB13" s="1298"/>
      <c r="AC13" s="1298"/>
      <c r="AD13" s="1298"/>
      <c r="AE13" s="1299"/>
      <c r="AF13" s="252"/>
      <c r="AG13" s="1302"/>
      <c r="AH13" s="1303"/>
      <c r="AI13" s="1303"/>
      <c r="AJ13" s="1303"/>
      <c r="AK13" s="1304"/>
      <c r="BD13"/>
      <c r="BE13"/>
    </row>
    <row r="14" spans="1:57" ht="17.7" customHeight="1" x14ac:dyDescent="0.25">
      <c r="B14" s="1308"/>
      <c r="C14" s="1294"/>
      <c r="D14" s="1294"/>
      <c r="E14" s="1294"/>
      <c r="F14" s="1294"/>
      <c r="G14" s="1294"/>
      <c r="H14" s="1294"/>
      <c r="I14" s="1294"/>
      <c r="J14" s="1294"/>
      <c r="K14" s="1294"/>
      <c r="L14" s="1294"/>
      <c r="M14" s="1294"/>
      <c r="N14" s="1294"/>
      <c r="O14" s="1295"/>
      <c r="P14" s="252"/>
      <c r="Q14" s="1296" t="str">
        <f>HLOOKUP(LANGUAGE!$B$2,LANGUAGE!$C$14:$G$2573,1961)</f>
        <v>Test release 1</v>
      </c>
      <c r="R14" s="1297"/>
      <c r="S14" s="1297"/>
      <c r="T14" s="1297"/>
      <c r="U14" s="1297"/>
      <c r="V14" s="1298"/>
      <c r="W14" s="1298"/>
      <c r="X14" s="1298"/>
      <c r="Y14" s="1298"/>
      <c r="Z14" s="1298"/>
      <c r="AA14" s="1298"/>
      <c r="AB14" s="1298"/>
      <c r="AC14" s="1298"/>
      <c r="AD14" s="1298"/>
      <c r="AE14" s="1299"/>
      <c r="AF14" s="252"/>
      <c r="AG14" s="1302"/>
      <c r="AH14" s="1303"/>
      <c r="AI14" s="1303"/>
      <c r="AJ14" s="1303"/>
      <c r="AK14" s="1304"/>
      <c r="BD14"/>
      <c r="BE14"/>
    </row>
    <row r="15" spans="1:57" ht="17.7" customHeight="1" thickBot="1" x14ac:dyDescent="0.3">
      <c r="B15" s="1315"/>
      <c r="C15" s="1316"/>
      <c r="D15" s="1316"/>
      <c r="E15" s="1316"/>
      <c r="F15" s="1316"/>
      <c r="G15" s="1316"/>
      <c r="H15" s="1316"/>
      <c r="I15" s="1316"/>
      <c r="J15" s="1316"/>
      <c r="K15" s="1316"/>
      <c r="L15" s="1316"/>
      <c r="M15" s="1316"/>
      <c r="N15" s="1316"/>
      <c r="O15" s="1317"/>
      <c r="P15" s="252"/>
      <c r="Q15" s="1318" t="str">
        <f>HLOOKUP(LANGUAGE!$B$2,LANGUAGE!$C$14:$G$2573,1962)</f>
        <v>Development release</v>
      </c>
      <c r="R15" s="1319"/>
      <c r="S15" s="1319"/>
      <c r="T15" s="1319"/>
      <c r="U15" s="1319"/>
      <c r="V15" s="1320"/>
      <c r="W15" s="1320"/>
      <c r="X15" s="1320"/>
      <c r="Y15" s="1320"/>
      <c r="Z15" s="1320"/>
      <c r="AA15" s="1320"/>
      <c r="AB15" s="1320"/>
      <c r="AC15" s="1320"/>
      <c r="AD15" s="1320"/>
      <c r="AE15" s="1321"/>
      <c r="AF15" s="252"/>
      <c r="AG15" s="1305"/>
      <c r="AH15" s="1306"/>
      <c r="AI15" s="1306"/>
      <c r="AJ15" s="1306"/>
      <c r="AK15" s="1307"/>
      <c r="BD15"/>
      <c r="BE15"/>
    </row>
    <row r="16" spans="1:57" s="3" customFormat="1" ht="17.7" customHeight="1" x14ac:dyDescent="0.25">
      <c r="M16" s="155"/>
    </row>
    <row r="17" spans="2:62" s="3" customFormat="1" ht="17.7" customHeight="1" thickBot="1" x14ac:dyDescent="0.3">
      <c r="M17" s="155"/>
    </row>
    <row r="18" spans="2:62" s="3" customFormat="1" ht="17.7" customHeight="1" x14ac:dyDescent="0.25">
      <c r="B18" s="1322" t="str">
        <f>HLOOKUP(LANGUAGE!$B$2,LANGUAGE!$C$14:$G$2573,1965)</f>
        <v>Commercial</v>
      </c>
      <c r="C18" s="1323"/>
      <c r="D18" s="1323"/>
      <c r="E18" s="1323"/>
      <c r="F18" s="1323"/>
      <c r="G18" s="1323"/>
      <c r="H18" s="1323"/>
      <c r="I18" s="1323"/>
      <c r="J18" s="1323"/>
      <c r="K18" s="1323"/>
      <c r="L18" s="1323"/>
      <c r="M18" s="1323"/>
      <c r="N18" s="1323"/>
      <c r="O18" s="1323"/>
      <c r="P18" s="1323"/>
      <c r="Q18" s="1323"/>
      <c r="R18" s="1323"/>
      <c r="S18" s="1323"/>
      <c r="T18" s="1323"/>
      <c r="U18" s="1323"/>
      <c r="V18" s="1323"/>
      <c r="W18" s="1323"/>
      <c r="X18" s="1323"/>
      <c r="Y18" s="1323"/>
      <c r="Z18" s="1323"/>
      <c r="AA18" s="1323"/>
      <c r="AB18" s="1323"/>
      <c r="AC18" s="1323"/>
      <c r="AD18" s="1323"/>
      <c r="AE18" s="1323"/>
      <c r="AF18" s="1323"/>
      <c r="AG18" s="1323"/>
      <c r="AH18" s="1323"/>
      <c r="AI18" s="1323"/>
      <c r="AJ18" s="1323"/>
      <c r="AK18" s="1324"/>
      <c r="BD18" s="3" t="str">
        <f>LANGUAGE!G4</f>
        <v>in progress</v>
      </c>
      <c r="BE18" s="3" t="str">
        <f>LANGUAGE!G5</f>
        <v>completed</v>
      </c>
      <c r="BI18" s="142"/>
      <c r="BJ18" s="142"/>
    </row>
    <row r="19" spans="2:62" s="3" customFormat="1" ht="17.7" customHeight="1" x14ac:dyDescent="0.25">
      <c r="B19" s="1325"/>
      <c r="C19" s="1326"/>
      <c r="D19" s="1326"/>
      <c r="E19" s="1326"/>
      <c r="F19" s="1326"/>
      <c r="G19" s="1326"/>
      <c r="H19" s="1326"/>
      <c r="I19" s="1326"/>
      <c r="J19" s="1326"/>
      <c r="K19" s="1326"/>
      <c r="L19" s="1326"/>
      <c r="M19" s="1326"/>
      <c r="N19" s="1326"/>
      <c r="O19" s="1326"/>
      <c r="P19" s="1326"/>
      <c r="Q19" s="1326"/>
      <c r="R19" s="1326"/>
      <c r="S19" s="1326"/>
      <c r="T19" s="1326"/>
      <c r="U19" s="1326"/>
      <c r="V19" s="1326"/>
      <c r="W19" s="1326"/>
      <c r="X19" s="1326"/>
      <c r="Y19" s="1326"/>
      <c r="Z19" s="1326"/>
      <c r="AA19" s="1326"/>
      <c r="AB19" s="1326"/>
      <c r="AC19" s="1326"/>
      <c r="AD19" s="1326"/>
      <c r="AE19" s="1326"/>
      <c r="AF19" s="1326"/>
      <c r="AG19" s="1326"/>
      <c r="AH19" s="1326"/>
      <c r="AI19" s="1326"/>
      <c r="AJ19" s="1326"/>
      <c r="AK19" s="1327"/>
      <c r="BI19" s="142"/>
      <c r="BJ19" s="142"/>
    </row>
    <row r="20" spans="2:62" s="3" customFormat="1" ht="17.7" customHeight="1" x14ac:dyDescent="0.25">
      <c r="B20" s="1328" t="str">
        <f>HLOOKUP(LANGUAGE!$B$2,LANGUAGE!$C$14:$G$1500,91)</f>
        <v>No.</v>
      </c>
      <c r="C20" s="1329" t="str">
        <f>HLOOKUP(LANGUAGE!$B$2,LANGUAGE!$C$14:$G$1500,73)</f>
        <v>Topic</v>
      </c>
      <c r="D20" s="1329"/>
      <c r="E20" s="1329" t="str">
        <f>HLOOKUP(LANGUAGE!$B$2,LANGUAGE!$C$14:$G$1500,92)</f>
        <v>Question</v>
      </c>
      <c r="F20" s="1329"/>
      <c r="G20" s="1329"/>
      <c r="H20" s="1329"/>
      <c r="I20" s="1329"/>
      <c r="J20" s="1329"/>
      <c r="K20" s="1329"/>
      <c r="L20" s="1329"/>
      <c r="M20" s="1329" t="str">
        <f>HLOOKUP(LANGUAGE!$B$2,LANGUAGE!$C$14:$G$1500,93)</f>
        <v>Notes</v>
      </c>
      <c r="N20" s="1329"/>
      <c r="O20" s="1329"/>
      <c r="P20" s="1329"/>
      <c r="Q20" s="1329"/>
      <c r="R20" s="1329"/>
      <c r="S20" s="1329"/>
      <c r="T20" s="1329"/>
      <c r="U20" s="1330" t="str">
        <f>HLOOKUP(LANGUAGE!$B$2,LANGUAGE!$C$14:$G$1500,114)</f>
        <v>Remarks</v>
      </c>
      <c r="V20" s="1330"/>
      <c r="W20" s="1330"/>
      <c r="X20" s="1330"/>
      <c r="Y20" s="1330"/>
      <c r="Z20" s="1329" t="str">
        <f>HLOOKUP(LANGUAGE!$B$2,LANGUAGE!$C$14:$G$1500,74)</f>
        <v>Evaluation</v>
      </c>
      <c r="AA20" s="1329"/>
      <c r="AB20" s="1329" t="str">
        <f>HLOOKUP(LANGUAGE!$B$2,LANGUAGE!$C$14:$G$1500,95)</f>
        <v>Action</v>
      </c>
      <c r="AC20" s="1329"/>
      <c r="AD20" s="1329"/>
      <c r="AE20" s="1330" t="str">
        <f>HLOOKUP(LANGUAGE!$B$2,LANGUAGE!$C$14:$G$1500,96)</f>
        <v>Responsible</v>
      </c>
      <c r="AF20" s="1330"/>
      <c r="AG20" s="1330"/>
      <c r="AH20" s="1329" t="str">
        <f>HLOOKUP(LANGUAGE!$B$2,LANGUAGE!$C$14:$G$1500,21)</f>
        <v>Date</v>
      </c>
      <c r="AI20" s="1329"/>
      <c r="AJ20" s="1329" t="str">
        <f>HLOOKUP(LANGUAGE!$B$2,LANGUAGE!$C$14:$G$1500,75)</f>
        <v>Action status</v>
      </c>
      <c r="AK20" s="1331"/>
      <c r="BI20" s="142"/>
      <c r="BJ20" s="142"/>
    </row>
    <row r="21" spans="2:62" s="3" customFormat="1" ht="17.7" customHeight="1" x14ac:dyDescent="0.25">
      <c r="B21" s="1328"/>
      <c r="C21" s="1329"/>
      <c r="D21" s="1329"/>
      <c r="E21" s="1329"/>
      <c r="F21" s="1329"/>
      <c r="G21" s="1329"/>
      <c r="H21" s="1329"/>
      <c r="I21" s="1329"/>
      <c r="J21" s="1329"/>
      <c r="K21" s="1329"/>
      <c r="L21" s="1329"/>
      <c r="M21" s="1329"/>
      <c r="N21" s="1329"/>
      <c r="O21" s="1329"/>
      <c r="P21" s="1329"/>
      <c r="Q21" s="1329"/>
      <c r="R21" s="1329"/>
      <c r="S21" s="1329"/>
      <c r="T21" s="1329"/>
      <c r="U21" s="1330"/>
      <c r="V21" s="1330"/>
      <c r="W21" s="1330"/>
      <c r="X21" s="1330"/>
      <c r="Y21" s="1330"/>
      <c r="Z21" s="1329"/>
      <c r="AA21" s="1329"/>
      <c r="AB21" s="1329"/>
      <c r="AC21" s="1329"/>
      <c r="AD21" s="1329"/>
      <c r="AE21" s="1330"/>
      <c r="AF21" s="1330"/>
      <c r="AG21" s="1330"/>
      <c r="AH21" s="1329"/>
      <c r="AI21" s="1329"/>
      <c r="AJ21" s="1329"/>
      <c r="AK21" s="1331"/>
      <c r="BB21" s="3">
        <f>MAX(BB22:BB49)</f>
        <v>0</v>
      </c>
    </row>
    <row r="22" spans="2:62" s="3" customFormat="1" ht="67.5" customHeight="1" thickBot="1" x14ac:dyDescent="0.3">
      <c r="B22" s="499" t="s">
        <v>1785</v>
      </c>
      <c r="C22" s="1332" t="str">
        <f>HLOOKUP(LANGUAGE!$B$2,LANGUAGE!$C$14:$G$2573,1966)</f>
        <v>Release</v>
      </c>
      <c r="D22" s="1333"/>
      <c r="E22" s="1334" t="str">
        <f>HLOOKUP(LANGUAGE!$B$2,LANGUAGE!$C$14:$G$2573,1969)</f>
        <v>Has the supplier been approved for development scope by Brose? If applicable, has the planned production site been approved for the required technologies / processes?</v>
      </c>
      <c r="F22" s="1334"/>
      <c r="G22" s="1334"/>
      <c r="H22" s="1334"/>
      <c r="I22" s="1334"/>
      <c r="J22" s="1334"/>
      <c r="K22" s="1334"/>
      <c r="L22" s="1334"/>
      <c r="M22" s="1334" t="str">
        <f>HLOOKUP(LANGUAGE!$B$2,LANGUAGE!$C$14:$G$3073,1970)</f>
        <v>T-Audit carried out along VDA 6.3 incl. product development, release of the production site incl. technologies in case of a planned series production.</v>
      </c>
      <c r="N22" s="1334"/>
      <c r="O22" s="1334"/>
      <c r="P22" s="1334"/>
      <c r="Q22" s="1334"/>
      <c r="R22" s="1334"/>
      <c r="S22" s="1334"/>
      <c r="T22" s="1334"/>
      <c r="U22" s="1335"/>
      <c r="V22" s="1335"/>
      <c r="W22" s="1335"/>
      <c r="X22" s="1335"/>
      <c r="Y22" s="1335"/>
      <c r="Z22" s="1336"/>
      <c r="AA22" s="1336"/>
      <c r="AB22" s="1336"/>
      <c r="AC22" s="1336"/>
      <c r="AD22" s="1336"/>
      <c r="AE22" s="1336"/>
      <c r="AF22" s="1336"/>
      <c r="AG22" s="1336"/>
      <c r="AH22" s="1337"/>
      <c r="AI22" s="1336"/>
      <c r="AJ22" s="1337"/>
      <c r="AK22" s="1338"/>
      <c r="AZ22" s="3">
        <f>IF(ISNUMBER(MATCH(Z22,LANGUAGE!$C$138:$G$138,0)),1,IF(ISNUMBER(MATCH(Z22,LANGUAGE!$C$139:$G$139,0)),2,IF(ISNUMBER(MATCH(Z22,LANGUAGE!$C$140:$G$140,0)),3,0)))</f>
        <v>0</v>
      </c>
      <c r="BA22" s="3">
        <f>IF(ISNUMBER(MATCH(AJ22,LANGUAGE!$C$141:$G$141,0)),3,IF(ISNUMBER(MATCH(AJ22,LANGUAGE!$C$142:$G$142,0)),1,0))</f>
        <v>0</v>
      </c>
      <c r="BB22" s="3">
        <f>IF(AND(AZ22&gt;1,BA22=0),10,AZ22+BA22)</f>
        <v>0</v>
      </c>
      <c r="BD22" s="3" t="str">
        <f>IF(ISNUMBER(MATCH($AJ22,LANGUAGE!$C$141:$G$141,0)),$B22,"")</f>
        <v/>
      </c>
      <c r="BE22" s="3" t="str">
        <f>IF(ISNUMBER(MATCH($AJ22,LANGUAGE!$C$142:$G$142,0)),$B22,"")</f>
        <v/>
      </c>
    </row>
    <row r="23" spans="2:62" s="3" customFormat="1" ht="19.600000000000001" customHeight="1" thickBot="1" x14ac:dyDescent="0.3">
      <c r="B23" s="500"/>
      <c r="C23" s="501"/>
      <c r="D23" s="501"/>
      <c r="E23" s="502"/>
      <c r="F23" s="502"/>
      <c r="G23" s="502"/>
      <c r="H23" s="502"/>
      <c r="I23" s="502"/>
      <c r="J23" s="502"/>
      <c r="K23" s="502"/>
      <c r="L23" s="502"/>
      <c r="M23" s="502"/>
      <c r="N23" s="502"/>
      <c r="O23" s="502"/>
      <c r="P23" s="502"/>
      <c r="Q23" s="502"/>
      <c r="R23" s="502"/>
      <c r="S23" s="502"/>
      <c r="T23" s="502"/>
      <c r="U23" s="503"/>
      <c r="V23" s="503"/>
      <c r="W23" s="503"/>
      <c r="X23" s="503"/>
      <c r="Y23" s="503"/>
      <c r="Z23" s="504"/>
      <c r="AA23" s="504"/>
      <c r="AB23" s="504"/>
      <c r="AC23" s="504"/>
      <c r="AD23" s="504"/>
      <c r="AE23" s="504"/>
      <c r="AF23" s="504"/>
      <c r="AG23" s="504"/>
      <c r="AH23" s="505"/>
      <c r="AI23" s="504"/>
      <c r="AJ23" s="505"/>
      <c r="AK23" s="504"/>
    </row>
    <row r="24" spans="2:62" s="3" customFormat="1" ht="17.7" customHeight="1" x14ac:dyDescent="0.25">
      <c r="B24" s="1339" t="str">
        <f>HLOOKUP(LANGUAGE!$B$2,LANGUAGE!$C$14:$G$3073,1972)</f>
        <v>Feasibility</v>
      </c>
      <c r="C24" s="1340"/>
      <c r="D24" s="1340"/>
      <c r="E24" s="1340"/>
      <c r="F24" s="1340"/>
      <c r="G24" s="1340"/>
      <c r="H24" s="1340"/>
      <c r="I24" s="1340"/>
      <c r="J24" s="1340"/>
      <c r="K24" s="1340"/>
      <c r="L24" s="1340"/>
      <c r="M24" s="1340"/>
      <c r="N24" s="1340"/>
      <c r="O24" s="1340"/>
      <c r="P24" s="1340"/>
      <c r="Q24" s="1340"/>
      <c r="R24" s="1340"/>
      <c r="S24" s="1340"/>
      <c r="T24" s="1340"/>
      <c r="U24" s="1340"/>
      <c r="V24" s="1340"/>
      <c r="W24" s="1340"/>
      <c r="X24" s="1340"/>
      <c r="Y24" s="1340"/>
      <c r="Z24" s="1340"/>
      <c r="AA24" s="1340"/>
      <c r="AB24" s="1340"/>
      <c r="AC24" s="1340"/>
      <c r="AD24" s="1340"/>
      <c r="AE24" s="1340"/>
      <c r="AF24" s="1340"/>
      <c r="AG24" s="1340"/>
      <c r="AH24" s="1340"/>
      <c r="AI24" s="1340"/>
      <c r="AJ24" s="1340"/>
      <c r="AK24" s="1341"/>
      <c r="BI24" s="142"/>
      <c r="BJ24" s="142"/>
    </row>
    <row r="25" spans="2:62" s="3" customFormat="1" ht="17.7" customHeight="1" x14ac:dyDescent="0.25">
      <c r="B25" s="1342"/>
      <c r="C25" s="1343"/>
      <c r="D25" s="1343"/>
      <c r="E25" s="1343"/>
      <c r="F25" s="1343"/>
      <c r="G25" s="1343"/>
      <c r="H25" s="1343"/>
      <c r="I25" s="1343"/>
      <c r="J25" s="1343"/>
      <c r="K25" s="1343"/>
      <c r="L25" s="1343"/>
      <c r="M25" s="1343"/>
      <c r="N25" s="1343"/>
      <c r="O25" s="1343"/>
      <c r="P25" s="1343"/>
      <c r="Q25" s="1343"/>
      <c r="R25" s="1343"/>
      <c r="S25" s="1343"/>
      <c r="T25" s="1343"/>
      <c r="U25" s="1343"/>
      <c r="V25" s="1343"/>
      <c r="W25" s="1343"/>
      <c r="X25" s="1343"/>
      <c r="Y25" s="1343"/>
      <c r="Z25" s="1343"/>
      <c r="AA25" s="1343"/>
      <c r="AB25" s="1343"/>
      <c r="AC25" s="1343"/>
      <c r="AD25" s="1343"/>
      <c r="AE25" s="1343"/>
      <c r="AF25" s="1343"/>
      <c r="AG25" s="1343"/>
      <c r="AH25" s="1343"/>
      <c r="AI25" s="1343"/>
      <c r="AJ25" s="1343"/>
      <c r="AK25" s="1344"/>
      <c r="BI25" s="142"/>
      <c r="BJ25" s="142"/>
    </row>
    <row r="26" spans="2:62" s="3" customFormat="1" ht="17.7" customHeight="1" x14ac:dyDescent="0.25">
      <c r="B26" s="1328" t="str">
        <f>HLOOKUP(LANGUAGE!$B$2,LANGUAGE!$C$14:$G$1500,91)</f>
        <v>No.</v>
      </c>
      <c r="C26" s="1329" t="str">
        <f>HLOOKUP(LANGUAGE!$B$2,LANGUAGE!$C$14:$G$1500,73)</f>
        <v>Topic</v>
      </c>
      <c r="D26" s="1329"/>
      <c r="E26" s="1329" t="str">
        <f>HLOOKUP(LANGUAGE!$B$2,LANGUAGE!$C$14:$G$1500,92)</f>
        <v>Question</v>
      </c>
      <c r="F26" s="1329"/>
      <c r="G26" s="1329"/>
      <c r="H26" s="1329"/>
      <c r="I26" s="1329"/>
      <c r="J26" s="1329"/>
      <c r="K26" s="1329"/>
      <c r="L26" s="1329"/>
      <c r="M26" s="1329" t="str">
        <f>HLOOKUP(LANGUAGE!$B$2,LANGUAGE!$C$14:$G$1500,93)</f>
        <v>Notes</v>
      </c>
      <c r="N26" s="1329"/>
      <c r="O26" s="1329"/>
      <c r="P26" s="1329"/>
      <c r="Q26" s="1329"/>
      <c r="R26" s="1329"/>
      <c r="S26" s="1329"/>
      <c r="T26" s="1329"/>
      <c r="U26" s="1330" t="str">
        <f>HLOOKUP(LANGUAGE!$B$2,LANGUAGE!$C$14:$G$1500,114)</f>
        <v>Remarks</v>
      </c>
      <c r="V26" s="1330"/>
      <c r="W26" s="1330"/>
      <c r="X26" s="1330"/>
      <c r="Y26" s="1330"/>
      <c r="Z26" s="1329" t="str">
        <f>HLOOKUP(LANGUAGE!$B$2,LANGUAGE!$C$14:$G$1500,74)</f>
        <v>Evaluation</v>
      </c>
      <c r="AA26" s="1329"/>
      <c r="AB26" s="1329" t="str">
        <f>HLOOKUP(LANGUAGE!$B$2,LANGUAGE!$C$14:$G$1500,95)</f>
        <v>Action</v>
      </c>
      <c r="AC26" s="1329"/>
      <c r="AD26" s="1329"/>
      <c r="AE26" s="1330" t="str">
        <f>HLOOKUP(LANGUAGE!$B$2,LANGUAGE!$C$14:$G$1500,96)</f>
        <v>Responsible</v>
      </c>
      <c r="AF26" s="1330"/>
      <c r="AG26" s="1330"/>
      <c r="AH26" s="1329" t="str">
        <f>HLOOKUP(LANGUAGE!$B$2,LANGUAGE!$C$14:$G$1500,21)</f>
        <v>Date</v>
      </c>
      <c r="AI26" s="1329"/>
      <c r="AJ26" s="1329" t="str">
        <f>HLOOKUP(LANGUAGE!$B$2,LANGUAGE!$C$14:$G$1500,75)</f>
        <v>Action status</v>
      </c>
      <c r="AK26" s="1331"/>
      <c r="BI26" s="142"/>
      <c r="BJ26" s="142"/>
    </row>
    <row r="27" spans="2:62" s="3" customFormat="1" ht="17.7" customHeight="1" x14ac:dyDescent="0.25">
      <c r="B27" s="1328"/>
      <c r="C27" s="1329"/>
      <c r="D27" s="1329"/>
      <c r="E27" s="1329"/>
      <c r="F27" s="1329"/>
      <c r="G27" s="1329"/>
      <c r="H27" s="1329"/>
      <c r="I27" s="1329"/>
      <c r="J27" s="1329"/>
      <c r="K27" s="1329"/>
      <c r="L27" s="1329"/>
      <c r="M27" s="1329"/>
      <c r="N27" s="1329"/>
      <c r="O27" s="1329"/>
      <c r="P27" s="1329"/>
      <c r="Q27" s="1329"/>
      <c r="R27" s="1329"/>
      <c r="S27" s="1329"/>
      <c r="T27" s="1329"/>
      <c r="U27" s="1330"/>
      <c r="V27" s="1330"/>
      <c r="W27" s="1330"/>
      <c r="X27" s="1330"/>
      <c r="Y27" s="1330"/>
      <c r="Z27" s="1329"/>
      <c r="AA27" s="1329"/>
      <c r="AB27" s="1329"/>
      <c r="AC27" s="1329"/>
      <c r="AD27" s="1329"/>
      <c r="AE27" s="1330"/>
      <c r="AF27" s="1330"/>
      <c r="AG27" s="1330"/>
      <c r="AH27" s="1329"/>
      <c r="AI27" s="1329"/>
      <c r="AJ27" s="1329"/>
      <c r="AK27" s="1331"/>
    </row>
    <row r="28" spans="2:62" s="3" customFormat="1" ht="82.5" customHeight="1" thickBot="1" x14ac:dyDescent="0.3">
      <c r="B28" s="499" t="s">
        <v>1786</v>
      </c>
      <c r="C28" s="1332" t="str">
        <f>HLOOKUP(LANGUAGE!$B$2,LANGUAGE!$C$14:$G$3073,1973)</f>
        <v>Development</v>
      </c>
      <c r="D28" s="1333"/>
      <c r="E28" s="1334" t="str">
        <f>HLOOKUP(LANGUAGE!$B$2,LANGUAGE!$C$14:$G$3073,1974)</f>
        <v>Can the product be developed in compliance with all relevant specifications and regulations without restrictions and process capable under consideration of final assembly condition and prupose of use?</v>
      </c>
      <c r="F28" s="1334"/>
      <c r="G28" s="1334"/>
      <c r="H28" s="1334"/>
      <c r="I28" s="1334"/>
      <c r="J28" s="1334"/>
      <c r="K28" s="1334"/>
      <c r="L28" s="1334"/>
      <c r="M28" s="1334" t="str">
        <f>HLOOKUP(LANGUAGE!$B$2,LANGUAGE!$C$14:$G$3073,1975)</f>
        <v>Interdisciplinary evaluation of the supplier must be available. For example drawings, specifications, QSB, Brose standards, customer-specific requirements, IMDS data.</v>
      </c>
      <c r="N28" s="1334"/>
      <c r="O28" s="1334"/>
      <c r="P28" s="1334"/>
      <c r="Q28" s="1334"/>
      <c r="R28" s="1334"/>
      <c r="S28" s="1334"/>
      <c r="T28" s="1334"/>
      <c r="U28" s="1335"/>
      <c r="V28" s="1335"/>
      <c r="W28" s="1335"/>
      <c r="X28" s="1335"/>
      <c r="Y28" s="1335"/>
      <c r="Z28" s="1336"/>
      <c r="AA28" s="1336"/>
      <c r="AB28" s="1336"/>
      <c r="AC28" s="1336"/>
      <c r="AD28" s="1336"/>
      <c r="AE28" s="1336"/>
      <c r="AF28" s="1336"/>
      <c r="AG28" s="1336"/>
      <c r="AH28" s="1337"/>
      <c r="AI28" s="1336"/>
      <c r="AJ28" s="1337"/>
      <c r="AK28" s="1338"/>
      <c r="AZ28" s="3">
        <f>IF(ISNUMBER(MATCH(Z28,LANGUAGE!$C$138:$G$138,0)),1,IF(ISNUMBER(MATCH(Z28,LANGUAGE!$C$139:$G$139,0)),2,IF(ISNUMBER(MATCH(Z28,LANGUAGE!$C$140:$G$140,0)),3,0)))</f>
        <v>0</v>
      </c>
      <c r="BA28" s="3">
        <f>IF(ISNUMBER(MATCH(AJ28,LANGUAGE!$C$141:$G$141,0)),3,IF(ISNUMBER(MATCH(AJ28,LANGUAGE!$C$142:$G$142,0)),1,0))</f>
        <v>0</v>
      </c>
      <c r="BB28" s="3">
        <f>IF(AND(AZ28&gt;1,BA28=0),10,AZ28+BA28)</f>
        <v>0</v>
      </c>
      <c r="BD28" s="3" t="str">
        <f>IF(ISNUMBER(MATCH($AJ28,LANGUAGE!$C$141:$G$141,0)),$B28,"")</f>
        <v/>
      </c>
      <c r="BE28" s="3" t="str">
        <f>IF(ISNUMBER(MATCH($AJ28,LANGUAGE!$C$142:$G$142,0)),$B28,"")</f>
        <v/>
      </c>
    </row>
    <row r="29" spans="2:62" s="3" customFormat="1" ht="17.7" customHeight="1" thickBot="1" x14ac:dyDescent="0.3">
      <c r="M29" s="155"/>
      <c r="BD29" s="3" t="str">
        <f>IF(ISNUMBER(MATCH($AJ29,LANGUAGE!$C$141:$G$141,0)),$B29,"")</f>
        <v/>
      </c>
      <c r="BE29" s="3" t="str">
        <f>IF(ISNUMBER(MATCH($AJ29,LANGUAGE!$C$142:$G$142,0)),$B29,"")</f>
        <v/>
      </c>
    </row>
    <row r="30" spans="2:62" s="3" customFormat="1" ht="17.7" customHeight="1" x14ac:dyDescent="0.25">
      <c r="B30" s="1322" t="str">
        <f>HLOOKUP(LANGUAGE!$B$2,LANGUAGE!$C$14:$G$3073,1979)</f>
        <v>Project management</v>
      </c>
      <c r="C30" s="1323"/>
      <c r="D30" s="1323"/>
      <c r="E30" s="1323"/>
      <c r="F30" s="1323"/>
      <c r="G30" s="1323"/>
      <c r="H30" s="1323"/>
      <c r="I30" s="1323"/>
      <c r="J30" s="1323"/>
      <c r="K30" s="1323"/>
      <c r="L30" s="1323"/>
      <c r="M30" s="1323"/>
      <c r="N30" s="1323"/>
      <c r="O30" s="1323"/>
      <c r="P30" s="1323"/>
      <c r="Q30" s="1323"/>
      <c r="R30" s="1323"/>
      <c r="S30" s="1323"/>
      <c r="T30" s="1323"/>
      <c r="U30" s="1323"/>
      <c r="V30" s="1323"/>
      <c r="W30" s="1323"/>
      <c r="X30" s="1323"/>
      <c r="Y30" s="1323"/>
      <c r="Z30" s="1323"/>
      <c r="AA30" s="1323"/>
      <c r="AB30" s="1323"/>
      <c r="AC30" s="1323"/>
      <c r="AD30" s="1323"/>
      <c r="AE30" s="1323"/>
      <c r="AF30" s="1323"/>
      <c r="AG30" s="1323"/>
      <c r="AH30" s="1323"/>
      <c r="AI30" s="1323"/>
      <c r="AJ30" s="1323"/>
      <c r="AK30" s="1324"/>
      <c r="BD30" s="3" t="str">
        <f>IF(ISNUMBER(MATCH($AJ30,LANGUAGE!$C$141:$G$141,0)),$B30,"")</f>
        <v/>
      </c>
      <c r="BE30" s="3" t="str">
        <f>IF(ISNUMBER(MATCH($AJ30,LANGUAGE!$C$142:$G$142,0)),$B30,"")</f>
        <v/>
      </c>
    </row>
    <row r="31" spans="2:62" s="3" customFormat="1" ht="17.7" customHeight="1" x14ac:dyDescent="0.25">
      <c r="B31" s="1325"/>
      <c r="C31" s="1326"/>
      <c r="D31" s="1326"/>
      <c r="E31" s="1326"/>
      <c r="F31" s="1326"/>
      <c r="G31" s="1326"/>
      <c r="H31" s="1326"/>
      <c r="I31" s="1326"/>
      <c r="J31" s="1326"/>
      <c r="K31" s="1326"/>
      <c r="L31" s="1326"/>
      <c r="M31" s="1326"/>
      <c r="N31" s="1326"/>
      <c r="O31" s="1326"/>
      <c r="P31" s="1326"/>
      <c r="Q31" s="1326"/>
      <c r="R31" s="1326"/>
      <c r="S31" s="1326"/>
      <c r="T31" s="1326"/>
      <c r="U31" s="1326"/>
      <c r="V31" s="1326"/>
      <c r="W31" s="1326"/>
      <c r="X31" s="1326"/>
      <c r="Y31" s="1326"/>
      <c r="Z31" s="1326"/>
      <c r="AA31" s="1326"/>
      <c r="AB31" s="1326"/>
      <c r="AC31" s="1326"/>
      <c r="AD31" s="1326"/>
      <c r="AE31" s="1326"/>
      <c r="AF31" s="1326"/>
      <c r="AG31" s="1326"/>
      <c r="AH31" s="1326"/>
      <c r="AI31" s="1326"/>
      <c r="AJ31" s="1326"/>
      <c r="AK31" s="1327"/>
      <c r="BD31" s="3" t="str">
        <f>IF(ISNUMBER(MATCH($AJ31,LANGUAGE!$C$141:$G$141,0)),$B31,"")</f>
        <v/>
      </c>
      <c r="BE31" s="3" t="str">
        <f>IF(ISNUMBER(MATCH($AJ31,LANGUAGE!$C$142:$G$142,0)),$B31,"")</f>
        <v/>
      </c>
    </row>
    <row r="32" spans="2:62" s="3" customFormat="1" ht="17.7" customHeight="1" x14ac:dyDescent="0.25">
      <c r="B32" s="1328" t="str">
        <f>HLOOKUP(LANGUAGE!$B$2,LANGUAGE!$C$14:$G$1500,91)</f>
        <v>No.</v>
      </c>
      <c r="C32" s="1329" t="str">
        <f>HLOOKUP(LANGUAGE!$B$2,LANGUAGE!$C$14:$G$1500,73)</f>
        <v>Topic</v>
      </c>
      <c r="D32" s="1329"/>
      <c r="E32" s="1329" t="str">
        <f>HLOOKUP(LANGUAGE!$B$2,LANGUAGE!$C$14:$G$1500,92)</f>
        <v>Question</v>
      </c>
      <c r="F32" s="1329"/>
      <c r="G32" s="1329"/>
      <c r="H32" s="1329"/>
      <c r="I32" s="1329"/>
      <c r="J32" s="1329"/>
      <c r="K32" s="1329"/>
      <c r="L32" s="1329"/>
      <c r="M32" s="1329" t="str">
        <f>HLOOKUP(LANGUAGE!$B$2,LANGUAGE!$C$14:$G$1500,93)</f>
        <v>Notes</v>
      </c>
      <c r="N32" s="1329"/>
      <c r="O32" s="1329"/>
      <c r="P32" s="1329"/>
      <c r="Q32" s="1329"/>
      <c r="R32" s="1329"/>
      <c r="S32" s="1329"/>
      <c r="T32" s="1329"/>
      <c r="U32" s="1330" t="str">
        <f>HLOOKUP(LANGUAGE!$B$2,LANGUAGE!$C$14:$G$1500,114)</f>
        <v>Remarks</v>
      </c>
      <c r="V32" s="1330"/>
      <c r="W32" s="1330"/>
      <c r="X32" s="1330"/>
      <c r="Y32" s="1330"/>
      <c r="Z32" s="1329" t="str">
        <f>HLOOKUP(LANGUAGE!$B$2,LANGUAGE!$C$14:$G$1500,74)</f>
        <v>Evaluation</v>
      </c>
      <c r="AA32" s="1329"/>
      <c r="AB32" s="1329" t="str">
        <f>HLOOKUP(LANGUAGE!$B$2,LANGUAGE!$C$14:$G$1500,95)</f>
        <v>Action</v>
      </c>
      <c r="AC32" s="1329"/>
      <c r="AD32" s="1329"/>
      <c r="AE32" s="1330" t="str">
        <f>HLOOKUP(LANGUAGE!$B$2,LANGUAGE!$C$14:$G$1500,96)</f>
        <v>Responsible</v>
      </c>
      <c r="AF32" s="1330"/>
      <c r="AG32" s="1330"/>
      <c r="AH32" s="1329" t="str">
        <f>HLOOKUP(LANGUAGE!$B$2,LANGUAGE!$C$14:$G$1500,21)</f>
        <v>Date</v>
      </c>
      <c r="AI32" s="1329"/>
      <c r="AJ32" s="1329" t="str">
        <f>HLOOKUP(LANGUAGE!$B$2,LANGUAGE!$C$14:$G$1500,75)</f>
        <v>Action status</v>
      </c>
      <c r="AK32" s="1331"/>
      <c r="BD32" s="3" t="str">
        <f>IF(ISNUMBER(MATCH($AJ32,LANGUAGE!$C$141:$G$141,0)),$B32,"")</f>
        <v/>
      </c>
      <c r="BE32" s="3" t="str">
        <f>IF(ISNUMBER(MATCH($AJ32,LANGUAGE!$C$142:$G$142,0)),$B32,"")</f>
        <v/>
      </c>
    </row>
    <row r="33" spans="2:57" s="3" customFormat="1" ht="17.7" customHeight="1" x14ac:dyDescent="0.25">
      <c r="B33" s="1328"/>
      <c r="C33" s="1329"/>
      <c r="D33" s="1329"/>
      <c r="E33" s="1329"/>
      <c r="F33" s="1329"/>
      <c r="G33" s="1329"/>
      <c r="H33" s="1329"/>
      <c r="I33" s="1329"/>
      <c r="J33" s="1329"/>
      <c r="K33" s="1329"/>
      <c r="L33" s="1329"/>
      <c r="M33" s="1329"/>
      <c r="N33" s="1329"/>
      <c r="O33" s="1329"/>
      <c r="P33" s="1329"/>
      <c r="Q33" s="1329"/>
      <c r="R33" s="1329"/>
      <c r="S33" s="1329"/>
      <c r="T33" s="1329"/>
      <c r="U33" s="1330"/>
      <c r="V33" s="1330"/>
      <c r="W33" s="1330"/>
      <c r="X33" s="1330"/>
      <c r="Y33" s="1330"/>
      <c r="Z33" s="1329"/>
      <c r="AA33" s="1329"/>
      <c r="AB33" s="1329"/>
      <c r="AC33" s="1329"/>
      <c r="AD33" s="1329"/>
      <c r="AE33" s="1330"/>
      <c r="AF33" s="1330"/>
      <c r="AG33" s="1330"/>
      <c r="AH33" s="1329"/>
      <c r="AI33" s="1329"/>
      <c r="AJ33" s="1329"/>
      <c r="AK33" s="1331"/>
      <c r="BD33" s="132" t="str">
        <f>IF(BD34&lt;&gt;"",BD34&amp;" ","")&amp;IF(BD35&lt;&gt;"",BD35&amp;" ","")&amp;IF(BD36&lt;&gt;"",BD36&amp;" ","")&amp;IF(BD37&lt;&gt;"",BD37&amp;" ",""&amp;IF(BD38&lt;&gt;"",BD38&amp;" ",""))&amp;IF(BD39&lt;&gt;"",BD39&amp;" ","")&amp;IF(BD40&lt;&gt;"",BD40&amp;" ","")&amp;IF(BD41&lt;&gt;"",BD41&amp;" ","")&amp;IF(BD42&lt;&gt;"",BD42,"")</f>
        <v/>
      </c>
      <c r="BE33" s="132" t="str">
        <f>IF(BE34&lt;&gt;"",BE34&amp;" ","")&amp;IF(BE35&lt;&gt;"",BE35&amp;" ","")&amp;IF(BE36&lt;&gt;"",BE36&amp;" ","")&amp;IF(BE37&lt;&gt;"",BE37&amp;" ","")&amp;IF(BE38&lt;&gt;"",BE38&amp;" ","")&amp;IF(BE39&lt;&gt;"",BE39&amp;" ","")&amp;IF(BE40&lt;&gt;"",BE40&amp;" ","")&amp;IF(BE41&lt;&gt;"",BE41&amp;" ","")&amp;IF(BE42&lt;&gt;"",BE42&amp;" ","")</f>
        <v/>
      </c>
    </row>
    <row r="34" spans="2:57" s="3" customFormat="1" ht="74.2" customHeight="1" x14ac:dyDescent="0.25">
      <c r="B34" s="506" t="s">
        <v>1787</v>
      </c>
      <c r="C34" s="1345" t="str">
        <f>HLOOKUP(LANGUAGE!$B$2,LANGUAGE!$C$14:$G$3073,1983)</f>
        <v>Responsibili-ties</v>
      </c>
      <c r="D34" s="1345"/>
      <c r="E34" s="1346" t="str">
        <f>HLOOKUP(LANGUAGE!$B$2,LANGUAGE!$C$14:$G$3073,1984)</f>
        <v>Are responsibilities and collaboration during product development clearly regulated?</v>
      </c>
      <c r="F34" s="1346"/>
      <c r="G34" s="1346"/>
      <c r="H34" s="1346"/>
      <c r="I34" s="1346"/>
      <c r="J34" s="1346"/>
      <c r="K34" s="1346"/>
      <c r="L34" s="1346"/>
      <c r="M34" s="1347" t="str">
        <f>HLOOKUP(LANGUAGE!$B$2,LANGUAGE!$C$14:$G$3073,1985)</f>
        <v>RASIC - Chart between Brose and supplier is available.
Data exchange is defined.</v>
      </c>
      <c r="N34" s="1347"/>
      <c r="O34" s="1347"/>
      <c r="P34" s="1347"/>
      <c r="Q34" s="1347"/>
      <c r="R34" s="1347"/>
      <c r="S34" s="1347"/>
      <c r="T34" s="1347"/>
      <c r="U34" s="1348"/>
      <c r="V34" s="1348"/>
      <c r="W34" s="1348"/>
      <c r="X34" s="1348"/>
      <c r="Y34" s="1348"/>
      <c r="Z34" s="1349"/>
      <c r="AA34" s="1349"/>
      <c r="AB34" s="1349"/>
      <c r="AC34" s="1349"/>
      <c r="AD34" s="1349"/>
      <c r="AE34" s="1349"/>
      <c r="AF34" s="1349"/>
      <c r="AG34" s="1349"/>
      <c r="AH34" s="1350"/>
      <c r="AI34" s="1349"/>
      <c r="AJ34" s="1350"/>
      <c r="AK34" s="1351"/>
      <c r="AZ34" s="3">
        <f>IF(ISNUMBER(MATCH(Z34,LANGUAGE!$C$138:$G$138,0)),1,IF(ISNUMBER(MATCH(Z34,LANGUAGE!$C$139:$G$139,0)),2,IF(ISNUMBER(MATCH(Z34,LANGUAGE!$C$140:$G$140,0)),3,0)))</f>
        <v>0</v>
      </c>
      <c r="BA34" s="3">
        <f>IF(ISNUMBER(MATCH(AJ34,LANGUAGE!$C$141:$G$141,0)),3,IF(ISNUMBER(MATCH(AJ34,LANGUAGE!$C$142:$G$142,0)),1,0))</f>
        <v>0</v>
      </c>
      <c r="BB34" s="3">
        <f t="shared" ref="BB34:BB48" si="0">IF(AND(AZ34&gt;1,BA34=0),10,AZ34+BA34)</f>
        <v>0</v>
      </c>
      <c r="BD34" s="3" t="str">
        <f>IF(ISNUMBER(MATCH($AJ34,LANGUAGE!$C$141:$G$141,0)),$B34,"")</f>
        <v/>
      </c>
      <c r="BE34" s="3" t="str">
        <f>IF(ISNUMBER(MATCH($AJ34,LANGUAGE!$C$142:$G$142,0)),$B34,"")</f>
        <v/>
      </c>
    </row>
    <row r="35" spans="2:57" s="3" customFormat="1" ht="53.7" customHeight="1" x14ac:dyDescent="0.25">
      <c r="B35" s="507" t="s">
        <v>1788</v>
      </c>
      <c r="C35" s="1362" t="str">
        <f>HLOOKUP(LANGUAGE!$B$2,LANGUAGE!$C$14:$G$3073,1986)</f>
        <v>Change Management</v>
      </c>
      <c r="D35" s="1363"/>
      <c r="E35" s="1364" t="str">
        <f>HLOOKUP(LANGUAGE!$B$2,LANGUAGE!$C$14:$G$3073,1987)</f>
        <v>How is the communication for changes for product/ process during development established by supplier?</v>
      </c>
      <c r="F35" s="1365"/>
      <c r="G35" s="1365"/>
      <c r="H35" s="1365"/>
      <c r="I35" s="1365"/>
      <c r="J35" s="1365"/>
      <c r="K35" s="1365"/>
      <c r="L35" s="1366"/>
      <c r="M35" s="1367" t="str">
        <f>HLOOKUP(LANGUAGE!$B$2,LANGUAGE!$C$14:$G$3073,1988)</f>
        <v>Clear defintion of development change history in place.</v>
      </c>
      <c r="N35" s="1368"/>
      <c r="O35" s="1368"/>
      <c r="P35" s="1368"/>
      <c r="Q35" s="1368"/>
      <c r="R35" s="1368"/>
      <c r="S35" s="1368"/>
      <c r="T35" s="1369"/>
      <c r="U35" s="1370"/>
      <c r="V35" s="1371"/>
      <c r="W35" s="1371"/>
      <c r="X35" s="1371"/>
      <c r="Y35" s="1372"/>
      <c r="Z35" s="1352"/>
      <c r="AA35" s="1354"/>
      <c r="AB35" s="1352"/>
      <c r="AC35" s="1353"/>
      <c r="AD35" s="1354"/>
      <c r="AE35" s="1352"/>
      <c r="AF35" s="1353"/>
      <c r="AG35" s="1354"/>
      <c r="AH35" s="1355"/>
      <c r="AI35" s="1356"/>
      <c r="AJ35" s="1355"/>
      <c r="AK35" s="1357"/>
      <c r="AZ35" s="3">
        <f>IF(ISNUMBER(MATCH(Z35,LANGUAGE!$C$138:$G$138,0)),1,IF(ISNUMBER(MATCH(Z35,LANGUAGE!$C$139:$G$139,0)),2,IF(ISNUMBER(MATCH(Z35,LANGUAGE!$C$140:$G$140,0)),3,0)))</f>
        <v>0</v>
      </c>
      <c r="BA35" s="3">
        <f>IF(ISNUMBER(MATCH(AJ35,LANGUAGE!$C$141:$G$141,0)),3,IF(ISNUMBER(MATCH(AJ35,LANGUAGE!$C$142:$G$142,0)),1,0))</f>
        <v>0</v>
      </c>
      <c r="BB35" s="3">
        <f t="shared" si="0"/>
        <v>0</v>
      </c>
      <c r="BD35" s="3" t="str">
        <f>IF(ISNUMBER(MATCH($AJ35,LANGUAGE!$C$141:$G$141,0)),$B35,"")</f>
        <v/>
      </c>
      <c r="BE35" s="3" t="str">
        <f>IF(ISNUMBER(MATCH($AJ35,LANGUAGE!$C$142:$G$142,0)),$B35,"")</f>
        <v/>
      </c>
    </row>
    <row r="36" spans="2:57" s="3" customFormat="1" ht="94.55" customHeight="1" x14ac:dyDescent="0.25">
      <c r="B36" s="508" t="s">
        <v>1789</v>
      </c>
      <c r="C36" s="1345" t="str">
        <f>HLOOKUP(LANGUAGE!$B$2,LANGUAGE!$C$14:$G$3073,1989)</f>
        <v>Commercial</v>
      </c>
      <c r="D36" s="1345"/>
      <c r="E36" s="1358" t="str">
        <f>HLOOKUP(LANGUAGE!$B$2,LANGUAGE!$C$14:$G$3073,1990)</f>
        <v>Are all necessary contracts (as draft) and specification documents (specifications) available and have potential deviations been approved by Brose?</v>
      </c>
      <c r="F36" s="1359"/>
      <c r="G36" s="1359"/>
      <c r="H36" s="1359"/>
      <c r="I36" s="1359"/>
      <c r="J36" s="1359"/>
      <c r="K36" s="1359"/>
      <c r="L36" s="1360"/>
      <c r="M36" s="1361" t="str">
        <f>HLOOKUP(LANGUAGE!$B$2,LANGUAGE!$C$14:$G$3073,1991)</f>
        <v>- Development contract
- Dealing with patents
- Brose specification sheet
- Legal requirements
- GTCP
- Warrenty
- QMR</v>
      </c>
      <c r="N36" s="1347"/>
      <c r="O36" s="1347"/>
      <c r="P36" s="1347"/>
      <c r="Q36" s="1347"/>
      <c r="R36" s="1347"/>
      <c r="S36" s="1347"/>
      <c r="T36" s="1347"/>
      <c r="U36" s="1348"/>
      <c r="V36" s="1348"/>
      <c r="W36" s="1348"/>
      <c r="X36" s="1348"/>
      <c r="Y36" s="1348"/>
      <c r="Z36" s="1349"/>
      <c r="AA36" s="1349"/>
      <c r="AB36" s="1349"/>
      <c r="AC36" s="1349"/>
      <c r="AD36" s="1349"/>
      <c r="AE36" s="1349"/>
      <c r="AF36" s="1349"/>
      <c r="AG36" s="1349"/>
      <c r="AH36" s="1350"/>
      <c r="AI36" s="1349"/>
      <c r="AJ36" s="1350"/>
      <c r="AK36" s="1351"/>
      <c r="AZ36" s="3">
        <f>IF(ISNUMBER(MATCH(Z36,LANGUAGE!$C$138:$G$138,0)),1,IF(ISNUMBER(MATCH(Z36,LANGUAGE!$C$139:$G$139,0)),2,IF(ISNUMBER(MATCH(Z36,LANGUAGE!$C$140:$G$140,0)),3,0)))</f>
        <v>0</v>
      </c>
      <c r="BA36" s="3">
        <f>IF(ISNUMBER(MATCH(AJ36,LANGUAGE!$C$141:$G$141,0)),3,IF(ISNUMBER(MATCH(AJ36,LANGUAGE!$C$142:$G$142,0)),1,0))</f>
        <v>0</v>
      </c>
      <c r="BB36" s="3">
        <f t="shared" si="0"/>
        <v>0</v>
      </c>
      <c r="BD36" s="3" t="str">
        <f>IF(ISNUMBER(MATCH($AJ36,LANGUAGE!$C$141:$G$141,0)),$B36,"")</f>
        <v/>
      </c>
      <c r="BE36" s="3" t="str">
        <f>IF(ISNUMBER(MATCH($AJ36,LANGUAGE!$C$142:$G$142,0)),$B36,"")</f>
        <v/>
      </c>
    </row>
    <row r="37" spans="2:57" s="3" customFormat="1" ht="58.55" customHeight="1" x14ac:dyDescent="0.25">
      <c r="B37" s="508" t="s">
        <v>1790</v>
      </c>
      <c r="C37" s="1345" t="str">
        <f>HLOOKUP(LANGUAGE!$B$2,LANGUAGE!$C$14:$G$3073,1995)</f>
        <v>Project planning</v>
      </c>
      <c r="D37" s="1345"/>
      <c r="E37" s="1373" t="str">
        <f>HLOOKUP(LANGUAGE!$B$2,LANGUAGE!$C$14:$G$3073,1996)</f>
        <v>Has a project schedule been drawn up and is it matching with Brose's schedule? Has a project organization been established? Is the critical path identified?</v>
      </c>
      <c r="F37" s="1373"/>
      <c r="G37" s="1373"/>
      <c r="H37" s="1373"/>
      <c r="I37" s="1373"/>
      <c r="J37" s="1373"/>
      <c r="K37" s="1373"/>
      <c r="L37" s="1373"/>
      <c r="M37" s="1374" t="str">
        <f>HLOOKUP(LANGUAGE!$B$2,LANGUAGE!$C$14:$G$3073,1997)</f>
        <v>Project schedule for the development scope meets the requirements of Brose's schedule.</v>
      </c>
      <c r="N37" s="1374"/>
      <c r="O37" s="1374"/>
      <c r="P37" s="1374"/>
      <c r="Q37" s="1374"/>
      <c r="R37" s="1374"/>
      <c r="S37" s="1374"/>
      <c r="T37" s="1374"/>
      <c r="U37" s="1348"/>
      <c r="V37" s="1348"/>
      <c r="W37" s="1348"/>
      <c r="X37" s="1348"/>
      <c r="Y37" s="1348"/>
      <c r="Z37" s="1349"/>
      <c r="AA37" s="1349"/>
      <c r="AB37" s="1349"/>
      <c r="AC37" s="1349"/>
      <c r="AD37" s="1349"/>
      <c r="AE37" s="1349"/>
      <c r="AF37" s="1349"/>
      <c r="AG37" s="1349"/>
      <c r="AH37" s="1350"/>
      <c r="AI37" s="1349"/>
      <c r="AJ37" s="1350"/>
      <c r="AK37" s="1351"/>
      <c r="AZ37" s="3">
        <f>IF(ISNUMBER(MATCH(Z37,LANGUAGE!$C$138:$G$138,0)),1,IF(ISNUMBER(MATCH(Z37,LANGUAGE!$C$139:$G$139,0)),2,IF(ISNUMBER(MATCH(Z37,LANGUAGE!$C$140:$G$140,0)),3,0)))</f>
        <v>0</v>
      </c>
      <c r="BA37" s="3">
        <f>IF(ISNUMBER(MATCH(AJ37,LANGUAGE!$C$141:$G$141,0)),3,IF(ISNUMBER(MATCH(AJ37,LANGUAGE!$C$142:$G$142,0)),1,0))</f>
        <v>0</v>
      </c>
      <c r="BB37" s="3">
        <f t="shared" si="0"/>
        <v>0</v>
      </c>
      <c r="BD37" s="3" t="str">
        <f>IF(ISNUMBER(MATCH($AJ37,LANGUAGE!$C$141:$G$141,0)),$B37,"")</f>
        <v/>
      </c>
      <c r="BE37" s="3" t="str">
        <f>IF(ISNUMBER(MATCH($AJ37,LANGUAGE!$C$142:$G$142,0)),$B37,"")</f>
        <v/>
      </c>
    </row>
    <row r="38" spans="2:57" s="3" customFormat="1" ht="77.95" customHeight="1" x14ac:dyDescent="0.25">
      <c r="B38" s="506" t="s">
        <v>1791</v>
      </c>
      <c r="C38" s="1345" t="str">
        <f>HLOOKUP(LANGUAGE!$B$2,LANGUAGE!$C$14:$G$3073,2001)</f>
        <v>Resources</v>
      </c>
      <c r="D38" s="1345"/>
      <c r="E38" s="1347" t="str">
        <f>HLOOKUP(LANGUAGE!$B$2,LANGUAGE!$C$14:$G$3073,2002)</f>
        <v>Are required resources considered within project planning and do they match Brose's schedule?</v>
      </c>
      <c r="F38" s="1347"/>
      <c r="G38" s="1347"/>
      <c r="H38" s="1347"/>
      <c r="I38" s="1347"/>
      <c r="J38" s="1347"/>
      <c r="K38" s="1347"/>
      <c r="L38" s="1347"/>
      <c r="M38" s="1347" t="str">
        <f>HLOOKUP(LANGUAGE!$B$2,LANGUAGE!$C$14:$G$3073,2003)</f>
        <v>The supplier's project team has been named, and resource planning has been carried out. Facilities, simulation methods and human capacities are available (or provided externally) and meet the requirements.</v>
      </c>
      <c r="N38" s="1347"/>
      <c r="O38" s="1347"/>
      <c r="P38" s="1347"/>
      <c r="Q38" s="1347"/>
      <c r="R38" s="1347"/>
      <c r="S38" s="1347"/>
      <c r="T38" s="1347"/>
      <c r="U38" s="1348"/>
      <c r="V38" s="1348"/>
      <c r="W38" s="1348"/>
      <c r="X38" s="1348"/>
      <c r="Y38" s="1348"/>
      <c r="Z38" s="1349"/>
      <c r="AA38" s="1349"/>
      <c r="AB38" s="1349"/>
      <c r="AC38" s="1349"/>
      <c r="AD38" s="1349"/>
      <c r="AE38" s="1349"/>
      <c r="AF38" s="1349"/>
      <c r="AG38" s="1349"/>
      <c r="AH38" s="1350"/>
      <c r="AI38" s="1349"/>
      <c r="AJ38" s="1350"/>
      <c r="AK38" s="1351"/>
      <c r="AZ38" s="3">
        <f>IF(ISNUMBER(MATCH(Z38,LANGUAGE!$C$138:$G$138,0)),1,IF(ISNUMBER(MATCH(Z38,LANGUAGE!$C$139:$G$139,0)),2,IF(ISNUMBER(MATCH(Z38,LANGUAGE!$C$140:$G$140,0)),3,0)))</f>
        <v>0</v>
      </c>
      <c r="BA38" s="3">
        <f>IF(ISNUMBER(MATCH(AJ38,LANGUAGE!$C$141:$G$141,0)),3,IF(ISNUMBER(MATCH(AJ38,LANGUAGE!$C$142:$G$142,0)),1,0))</f>
        <v>0</v>
      </c>
      <c r="BB38" s="3">
        <f t="shared" si="0"/>
        <v>0</v>
      </c>
      <c r="BD38" s="3" t="str">
        <f>IF(ISNUMBER(MATCH($AJ38,LANGUAGE!$C$141:$G$141,0)),$B38,"")</f>
        <v/>
      </c>
      <c r="BE38" s="3" t="str">
        <f>IF(ISNUMBER(MATCH($AJ38,LANGUAGE!$C$142:$G$142,0)),$B38,"")</f>
        <v/>
      </c>
    </row>
    <row r="39" spans="2:57" s="3" customFormat="1" ht="43.55" customHeight="1" x14ac:dyDescent="0.25">
      <c r="B39" s="254" t="s">
        <v>1792</v>
      </c>
      <c r="C39" s="1345" t="str">
        <f>HLOOKUP(LANGUAGE!$B$2,LANGUAGE!$C$14:$G$3073,2007)</f>
        <v>Rough concept</v>
      </c>
      <c r="D39" s="1345"/>
      <c r="E39" s="1347" t="str">
        <f>HLOOKUP(LANGUAGE!$B$2,LANGUAGE!$C$14:$G$3073,2008)</f>
        <v>Is a rough concept available and is the feasibility been confirmed?</v>
      </c>
      <c r="F39" s="1347"/>
      <c r="G39" s="1347"/>
      <c r="H39" s="1347"/>
      <c r="I39" s="1347"/>
      <c r="J39" s="1347"/>
      <c r="K39" s="1347"/>
      <c r="L39" s="1347"/>
      <c r="M39" s="1347" t="str">
        <f>HLOOKUP(LANGUAGE!$B$2,LANGUAGE!$C$14:$G$3073,2009)</f>
        <v>Design proposals with confirmed manufacturability of the individual components and assembly by the supplier are available.</v>
      </c>
      <c r="N39" s="1347"/>
      <c r="O39" s="1347"/>
      <c r="P39" s="1347"/>
      <c r="Q39" s="1347"/>
      <c r="R39" s="1347"/>
      <c r="S39" s="1347"/>
      <c r="T39" s="1347"/>
      <c r="U39" s="1348"/>
      <c r="V39" s="1348"/>
      <c r="W39" s="1348"/>
      <c r="X39" s="1348"/>
      <c r="Y39" s="1348"/>
      <c r="Z39" s="1349"/>
      <c r="AA39" s="1349"/>
      <c r="AB39" s="1349"/>
      <c r="AC39" s="1349"/>
      <c r="AD39" s="1349"/>
      <c r="AE39" s="1349"/>
      <c r="AF39" s="1349"/>
      <c r="AG39" s="1349"/>
      <c r="AH39" s="1350"/>
      <c r="AI39" s="1349"/>
      <c r="AJ39" s="1350"/>
      <c r="AK39" s="1351"/>
      <c r="AZ39" s="3">
        <f>IF(ISNUMBER(MATCH(Z39,LANGUAGE!$C$138:$G$138,0)),1,IF(ISNUMBER(MATCH(Z39,LANGUAGE!$C$139:$G$139,0)),2,IF(ISNUMBER(MATCH(Z39,LANGUAGE!$C$140:$G$140,0)),3,0)))</f>
        <v>0</v>
      </c>
      <c r="BA39" s="3">
        <f>IF(ISNUMBER(MATCH(AJ39,LANGUAGE!$C$141:$G$141,0)),3,IF(ISNUMBER(MATCH(AJ39,LANGUAGE!$C$142:$G$142,0)),1,0))</f>
        <v>0</v>
      </c>
      <c r="BB39" s="3">
        <f t="shared" si="0"/>
        <v>0</v>
      </c>
      <c r="BD39" s="3" t="str">
        <f>IF(ISNUMBER(MATCH($AJ39,LANGUAGE!$C$141:$G$141,0)),$B39,"")</f>
        <v/>
      </c>
      <c r="BE39" s="3" t="str">
        <f>IF(ISNUMBER(MATCH($AJ39,LANGUAGE!$C$142:$G$142,0)),$B39,"")</f>
        <v/>
      </c>
    </row>
    <row r="40" spans="2:57" s="3" customFormat="1" ht="91.6" customHeight="1" x14ac:dyDescent="0.25">
      <c r="B40" s="255" t="s">
        <v>1793</v>
      </c>
      <c r="C40" s="1345" t="str">
        <f>HLOOKUP(LANGUAGE!$B$2,LANGUAGE!$C$14:$G$3073,2013)</f>
        <v>FMEA</v>
      </c>
      <c r="D40" s="1345"/>
      <c r="E40" s="1347" t="str">
        <f>HLOOKUP(LANGUAGE!$B$2,LANGUAGE!$C$14:$G$3073,2014)</f>
        <v>Are the requirements for the FMEA known?</v>
      </c>
      <c r="F40" s="1347"/>
      <c r="G40" s="1347"/>
      <c r="H40" s="1347"/>
      <c r="I40" s="1347"/>
      <c r="J40" s="1347"/>
      <c r="K40" s="1347"/>
      <c r="L40" s="1347"/>
      <c r="M40" s="1347" t="str">
        <f>HLOOKUP(LANGUAGE!$B$2,LANGUAGE!$C$14:$G$3073,2015)</f>
        <v>Brose FMEA - evaluation criteria / consequences of failures for Brose system - are available and evaluated, BN586437 is available in latest version. Customer-specific requirements are known and are taken into account. Requirements for interface FMEA are defined.</v>
      </c>
      <c r="N40" s="1347"/>
      <c r="O40" s="1347"/>
      <c r="P40" s="1347"/>
      <c r="Q40" s="1347"/>
      <c r="R40" s="1347"/>
      <c r="S40" s="1347"/>
      <c r="T40" s="1347"/>
      <c r="U40" s="1348"/>
      <c r="V40" s="1348"/>
      <c r="W40" s="1348"/>
      <c r="X40" s="1348"/>
      <c r="Y40" s="1348"/>
      <c r="Z40" s="1349"/>
      <c r="AA40" s="1349"/>
      <c r="AB40" s="1349"/>
      <c r="AC40" s="1349"/>
      <c r="AD40" s="1349"/>
      <c r="AE40" s="1349"/>
      <c r="AF40" s="1349"/>
      <c r="AG40" s="1349"/>
      <c r="AH40" s="1350"/>
      <c r="AI40" s="1349"/>
      <c r="AJ40" s="1350"/>
      <c r="AK40" s="1351"/>
      <c r="AZ40" s="3">
        <f>IF(ISNUMBER(MATCH(Z40,LANGUAGE!$C$138:$G$138,0)),1,IF(ISNUMBER(MATCH(Z40,LANGUAGE!$C$139:$G$139,0)),2,IF(ISNUMBER(MATCH(Z40,LANGUAGE!$C$140:$G$140,0)),3,0)))</f>
        <v>0</v>
      </c>
      <c r="BA40" s="3">
        <f>IF(ISNUMBER(MATCH(AJ40,LANGUAGE!$C$141:$G$141,0)),3,IF(ISNUMBER(MATCH(AJ40,LANGUAGE!$C$142:$G$142,0)),1,0))</f>
        <v>0</v>
      </c>
      <c r="BB40" s="3">
        <f t="shared" si="0"/>
        <v>0</v>
      </c>
      <c r="BD40" s="3" t="str">
        <f>IF(ISNUMBER(MATCH($AJ40,LANGUAGE!$C$141:$G$141,0)),$B40,"")</f>
        <v/>
      </c>
      <c r="BE40" s="3" t="str">
        <f>IF(ISNUMBER(MATCH($AJ40,LANGUAGE!$C$142:$G$142,0)),$B40,"")</f>
        <v/>
      </c>
    </row>
    <row r="41" spans="2:57" s="3" customFormat="1" ht="50.25" customHeight="1" x14ac:dyDescent="0.25">
      <c r="B41" s="254" t="s">
        <v>1794</v>
      </c>
      <c r="C41" s="1345" t="str">
        <f>HLOOKUP(LANGUAGE!$B$2,LANGUAGE!$C$14:$G$3073,2019)</f>
        <v>Testing</v>
      </c>
      <c r="D41" s="1345"/>
      <c r="E41" s="1347" t="str">
        <f>HLOOKUP(LANGUAGE!$B$2,LANGUAGE!$C$14:$G$3073,2020)</f>
        <v>Is there an agreed validation plan for the execution of the test release V0. (rough plan pending on nomination)</v>
      </c>
      <c r="F41" s="1347"/>
      <c r="G41" s="1347"/>
      <c r="H41" s="1347"/>
      <c r="I41" s="1347"/>
      <c r="J41" s="1347"/>
      <c r="K41" s="1347"/>
      <c r="L41" s="1347"/>
      <c r="M41" s="1347" t="str">
        <f>HLOOKUP(LANGUAGE!$B$2,LANGUAGE!$C$14:$G$3073,2021)</f>
        <v xml:space="preserve">Validation planning for A-sample is available and has been agreed with Brose development. </v>
      </c>
      <c r="N41" s="1347"/>
      <c r="O41" s="1347"/>
      <c r="P41" s="1347"/>
      <c r="Q41" s="1347"/>
      <c r="R41" s="1347"/>
      <c r="S41" s="1347"/>
      <c r="T41" s="1347"/>
      <c r="U41" s="1348"/>
      <c r="V41" s="1348"/>
      <c r="W41" s="1348"/>
      <c r="X41" s="1348"/>
      <c r="Y41" s="1348"/>
      <c r="Z41" s="1349"/>
      <c r="AA41" s="1349"/>
      <c r="AB41" s="1349"/>
      <c r="AC41" s="1349"/>
      <c r="AD41" s="1349"/>
      <c r="AE41" s="1349"/>
      <c r="AF41" s="1349"/>
      <c r="AG41" s="1349"/>
      <c r="AH41" s="1350"/>
      <c r="AI41" s="1349"/>
      <c r="AJ41" s="1350"/>
      <c r="AK41" s="1351"/>
      <c r="AZ41" s="3">
        <f>IF(ISNUMBER(MATCH(Z41,LANGUAGE!$C$138:$G$138,0)),1,IF(ISNUMBER(MATCH(Z41,LANGUAGE!$C$139:$G$139,0)),2,IF(ISNUMBER(MATCH(Z41,LANGUAGE!$C$140:$G$140,0)),3,0)))</f>
        <v>0</v>
      </c>
      <c r="BA41" s="3">
        <f>IF(ISNUMBER(MATCH(AJ41,LANGUAGE!$C$141:$G$141,0)),3,IF(ISNUMBER(MATCH(AJ41,LANGUAGE!$C$142:$G$142,0)),1,0))</f>
        <v>0</v>
      </c>
      <c r="BB41" s="3">
        <f t="shared" si="0"/>
        <v>0</v>
      </c>
      <c r="BD41" s="3" t="str">
        <f>IF(ISNUMBER(MATCH($AJ41,LANGUAGE!$C$141:$G$141,0)),$B41,"")</f>
        <v/>
      </c>
      <c r="BE41" s="3" t="str">
        <f>IF(ISNUMBER(MATCH($AJ41,LANGUAGE!$C$142:$G$142,0)),$B41,"")</f>
        <v/>
      </c>
    </row>
    <row r="42" spans="2:57" s="3" customFormat="1" ht="70.150000000000006" customHeight="1" thickBot="1" x14ac:dyDescent="0.3">
      <c r="B42" s="256" t="s">
        <v>1795</v>
      </c>
      <c r="C42" s="1392" t="str">
        <f>HLOOKUP(LANGUAGE!$B$2,LANGUAGE!$C$14:$G$3073,2025)</f>
        <v>Testing</v>
      </c>
      <c r="D42" s="1392"/>
      <c r="E42" s="1334" t="str">
        <f>HLOOKUP(LANGUAGE!$B$2,LANGUAGE!$C$14:$G$3073,2026)</f>
        <v>Are all test facilities for the validation V0 (internal/external) conform to the specifications and considered in the offer?</v>
      </c>
      <c r="F42" s="1334"/>
      <c r="G42" s="1334"/>
      <c r="H42" s="1334"/>
      <c r="I42" s="1334"/>
      <c r="J42" s="1334"/>
      <c r="K42" s="1334"/>
      <c r="L42" s="1334"/>
      <c r="M42" s="1393" t="str">
        <f>HLOOKUP(LANGUAGE!$B$2,LANGUAGE!$C$14:$G$3073,2027)</f>
        <v>- Accreditation (external test laboratory)
- Approval of test setup / equipment by test
- Parts provided for test execution (e.g. car body)</v>
      </c>
      <c r="N42" s="1334"/>
      <c r="O42" s="1334"/>
      <c r="P42" s="1334"/>
      <c r="Q42" s="1334"/>
      <c r="R42" s="1334"/>
      <c r="S42" s="1334"/>
      <c r="T42" s="1334"/>
      <c r="U42" s="1335"/>
      <c r="V42" s="1335"/>
      <c r="W42" s="1335"/>
      <c r="X42" s="1335"/>
      <c r="Y42" s="1335"/>
      <c r="Z42" s="1336"/>
      <c r="AA42" s="1336"/>
      <c r="AB42" s="1336"/>
      <c r="AC42" s="1336"/>
      <c r="AD42" s="1336"/>
      <c r="AE42" s="1336"/>
      <c r="AF42" s="1336"/>
      <c r="AG42" s="1336"/>
      <c r="AH42" s="1337"/>
      <c r="AI42" s="1336"/>
      <c r="AJ42" s="1337"/>
      <c r="AK42" s="1338"/>
      <c r="AZ42" s="3">
        <f>IF(ISNUMBER(MATCH(Z42,LANGUAGE!$C$138:$G$138,0)),1,IF(ISNUMBER(MATCH(Z42,LANGUAGE!$C$139:$G$139,0)),2,IF(ISNUMBER(MATCH(Z42,LANGUAGE!$C$140:$G$140,0)),3,0)))</f>
        <v>0</v>
      </c>
      <c r="BA42" s="3">
        <f>IF(ISNUMBER(MATCH(AJ42,LANGUAGE!$C$141:$G$141,0)),3,IF(ISNUMBER(MATCH(AJ42,LANGUAGE!$C$142:$G$142,0)),1,0))</f>
        <v>0</v>
      </c>
      <c r="BB42" s="3">
        <f t="shared" si="0"/>
        <v>0</v>
      </c>
      <c r="BD42" s="3" t="str">
        <f>IF(ISNUMBER(MATCH($AJ42,LANGUAGE!$C$141:$G$141,0)),$B42,"")</f>
        <v/>
      </c>
      <c r="BE42" s="3" t="str">
        <f>IF(ISNUMBER(MATCH($AJ42,LANGUAGE!$C$142:$G$142,0)),$B42,"")</f>
        <v/>
      </c>
    </row>
    <row r="43" spans="2:57" s="3" customFormat="1" ht="17.7" customHeight="1" thickBot="1" x14ac:dyDescent="0.3">
      <c r="M43" s="155"/>
      <c r="BD43" s="3" t="str">
        <f>IF(ISNUMBER(MATCH($AJ43,LANGUAGE!$C$141:$G$141,0)),$B43,"")</f>
        <v/>
      </c>
      <c r="BE43" s="3" t="str">
        <f>IF(ISNUMBER(MATCH($AJ43,LANGUAGE!$C$142:$G$142,0)),$B43,"")</f>
        <v/>
      </c>
    </row>
    <row r="44" spans="2:57" s="3" customFormat="1" ht="17.7" customHeight="1" x14ac:dyDescent="0.25">
      <c r="B44" s="1406" t="str">
        <f>HLOOKUP(LANGUAGE!$B$2,LANGUAGE!$C$14:$G$3015,2034)</f>
        <v>Quality</v>
      </c>
      <c r="C44" s="1407"/>
      <c r="D44" s="1407"/>
      <c r="E44" s="1407"/>
      <c r="F44" s="1407"/>
      <c r="G44" s="1407"/>
      <c r="H44" s="1407"/>
      <c r="I44" s="1407"/>
      <c r="J44" s="1407"/>
      <c r="K44" s="1407"/>
      <c r="L44" s="1407"/>
      <c r="M44" s="1407"/>
      <c r="N44" s="1407"/>
      <c r="O44" s="1407"/>
      <c r="P44" s="1407"/>
      <c r="Q44" s="1407"/>
      <c r="R44" s="1407"/>
      <c r="S44" s="1407"/>
      <c r="T44" s="1407"/>
      <c r="U44" s="1407"/>
      <c r="V44" s="1407"/>
      <c r="W44" s="1407"/>
      <c r="X44" s="1407"/>
      <c r="Y44" s="1407"/>
      <c r="Z44" s="1407"/>
      <c r="AA44" s="1407"/>
      <c r="AB44" s="1407"/>
      <c r="AC44" s="1407"/>
      <c r="AD44" s="1407"/>
      <c r="AE44" s="1407"/>
      <c r="AF44" s="1407"/>
      <c r="AG44" s="1407"/>
      <c r="AH44" s="1407"/>
      <c r="AI44" s="1407"/>
      <c r="AJ44" s="1407"/>
      <c r="AK44" s="1408"/>
      <c r="BD44" s="3" t="str">
        <f>IF(ISNUMBER(MATCH($AJ44,LANGUAGE!$C$141:$G$141,0)),$B44,"")</f>
        <v/>
      </c>
      <c r="BE44" s="3" t="str">
        <f>IF(ISNUMBER(MATCH($AJ44,LANGUAGE!$C$142:$G$142,0)),$B44,"")</f>
        <v/>
      </c>
    </row>
    <row r="45" spans="2:57" s="3" customFormat="1" ht="17.7" customHeight="1" x14ac:dyDescent="0.25">
      <c r="B45" s="1409"/>
      <c r="C45" s="1410"/>
      <c r="D45" s="1410"/>
      <c r="E45" s="1410"/>
      <c r="F45" s="1410"/>
      <c r="G45" s="1410"/>
      <c r="H45" s="1410"/>
      <c r="I45" s="1410"/>
      <c r="J45" s="1410"/>
      <c r="K45" s="1410"/>
      <c r="L45" s="1410"/>
      <c r="M45" s="1410"/>
      <c r="N45" s="1410"/>
      <c r="O45" s="1410"/>
      <c r="P45" s="1410"/>
      <c r="Q45" s="1410"/>
      <c r="R45" s="1410"/>
      <c r="S45" s="1410"/>
      <c r="T45" s="1410"/>
      <c r="U45" s="1410"/>
      <c r="V45" s="1410"/>
      <c r="W45" s="1410"/>
      <c r="X45" s="1410"/>
      <c r="Y45" s="1410"/>
      <c r="Z45" s="1410"/>
      <c r="AA45" s="1410"/>
      <c r="AB45" s="1410"/>
      <c r="AC45" s="1410"/>
      <c r="AD45" s="1410"/>
      <c r="AE45" s="1410"/>
      <c r="AF45" s="1410"/>
      <c r="AG45" s="1410"/>
      <c r="AH45" s="1410"/>
      <c r="AI45" s="1410"/>
      <c r="AJ45" s="1410"/>
      <c r="AK45" s="1411"/>
      <c r="BD45" s="3" t="str">
        <f>IF(ISNUMBER(MATCH($AJ45,LANGUAGE!$C$141:$G$141,0)),$B45,"")</f>
        <v/>
      </c>
      <c r="BE45" s="3" t="str">
        <f>IF(ISNUMBER(MATCH($AJ45,LANGUAGE!$C$142:$G$142,0)),$B45,"")</f>
        <v/>
      </c>
    </row>
    <row r="46" spans="2:57" s="3" customFormat="1" ht="17.7" customHeight="1" x14ac:dyDescent="0.25">
      <c r="B46" s="1002" t="str">
        <f>HLOOKUP(LANGUAGE!$B$2,LANGUAGE!$C$14:$G$1500,91)</f>
        <v>No.</v>
      </c>
      <c r="C46" s="1412" t="str">
        <f>HLOOKUP(LANGUAGE!$B$2,LANGUAGE!$C$14:$G$1500,73)</f>
        <v>Topic</v>
      </c>
      <c r="D46" s="1412"/>
      <c r="E46" s="1003" t="str">
        <f>HLOOKUP(LANGUAGE!$B$2,LANGUAGE!$C$14:$G$1500,92)</f>
        <v>Question</v>
      </c>
      <c r="F46" s="1003"/>
      <c r="G46" s="1003"/>
      <c r="H46" s="1003"/>
      <c r="I46" s="1003"/>
      <c r="J46" s="1003"/>
      <c r="K46" s="1003"/>
      <c r="L46" s="1003"/>
      <c r="M46" s="1003" t="str">
        <f>HLOOKUP(LANGUAGE!$B$2,LANGUAGE!$C$14:$G$1500,93)</f>
        <v>Notes</v>
      </c>
      <c r="N46" s="1003"/>
      <c r="O46" s="1003"/>
      <c r="P46" s="1003"/>
      <c r="Q46" s="1003"/>
      <c r="R46" s="1003"/>
      <c r="S46" s="1003"/>
      <c r="T46" s="1003"/>
      <c r="U46" s="1203" t="str">
        <f>HLOOKUP(LANGUAGE!$B$2,LANGUAGE!$C$14:$G$1500,114)</f>
        <v>Remarks</v>
      </c>
      <c r="V46" s="1203"/>
      <c r="W46" s="1203"/>
      <c r="X46" s="1203"/>
      <c r="Y46" s="1203"/>
      <c r="Z46" s="1003" t="str">
        <f>HLOOKUP(LANGUAGE!$B$2,LANGUAGE!$C$14:$G$1500,74)</f>
        <v>Evaluation</v>
      </c>
      <c r="AA46" s="1003"/>
      <c r="AB46" s="1003" t="str">
        <f>HLOOKUP(LANGUAGE!$B$2,LANGUAGE!$C$14:$G$1500,95)</f>
        <v>Action</v>
      </c>
      <c r="AC46" s="1003"/>
      <c r="AD46" s="1003"/>
      <c r="AE46" s="1203" t="str">
        <f>HLOOKUP(LANGUAGE!$B$2,LANGUAGE!$C$14:$G$1500,96)</f>
        <v>Responsible</v>
      </c>
      <c r="AF46" s="1203"/>
      <c r="AG46" s="1203"/>
      <c r="AH46" s="1003" t="str">
        <f>HLOOKUP(LANGUAGE!$B$2,LANGUAGE!$C$14:$G$1500,21)</f>
        <v>Date</v>
      </c>
      <c r="AI46" s="1003"/>
      <c r="AJ46" s="1003" t="str">
        <f>HLOOKUP(LANGUAGE!$B$2,LANGUAGE!$C$14:$G$1500,75)</f>
        <v>Action status</v>
      </c>
      <c r="AK46" s="1413"/>
      <c r="BD46" s="3" t="str">
        <f>IF(ISNUMBER(MATCH($AJ46,LANGUAGE!$C$141:$G$141,0)),$B46,"")</f>
        <v/>
      </c>
      <c r="BE46" s="3" t="str">
        <f>IF(ISNUMBER(MATCH($AJ46,LANGUAGE!$C$142:$G$142,0)),$B46,"")</f>
        <v/>
      </c>
    </row>
    <row r="47" spans="2:57" s="3" customFormat="1" ht="17.7" customHeight="1" x14ac:dyDescent="0.25">
      <c r="B47" s="1002"/>
      <c r="C47" s="1412"/>
      <c r="D47" s="1412"/>
      <c r="E47" s="1003"/>
      <c r="F47" s="1003"/>
      <c r="G47" s="1003"/>
      <c r="H47" s="1003"/>
      <c r="I47" s="1003"/>
      <c r="J47" s="1003"/>
      <c r="K47" s="1003"/>
      <c r="L47" s="1003"/>
      <c r="M47" s="1003"/>
      <c r="N47" s="1003"/>
      <c r="O47" s="1003"/>
      <c r="P47" s="1003"/>
      <c r="Q47" s="1003"/>
      <c r="R47" s="1003"/>
      <c r="S47" s="1003"/>
      <c r="T47" s="1003"/>
      <c r="U47" s="1203"/>
      <c r="V47" s="1203"/>
      <c r="W47" s="1203"/>
      <c r="X47" s="1203"/>
      <c r="Y47" s="1203"/>
      <c r="Z47" s="1003"/>
      <c r="AA47" s="1003"/>
      <c r="AB47" s="1003"/>
      <c r="AC47" s="1003"/>
      <c r="AD47" s="1003"/>
      <c r="AE47" s="1203"/>
      <c r="AF47" s="1203"/>
      <c r="AG47" s="1203"/>
      <c r="AH47" s="1003"/>
      <c r="AI47" s="1003"/>
      <c r="AJ47" s="1003"/>
      <c r="AK47" s="1413"/>
      <c r="BD47" s="3" t="str">
        <f>IF(BD48&lt;&gt;"",BD48&amp;" ","")</f>
        <v/>
      </c>
      <c r="BE47" s="3" t="str">
        <f>IF(BE48&lt;&gt;"",BE48&amp;" ","")</f>
        <v/>
      </c>
    </row>
    <row r="48" spans="2:57" s="3" customFormat="1" ht="64.2" customHeight="1" thickBot="1" x14ac:dyDescent="0.3">
      <c r="B48" s="247" t="s">
        <v>1796</v>
      </c>
      <c r="C48" s="1392" t="str">
        <f>HLOOKUP(LANGUAGE!$B$2,LANGUAGE!$C$14:$G$3015,2038)</f>
        <v>Traceability</v>
      </c>
      <c r="D48" s="1392"/>
      <c r="E48" s="1334" t="str">
        <f>HLOOKUP(LANGUAGE!$B$2,LANGUAGE!$C$14:$G$3015,2039)</f>
        <v>Is a rough traceability concept in place?</v>
      </c>
      <c r="F48" s="1334"/>
      <c r="G48" s="1334"/>
      <c r="H48" s="1334"/>
      <c r="I48" s="1334"/>
      <c r="J48" s="1334"/>
      <c r="K48" s="1334"/>
      <c r="L48" s="1334"/>
      <c r="M48" s="1334" t="str">
        <f>HLOOKUP(LANGUAGE!$B$2,LANGUAGE!$C$14:$G$3015,2040)</f>
        <v>Traceability concept must be available.</v>
      </c>
      <c r="N48" s="1334"/>
      <c r="O48" s="1334"/>
      <c r="P48" s="1334"/>
      <c r="Q48" s="1334"/>
      <c r="R48" s="1334"/>
      <c r="S48" s="1334"/>
      <c r="T48" s="1334"/>
      <c r="U48" s="1414"/>
      <c r="V48" s="1414"/>
      <c r="W48" s="1414"/>
      <c r="X48" s="1414"/>
      <c r="Y48" s="1414"/>
      <c r="Z48" s="1415"/>
      <c r="AA48" s="1415"/>
      <c r="AB48" s="1404"/>
      <c r="AC48" s="1404"/>
      <c r="AD48" s="1404"/>
      <c r="AE48" s="1404"/>
      <c r="AF48" s="1404"/>
      <c r="AG48" s="1404"/>
      <c r="AH48" s="1403"/>
      <c r="AI48" s="1404"/>
      <c r="AJ48" s="1404"/>
      <c r="AK48" s="1405"/>
      <c r="AZ48" s="3">
        <f>IF(ISNUMBER(MATCH(Z48,LANGUAGE!$C$138:$G$138,0)),1,IF(ISNUMBER(MATCH(Z48,LANGUAGE!$C$139:$G$139,0)),2,IF(ISNUMBER(MATCH(Z48,LANGUAGE!$C$140:$G$140,0)),3,0)))</f>
        <v>0</v>
      </c>
      <c r="BA48" s="3">
        <f>IF(ISNUMBER(MATCH(AJ48,LANGUAGE!$C$141:$G$141,0)),3,IF(ISNUMBER(MATCH(AJ48,LANGUAGE!$C$142:$G$142,0)),1,0))</f>
        <v>0</v>
      </c>
      <c r="BB48" s="3">
        <f t="shared" si="0"/>
        <v>0</v>
      </c>
      <c r="BD48" s="3" t="str">
        <f>IF(ISNUMBER(MATCH($AJ48,LANGUAGE!$C$141:$G$141,0)),$B48,"")</f>
        <v/>
      </c>
      <c r="BE48" s="3" t="str">
        <f>IF(ISNUMBER(MATCH($AJ48,LANGUAGE!$C$142:$G$142,0)),$B48,"")</f>
        <v/>
      </c>
    </row>
    <row r="49" spans="2:57" s="3" customFormat="1" ht="17.7" customHeight="1" thickBot="1" x14ac:dyDescent="0.3">
      <c r="M49" s="155"/>
      <c r="BD49" s="3" t="str">
        <f>IF(ISNUMBER(MATCH($AJ49,LANGUAGE!$C$141:$G$141,0)),$B49,"")</f>
        <v/>
      </c>
      <c r="BE49" s="3" t="str">
        <f>IF(ISNUMBER(MATCH($AJ49,LANGUAGE!$C$142:$G$142,0)),$B49,"")</f>
        <v/>
      </c>
    </row>
    <row r="50" spans="2:57" s="3" customFormat="1" ht="17.7" customHeight="1" x14ac:dyDescent="0.25">
      <c r="B50" s="1394" t="str">
        <f>HLOOKUP(LANGUAGE!$B$2,LANGUAGE!$C$14:$G$1500,114)</f>
        <v>Remarks</v>
      </c>
      <c r="C50" s="1395"/>
      <c r="D50" s="1395"/>
      <c r="E50" s="1395"/>
      <c r="F50" s="1395"/>
      <c r="G50" s="1395"/>
      <c r="H50" s="1395"/>
      <c r="I50" s="1395"/>
      <c r="J50" s="1395"/>
      <c r="K50" s="1395"/>
      <c r="L50" s="1395"/>
      <c r="M50" s="1395"/>
      <c r="N50" s="1395"/>
      <c r="O50" s="1395"/>
      <c r="P50" s="1395"/>
      <c r="Q50" s="1395"/>
      <c r="R50" s="1395"/>
      <c r="S50" s="1395"/>
      <c r="T50" s="1395"/>
      <c r="U50" s="1395"/>
      <c r="V50" s="1395"/>
      <c r="W50" s="1395"/>
      <c r="X50" s="1395"/>
      <c r="Y50" s="1395"/>
      <c r="Z50" s="1395"/>
      <c r="AA50" s="1395"/>
      <c r="AB50" s="1395"/>
      <c r="AC50" s="1395"/>
      <c r="AD50" s="1395"/>
      <c r="AE50" s="1395"/>
      <c r="AF50" s="1395"/>
      <c r="AG50" s="1395"/>
      <c r="AH50" s="1395"/>
      <c r="AI50" s="1395"/>
      <c r="AJ50" s="1395"/>
      <c r="AK50" s="1396"/>
    </row>
    <row r="51" spans="2:57" s="3" customFormat="1" ht="17.7" customHeight="1" x14ac:dyDescent="0.25">
      <c r="B51" s="1397"/>
      <c r="C51" s="1398"/>
      <c r="D51" s="1398"/>
      <c r="E51" s="1398"/>
      <c r="F51" s="1398"/>
      <c r="G51" s="1398"/>
      <c r="H51" s="1398"/>
      <c r="I51" s="1398"/>
      <c r="J51" s="1398"/>
      <c r="K51" s="1398"/>
      <c r="L51" s="1398"/>
      <c r="M51" s="1398"/>
      <c r="N51" s="1398"/>
      <c r="O51" s="1398"/>
      <c r="P51" s="1398"/>
      <c r="Q51" s="1398"/>
      <c r="R51" s="1398"/>
      <c r="S51" s="1398"/>
      <c r="T51" s="1398"/>
      <c r="U51" s="1398"/>
      <c r="V51" s="1398"/>
      <c r="W51" s="1398"/>
      <c r="X51" s="1398"/>
      <c r="Y51" s="1398"/>
      <c r="Z51" s="1398"/>
      <c r="AA51" s="1398"/>
      <c r="AB51" s="1398"/>
      <c r="AC51" s="1398"/>
      <c r="AD51" s="1398"/>
      <c r="AE51" s="1398"/>
      <c r="AF51" s="1398"/>
      <c r="AG51" s="1398"/>
      <c r="AH51" s="1398"/>
      <c r="AI51" s="1398"/>
      <c r="AJ51" s="1398"/>
      <c r="AK51" s="1399"/>
    </row>
    <row r="52" spans="2:57" s="3" customFormat="1" ht="17.7" customHeight="1" x14ac:dyDescent="0.25">
      <c r="B52" s="1397"/>
      <c r="C52" s="1398"/>
      <c r="D52" s="1398"/>
      <c r="E52" s="1398"/>
      <c r="F52" s="1398"/>
      <c r="G52" s="1398"/>
      <c r="H52" s="1398"/>
      <c r="I52" s="1398"/>
      <c r="J52" s="1398"/>
      <c r="K52" s="1398"/>
      <c r="L52" s="1398"/>
      <c r="M52" s="1398"/>
      <c r="N52" s="1398"/>
      <c r="O52" s="1398"/>
      <c r="P52" s="1398"/>
      <c r="Q52" s="1398"/>
      <c r="R52" s="1398"/>
      <c r="S52" s="1398"/>
      <c r="T52" s="1398"/>
      <c r="U52" s="1398"/>
      <c r="V52" s="1398"/>
      <c r="W52" s="1398"/>
      <c r="X52" s="1398"/>
      <c r="Y52" s="1398"/>
      <c r="Z52" s="1398"/>
      <c r="AA52" s="1398"/>
      <c r="AB52" s="1398"/>
      <c r="AC52" s="1398"/>
      <c r="AD52" s="1398"/>
      <c r="AE52" s="1398"/>
      <c r="AF52" s="1398"/>
      <c r="AG52" s="1398"/>
      <c r="AH52" s="1398"/>
      <c r="AI52" s="1398"/>
      <c r="AJ52" s="1398"/>
      <c r="AK52" s="1399"/>
    </row>
    <row r="53" spans="2:57" s="3" customFormat="1" ht="17.7" customHeight="1" thickBot="1" x14ac:dyDescent="0.3">
      <c r="B53" s="1400"/>
      <c r="C53" s="1401"/>
      <c r="D53" s="1401"/>
      <c r="E53" s="1401"/>
      <c r="F53" s="1401"/>
      <c r="G53" s="1401"/>
      <c r="H53" s="1401"/>
      <c r="I53" s="1401"/>
      <c r="J53" s="1401"/>
      <c r="K53" s="1401"/>
      <c r="L53" s="1401"/>
      <c r="M53" s="1401"/>
      <c r="N53" s="1401"/>
      <c r="O53" s="1401"/>
      <c r="P53" s="1401"/>
      <c r="Q53" s="1401"/>
      <c r="R53" s="1401"/>
      <c r="S53" s="1401"/>
      <c r="T53" s="1401"/>
      <c r="U53" s="1401"/>
      <c r="V53" s="1401"/>
      <c r="W53" s="1401"/>
      <c r="X53" s="1401"/>
      <c r="Y53" s="1401"/>
      <c r="Z53" s="1401"/>
      <c r="AA53" s="1401"/>
      <c r="AB53" s="1401"/>
      <c r="AC53" s="1401"/>
      <c r="AD53" s="1401"/>
      <c r="AE53" s="1401"/>
      <c r="AF53" s="1401"/>
      <c r="AG53" s="1401"/>
      <c r="AH53" s="1401"/>
      <c r="AI53" s="1401"/>
      <c r="AJ53" s="1401"/>
      <c r="AK53" s="1402"/>
    </row>
    <row r="54" spans="2:57" s="3" customFormat="1" ht="17.7" customHeight="1" thickBot="1" x14ac:dyDescent="0.3">
      <c r="M54" s="155"/>
    </row>
    <row r="55" spans="2:57" s="3" customFormat="1" ht="17.7" customHeight="1" x14ac:dyDescent="0.25">
      <c r="B55" s="1266" t="str">
        <f>HLOOKUP(LANGUAGE!$B$2,LANGUAGE!$C$14:$G$1500,116)</f>
        <v>Department</v>
      </c>
      <c r="C55" s="1267"/>
      <c r="D55" s="1267"/>
      <c r="E55" s="1267"/>
      <c r="F55" s="1267"/>
      <c r="G55" s="1267" t="str">
        <f>HLOOKUP(LANGUAGE!$B$2,LANGUAGE!$C$14:$G$1500,117)</f>
        <v>Participants Supplier</v>
      </c>
      <c r="H55" s="1267"/>
      <c r="I55" s="1267"/>
      <c r="J55" s="1267"/>
      <c r="K55" s="1267"/>
      <c r="L55" s="1267"/>
      <c r="M55" s="1267"/>
      <c r="N55" s="1267"/>
      <c r="O55" s="1267" t="str">
        <f>HLOOKUP(LANGUAGE!$B$2,LANGUAGE!$C$14:$G$1500,21)</f>
        <v>Date</v>
      </c>
      <c r="P55" s="1267"/>
      <c r="Q55" s="1267"/>
      <c r="R55" s="1268"/>
      <c r="U55" s="1266" t="str">
        <f>HLOOKUP(LANGUAGE!$B$2,LANGUAGE!$C$14:$G$1500,116)</f>
        <v>Department</v>
      </c>
      <c r="V55" s="1267"/>
      <c r="W55" s="1267"/>
      <c r="X55" s="1267"/>
      <c r="Y55" s="1267"/>
      <c r="Z55" s="1267" t="str">
        <f>HLOOKUP(LANGUAGE!$B$2,LANGUAGE!$C$14:$G$1500,118)</f>
        <v>Participants Brose</v>
      </c>
      <c r="AA55" s="1267"/>
      <c r="AB55" s="1267"/>
      <c r="AC55" s="1267"/>
      <c r="AD55" s="1267"/>
      <c r="AE55" s="1267"/>
      <c r="AF55" s="1267"/>
      <c r="AG55" s="1267"/>
      <c r="AH55" s="1267" t="str">
        <f>HLOOKUP(LANGUAGE!$B$2,LANGUAGE!$C$14:$G$1500,21)</f>
        <v>Date</v>
      </c>
      <c r="AI55" s="1267"/>
      <c r="AJ55" s="1267"/>
      <c r="AK55" s="1268"/>
    </row>
    <row r="56" spans="2:57" s="3" customFormat="1" ht="17.7" customHeight="1" x14ac:dyDescent="0.25">
      <c r="B56" s="1375"/>
      <c r="C56" s="1376"/>
      <c r="D56" s="1376"/>
      <c r="E56" s="1376"/>
      <c r="F56" s="1376"/>
      <c r="G56" s="1376"/>
      <c r="H56" s="1376"/>
      <c r="I56" s="1376"/>
      <c r="J56" s="1376"/>
      <c r="K56" s="1376"/>
      <c r="L56" s="1376"/>
      <c r="M56" s="1376"/>
      <c r="N56" s="1376"/>
      <c r="O56" s="1383" t="str">
        <f>IF(AG6="","",AG6)</f>
        <v/>
      </c>
      <c r="P56" s="1383"/>
      <c r="Q56" s="1383"/>
      <c r="R56" s="1384"/>
      <c r="U56" s="1375"/>
      <c r="V56" s="1376"/>
      <c r="W56" s="1376"/>
      <c r="X56" s="1376"/>
      <c r="Y56" s="1376"/>
      <c r="Z56" s="1377"/>
      <c r="AA56" s="1378"/>
      <c r="AB56" s="1378"/>
      <c r="AC56" s="1378"/>
      <c r="AD56" s="1378"/>
      <c r="AE56" s="1378"/>
      <c r="AF56" s="1378"/>
      <c r="AG56" s="1379"/>
      <c r="AH56" s="1383" t="str">
        <f>IF(AG6="","",AG6)</f>
        <v/>
      </c>
      <c r="AI56" s="1383"/>
      <c r="AJ56" s="1383"/>
      <c r="AK56" s="1384"/>
    </row>
    <row r="57" spans="2:57" s="3" customFormat="1" ht="17.7" customHeight="1" x14ac:dyDescent="0.25">
      <c r="B57" s="1375"/>
      <c r="C57" s="1376"/>
      <c r="D57" s="1376"/>
      <c r="E57" s="1376"/>
      <c r="F57" s="1376"/>
      <c r="G57" s="1376"/>
      <c r="H57" s="1376"/>
      <c r="I57" s="1376"/>
      <c r="J57" s="1376"/>
      <c r="K57" s="1376"/>
      <c r="L57" s="1376"/>
      <c r="M57" s="1376"/>
      <c r="N57" s="1376"/>
      <c r="O57" s="1383"/>
      <c r="P57" s="1383"/>
      <c r="Q57" s="1383"/>
      <c r="R57" s="1384"/>
      <c r="U57" s="1375"/>
      <c r="V57" s="1376"/>
      <c r="W57" s="1376"/>
      <c r="X57" s="1376"/>
      <c r="Y57" s="1376"/>
      <c r="Z57" s="1380"/>
      <c r="AA57" s="1381"/>
      <c r="AB57" s="1381"/>
      <c r="AC57" s="1381"/>
      <c r="AD57" s="1381"/>
      <c r="AE57" s="1381"/>
      <c r="AF57" s="1381"/>
      <c r="AG57" s="1382"/>
      <c r="AH57" s="1383"/>
      <c r="AI57" s="1383"/>
      <c r="AJ57" s="1383"/>
      <c r="AK57" s="1384"/>
    </row>
    <row r="58" spans="2:57" s="3" customFormat="1" ht="17.7" customHeight="1" x14ac:dyDescent="0.25">
      <c r="B58" s="1375"/>
      <c r="C58" s="1376"/>
      <c r="D58" s="1376"/>
      <c r="E58" s="1376"/>
      <c r="F58" s="1376"/>
      <c r="G58" s="1376"/>
      <c r="H58" s="1376"/>
      <c r="I58" s="1376"/>
      <c r="J58" s="1376"/>
      <c r="K58" s="1376"/>
      <c r="L58" s="1376"/>
      <c r="M58" s="1376"/>
      <c r="N58" s="1376"/>
      <c r="O58" s="1383"/>
      <c r="P58" s="1383"/>
      <c r="Q58" s="1383"/>
      <c r="R58" s="1384"/>
      <c r="U58" s="1375"/>
      <c r="V58" s="1376"/>
      <c r="W58" s="1376"/>
      <c r="X58" s="1376"/>
      <c r="Y58" s="1376"/>
      <c r="Z58" s="1377"/>
      <c r="AA58" s="1378"/>
      <c r="AB58" s="1378"/>
      <c r="AC58" s="1378"/>
      <c r="AD58" s="1378"/>
      <c r="AE58" s="1378"/>
      <c r="AF58" s="1378"/>
      <c r="AG58" s="1379"/>
      <c r="AH58" s="1383"/>
      <c r="AI58" s="1383"/>
      <c r="AJ58" s="1383"/>
      <c r="AK58" s="1384"/>
    </row>
    <row r="59" spans="2:57" s="3" customFormat="1" ht="17.7" customHeight="1" x14ac:dyDescent="0.25">
      <c r="B59" s="1375"/>
      <c r="C59" s="1376"/>
      <c r="D59" s="1376"/>
      <c r="E59" s="1376"/>
      <c r="F59" s="1376"/>
      <c r="G59" s="1376"/>
      <c r="H59" s="1376"/>
      <c r="I59" s="1376"/>
      <c r="J59" s="1376"/>
      <c r="K59" s="1376"/>
      <c r="L59" s="1376"/>
      <c r="M59" s="1376"/>
      <c r="N59" s="1376"/>
      <c r="O59" s="1383"/>
      <c r="P59" s="1383"/>
      <c r="Q59" s="1383"/>
      <c r="R59" s="1384"/>
      <c r="U59" s="1375"/>
      <c r="V59" s="1376"/>
      <c r="W59" s="1376"/>
      <c r="X59" s="1376"/>
      <c r="Y59" s="1376"/>
      <c r="Z59" s="1380"/>
      <c r="AA59" s="1381"/>
      <c r="AB59" s="1381"/>
      <c r="AC59" s="1381"/>
      <c r="AD59" s="1381"/>
      <c r="AE59" s="1381"/>
      <c r="AF59" s="1381"/>
      <c r="AG59" s="1382"/>
      <c r="AH59" s="1383"/>
      <c r="AI59" s="1383"/>
      <c r="AJ59" s="1383"/>
      <c r="AK59" s="1384"/>
    </row>
    <row r="60" spans="2:57" s="3" customFormat="1" ht="17.7" customHeight="1" x14ac:dyDescent="0.25">
      <c r="B60" s="1375"/>
      <c r="C60" s="1376"/>
      <c r="D60" s="1376"/>
      <c r="E60" s="1376"/>
      <c r="F60" s="1376"/>
      <c r="G60" s="1376"/>
      <c r="H60" s="1376"/>
      <c r="I60" s="1376"/>
      <c r="J60" s="1376"/>
      <c r="K60" s="1376"/>
      <c r="L60" s="1376"/>
      <c r="M60" s="1376"/>
      <c r="N60" s="1376"/>
      <c r="O60" s="1383"/>
      <c r="P60" s="1383"/>
      <c r="Q60" s="1383"/>
      <c r="R60" s="1384"/>
      <c r="U60" s="1375"/>
      <c r="V60" s="1376"/>
      <c r="W60" s="1376"/>
      <c r="X60" s="1376"/>
      <c r="Y60" s="1376"/>
      <c r="Z60" s="1377"/>
      <c r="AA60" s="1378"/>
      <c r="AB60" s="1378"/>
      <c r="AC60" s="1378"/>
      <c r="AD60" s="1378"/>
      <c r="AE60" s="1378"/>
      <c r="AF60" s="1378"/>
      <c r="AG60" s="1379"/>
      <c r="AH60" s="1383"/>
      <c r="AI60" s="1383"/>
      <c r="AJ60" s="1383"/>
      <c r="AK60" s="1384"/>
    </row>
    <row r="61" spans="2:57" s="3" customFormat="1" ht="17.7" customHeight="1" x14ac:dyDescent="0.25">
      <c r="B61" s="1375"/>
      <c r="C61" s="1376"/>
      <c r="D61" s="1376"/>
      <c r="E61" s="1376"/>
      <c r="F61" s="1376"/>
      <c r="G61" s="1376"/>
      <c r="H61" s="1376"/>
      <c r="I61" s="1376"/>
      <c r="J61" s="1376"/>
      <c r="K61" s="1376"/>
      <c r="L61" s="1376"/>
      <c r="M61" s="1376"/>
      <c r="N61" s="1376"/>
      <c r="O61" s="1383"/>
      <c r="P61" s="1383"/>
      <c r="Q61" s="1383"/>
      <c r="R61" s="1384"/>
      <c r="U61" s="1375"/>
      <c r="V61" s="1376"/>
      <c r="W61" s="1376"/>
      <c r="X61" s="1376"/>
      <c r="Y61" s="1376"/>
      <c r="Z61" s="1380"/>
      <c r="AA61" s="1381"/>
      <c r="AB61" s="1381"/>
      <c r="AC61" s="1381"/>
      <c r="AD61" s="1381"/>
      <c r="AE61" s="1381"/>
      <c r="AF61" s="1381"/>
      <c r="AG61" s="1382"/>
      <c r="AH61" s="1383"/>
      <c r="AI61" s="1383"/>
      <c r="AJ61" s="1383"/>
      <c r="AK61" s="1384"/>
    </row>
    <row r="62" spans="2:57" s="3" customFormat="1" ht="17.7" customHeight="1" x14ac:dyDescent="0.25">
      <c r="B62" s="1375"/>
      <c r="C62" s="1376"/>
      <c r="D62" s="1376"/>
      <c r="E62" s="1376"/>
      <c r="F62" s="1376"/>
      <c r="G62" s="1376"/>
      <c r="H62" s="1376"/>
      <c r="I62" s="1376"/>
      <c r="J62" s="1376"/>
      <c r="K62" s="1376"/>
      <c r="L62" s="1376"/>
      <c r="M62" s="1376"/>
      <c r="N62" s="1376"/>
      <c r="O62" s="1383"/>
      <c r="P62" s="1383"/>
      <c r="Q62" s="1383"/>
      <c r="R62" s="1384"/>
      <c r="U62" s="1375"/>
      <c r="V62" s="1376"/>
      <c r="W62" s="1376"/>
      <c r="X62" s="1376"/>
      <c r="Y62" s="1376"/>
      <c r="Z62" s="1377"/>
      <c r="AA62" s="1378"/>
      <c r="AB62" s="1378"/>
      <c r="AC62" s="1378"/>
      <c r="AD62" s="1378"/>
      <c r="AE62" s="1378"/>
      <c r="AF62" s="1378"/>
      <c r="AG62" s="1379"/>
      <c r="AH62" s="1383"/>
      <c r="AI62" s="1383"/>
      <c r="AJ62" s="1383"/>
      <c r="AK62" s="1384"/>
    </row>
    <row r="63" spans="2:57" s="3" customFormat="1" ht="17.7" customHeight="1" thickBot="1" x14ac:dyDescent="0.3">
      <c r="B63" s="1387"/>
      <c r="C63" s="1388"/>
      <c r="D63" s="1388"/>
      <c r="E63" s="1388"/>
      <c r="F63" s="1388"/>
      <c r="G63" s="1388"/>
      <c r="H63" s="1388"/>
      <c r="I63" s="1388"/>
      <c r="J63" s="1388"/>
      <c r="K63" s="1388"/>
      <c r="L63" s="1388"/>
      <c r="M63" s="1388"/>
      <c r="N63" s="1388"/>
      <c r="O63" s="1385"/>
      <c r="P63" s="1385"/>
      <c r="Q63" s="1385"/>
      <c r="R63" s="1386"/>
      <c r="U63" s="1387"/>
      <c r="V63" s="1388"/>
      <c r="W63" s="1388"/>
      <c r="X63" s="1388"/>
      <c r="Y63" s="1388"/>
      <c r="Z63" s="1389"/>
      <c r="AA63" s="1390"/>
      <c r="AB63" s="1390"/>
      <c r="AC63" s="1390"/>
      <c r="AD63" s="1390"/>
      <c r="AE63" s="1390"/>
      <c r="AF63" s="1390"/>
      <c r="AG63" s="1391"/>
      <c r="AH63" s="1385"/>
      <c r="AI63" s="1385"/>
      <c r="AJ63" s="1385"/>
      <c r="AK63" s="1386"/>
    </row>
    <row r="64" spans="2:57" ht="12.7" customHeight="1" x14ac:dyDescent="0.25">
      <c r="B64" s="159"/>
      <c r="C64" s="160"/>
      <c r="D64" s="160"/>
      <c r="E64" s="156"/>
      <c r="F64" s="156"/>
      <c r="G64" s="156"/>
      <c r="H64" s="156"/>
      <c r="I64" s="156"/>
      <c r="J64" s="156"/>
      <c r="K64" s="156"/>
      <c r="L64" s="156"/>
      <c r="M64" s="156"/>
      <c r="N64" s="156"/>
      <c r="O64" s="156"/>
      <c r="P64" s="156"/>
      <c r="Q64" s="156"/>
      <c r="R64" s="156"/>
      <c r="S64" s="156"/>
      <c r="T64" s="156"/>
      <c r="U64" s="156"/>
      <c r="V64" s="156"/>
      <c r="W64" s="158"/>
      <c r="X64" s="158"/>
      <c r="Y64" s="158"/>
      <c r="Z64" s="158"/>
      <c r="AA64" s="158"/>
      <c r="AB64" s="158"/>
      <c r="AC64" s="158"/>
      <c r="AD64" s="158"/>
      <c r="AE64" s="158"/>
      <c r="AF64" s="158"/>
      <c r="AG64" s="157"/>
    </row>
  </sheetData>
  <sheetProtection algorithmName="SHA-512" hashValue="13eU/COf+UsekBPKPqV2K5ugW9hcZPL6MvIWq6Hzwi0Wf0NiIvh7haaUUMqNf1/hXMO7v4D9Uy9b9s4WxO0Jfg==" saltValue="bikDeY7kO9VVure4zhhP3Q==" spinCount="100000" sheet="1" objects="1" scenarios="1"/>
  <mergeCells count="239">
    <mergeCell ref="C48:D48"/>
    <mergeCell ref="E48:L48"/>
    <mergeCell ref="M48:T48"/>
    <mergeCell ref="U48:Y48"/>
    <mergeCell ref="Z48:AA48"/>
    <mergeCell ref="AB48:AD48"/>
    <mergeCell ref="AE48:AG48"/>
    <mergeCell ref="U56:Y57"/>
    <mergeCell ref="Z56:AG57"/>
    <mergeCell ref="B55:F55"/>
    <mergeCell ref="G55:N55"/>
    <mergeCell ref="O55:R55"/>
    <mergeCell ref="U55:Y55"/>
    <mergeCell ref="Z55:AG55"/>
    <mergeCell ref="C42:D42"/>
    <mergeCell ref="E42:L42"/>
    <mergeCell ref="M42:T42"/>
    <mergeCell ref="U42:Y42"/>
    <mergeCell ref="Z42:AA42"/>
    <mergeCell ref="AB42:AD42"/>
    <mergeCell ref="AE42:AG42"/>
    <mergeCell ref="B50:AK50"/>
    <mergeCell ref="B51:AK53"/>
    <mergeCell ref="AH42:AI42"/>
    <mergeCell ref="AJ42:AK42"/>
    <mergeCell ref="AH48:AI48"/>
    <mergeCell ref="AJ48:AK48"/>
    <mergeCell ref="B44:AK45"/>
    <mergeCell ref="B46:B47"/>
    <mergeCell ref="C46:D47"/>
    <mergeCell ref="E46:L47"/>
    <mergeCell ref="M46:T47"/>
    <mergeCell ref="U46:Y47"/>
    <mergeCell ref="Z46:AA47"/>
    <mergeCell ref="AB46:AD47"/>
    <mergeCell ref="AE46:AG47"/>
    <mergeCell ref="AH46:AI47"/>
    <mergeCell ref="AJ46:AK47"/>
    <mergeCell ref="AH55:AK55"/>
    <mergeCell ref="B60:F61"/>
    <mergeCell ref="G60:N61"/>
    <mergeCell ref="U60:Y61"/>
    <mergeCell ref="Z60:AG61"/>
    <mergeCell ref="B56:F57"/>
    <mergeCell ref="G56:N57"/>
    <mergeCell ref="O56:R63"/>
    <mergeCell ref="AH56:AK63"/>
    <mergeCell ref="B58:F59"/>
    <mergeCell ref="G58:N59"/>
    <mergeCell ref="U58:Y59"/>
    <mergeCell ref="Z58:AG59"/>
    <mergeCell ref="B62:F63"/>
    <mergeCell ref="G62:N63"/>
    <mergeCell ref="U62:Y63"/>
    <mergeCell ref="Z62:AG63"/>
    <mergeCell ref="C41:D41"/>
    <mergeCell ref="E41:L41"/>
    <mergeCell ref="M41:T41"/>
    <mergeCell ref="U41:Y41"/>
    <mergeCell ref="Z41:AA41"/>
    <mergeCell ref="AB41:AD41"/>
    <mergeCell ref="AE41:AG41"/>
    <mergeCell ref="AH41:AI41"/>
    <mergeCell ref="AJ41:AK41"/>
    <mergeCell ref="AE39:AG39"/>
    <mergeCell ref="AH39:AI39"/>
    <mergeCell ref="AJ39:AK39"/>
    <mergeCell ref="C40:D40"/>
    <mergeCell ref="E40:L40"/>
    <mergeCell ref="M40:T40"/>
    <mergeCell ref="U40:Y40"/>
    <mergeCell ref="Z40:AA40"/>
    <mergeCell ref="AB40:AD40"/>
    <mergeCell ref="AE40:AG40"/>
    <mergeCell ref="C39:D39"/>
    <mergeCell ref="E39:L39"/>
    <mergeCell ref="M39:T39"/>
    <mergeCell ref="U39:Y39"/>
    <mergeCell ref="Z39:AA39"/>
    <mergeCell ref="AB39:AD39"/>
    <mergeCell ref="AH40:AI40"/>
    <mergeCell ref="AJ40:AK40"/>
    <mergeCell ref="C38:D38"/>
    <mergeCell ref="E38:L38"/>
    <mergeCell ref="M38:T38"/>
    <mergeCell ref="U38:Y38"/>
    <mergeCell ref="Z38:AA38"/>
    <mergeCell ref="AB38:AD38"/>
    <mergeCell ref="AE38:AG38"/>
    <mergeCell ref="AH38:AI38"/>
    <mergeCell ref="AJ38:AK38"/>
    <mergeCell ref="C37:D37"/>
    <mergeCell ref="E37:L37"/>
    <mergeCell ref="M37:T37"/>
    <mergeCell ref="U37:Y37"/>
    <mergeCell ref="Z37:AA37"/>
    <mergeCell ref="AB37:AD37"/>
    <mergeCell ref="AE37:AG37"/>
    <mergeCell ref="AH37:AI37"/>
    <mergeCell ref="AJ37:AK37"/>
    <mergeCell ref="AE35:AG35"/>
    <mergeCell ref="AH35:AI35"/>
    <mergeCell ref="AJ35:AK35"/>
    <mergeCell ref="C36:D36"/>
    <mergeCell ref="E36:L36"/>
    <mergeCell ref="M36:T36"/>
    <mergeCell ref="U36:Y36"/>
    <mergeCell ref="Z36:AA36"/>
    <mergeCell ref="AB36:AD36"/>
    <mergeCell ref="AE36:AG36"/>
    <mergeCell ref="C35:D35"/>
    <mergeCell ref="E35:L35"/>
    <mergeCell ref="M35:T35"/>
    <mergeCell ref="U35:Y35"/>
    <mergeCell ref="Z35:AA35"/>
    <mergeCell ref="AB35:AD35"/>
    <mergeCell ref="AH36:AI36"/>
    <mergeCell ref="AJ36:AK36"/>
    <mergeCell ref="C34:D34"/>
    <mergeCell ref="E34:L34"/>
    <mergeCell ref="M34:T34"/>
    <mergeCell ref="U34:Y34"/>
    <mergeCell ref="Z34:AA34"/>
    <mergeCell ref="AB34:AD34"/>
    <mergeCell ref="AE34:AG34"/>
    <mergeCell ref="AH34:AI34"/>
    <mergeCell ref="AJ34:AK34"/>
    <mergeCell ref="B30:AK31"/>
    <mergeCell ref="B32:B33"/>
    <mergeCell ref="C32:D33"/>
    <mergeCell ref="E32:L33"/>
    <mergeCell ref="M32:T33"/>
    <mergeCell ref="U32:Y33"/>
    <mergeCell ref="Z32:AA33"/>
    <mergeCell ref="AB32:AD33"/>
    <mergeCell ref="AE32:AG33"/>
    <mergeCell ref="AH32:AI33"/>
    <mergeCell ref="AJ32:AK33"/>
    <mergeCell ref="C28:D28"/>
    <mergeCell ref="E28:L28"/>
    <mergeCell ref="M28:T28"/>
    <mergeCell ref="U28:Y28"/>
    <mergeCell ref="Z28:AA28"/>
    <mergeCell ref="AB28:AD28"/>
    <mergeCell ref="AE28:AG28"/>
    <mergeCell ref="AH28:AI28"/>
    <mergeCell ref="AJ28:AK28"/>
    <mergeCell ref="B24:AK25"/>
    <mergeCell ref="B26:B27"/>
    <mergeCell ref="C26:D27"/>
    <mergeCell ref="E26:L27"/>
    <mergeCell ref="M26:T27"/>
    <mergeCell ref="U26:Y27"/>
    <mergeCell ref="Z26:AA27"/>
    <mergeCell ref="AB26:AD27"/>
    <mergeCell ref="AE26:AG27"/>
    <mergeCell ref="AH26:AI27"/>
    <mergeCell ref="AJ26:AK27"/>
    <mergeCell ref="C22:D22"/>
    <mergeCell ref="E22:L22"/>
    <mergeCell ref="M22:T22"/>
    <mergeCell ref="U22:Y22"/>
    <mergeCell ref="Z22:AA22"/>
    <mergeCell ref="AB22:AD22"/>
    <mergeCell ref="AE22:AG22"/>
    <mergeCell ref="AH22:AI22"/>
    <mergeCell ref="AJ22:AK22"/>
    <mergeCell ref="B18:AK19"/>
    <mergeCell ref="B20:B21"/>
    <mergeCell ref="C20:D21"/>
    <mergeCell ref="E20:L21"/>
    <mergeCell ref="M20:T21"/>
    <mergeCell ref="U20:Y21"/>
    <mergeCell ref="Z20:AA21"/>
    <mergeCell ref="AB20:AD21"/>
    <mergeCell ref="AE20:AG21"/>
    <mergeCell ref="AH20:AI21"/>
    <mergeCell ref="AJ20:AK21"/>
    <mergeCell ref="F15:H15"/>
    <mergeCell ref="I15:L15"/>
    <mergeCell ref="M15:O15"/>
    <mergeCell ref="Q15:U15"/>
    <mergeCell ref="V15:Z15"/>
    <mergeCell ref="AA15:AE15"/>
    <mergeCell ref="B14:E14"/>
    <mergeCell ref="F14:H14"/>
    <mergeCell ref="I14:L14"/>
    <mergeCell ref="M14:O14"/>
    <mergeCell ref="Q14:U14"/>
    <mergeCell ref="V14:Z14"/>
    <mergeCell ref="F13:H13"/>
    <mergeCell ref="I13:L13"/>
    <mergeCell ref="M13:O13"/>
    <mergeCell ref="Q13:U13"/>
    <mergeCell ref="V13:Z13"/>
    <mergeCell ref="AA13:AE13"/>
    <mergeCell ref="AA11:AE11"/>
    <mergeCell ref="AG11:AK15"/>
    <mergeCell ref="B12:E12"/>
    <mergeCell ref="F12:H12"/>
    <mergeCell ref="I12:L12"/>
    <mergeCell ref="M12:O12"/>
    <mergeCell ref="Q12:U12"/>
    <mergeCell ref="V12:Z12"/>
    <mergeCell ref="AA12:AE12"/>
    <mergeCell ref="B13:E13"/>
    <mergeCell ref="B11:E11"/>
    <mergeCell ref="F11:H11"/>
    <mergeCell ref="I11:L11"/>
    <mergeCell ref="M11:O11"/>
    <mergeCell ref="Q11:U11"/>
    <mergeCell ref="V11:Z11"/>
    <mergeCell ref="AA14:AE14"/>
    <mergeCell ref="B15:E15"/>
    <mergeCell ref="B9:O9"/>
    <mergeCell ref="Q9:AE9"/>
    <mergeCell ref="AG9:AK10"/>
    <mergeCell ref="B10:E10"/>
    <mergeCell ref="F10:H10"/>
    <mergeCell ref="I10:L10"/>
    <mergeCell ref="M10:O10"/>
    <mergeCell ref="Q10:U10"/>
    <mergeCell ref="V10:Z10"/>
    <mergeCell ref="AA10:AE10"/>
    <mergeCell ref="B1:O2"/>
    <mergeCell ref="P1:R1"/>
    <mergeCell ref="P2:R2"/>
    <mergeCell ref="B5:O5"/>
    <mergeCell ref="Q5:AE5"/>
    <mergeCell ref="AG5:AK5"/>
    <mergeCell ref="B6:F6"/>
    <mergeCell ref="G6:O6"/>
    <mergeCell ref="Q6:U6"/>
    <mergeCell ref="V6:AE6"/>
    <mergeCell ref="AG6:AK7"/>
    <mergeCell ref="B7:F7"/>
    <mergeCell ref="G7:O7"/>
    <mergeCell ref="Q7:U7"/>
    <mergeCell ref="V7:AE7"/>
  </mergeCells>
  <conditionalFormatting sqref="B18">
    <cfRule type="expression" dxfId="566" priority="32">
      <formula>MAX($AZ$22)=3</formula>
    </cfRule>
    <cfRule type="expression" dxfId="565" priority="31">
      <formula>MAX($AZ$22)=2</formula>
    </cfRule>
    <cfRule type="expression" dxfId="564" priority="30">
      <formula>MAX($AZ$22)=1</formula>
    </cfRule>
    <cfRule type="expression" dxfId="563" priority="29">
      <formula>MAX($AZ$22)=0</formula>
    </cfRule>
  </conditionalFormatting>
  <conditionalFormatting sqref="B24">
    <cfRule type="expression" dxfId="562" priority="3">
      <formula>MAX($AZ$28)=0</formula>
    </cfRule>
    <cfRule type="expression" dxfId="561" priority="4">
      <formula>MAX($AZ$28)=1</formula>
    </cfRule>
    <cfRule type="expression" dxfId="560" priority="5">
      <formula>MAX($AZ$28)=2</formula>
    </cfRule>
    <cfRule type="expression" dxfId="559" priority="6">
      <formula>MAX($AZ$28)=3</formula>
    </cfRule>
  </conditionalFormatting>
  <conditionalFormatting sqref="B30">
    <cfRule type="expression" dxfId="558" priority="38">
      <formula>MAX($AZ$34:$AZ$42)=0</formula>
    </cfRule>
    <cfRule type="expression" dxfId="557" priority="39">
      <formula>MAX($AZ$34:$AZ$42)=1</formula>
    </cfRule>
    <cfRule type="expression" dxfId="556" priority="40">
      <formula>MAX($AZ$34:$AZ$42)=2</formula>
    </cfRule>
    <cfRule type="expression" dxfId="555" priority="41">
      <formula>MAX($AZ$34:$AZ$42)=3</formula>
    </cfRule>
  </conditionalFormatting>
  <conditionalFormatting sqref="B44">
    <cfRule type="expression" dxfId="554" priority="972">
      <formula>MAX($AZ$48)=3</formula>
    </cfRule>
    <cfRule type="expression" dxfId="553" priority="969">
      <formula>MAX($AZ$48)=0</formula>
    </cfRule>
    <cfRule type="expression" dxfId="552" priority="970">
      <formula>MAX($AZ$48)=1</formula>
    </cfRule>
    <cfRule type="expression" dxfId="551" priority="971">
      <formula>MAX($AZ$48)=2</formula>
    </cfRule>
  </conditionalFormatting>
  <conditionalFormatting sqref="Z22:Z23 Z34:AA34 Z35 Z48:AA48">
    <cfRule type="expression" dxfId="550" priority="36">
      <formula>$AZ22=2</formula>
    </cfRule>
    <cfRule type="expression" dxfId="549" priority="35">
      <formula>$AZ22=3</formula>
    </cfRule>
    <cfRule type="expression" dxfId="548" priority="37">
      <formula>$AZ22=1</formula>
    </cfRule>
  </conditionalFormatting>
  <conditionalFormatting sqref="Z28">
    <cfRule type="expression" dxfId="547" priority="9">
      <formula>$AZ28=3</formula>
    </cfRule>
    <cfRule type="expression" dxfId="546" priority="10">
      <formula>$AZ28=2</formula>
    </cfRule>
    <cfRule type="expression" dxfId="545" priority="11">
      <formula>$AZ28=1</formula>
    </cfRule>
  </conditionalFormatting>
  <conditionalFormatting sqref="Z36:AA42">
    <cfRule type="expression" dxfId="544" priority="14">
      <formula>$AZ36=3</formula>
    </cfRule>
    <cfRule type="expression" dxfId="543" priority="15">
      <formula>$AZ36=2</formula>
    </cfRule>
    <cfRule type="expression" dxfId="542" priority="16">
      <formula>$AZ36=1</formula>
    </cfRule>
  </conditionalFormatting>
  <conditionalFormatting sqref="AG11">
    <cfRule type="expression" dxfId="541" priority="20">
      <formula>AND($BB$21&gt;0,$BB$21&lt;5)</formula>
    </cfRule>
    <cfRule type="expression" dxfId="540" priority="18">
      <formula>$BB$21=6</formula>
    </cfRule>
    <cfRule type="expression" dxfId="539" priority="19">
      <formula>$BB$21=5</formula>
    </cfRule>
  </conditionalFormatting>
  <conditionalFormatting sqref="AG11:AK15">
    <cfRule type="expression" dxfId="538" priority="17">
      <formula>$BB$21=10</formula>
    </cfRule>
  </conditionalFormatting>
  <conditionalFormatting sqref="AJ22:AJ23">
    <cfRule type="expression" dxfId="537" priority="2">
      <formula>$BA22=1</formula>
    </cfRule>
    <cfRule type="expression" dxfId="536" priority="1">
      <formula>$BA22=3</formula>
    </cfRule>
  </conditionalFormatting>
  <conditionalFormatting sqref="AJ28">
    <cfRule type="expression" dxfId="535" priority="8">
      <formula>$BA28=1</formula>
    </cfRule>
    <cfRule type="expression" dxfId="534" priority="7">
      <formula>$BA28=3</formula>
    </cfRule>
  </conditionalFormatting>
  <conditionalFormatting sqref="AJ34:AK34 AJ35 AJ48:AK48">
    <cfRule type="expression" dxfId="533" priority="33">
      <formula>$BA34=3</formula>
    </cfRule>
    <cfRule type="expression" dxfId="532" priority="34">
      <formula>$BA34=1</formula>
    </cfRule>
  </conditionalFormatting>
  <conditionalFormatting sqref="AJ36:AK42">
    <cfRule type="expression" dxfId="531" priority="13">
      <formula>$BA36=1</formula>
    </cfRule>
    <cfRule type="expression" dxfId="530" priority="12">
      <formula>$BA36=3</formula>
    </cfRule>
  </conditionalFormatting>
  <dataValidations disablePrompts="1" count="2">
    <dataValidation type="list" allowBlank="1" showInputMessage="1" showErrorMessage="1" sqref="AJ48:AK48 AJ28:AK28 AJ22:AK23 AJ34:AJ42 AK34 AK36:AK42" xr:uid="{00000000-0002-0000-0500-000000000000}">
      <formula1>Status_Maßnahme</formula1>
    </dataValidation>
    <dataValidation type="list" allowBlank="1" showInputMessage="1" showErrorMessage="1" sqref="Z48:AA48 Z28:AA28 Z22:AA23 Z34:Z42 AA34 AA36:AA42" xr:uid="{00000000-0002-0000-0500-000001000000}">
      <formula1>Status_Bewertung</formula1>
    </dataValidation>
  </dataValidations>
  <printOptions horizontalCentered="1"/>
  <pageMargins left="0.70866141732283472" right="0.55118110236220474" top="0.98425196850393704" bottom="0.9055118110236221" header="0.23622047244094491" footer="0.27559055118110237"/>
  <pageSetup paperSize="8" scale="72" fitToHeight="2"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1" manualBreakCount="1">
    <brk id="36" min="1" max="36" man="1"/>
  </rowBreaks>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1377" r:id="rId6" name="Drop Down 1">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92D050"/>
  </sheetPr>
  <dimension ref="A1:BJ52"/>
  <sheetViews>
    <sheetView showGridLines="0" topLeftCell="A35" zoomScaleNormal="100" zoomScaleSheetLayoutView="100" zoomScalePageLayoutView="55" workbookViewId="0">
      <selection activeCell="M164" sqref="M164:T166"/>
    </sheetView>
  </sheetViews>
  <sheetFormatPr baseColWidth="10" defaultColWidth="5.3984375" defaultRowHeight="13.15" x14ac:dyDescent="0.25"/>
  <cols>
    <col min="2" max="2" width="9.3984375" bestFit="1" customWidth="1"/>
    <col min="4" max="4" width="6.3984375" customWidth="1"/>
    <col min="38" max="55" width="5.3984375" customWidth="1"/>
    <col min="56" max="57" width="5.3984375" style="3" customWidth="1"/>
    <col min="58" max="63" width="5.3984375" customWidth="1"/>
  </cols>
  <sheetData>
    <row r="1" spans="1:57" ht="17.7" customHeight="1" x14ac:dyDescent="0.25">
      <c r="A1" s="153"/>
      <c r="B1" s="1139" t="str">
        <f>HLOOKUP(LANGUAGE!$B$2,LANGUAGE!$C$14:$G$3515,2085)</f>
        <v>Development Supplier Quality Gate 1</v>
      </c>
      <c r="C1" s="1139"/>
      <c r="D1" s="1139"/>
      <c r="E1" s="1139"/>
      <c r="F1" s="1139"/>
      <c r="G1" s="1139"/>
      <c r="H1" s="1139"/>
      <c r="I1" s="1139"/>
      <c r="J1" s="1139"/>
      <c r="K1" s="1139"/>
      <c r="L1" s="1139"/>
      <c r="M1" s="1139"/>
      <c r="N1" s="1139"/>
      <c r="O1" s="1139"/>
      <c r="P1" s="1140" t="s">
        <v>2</v>
      </c>
      <c r="Q1" s="1140"/>
      <c r="R1" s="1140"/>
      <c r="S1" s="185"/>
      <c r="T1" s="185"/>
      <c r="U1" s="185"/>
      <c r="V1" s="185"/>
      <c r="W1" s="185"/>
      <c r="X1" s="185"/>
      <c r="Y1" s="185"/>
      <c r="Z1" s="174"/>
      <c r="AA1" s="174"/>
      <c r="AB1" s="174"/>
      <c r="AC1" s="174"/>
      <c r="AD1" s="174"/>
      <c r="AE1" s="174"/>
      <c r="AF1" s="174"/>
      <c r="AG1" s="174"/>
      <c r="AH1" s="174"/>
      <c r="AI1" s="174"/>
      <c r="AJ1" s="174"/>
      <c r="AK1" s="174"/>
      <c r="AL1" s="174"/>
    </row>
    <row r="2" spans="1:57" ht="17.7" customHeight="1" x14ac:dyDescent="0.25">
      <c r="A2" s="153"/>
      <c r="B2" s="1139"/>
      <c r="C2" s="1139"/>
      <c r="D2" s="1139"/>
      <c r="E2" s="1139"/>
      <c r="F2" s="1139"/>
      <c r="G2" s="1139"/>
      <c r="H2" s="1139"/>
      <c r="I2" s="1139"/>
      <c r="J2" s="1139"/>
      <c r="K2" s="1139"/>
      <c r="L2" s="1139"/>
      <c r="M2" s="1139"/>
      <c r="N2" s="1139"/>
      <c r="O2" s="1139"/>
      <c r="P2" s="1140" t="s">
        <v>1774</v>
      </c>
      <c r="Q2" s="1140"/>
      <c r="R2" s="1140"/>
      <c r="S2" s="185"/>
      <c r="T2" s="185"/>
      <c r="U2" s="185"/>
      <c r="V2" s="185"/>
      <c r="W2" s="185"/>
      <c r="X2" s="185"/>
      <c r="Y2" s="185"/>
      <c r="Z2" s="174"/>
      <c r="AA2" s="174"/>
      <c r="AB2" s="174"/>
      <c r="AC2" s="174"/>
      <c r="AD2" s="174"/>
      <c r="AE2" s="174"/>
      <c r="AF2" s="174"/>
      <c r="AG2" s="174"/>
      <c r="AH2" s="174"/>
      <c r="AI2" s="174"/>
      <c r="AJ2" s="174"/>
      <c r="AK2" s="174"/>
      <c r="AL2" s="174"/>
    </row>
    <row r="3" spans="1:57" ht="17.7" customHeight="1" x14ac:dyDescent="0.25">
      <c r="B3" s="201" t="str">
        <f>HLOOKUP(LANGUAGE!$B$2,LANGUAGE!$C$14:$G$3515,2086)</f>
        <v>Target: All required information/ documents are available at the project kick-off.</v>
      </c>
      <c r="C3" s="30"/>
      <c r="D3" s="30"/>
      <c r="E3" s="30"/>
      <c r="F3" s="30"/>
      <c r="G3" s="30"/>
      <c r="H3" s="30"/>
      <c r="I3" s="30"/>
      <c r="J3" s="30"/>
      <c r="K3" s="30"/>
      <c r="L3" s="30"/>
      <c r="M3" s="30"/>
      <c r="N3" s="30"/>
      <c r="O3" s="30"/>
      <c r="P3" s="30"/>
      <c r="Q3" s="509" t="str">
        <f>HLOOKUP(LANGUAGE!$B$2,LANGUAGE!$C$14:$G$1500,2)</f>
        <v>Attention!!!        Only yellow fields has to be filled</v>
      </c>
      <c r="R3" s="30"/>
      <c r="S3" s="30"/>
      <c r="T3" s="30"/>
      <c r="U3" s="30"/>
      <c r="V3" s="30"/>
      <c r="W3" s="30"/>
      <c r="X3" s="30"/>
      <c r="Y3" s="30"/>
      <c r="Z3" s="30"/>
      <c r="AA3" s="30"/>
      <c r="AB3" s="30"/>
      <c r="AC3" s="30"/>
      <c r="AD3" s="30"/>
      <c r="AE3" s="30"/>
      <c r="AF3" s="30"/>
      <c r="AG3" s="30"/>
    </row>
    <row r="4" spans="1:57" ht="17.7" customHeight="1" thickBot="1" x14ac:dyDescent="0.3">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row>
    <row r="5" spans="1:57" ht="17.7" customHeight="1" x14ac:dyDescent="0.25">
      <c r="B5" s="1416" t="str">
        <f>HLOOKUP(LANGUAGE!$B$2,LANGUAGE!$C$14:$G$1500,12)</f>
        <v>Project Data</v>
      </c>
      <c r="C5" s="1417"/>
      <c r="D5" s="1417"/>
      <c r="E5" s="1417"/>
      <c r="F5" s="1417"/>
      <c r="G5" s="1417"/>
      <c r="H5" s="1417"/>
      <c r="I5" s="1417"/>
      <c r="J5" s="1417"/>
      <c r="K5" s="1417"/>
      <c r="L5" s="1417"/>
      <c r="M5" s="1417"/>
      <c r="N5" s="1417"/>
      <c r="O5" s="1418"/>
      <c r="P5" s="252"/>
      <c r="Q5" s="1416" t="str">
        <f>HLOOKUP(LANGUAGE!$B$2,LANGUAGE!$C$14:$G$1500,27)</f>
        <v>Supplier Data</v>
      </c>
      <c r="R5" s="1417"/>
      <c r="S5" s="1417"/>
      <c r="T5" s="1417"/>
      <c r="U5" s="1417"/>
      <c r="V5" s="1417"/>
      <c r="W5" s="1417"/>
      <c r="X5" s="1417"/>
      <c r="Y5" s="1417"/>
      <c r="Z5" s="1417"/>
      <c r="AA5" s="1417"/>
      <c r="AB5" s="1417"/>
      <c r="AC5" s="1417"/>
      <c r="AD5" s="1417"/>
      <c r="AE5" s="1418"/>
      <c r="AF5" s="252"/>
      <c r="AG5" s="1266" t="str">
        <f>HLOOKUP(LANGUAGE!$B$2,LANGUAGE!$C$14:$G$1500,21)</f>
        <v>Date</v>
      </c>
      <c r="AH5" s="1267"/>
      <c r="AI5" s="1267"/>
      <c r="AJ5" s="1267"/>
      <c r="AK5" s="1268"/>
      <c r="BD5"/>
      <c r="BE5"/>
    </row>
    <row r="6" spans="1:57" ht="17.7" customHeight="1" x14ac:dyDescent="0.25">
      <c r="B6" s="1419" t="str">
        <f>HLOOKUP(LANGUAGE!$B$2,LANGUAGE!$C$14:$G$1500,13)</f>
        <v>Project</v>
      </c>
      <c r="C6" s="1420"/>
      <c r="D6" s="1420"/>
      <c r="E6" s="1420"/>
      <c r="F6" s="1420"/>
      <c r="G6" s="1421" t="str">
        <f>IF(Basic_Data!F6&lt;&gt;"",CONCATENATE(Basic_Data!F6," / ",Basic_Data!F7,""),"")</f>
        <v/>
      </c>
      <c r="H6" s="1421"/>
      <c r="I6" s="1421"/>
      <c r="J6" s="1421"/>
      <c r="K6" s="1421"/>
      <c r="L6" s="1421"/>
      <c r="M6" s="1421"/>
      <c r="N6" s="1421"/>
      <c r="O6" s="1422"/>
      <c r="P6" s="252"/>
      <c r="Q6" s="1419" t="str">
        <f>HLOOKUP(LANGUAGE!$B$2,LANGUAGE!$C$14:$G$1500,28)</f>
        <v>Supplier</v>
      </c>
      <c r="R6" s="1420"/>
      <c r="S6" s="1420"/>
      <c r="T6" s="1420"/>
      <c r="U6" s="1420"/>
      <c r="V6" s="1421" t="str">
        <f>IF(Basic_Data!R6&lt;&gt;"",CONCATENATE(Basic_Data!R6," (",Basic_Data!R7,")"),"")</f>
        <v/>
      </c>
      <c r="W6" s="1421"/>
      <c r="X6" s="1421"/>
      <c r="Y6" s="1421"/>
      <c r="Z6" s="1421"/>
      <c r="AA6" s="1421"/>
      <c r="AB6" s="1421"/>
      <c r="AC6" s="1421"/>
      <c r="AD6" s="1421"/>
      <c r="AE6" s="1422"/>
      <c r="AF6" s="252"/>
      <c r="AG6" s="1273"/>
      <c r="AH6" s="1274"/>
      <c r="AI6" s="1274"/>
      <c r="AJ6" s="1274"/>
      <c r="AK6" s="1275"/>
      <c r="BD6"/>
      <c r="BE6"/>
    </row>
    <row r="7" spans="1:57" ht="17.7" customHeight="1" thickBot="1" x14ac:dyDescent="0.3">
      <c r="B7" s="1423" t="str">
        <f>HLOOKUP(LANGUAGE!$B$2,LANGUAGE!$C$14:$G$1500,14)</f>
        <v>Part Name(s)</v>
      </c>
      <c r="C7" s="1424"/>
      <c r="D7" s="1424"/>
      <c r="E7" s="1424"/>
      <c r="F7" s="1424"/>
      <c r="G7" s="1425" t="str">
        <f>IF(Basic_Data!F8&lt;&gt;"",Basic_Data!F8,"")</f>
        <v/>
      </c>
      <c r="H7" s="1425"/>
      <c r="I7" s="1425"/>
      <c r="J7" s="1425"/>
      <c r="K7" s="1425"/>
      <c r="L7" s="1425"/>
      <c r="M7" s="1425"/>
      <c r="N7" s="1425"/>
      <c r="O7" s="1426"/>
      <c r="P7" s="252"/>
      <c r="Q7" s="1423" t="str">
        <f>HLOOKUP(LANGUAGE!$B$2,LANGUAGE!$C$14:$G$1500,29)</f>
        <v>Address</v>
      </c>
      <c r="R7" s="1424"/>
      <c r="S7" s="1424"/>
      <c r="T7" s="1424"/>
      <c r="U7" s="1424"/>
      <c r="V7" s="1425" t="str">
        <f>IF(Basic_Data!R8&lt;&gt;"",CONCATENATE(Basic_Data!R8,", ",Basic_Data!R9,", ",Basic_Data!R10,""),"")</f>
        <v/>
      </c>
      <c r="W7" s="1425"/>
      <c r="X7" s="1425"/>
      <c r="Y7" s="1425"/>
      <c r="Z7" s="1425"/>
      <c r="AA7" s="1425"/>
      <c r="AB7" s="1425"/>
      <c r="AC7" s="1425"/>
      <c r="AD7" s="1425"/>
      <c r="AE7" s="1426"/>
      <c r="AF7" s="252"/>
      <c r="AG7" s="1276"/>
      <c r="AH7" s="1277"/>
      <c r="AI7" s="1277"/>
      <c r="AJ7" s="1277"/>
      <c r="AK7" s="1278"/>
      <c r="BA7" s="3"/>
      <c r="BD7"/>
      <c r="BE7"/>
    </row>
    <row r="8" spans="1:57" ht="17.7" customHeight="1" thickBot="1" x14ac:dyDescent="0.3">
      <c r="B8" s="510"/>
      <c r="C8" s="510"/>
      <c r="D8" s="510"/>
      <c r="E8" s="252"/>
      <c r="F8" s="252"/>
      <c r="G8" s="252"/>
      <c r="H8" s="252"/>
      <c r="I8" s="252"/>
      <c r="J8" s="252"/>
      <c r="K8" s="252"/>
      <c r="L8" s="252"/>
      <c r="M8" s="252"/>
      <c r="N8" s="252"/>
      <c r="O8" s="252"/>
      <c r="P8" s="252"/>
      <c r="Q8" s="252"/>
      <c r="R8" s="252"/>
      <c r="S8" s="510"/>
      <c r="T8" s="510"/>
      <c r="U8" s="510"/>
      <c r="V8" s="510"/>
      <c r="W8" s="252"/>
      <c r="X8" s="252"/>
      <c r="Y8" s="252"/>
      <c r="Z8" s="252"/>
      <c r="AA8" s="252"/>
      <c r="AB8" s="252"/>
      <c r="AC8" s="252"/>
      <c r="AD8" s="252"/>
      <c r="AE8" s="252"/>
      <c r="AF8" s="252"/>
      <c r="AG8" s="252"/>
      <c r="AH8" s="154"/>
      <c r="AI8" s="154"/>
      <c r="AJ8" s="252"/>
      <c r="AK8" s="252"/>
      <c r="BD8"/>
      <c r="BE8"/>
    </row>
    <row r="9" spans="1:57" ht="17.7" customHeight="1" x14ac:dyDescent="0.25">
      <c r="B9" s="1416" t="str">
        <f>HLOOKUP(LANGUAGE!$B$2,LANGUAGE!$C$14:$G$1500,40)</f>
        <v>Material Data</v>
      </c>
      <c r="C9" s="1417"/>
      <c r="D9" s="1417"/>
      <c r="E9" s="1417"/>
      <c r="F9" s="1417"/>
      <c r="G9" s="1417"/>
      <c r="H9" s="1417"/>
      <c r="I9" s="1417"/>
      <c r="J9" s="1417"/>
      <c r="K9" s="1417"/>
      <c r="L9" s="1417"/>
      <c r="M9" s="1417"/>
      <c r="N9" s="1417"/>
      <c r="O9" s="1418"/>
      <c r="P9" s="252"/>
      <c r="Q9" s="1416" t="str">
        <f>HLOOKUP(LANGUAGE!$B$2,LANGUAGE!$C$14:$G$1500,54)</f>
        <v>Deadlines</v>
      </c>
      <c r="R9" s="1417"/>
      <c r="S9" s="1417"/>
      <c r="T9" s="1417"/>
      <c r="U9" s="1417"/>
      <c r="V9" s="1417"/>
      <c r="W9" s="1417"/>
      <c r="X9" s="1417"/>
      <c r="Y9" s="1417"/>
      <c r="Z9" s="1417"/>
      <c r="AA9" s="1417"/>
      <c r="AB9" s="1417"/>
      <c r="AC9" s="1417"/>
      <c r="AD9" s="1417"/>
      <c r="AE9" s="1418"/>
      <c r="AF9" s="252"/>
      <c r="AG9" s="1427" t="str">
        <f>HLOOKUP(LANGUAGE!$B$2,LANGUAGE!$C$14:$G$3515,2090)</f>
        <v>Overall status
Development Supplier Quality Gate 1</v>
      </c>
      <c r="AH9" s="1428"/>
      <c r="AI9" s="1428"/>
      <c r="AJ9" s="1428"/>
      <c r="AK9" s="1429"/>
      <c r="BD9"/>
      <c r="BE9"/>
    </row>
    <row r="10" spans="1:57" ht="20.05" customHeight="1" x14ac:dyDescent="0.25">
      <c r="B10" s="1287" t="str">
        <f>HLOOKUP(LANGUAGE!$B$2,LANGUAGE!$C$14:$G$1500,41)</f>
        <v>Brose Part No.</v>
      </c>
      <c r="C10" s="1288"/>
      <c r="D10" s="1288"/>
      <c r="E10" s="1288"/>
      <c r="F10" s="1288" t="str">
        <f>HLOOKUP(LANGUAGE!$B$2,LANGUAGE!$C$14:$G$1500,42)</f>
        <v>Index</v>
      </c>
      <c r="G10" s="1288"/>
      <c r="H10" s="1288"/>
      <c r="I10" s="1289" t="str">
        <f>HLOOKUP(LANGUAGE!$B$2,LANGUAGE!$C$14:$G$1500,43)</f>
        <v>Brose Drawing No.</v>
      </c>
      <c r="J10" s="1289"/>
      <c r="K10" s="1289"/>
      <c r="L10" s="1289"/>
      <c r="M10" s="1288" t="str">
        <f>HLOOKUP(LANGUAGE!$B$2,LANGUAGE!$C$14:$G$1500,42)</f>
        <v>Index</v>
      </c>
      <c r="N10" s="1288"/>
      <c r="O10" s="1290"/>
      <c r="P10" s="252"/>
      <c r="Q10" s="1291" t="str">
        <f>HLOOKUP(LANGUAGE!$B$2,LANGUAGE!$C$14:$G$1500,55)</f>
        <v>Milestones</v>
      </c>
      <c r="R10" s="1292"/>
      <c r="S10" s="1292"/>
      <c r="T10" s="1292"/>
      <c r="U10" s="1292"/>
      <c r="V10" s="1292" t="str">
        <f>HLOOKUP(LANGUAGE!$B$2,LANGUAGE!$C$14:$G$1500,56)</f>
        <v>Target date (acc. Order)</v>
      </c>
      <c r="W10" s="1292"/>
      <c r="X10" s="1292"/>
      <c r="Y10" s="1292"/>
      <c r="Z10" s="1292"/>
      <c r="AA10" s="1292" t="str">
        <f>HLOOKUP(LANGUAGE!$B$2,LANGUAGE!$C$14:$G$1500,57)</f>
        <v>Actual date (acc. Timing plan)</v>
      </c>
      <c r="AB10" s="1292"/>
      <c r="AC10" s="1292"/>
      <c r="AD10" s="1292"/>
      <c r="AE10" s="1293"/>
      <c r="AF10" s="252"/>
      <c r="AG10" s="1430"/>
      <c r="AH10" s="1203"/>
      <c r="AI10" s="1203"/>
      <c r="AJ10" s="1203"/>
      <c r="AK10" s="1204"/>
      <c r="BD10"/>
      <c r="BE10"/>
    </row>
    <row r="11" spans="1:57" ht="17.7" customHeight="1" x14ac:dyDescent="0.25">
      <c r="B11" s="1444"/>
      <c r="C11" s="1445"/>
      <c r="D11" s="1445"/>
      <c r="E11" s="1446"/>
      <c r="F11" s="1447"/>
      <c r="G11" s="1445"/>
      <c r="H11" s="1446"/>
      <c r="I11" s="1447"/>
      <c r="J11" s="1445"/>
      <c r="K11" s="1445"/>
      <c r="L11" s="1446"/>
      <c r="M11" s="1447"/>
      <c r="N11" s="1445"/>
      <c r="O11" s="1448"/>
      <c r="P11" s="252"/>
      <c r="Q11" s="1449" t="str">
        <f>HLOOKUP(LANGUAGE!$B$2,LANGUAGE!$C$14:$G$2573,1958)</f>
        <v>nomination of development request</v>
      </c>
      <c r="R11" s="1450"/>
      <c r="S11" s="1450"/>
      <c r="T11" s="1450"/>
      <c r="U11" s="1450"/>
      <c r="V11" s="1451"/>
      <c r="W11" s="1452"/>
      <c r="X11" s="1452"/>
      <c r="Y11" s="1452"/>
      <c r="Z11" s="1453"/>
      <c r="AA11" s="1437"/>
      <c r="AB11" s="1438"/>
      <c r="AC11" s="1438"/>
      <c r="AD11" s="1438"/>
      <c r="AE11" s="1439"/>
      <c r="AF11" s="252"/>
      <c r="AG11" s="1302" t="str">
        <f>IF(AND(BB21&gt;0,BB21&lt;5),LANGUAGE!F4,IF(BB21=5,LANGUAGE!F5,IF(BB21=6,LANGUAGE!F6,IF(BB21=10,HLOOKUP(LANGUAGE!$B$2,LANGUAGE!$C$14:$G$1500,67),""))))</f>
        <v/>
      </c>
      <c r="AH11" s="1303"/>
      <c r="AI11" s="1303"/>
      <c r="AJ11" s="1303"/>
      <c r="AK11" s="1304"/>
      <c r="BD11"/>
      <c r="BE11"/>
    </row>
    <row r="12" spans="1:57" ht="17.7" customHeight="1" x14ac:dyDescent="0.25">
      <c r="B12" s="1440"/>
      <c r="C12" s="1120"/>
      <c r="D12" s="1120"/>
      <c r="E12" s="1432"/>
      <c r="F12" s="1119"/>
      <c r="G12" s="1441"/>
      <c r="H12" s="1442"/>
      <c r="I12" s="1119"/>
      <c r="J12" s="1441"/>
      <c r="K12" s="1441"/>
      <c r="L12" s="1442"/>
      <c r="M12" s="1119"/>
      <c r="N12" s="1441"/>
      <c r="O12" s="1443"/>
      <c r="P12" s="252"/>
      <c r="Q12" s="1296" t="str">
        <f>HLOOKUP(LANGUAGE!$B$2,LANGUAGE!$C$14:$G$2573,1959)</f>
        <v>Test release 0</v>
      </c>
      <c r="R12" s="1297"/>
      <c r="S12" s="1297"/>
      <c r="T12" s="1297"/>
      <c r="U12" s="1297"/>
      <c r="V12" s="1433"/>
      <c r="W12" s="1434"/>
      <c r="X12" s="1434"/>
      <c r="Y12" s="1434"/>
      <c r="Z12" s="1435"/>
      <c r="AA12" s="1433"/>
      <c r="AB12" s="1434"/>
      <c r="AC12" s="1434"/>
      <c r="AD12" s="1434"/>
      <c r="AE12" s="1436"/>
      <c r="AF12" s="252"/>
      <c r="AG12" s="1302"/>
      <c r="AH12" s="1303"/>
      <c r="AI12" s="1303"/>
      <c r="AJ12" s="1303"/>
      <c r="AK12" s="1304"/>
      <c r="AM12" s="225"/>
      <c r="BD12"/>
      <c r="BE12"/>
    </row>
    <row r="13" spans="1:57" ht="17.25" customHeight="1" x14ac:dyDescent="0.25">
      <c r="B13" s="1440"/>
      <c r="C13" s="1120"/>
      <c r="D13" s="1120"/>
      <c r="E13" s="1432"/>
      <c r="F13" s="1431"/>
      <c r="G13" s="1120"/>
      <c r="H13" s="1432"/>
      <c r="I13" s="1431"/>
      <c r="J13" s="1120"/>
      <c r="K13" s="1120"/>
      <c r="L13" s="1432"/>
      <c r="M13" s="1431"/>
      <c r="N13" s="1120"/>
      <c r="O13" s="1121"/>
      <c r="P13" s="252"/>
      <c r="Q13" s="1296" t="str">
        <f>HLOOKUP(LANGUAGE!$B$2,LANGUAGE!$C$14:$G$2573,1960)</f>
        <v>Release of drawing index 100</v>
      </c>
      <c r="R13" s="1297"/>
      <c r="S13" s="1297"/>
      <c r="T13" s="1297"/>
      <c r="U13" s="1297"/>
      <c r="V13" s="1433"/>
      <c r="W13" s="1434"/>
      <c r="X13" s="1434"/>
      <c r="Y13" s="1434"/>
      <c r="Z13" s="1435"/>
      <c r="AA13" s="1433"/>
      <c r="AB13" s="1434"/>
      <c r="AC13" s="1434"/>
      <c r="AD13" s="1434"/>
      <c r="AE13" s="1436"/>
      <c r="AF13" s="252"/>
      <c r="AG13" s="1302"/>
      <c r="AH13" s="1303"/>
      <c r="AI13" s="1303"/>
      <c r="AJ13" s="1303"/>
      <c r="AK13" s="1304"/>
      <c r="BD13"/>
      <c r="BE13"/>
    </row>
    <row r="14" spans="1:57" ht="17.7" customHeight="1" x14ac:dyDescent="0.25">
      <c r="B14" s="1440"/>
      <c r="C14" s="1120"/>
      <c r="D14" s="1120"/>
      <c r="E14" s="1432"/>
      <c r="F14" s="1431"/>
      <c r="G14" s="1120"/>
      <c r="H14" s="1432"/>
      <c r="I14" s="1431"/>
      <c r="J14" s="1120"/>
      <c r="K14" s="1120"/>
      <c r="L14" s="1432"/>
      <c r="M14" s="1431"/>
      <c r="N14" s="1120"/>
      <c r="O14" s="1121"/>
      <c r="P14" s="252"/>
      <c r="Q14" s="1296" t="str">
        <f>HLOOKUP(LANGUAGE!$B$2,LANGUAGE!$C$14:$G$2573,1961)</f>
        <v>Test release 1</v>
      </c>
      <c r="R14" s="1297"/>
      <c r="S14" s="1297"/>
      <c r="T14" s="1297"/>
      <c r="U14" s="1297"/>
      <c r="V14" s="1433"/>
      <c r="W14" s="1434"/>
      <c r="X14" s="1434"/>
      <c r="Y14" s="1434"/>
      <c r="Z14" s="1435"/>
      <c r="AA14" s="1433"/>
      <c r="AB14" s="1434"/>
      <c r="AC14" s="1434"/>
      <c r="AD14" s="1434"/>
      <c r="AE14" s="1436"/>
      <c r="AF14" s="252"/>
      <c r="AG14" s="1302"/>
      <c r="AH14" s="1303"/>
      <c r="AI14" s="1303"/>
      <c r="AJ14" s="1303"/>
      <c r="AK14" s="1304"/>
      <c r="AO14" s="511"/>
      <c r="BD14"/>
      <c r="BE14"/>
    </row>
    <row r="15" spans="1:57" ht="17.7" customHeight="1" thickBot="1" x14ac:dyDescent="0.3">
      <c r="B15" s="1454"/>
      <c r="C15" s="1125"/>
      <c r="D15" s="1125"/>
      <c r="E15" s="1455"/>
      <c r="F15" s="1456"/>
      <c r="G15" s="1125"/>
      <c r="H15" s="1455"/>
      <c r="I15" s="1456"/>
      <c r="J15" s="1125"/>
      <c r="K15" s="1125"/>
      <c r="L15" s="1455"/>
      <c r="M15" s="1456"/>
      <c r="N15" s="1125"/>
      <c r="O15" s="1126"/>
      <c r="P15" s="252"/>
      <c r="Q15" s="1318" t="str">
        <f>HLOOKUP(LANGUAGE!$B$2,LANGUAGE!$C$14:$G$2573,1962)</f>
        <v>Development release</v>
      </c>
      <c r="R15" s="1319"/>
      <c r="S15" s="1319"/>
      <c r="T15" s="1319"/>
      <c r="U15" s="1319"/>
      <c r="V15" s="1457"/>
      <c r="W15" s="1458"/>
      <c r="X15" s="1458"/>
      <c r="Y15" s="1458"/>
      <c r="Z15" s="1459"/>
      <c r="AA15" s="1457"/>
      <c r="AB15" s="1458"/>
      <c r="AC15" s="1458"/>
      <c r="AD15" s="1458"/>
      <c r="AE15" s="1460"/>
      <c r="AF15" s="252"/>
      <c r="AG15" s="1305"/>
      <c r="AH15" s="1306"/>
      <c r="AI15" s="1306"/>
      <c r="AJ15" s="1306"/>
      <c r="AK15" s="1307"/>
      <c r="BD15"/>
      <c r="BE15"/>
    </row>
    <row r="16" spans="1:57" s="3" customFormat="1" ht="17.7" customHeight="1" x14ac:dyDescent="0.25">
      <c r="M16" s="155"/>
    </row>
    <row r="17" spans="2:62" s="3" customFormat="1" ht="18" customHeight="1" thickBot="1" x14ac:dyDescent="0.3">
      <c r="B17" s="500"/>
      <c r="C17" s="501"/>
      <c r="D17" s="501"/>
      <c r="E17" s="502"/>
      <c r="F17" s="502"/>
      <c r="G17" s="502"/>
      <c r="H17" s="502"/>
      <c r="I17" s="502"/>
      <c r="J17" s="502"/>
      <c r="K17" s="502"/>
      <c r="L17" s="502"/>
      <c r="M17" s="502"/>
      <c r="N17" s="502"/>
      <c r="O17" s="502"/>
      <c r="P17" s="502"/>
      <c r="Q17" s="502"/>
      <c r="R17" s="502"/>
      <c r="S17" s="502"/>
      <c r="T17" s="502"/>
      <c r="U17" s="503"/>
      <c r="V17" s="503"/>
      <c r="W17" s="503"/>
      <c r="X17" s="503"/>
      <c r="Y17" s="503"/>
      <c r="Z17" s="504"/>
      <c r="AA17" s="504"/>
      <c r="AB17" s="504"/>
      <c r="AC17" s="504"/>
      <c r="AD17" s="504"/>
      <c r="AE17" s="504"/>
      <c r="AF17" s="504"/>
      <c r="AG17" s="504"/>
      <c r="AH17" s="505"/>
      <c r="AI17" s="504"/>
      <c r="AJ17" s="505"/>
      <c r="AK17" s="504"/>
    </row>
    <row r="18" spans="2:62" s="3" customFormat="1" ht="17.7" customHeight="1" x14ac:dyDescent="0.25">
      <c r="B18" s="1322" t="str">
        <f>HLOOKUP(LANGUAGE!$B$2,LANGUAGE!$C$14:$G$3515,2104)</f>
        <v>Feasibility</v>
      </c>
      <c r="C18" s="1323"/>
      <c r="D18" s="1323"/>
      <c r="E18" s="1323"/>
      <c r="F18" s="1323"/>
      <c r="G18" s="1323"/>
      <c r="H18" s="1323"/>
      <c r="I18" s="1323"/>
      <c r="J18" s="1323"/>
      <c r="K18" s="1323"/>
      <c r="L18" s="1323"/>
      <c r="M18" s="1323"/>
      <c r="N18" s="1323"/>
      <c r="O18" s="1323"/>
      <c r="P18" s="1323"/>
      <c r="Q18" s="1323"/>
      <c r="R18" s="1323"/>
      <c r="S18" s="1323"/>
      <c r="T18" s="1323"/>
      <c r="U18" s="1323"/>
      <c r="V18" s="1323"/>
      <c r="W18" s="1323"/>
      <c r="X18" s="1323"/>
      <c r="Y18" s="1323"/>
      <c r="Z18" s="1323"/>
      <c r="AA18" s="1323"/>
      <c r="AB18" s="1323"/>
      <c r="AC18" s="1323"/>
      <c r="AD18" s="1323"/>
      <c r="AE18" s="1323"/>
      <c r="AF18" s="1323"/>
      <c r="AG18" s="1323"/>
      <c r="AH18" s="1323"/>
      <c r="AI18" s="1323"/>
      <c r="AJ18" s="1323"/>
      <c r="AK18" s="1324"/>
      <c r="BI18" s="142"/>
      <c r="BJ18" s="142"/>
    </row>
    <row r="19" spans="2:62" s="3" customFormat="1" ht="17.7" customHeight="1" x14ac:dyDescent="0.25">
      <c r="B19" s="1325"/>
      <c r="C19" s="1326"/>
      <c r="D19" s="1326"/>
      <c r="E19" s="1326"/>
      <c r="F19" s="1326"/>
      <c r="G19" s="1326"/>
      <c r="H19" s="1326"/>
      <c r="I19" s="1326"/>
      <c r="J19" s="1326"/>
      <c r="K19" s="1326"/>
      <c r="L19" s="1326"/>
      <c r="M19" s="1326"/>
      <c r="N19" s="1326"/>
      <c r="O19" s="1326"/>
      <c r="P19" s="1326"/>
      <c r="Q19" s="1326"/>
      <c r="R19" s="1326"/>
      <c r="S19" s="1326"/>
      <c r="T19" s="1326"/>
      <c r="U19" s="1326"/>
      <c r="V19" s="1326"/>
      <c r="W19" s="1326"/>
      <c r="X19" s="1326"/>
      <c r="Y19" s="1326"/>
      <c r="Z19" s="1326"/>
      <c r="AA19" s="1326"/>
      <c r="AB19" s="1326"/>
      <c r="AC19" s="1326"/>
      <c r="AD19" s="1326"/>
      <c r="AE19" s="1326"/>
      <c r="AF19" s="1326"/>
      <c r="AG19" s="1326"/>
      <c r="AH19" s="1326"/>
      <c r="AI19" s="1326"/>
      <c r="AJ19" s="1326"/>
      <c r="AK19" s="1327"/>
      <c r="BI19" s="142"/>
      <c r="BJ19" s="142"/>
    </row>
    <row r="20" spans="2:62" s="3" customFormat="1" ht="17.7" customHeight="1" x14ac:dyDescent="0.25">
      <c r="B20" s="1328" t="str">
        <f>HLOOKUP(LANGUAGE!$B$2,LANGUAGE!$C$14:$G$1500,91)</f>
        <v>No.</v>
      </c>
      <c r="C20" s="1329" t="str">
        <f>HLOOKUP(LANGUAGE!$B$2,LANGUAGE!$C$14:$G$1500,73)</f>
        <v>Topic</v>
      </c>
      <c r="D20" s="1329"/>
      <c r="E20" s="1329" t="str">
        <f>HLOOKUP(LANGUAGE!$B$2,LANGUAGE!$C$14:$G$1500,92)</f>
        <v>Question</v>
      </c>
      <c r="F20" s="1329"/>
      <c r="G20" s="1329"/>
      <c r="H20" s="1329"/>
      <c r="I20" s="1329"/>
      <c r="J20" s="1329"/>
      <c r="K20" s="1329"/>
      <c r="L20" s="1329"/>
      <c r="M20" s="1329" t="str">
        <f>HLOOKUP(LANGUAGE!$B$2,LANGUAGE!$C$14:$G$1500,93)</f>
        <v>Notes</v>
      </c>
      <c r="N20" s="1329"/>
      <c r="O20" s="1329"/>
      <c r="P20" s="1329"/>
      <c r="Q20" s="1329"/>
      <c r="R20" s="1329"/>
      <c r="S20" s="1329"/>
      <c r="T20" s="1329"/>
      <c r="U20" s="1330" t="str">
        <f>HLOOKUP(LANGUAGE!$B$2,LANGUAGE!$C$14:$G$1500,114)</f>
        <v>Remarks</v>
      </c>
      <c r="V20" s="1330"/>
      <c r="W20" s="1330"/>
      <c r="X20" s="1330"/>
      <c r="Y20" s="1330"/>
      <c r="Z20" s="1329" t="str">
        <f>HLOOKUP(LANGUAGE!$B$2,LANGUAGE!$C$14:$G$1500,74)</f>
        <v>Evaluation</v>
      </c>
      <c r="AA20" s="1329"/>
      <c r="AB20" s="1329" t="str">
        <f>HLOOKUP(LANGUAGE!$B$2,LANGUAGE!$C$14:$G$1500,95)</f>
        <v>Action</v>
      </c>
      <c r="AC20" s="1329"/>
      <c r="AD20" s="1329"/>
      <c r="AE20" s="1330" t="str">
        <f>HLOOKUP(LANGUAGE!$B$2,LANGUAGE!$C$14:$G$1500,96)</f>
        <v>Responsible</v>
      </c>
      <c r="AF20" s="1330"/>
      <c r="AG20" s="1330"/>
      <c r="AH20" s="1329" t="str">
        <f>HLOOKUP(LANGUAGE!$B$2,LANGUAGE!$C$14:$G$1500,21)</f>
        <v>Date</v>
      </c>
      <c r="AI20" s="1329"/>
      <c r="AJ20" s="1329" t="str">
        <f>HLOOKUP(LANGUAGE!$B$2,LANGUAGE!$C$14:$G$1500,75)</f>
        <v>Action status</v>
      </c>
      <c r="AK20" s="1331"/>
      <c r="BI20" s="142"/>
      <c r="BJ20" s="142"/>
    </row>
    <row r="21" spans="2:62" s="3" customFormat="1" ht="17.7" customHeight="1" x14ac:dyDescent="0.25">
      <c r="B21" s="1328"/>
      <c r="C21" s="1329"/>
      <c r="D21" s="1329"/>
      <c r="E21" s="1329"/>
      <c r="F21" s="1329"/>
      <c r="G21" s="1329"/>
      <c r="H21" s="1329"/>
      <c r="I21" s="1329"/>
      <c r="J21" s="1329"/>
      <c r="K21" s="1329"/>
      <c r="L21" s="1329"/>
      <c r="M21" s="1329"/>
      <c r="N21" s="1329"/>
      <c r="O21" s="1329"/>
      <c r="P21" s="1329"/>
      <c r="Q21" s="1329"/>
      <c r="R21" s="1329"/>
      <c r="S21" s="1329"/>
      <c r="T21" s="1329"/>
      <c r="U21" s="1330"/>
      <c r="V21" s="1330"/>
      <c r="W21" s="1330"/>
      <c r="X21" s="1330"/>
      <c r="Y21" s="1330"/>
      <c r="Z21" s="1329"/>
      <c r="AA21" s="1329"/>
      <c r="AB21" s="1329"/>
      <c r="AC21" s="1329"/>
      <c r="AD21" s="1329"/>
      <c r="AE21" s="1330"/>
      <c r="AF21" s="1330"/>
      <c r="AG21" s="1330"/>
      <c r="AH21" s="1329"/>
      <c r="AI21" s="1329"/>
      <c r="AJ21" s="1329"/>
      <c r="AK21" s="1331"/>
      <c r="BB21" s="3">
        <f>MAX(BB22:BB37)</f>
        <v>0</v>
      </c>
      <c r="BD21" s="3" t="str">
        <f>LANGUAGE!G4</f>
        <v>in progress</v>
      </c>
      <c r="BE21" s="3" t="str">
        <f>LANGUAGE!G5</f>
        <v>completed</v>
      </c>
    </row>
    <row r="22" spans="2:62" s="3" customFormat="1" ht="82.5" customHeight="1" thickBot="1" x14ac:dyDescent="0.3">
      <c r="B22" s="253" t="s">
        <v>1797</v>
      </c>
      <c r="C22" s="1332" t="str">
        <f>HLOOKUP(LANGUAGE!$B$2,LANGUAGE!$C$14:$G$3515,2105)</f>
        <v>Development</v>
      </c>
      <c r="D22" s="1333"/>
      <c r="E22" s="1334" t="str">
        <f>HLOOKUP(LANGUAGE!$B$2,LANGUAGE!$C$14:$G$3515,2106)</f>
        <v>Can the product be developed in compliance with all relevant specifications and regulations (e.g. drawings, specifications, QSB, Brose standards, customer-specific requirements) without restrictions and with process reliability under consideration of assembly conditon and porpuse of use further on?</v>
      </c>
      <c r="F22" s="1334"/>
      <c r="G22" s="1334"/>
      <c r="H22" s="1334"/>
      <c r="I22" s="1334"/>
      <c r="J22" s="1334"/>
      <c r="K22" s="1334"/>
      <c r="L22" s="1334"/>
      <c r="M22" s="1334" t="str">
        <f>HLOOKUP(LANGUAGE!$B$2,LANGUAGE!$C$14:$G$3515,2107)</f>
        <v>Changes are reflected in the feasibility evaluation and further on confirmed.</v>
      </c>
      <c r="N22" s="1334"/>
      <c r="O22" s="1334"/>
      <c r="P22" s="1334"/>
      <c r="Q22" s="1334"/>
      <c r="R22" s="1334"/>
      <c r="S22" s="1334"/>
      <c r="T22" s="1334"/>
      <c r="U22" s="1335"/>
      <c r="V22" s="1335"/>
      <c r="W22" s="1335"/>
      <c r="X22" s="1335"/>
      <c r="Y22" s="1335"/>
      <c r="Z22" s="1336"/>
      <c r="AA22" s="1336"/>
      <c r="AB22" s="1336"/>
      <c r="AC22" s="1336"/>
      <c r="AD22" s="1336"/>
      <c r="AE22" s="1336"/>
      <c r="AF22" s="1336"/>
      <c r="AG22" s="1336"/>
      <c r="AH22" s="1337"/>
      <c r="AI22" s="1336"/>
      <c r="AJ22" s="1337"/>
      <c r="AK22" s="1338"/>
      <c r="AZ22" s="3">
        <f>IF(ISNUMBER(MATCH(Z22,LANGUAGE!$C$138:$G$138,0)),1,IF(ISNUMBER(MATCH(Z22,LANGUAGE!$C$139:$G$139,0)),2,IF(ISNUMBER(MATCH(Z22,LANGUAGE!$C$140:$G$140,0)),3,0)))</f>
        <v>0</v>
      </c>
      <c r="BA22" s="3">
        <f>IF(ISNUMBER(MATCH(AJ22,LANGUAGE!$C$141:$G$141,0)),3,IF(ISNUMBER(MATCH(AJ22,LANGUAGE!$C$142:$G$142,0)),1,0))</f>
        <v>0</v>
      </c>
      <c r="BB22" s="3">
        <f>IF(AND(AZ22&gt;1,BA22=0),10,AZ22+BA22)</f>
        <v>0</v>
      </c>
      <c r="BD22" s="3" t="str">
        <f>IF(ISNUMBER(MATCH($AJ22,LANGUAGE!$C$141:$G$141,0)),$B22,"")</f>
        <v/>
      </c>
      <c r="BE22" s="3" t="str">
        <f>IF(ISNUMBER(MATCH($AJ22,LANGUAGE!$C$142:$G$142,0)),$B22,"")</f>
        <v/>
      </c>
    </row>
    <row r="23" spans="2:62" s="3" customFormat="1" ht="17.7" customHeight="1" thickBot="1" x14ac:dyDescent="0.3">
      <c r="M23" s="155"/>
      <c r="BD23" s="3" t="str">
        <f>IF(ISNUMBER(MATCH($AJ23,LANGUAGE!$C$141:$G$141,0)),$B23,"")</f>
        <v/>
      </c>
      <c r="BE23" s="3" t="str">
        <f>IF(ISNUMBER(MATCH($AJ23,LANGUAGE!$C$142:$G$142,0)),$B23,"")</f>
        <v/>
      </c>
    </row>
    <row r="24" spans="2:62" s="3" customFormat="1" ht="17.7" customHeight="1" x14ac:dyDescent="0.25">
      <c r="B24" s="1322" t="str">
        <f>HLOOKUP(LANGUAGE!$B$2,LANGUAGE!$C$14:$G$3515,2111)</f>
        <v>Project management</v>
      </c>
      <c r="C24" s="1323"/>
      <c r="D24" s="1323"/>
      <c r="E24" s="1323"/>
      <c r="F24" s="1323"/>
      <c r="G24" s="1323"/>
      <c r="H24" s="1323"/>
      <c r="I24" s="1323"/>
      <c r="J24" s="1323"/>
      <c r="K24" s="1323"/>
      <c r="L24" s="1323"/>
      <c r="M24" s="1323"/>
      <c r="N24" s="1323"/>
      <c r="O24" s="1323"/>
      <c r="P24" s="1323"/>
      <c r="Q24" s="1323"/>
      <c r="R24" s="1323"/>
      <c r="S24" s="1323"/>
      <c r="T24" s="1323"/>
      <c r="U24" s="1323"/>
      <c r="V24" s="1323"/>
      <c r="W24" s="1323"/>
      <c r="X24" s="1323"/>
      <c r="Y24" s="1323"/>
      <c r="Z24" s="1323"/>
      <c r="AA24" s="1323"/>
      <c r="AB24" s="1323"/>
      <c r="AC24" s="1323"/>
      <c r="AD24" s="1323"/>
      <c r="AE24" s="1323"/>
      <c r="AF24" s="1323"/>
      <c r="AG24" s="1323"/>
      <c r="AH24" s="1323"/>
      <c r="AI24" s="1323"/>
      <c r="AJ24" s="1323"/>
      <c r="AK24" s="1324"/>
      <c r="BD24" s="3" t="str">
        <f>IF(ISNUMBER(MATCH($AJ24,LANGUAGE!$C$141:$G$141,0)),$B24,"")</f>
        <v/>
      </c>
      <c r="BE24" s="3" t="str">
        <f>IF(ISNUMBER(MATCH($AJ24,LANGUAGE!$C$142:$G$142,0)),$B24,"")</f>
        <v/>
      </c>
    </row>
    <row r="25" spans="2:62" s="3" customFormat="1" ht="17.7" customHeight="1" x14ac:dyDescent="0.25">
      <c r="B25" s="1325"/>
      <c r="C25" s="1326"/>
      <c r="D25" s="1326"/>
      <c r="E25" s="1326"/>
      <c r="F25" s="1326"/>
      <c r="G25" s="1326"/>
      <c r="H25" s="1326"/>
      <c r="I25" s="1326"/>
      <c r="J25" s="1326"/>
      <c r="K25" s="1326"/>
      <c r="L25" s="1326"/>
      <c r="M25" s="1326"/>
      <c r="N25" s="1326"/>
      <c r="O25" s="1326"/>
      <c r="P25" s="1326"/>
      <c r="Q25" s="1326"/>
      <c r="R25" s="1326"/>
      <c r="S25" s="1326"/>
      <c r="T25" s="1326"/>
      <c r="U25" s="1326"/>
      <c r="V25" s="1326"/>
      <c r="W25" s="1326"/>
      <c r="X25" s="1326"/>
      <c r="Y25" s="1326"/>
      <c r="Z25" s="1326"/>
      <c r="AA25" s="1326"/>
      <c r="AB25" s="1326"/>
      <c r="AC25" s="1326"/>
      <c r="AD25" s="1326"/>
      <c r="AE25" s="1326"/>
      <c r="AF25" s="1326"/>
      <c r="AG25" s="1326"/>
      <c r="AH25" s="1326"/>
      <c r="AI25" s="1326"/>
      <c r="AJ25" s="1326"/>
      <c r="AK25" s="1327"/>
      <c r="BD25" s="3" t="str">
        <f>IF(ISNUMBER(MATCH($AJ25,LANGUAGE!$C$141:$G$141,0)),$B25,"")</f>
        <v/>
      </c>
      <c r="BE25" s="3" t="str">
        <f>IF(ISNUMBER(MATCH($AJ25,LANGUAGE!$C$142:$G$142,0)),$B25,"")</f>
        <v/>
      </c>
    </row>
    <row r="26" spans="2:62" s="3" customFormat="1" ht="17.7" customHeight="1" x14ac:dyDescent="0.25">
      <c r="B26" s="1328" t="str">
        <f>HLOOKUP(LANGUAGE!$B$2,LANGUAGE!$C$14:$G$1500,91)</f>
        <v>No.</v>
      </c>
      <c r="C26" s="1329" t="str">
        <f>HLOOKUP(LANGUAGE!$B$2,LANGUAGE!$C$14:$G$1500,73)</f>
        <v>Topic</v>
      </c>
      <c r="D26" s="1329"/>
      <c r="E26" s="1329" t="str">
        <f>HLOOKUP(LANGUAGE!$B$2,LANGUAGE!$C$14:$G$1500,92)</f>
        <v>Question</v>
      </c>
      <c r="F26" s="1329"/>
      <c r="G26" s="1329"/>
      <c r="H26" s="1329"/>
      <c r="I26" s="1329"/>
      <c r="J26" s="1329"/>
      <c r="K26" s="1329"/>
      <c r="L26" s="1329"/>
      <c r="M26" s="1329" t="str">
        <f>HLOOKUP(LANGUAGE!$B$2,LANGUAGE!$C$14:$G$1500,93)</f>
        <v>Notes</v>
      </c>
      <c r="N26" s="1329"/>
      <c r="O26" s="1329"/>
      <c r="P26" s="1329"/>
      <c r="Q26" s="1329"/>
      <c r="R26" s="1329"/>
      <c r="S26" s="1329"/>
      <c r="T26" s="1329"/>
      <c r="U26" s="1330" t="str">
        <f>HLOOKUP(LANGUAGE!$B$2,LANGUAGE!$C$14:$G$1500,114)</f>
        <v>Remarks</v>
      </c>
      <c r="V26" s="1330"/>
      <c r="W26" s="1330"/>
      <c r="X26" s="1330"/>
      <c r="Y26" s="1330"/>
      <c r="Z26" s="1329" t="str">
        <f>HLOOKUP(LANGUAGE!$B$2,LANGUAGE!$C$14:$G$1500,74)</f>
        <v>Evaluation</v>
      </c>
      <c r="AA26" s="1329"/>
      <c r="AB26" s="1329" t="str">
        <f>HLOOKUP(LANGUAGE!$B$2,LANGUAGE!$C$14:$G$1500,95)</f>
        <v>Action</v>
      </c>
      <c r="AC26" s="1329"/>
      <c r="AD26" s="1329"/>
      <c r="AE26" s="1330" t="str">
        <f>HLOOKUP(LANGUAGE!$B$2,LANGUAGE!$C$14:$G$1500,96)</f>
        <v>Responsible</v>
      </c>
      <c r="AF26" s="1330"/>
      <c r="AG26" s="1330"/>
      <c r="AH26" s="1329" t="str">
        <f>HLOOKUP(LANGUAGE!$B$2,LANGUAGE!$C$14:$G$1500,21)</f>
        <v>Date</v>
      </c>
      <c r="AI26" s="1329"/>
      <c r="AJ26" s="1329" t="str">
        <f>HLOOKUP(LANGUAGE!$B$2,LANGUAGE!$C$14:$G$1500,75)</f>
        <v>Action status</v>
      </c>
      <c r="AK26" s="1331"/>
      <c r="BD26" s="3" t="str">
        <f>IF(ISNUMBER(MATCH($AJ26,LANGUAGE!$C$141:$G$141,0)),$B26,"")</f>
        <v/>
      </c>
      <c r="BE26" s="3" t="str">
        <f>IF(ISNUMBER(MATCH($AJ26,LANGUAGE!$C$142:$G$142,0)),$B26,"")</f>
        <v/>
      </c>
    </row>
    <row r="27" spans="2:62" s="3" customFormat="1" ht="17.7" customHeight="1" x14ac:dyDescent="0.25">
      <c r="B27" s="1328"/>
      <c r="C27" s="1329"/>
      <c r="D27" s="1329"/>
      <c r="E27" s="1329"/>
      <c r="F27" s="1329"/>
      <c r="G27" s="1329"/>
      <c r="H27" s="1329"/>
      <c r="I27" s="1329"/>
      <c r="J27" s="1329"/>
      <c r="K27" s="1329"/>
      <c r="L27" s="1329"/>
      <c r="M27" s="1329"/>
      <c r="N27" s="1329"/>
      <c r="O27" s="1329"/>
      <c r="P27" s="1329"/>
      <c r="Q27" s="1329"/>
      <c r="R27" s="1329"/>
      <c r="S27" s="1329"/>
      <c r="T27" s="1329"/>
      <c r="U27" s="1330"/>
      <c r="V27" s="1330"/>
      <c r="W27" s="1330"/>
      <c r="X27" s="1330"/>
      <c r="Y27" s="1330"/>
      <c r="Z27" s="1329"/>
      <c r="AA27" s="1329"/>
      <c r="AB27" s="1329"/>
      <c r="AC27" s="1329"/>
      <c r="AD27" s="1329"/>
      <c r="AE27" s="1330"/>
      <c r="AF27" s="1330"/>
      <c r="AG27" s="1330"/>
      <c r="AH27" s="1329"/>
      <c r="AI27" s="1329"/>
      <c r="AJ27" s="1329"/>
      <c r="AK27" s="1331"/>
      <c r="BD27" s="3" t="str">
        <f>IF(BD28&lt;&gt;"",BD28&amp;" ","")&amp;IF(BD29&lt;&gt;"",BD29&amp;" ","")&amp;IF(BD30&lt;&gt;"",BD30&amp;" ","")&amp;IF(BD31&lt;&gt;"",BD31&amp;" ","")&amp;IF(BD32&lt;&gt;"",BD32&amp;" ","")&amp;IF(BD33&lt;&gt;"",BD33&amp;" ","")&amp;IF(BD34&lt;&gt;"",BD34&amp;" ","")&amp;IF(BD35&lt;&gt;"",BD35&amp;" ","")&amp;IF(BD36&lt;&gt;"",BD36,"")</f>
        <v/>
      </c>
      <c r="BE27" s="3" t="str">
        <f>IF(BE28&lt;&gt;"",BE28&amp;" ","")&amp;IF(BE29&lt;&gt;"",BE29&amp;" ","")&amp;IF(BE30&lt;&gt;"",BE30&amp;" ","")&amp;IF(BE31&lt;&gt;"",BE31&amp;" ","")&amp;IF(BE32&lt;&gt;"",BE32&amp;" ","")&amp;IF(BE33&lt;&gt;"",BE33&amp;" ","")&amp;IF(BE34&lt;&gt;"",BE34&amp;" ","")&amp;IF(BE35&lt;&gt;"",BE35&amp;" ","")&amp;IF(BE36&lt;&gt;"",BE36&amp;" ","")</f>
        <v/>
      </c>
    </row>
    <row r="28" spans="2:62" s="3" customFormat="1" ht="67.5" customHeight="1" x14ac:dyDescent="0.25">
      <c r="B28" s="506" t="s">
        <v>1798</v>
      </c>
      <c r="C28" s="1461" t="str">
        <f>HLOOKUP(LANGUAGE!$B$2,LANGUAGE!$C$14:$G$3493,2112)</f>
        <v>Progress monitoring</v>
      </c>
      <c r="D28" s="1462"/>
      <c r="E28" s="1358" t="str">
        <f>HLOOKUP(LANGUAGE!$B$2,LANGUAGE!$C$14:$G$3493,2113)</f>
        <v>Are all items from DSQG 0 completed or holding scheduled actions? Do the due dates match with the agreed schedule?</v>
      </c>
      <c r="F28" s="1359"/>
      <c r="G28" s="1359"/>
      <c r="H28" s="1359"/>
      <c r="I28" s="1359"/>
      <c r="J28" s="1359"/>
      <c r="K28" s="1359"/>
      <c r="L28" s="1360"/>
      <c r="M28" s="1358" t="str">
        <f>HLOOKUP(LANGUAGE!$B$2,LANGUAGE!$C$14:$G$3493,2114)</f>
        <v>All actions from DSQG 0 must be scheduled or completed on time.</v>
      </c>
      <c r="N28" s="1359"/>
      <c r="O28" s="1359"/>
      <c r="P28" s="1359"/>
      <c r="Q28" s="1359"/>
      <c r="R28" s="1359"/>
      <c r="S28" s="1359"/>
      <c r="T28" s="1360"/>
      <c r="U28" s="1348"/>
      <c r="V28" s="1348"/>
      <c r="W28" s="1348"/>
      <c r="X28" s="1348"/>
      <c r="Y28" s="1348"/>
      <c r="Z28" s="1349"/>
      <c r="AA28" s="1349"/>
      <c r="AB28" s="1349"/>
      <c r="AC28" s="1349"/>
      <c r="AD28" s="1349"/>
      <c r="AE28" s="1349"/>
      <c r="AF28" s="1349"/>
      <c r="AG28" s="1349"/>
      <c r="AH28" s="1350"/>
      <c r="AI28" s="1349"/>
      <c r="AJ28" s="1350"/>
      <c r="AK28" s="1351"/>
      <c r="AZ28" s="3">
        <f>IF(ISNUMBER(MATCH(Z28,LANGUAGE!$C$138:$G$138,0)),1,IF(ISNUMBER(MATCH(Z28,LANGUAGE!$C$139:$G$139,0)),2,IF(ISNUMBER(MATCH(Z28,LANGUAGE!$C$140:$G$140,0)),3,0)))</f>
        <v>0</v>
      </c>
      <c r="BA28" s="3">
        <f>IF(ISNUMBER(MATCH(AJ28,LANGUAGE!$C$141:$G$141,0)),3,IF(ISNUMBER(MATCH(AJ28,LANGUAGE!$C$142:$G$142,0)),1,0))</f>
        <v>0</v>
      </c>
      <c r="BB28" s="3">
        <f t="shared" ref="BB28:BB36" si="0">IF(AND(AZ28&gt;1,BA28=0),10,AZ28+BA28)</f>
        <v>0</v>
      </c>
      <c r="BD28" s="3" t="str">
        <f>IF(ISNUMBER(MATCH($AJ28,LANGUAGE!$C$141:$G$141,0)),$B28,"")</f>
        <v/>
      </c>
      <c r="BE28" s="3" t="str">
        <f>IF(ISNUMBER(MATCH($AJ28,LANGUAGE!$C$142:$G$142,0)),$B28,"")</f>
        <v/>
      </c>
    </row>
    <row r="29" spans="2:62" s="3" customFormat="1" ht="70.45" customHeight="1" x14ac:dyDescent="0.25">
      <c r="B29" s="506" t="s">
        <v>1799</v>
      </c>
      <c r="C29" s="1345" t="str">
        <f>HLOOKUP(LANGUAGE!$B$2,LANGUAGE!$C$14:$G$3515,2115)</f>
        <v>Responsibili-ties</v>
      </c>
      <c r="D29" s="1345"/>
      <c r="E29" s="1347" t="str">
        <f>HLOOKUP(LANGUAGE!$B$2,LANGUAGE!$C$14:$G$3515,2116)</f>
        <v>Are the responsibilities and collaboration during product development finally regulated?</v>
      </c>
      <c r="F29" s="1347"/>
      <c r="G29" s="1347"/>
      <c r="H29" s="1347"/>
      <c r="I29" s="1347"/>
      <c r="J29" s="1347"/>
      <c r="K29" s="1347"/>
      <c r="L29" s="1347"/>
      <c r="M29" s="1347" t="str">
        <f>HLOOKUP(LANGUAGE!$B$2,LANGUAGE!$C$14:$G$3515,2117)</f>
        <v xml:space="preserve">RASIC - Chart between Brose and supplier is available.
Clear definitions for change management.
Data exchange is defined. </v>
      </c>
      <c r="N29" s="1347"/>
      <c r="O29" s="1347"/>
      <c r="P29" s="1347"/>
      <c r="Q29" s="1347"/>
      <c r="R29" s="1347"/>
      <c r="S29" s="1347"/>
      <c r="T29" s="1347"/>
      <c r="U29" s="1348"/>
      <c r="V29" s="1348"/>
      <c r="W29" s="1348"/>
      <c r="X29" s="1348"/>
      <c r="Y29" s="1348"/>
      <c r="Z29" s="1349"/>
      <c r="AA29" s="1349"/>
      <c r="AB29" s="1349"/>
      <c r="AC29" s="1349"/>
      <c r="AD29" s="1349"/>
      <c r="AE29" s="1349"/>
      <c r="AF29" s="1349"/>
      <c r="AG29" s="1349"/>
      <c r="AH29" s="1350"/>
      <c r="AI29" s="1349"/>
      <c r="AJ29" s="1350"/>
      <c r="AK29" s="1351"/>
      <c r="AZ29" s="3">
        <f>IF(ISNUMBER(MATCH(Z29,LANGUAGE!$C$138:$G$138,0)),1,IF(ISNUMBER(MATCH(Z29,LANGUAGE!$C$139:$G$139,0)),2,IF(ISNUMBER(MATCH(Z29,LANGUAGE!$C$140:$G$140,0)),3,0)))</f>
        <v>0</v>
      </c>
      <c r="BA29" s="3">
        <f>IF(ISNUMBER(MATCH(AJ29,LANGUAGE!$C$141:$G$141,0)),3,IF(ISNUMBER(MATCH(AJ29,LANGUAGE!$C$142:$G$142,0)),1,0))</f>
        <v>0</v>
      </c>
      <c r="BB29" s="3">
        <f t="shared" si="0"/>
        <v>0</v>
      </c>
      <c r="BD29" s="3" t="str">
        <f>IF(ISNUMBER(MATCH($AJ29,LANGUAGE!$C$141:$G$141,0)),$B29,"")</f>
        <v/>
      </c>
      <c r="BE29" s="3" t="str">
        <f>IF(ISNUMBER(MATCH($AJ29,LANGUAGE!$C$142:$G$142,0)),$B29,"")</f>
        <v/>
      </c>
    </row>
    <row r="30" spans="2:62" s="3" customFormat="1" ht="107.7" customHeight="1" x14ac:dyDescent="0.25">
      <c r="B30" s="255" t="s">
        <v>1800</v>
      </c>
      <c r="C30" s="1345" t="str">
        <f>HLOOKUP(LANGUAGE!$B$2,LANGUAGE!$C$14:$G$3515,2121)</f>
        <v>Commercial</v>
      </c>
      <c r="D30" s="1345"/>
      <c r="E30" s="1358" t="str">
        <f>HLOOKUP(LANGUAGE!$B$2,LANGUAGE!$C$14:$G$3515,2122)</f>
        <v>Are all necessary contracts mutually agreed?</v>
      </c>
      <c r="F30" s="1359"/>
      <c r="G30" s="1359"/>
      <c r="H30" s="1359"/>
      <c r="I30" s="1359"/>
      <c r="J30" s="1359"/>
      <c r="K30" s="1359"/>
      <c r="L30" s="1360"/>
      <c r="M30" s="1361" t="str">
        <f>HLOOKUP(LANGUAGE!$B$2,LANGUAGE!$C$14:$G$3515,2123)</f>
        <v>- GTCPs
- Confidentiality Statement
- Quality assurance regulations
- development agreement 
- Warrenty
- dealing with patents 
- legal requirements
- requirement specifications</v>
      </c>
      <c r="N30" s="1347"/>
      <c r="O30" s="1347"/>
      <c r="P30" s="1347"/>
      <c r="Q30" s="1347"/>
      <c r="R30" s="1347"/>
      <c r="S30" s="1347"/>
      <c r="T30" s="1347"/>
      <c r="U30" s="1348"/>
      <c r="V30" s="1348"/>
      <c r="W30" s="1348"/>
      <c r="X30" s="1348"/>
      <c r="Y30" s="1348"/>
      <c r="Z30" s="1349"/>
      <c r="AA30" s="1349"/>
      <c r="AB30" s="1349"/>
      <c r="AC30" s="1349"/>
      <c r="AD30" s="1349"/>
      <c r="AE30" s="1349"/>
      <c r="AF30" s="1349"/>
      <c r="AG30" s="1349"/>
      <c r="AH30" s="1350"/>
      <c r="AI30" s="1349"/>
      <c r="AJ30" s="1350"/>
      <c r="AK30" s="1351"/>
      <c r="AZ30" s="3">
        <f>IF(ISNUMBER(MATCH(Z30,LANGUAGE!$C$138:$G$138,0)),1,IF(ISNUMBER(MATCH(Z30,LANGUAGE!$C$139:$G$139,0)),2,IF(ISNUMBER(MATCH(Z30,LANGUAGE!$C$140:$G$140,0)),3,0)))</f>
        <v>0</v>
      </c>
      <c r="BA30" s="3">
        <f>IF(ISNUMBER(MATCH(AJ30,LANGUAGE!$C$141:$G$141,0)),3,IF(ISNUMBER(MATCH(AJ30,LANGUAGE!$C$142:$G$142,0)),1,0))</f>
        <v>0</v>
      </c>
      <c r="BB30" s="3">
        <f t="shared" si="0"/>
        <v>0</v>
      </c>
      <c r="BD30" s="3" t="str">
        <f>IF(ISNUMBER(MATCH($AJ30,LANGUAGE!$C$141:$G$141,0)),$B30,"")</f>
        <v/>
      </c>
      <c r="BE30" s="3" t="str">
        <f>IF(ISNUMBER(MATCH($AJ30,LANGUAGE!$C$142:$G$142,0)),$B30,"")</f>
        <v/>
      </c>
    </row>
    <row r="31" spans="2:62" s="3" customFormat="1" ht="51.05" customHeight="1" x14ac:dyDescent="0.25">
      <c r="B31" s="254" t="s">
        <v>1801</v>
      </c>
      <c r="C31" s="1345" t="str">
        <f>HLOOKUP(LANGUAGE!$B$2,LANGUAGE!$C$14:$G$3515,2127)</f>
        <v>Specification</v>
      </c>
      <c r="D31" s="1345"/>
      <c r="E31" s="1373" t="str">
        <f>HLOOKUP(LANGUAGE!$B$2,LANGUAGE!$C$14:$G$3515,2128)</f>
        <v>Are all reffered documents according to the specifications available and have they been checked and confirmed.</v>
      </c>
      <c r="F31" s="1373"/>
      <c r="G31" s="1373"/>
      <c r="H31" s="1373"/>
      <c r="I31" s="1373"/>
      <c r="J31" s="1373"/>
      <c r="K31" s="1373"/>
      <c r="L31" s="1373"/>
      <c r="M31" s="1373" t="str">
        <f>HLOOKUP(LANGUAGE!$B$2,LANGUAGE!$C$14:$G$3515,2129)</f>
        <v>Specifications are available and have been reviewed cross functional and the feasibility is confirmed.</v>
      </c>
      <c r="N31" s="1373"/>
      <c r="O31" s="1373"/>
      <c r="P31" s="1373"/>
      <c r="Q31" s="1373"/>
      <c r="R31" s="1373"/>
      <c r="S31" s="1373"/>
      <c r="T31" s="1373"/>
      <c r="U31" s="1348"/>
      <c r="V31" s="1348"/>
      <c r="W31" s="1348"/>
      <c r="X31" s="1348"/>
      <c r="Y31" s="1348"/>
      <c r="Z31" s="1349"/>
      <c r="AA31" s="1349"/>
      <c r="AB31" s="1349"/>
      <c r="AC31" s="1349"/>
      <c r="AD31" s="1349"/>
      <c r="AE31" s="1349"/>
      <c r="AF31" s="1349"/>
      <c r="AG31" s="1349"/>
      <c r="AH31" s="1350"/>
      <c r="AI31" s="1349"/>
      <c r="AJ31" s="1350"/>
      <c r="AK31" s="1351"/>
      <c r="AZ31" s="3">
        <f>IF(ISNUMBER(MATCH(Z31,LANGUAGE!$C$138:$G$138,0)),1,IF(ISNUMBER(MATCH(Z31,LANGUAGE!$C$139:$G$139,0)),2,IF(ISNUMBER(MATCH(Z31,LANGUAGE!$C$140:$G$140,0)),3,0)))</f>
        <v>0</v>
      </c>
      <c r="BA31" s="3">
        <f>IF(ISNUMBER(MATCH(AJ31,LANGUAGE!$C$141:$G$141,0)),3,IF(ISNUMBER(MATCH(AJ31,LANGUAGE!$C$142:$G$142,0)),1,0))</f>
        <v>0</v>
      </c>
      <c r="BB31" s="3">
        <f t="shared" si="0"/>
        <v>0</v>
      </c>
      <c r="BD31" s="3" t="str">
        <f>IF(ISNUMBER(MATCH($AJ31,LANGUAGE!$C$141:$G$141,0)),$B31,"")</f>
        <v/>
      </c>
      <c r="BE31" s="3" t="str">
        <f>IF(ISNUMBER(MATCH($AJ31,LANGUAGE!$C$142:$G$142,0)),$B31,"")</f>
        <v/>
      </c>
    </row>
    <row r="32" spans="2:62" s="3" customFormat="1" ht="41.95" customHeight="1" x14ac:dyDescent="0.25">
      <c r="B32" s="255" t="s">
        <v>1802</v>
      </c>
      <c r="C32" s="1345" t="str">
        <f>HLOOKUP(LANGUAGE!$B$2,LANGUAGE!$C$14:$G$3515,2133)</f>
        <v>Project planning</v>
      </c>
      <c r="D32" s="1345"/>
      <c r="E32" s="1347" t="str">
        <f>HLOOKUP(LANGUAGE!$B$2,LANGUAGE!$C$14:$G$3515,2134)</f>
        <v>Is the project schedule up to date and matching with the Brose schedule further on?</v>
      </c>
      <c r="F32" s="1347"/>
      <c r="G32" s="1347"/>
      <c r="H32" s="1347"/>
      <c r="I32" s="1347"/>
      <c r="J32" s="1347"/>
      <c r="K32" s="1347"/>
      <c r="L32" s="1347"/>
      <c r="M32" s="1347" t="str">
        <f>HLOOKUP(LANGUAGE!$B$2,LANGUAGE!$C$14:$G$3515,2135)</f>
        <v>Project schedule meets the requirements of Brose's  schedule.</v>
      </c>
      <c r="N32" s="1347"/>
      <c r="O32" s="1347"/>
      <c r="P32" s="1347"/>
      <c r="Q32" s="1347"/>
      <c r="R32" s="1347"/>
      <c r="S32" s="1347"/>
      <c r="T32" s="1347"/>
      <c r="U32" s="1348"/>
      <c r="V32" s="1348"/>
      <c r="W32" s="1348"/>
      <c r="X32" s="1348"/>
      <c r="Y32" s="1348"/>
      <c r="Z32" s="1349"/>
      <c r="AA32" s="1349"/>
      <c r="AB32" s="1349"/>
      <c r="AC32" s="1349"/>
      <c r="AD32" s="1349"/>
      <c r="AE32" s="1349"/>
      <c r="AF32" s="1349"/>
      <c r="AG32" s="1349"/>
      <c r="AH32" s="1350"/>
      <c r="AI32" s="1349"/>
      <c r="AJ32" s="1350"/>
      <c r="AK32" s="1351"/>
      <c r="AZ32" s="3">
        <f>IF(ISNUMBER(MATCH(Z32,LANGUAGE!$C$138:$G$138,0)),1,IF(ISNUMBER(MATCH(Z32,LANGUAGE!$C$139:$G$139,0)),2,IF(ISNUMBER(MATCH(Z32,LANGUAGE!$C$140:$G$140,0)),3,0)))</f>
        <v>0</v>
      </c>
      <c r="BA32" s="3">
        <f>IF(ISNUMBER(MATCH(AJ32,LANGUAGE!$C$141:$G$141,0)),3,IF(ISNUMBER(MATCH(AJ32,LANGUAGE!$C$142:$G$142,0)),1,0))</f>
        <v>0</v>
      </c>
      <c r="BB32" s="3">
        <f t="shared" si="0"/>
        <v>0</v>
      </c>
      <c r="BD32" s="3" t="str">
        <f>IF(ISNUMBER(MATCH($AJ32,LANGUAGE!$C$141:$G$141,0)),$B32,"")</f>
        <v/>
      </c>
      <c r="BE32" s="3" t="str">
        <f>IF(ISNUMBER(MATCH($AJ32,LANGUAGE!$C$142:$G$142,0)),$B32,"")</f>
        <v/>
      </c>
    </row>
    <row r="33" spans="2:57" s="3" customFormat="1" ht="43.55" customHeight="1" x14ac:dyDescent="0.25">
      <c r="B33" s="254" t="s">
        <v>1803</v>
      </c>
      <c r="C33" s="1345" t="str">
        <f>HLOOKUP(LANGUAGE!$B$2,LANGUAGE!$C$14:$G$3515,2139)</f>
        <v>Concept</v>
      </c>
      <c r="D33" s="1345"/>
      <c r="E33" s="1347" t="str">
        <f>HLOOKUP(LANGUAGE!$B$2,LANGUAGE!$C$14:$G$3515,2140)</f>
        <v>Is a concept available and has the feasibility been confirmed?</v>
      </c>
      <c r="F33" s="1347"/>
      <c r="G33" s="1347"/>
      <c r="H33" s="1347"/>
      <c r="I33" s="1347"/>
      <c r="J33" s="1347"/>
      <c r="K33" s="1347"/>
      <c r="L33" s="1347"/>
      <c r="M33" s="1347" t="str">
        <f>HLOOKUP(LANGUAGE!$B$2,LANGUAGE!$C$14:$G$3515,2141)</f>
        <v>Design proposals with confirmed manufacturability of the individual components and assembly by the supplier are available.</v>
      </c>
      <c r="N33" s="1347"/>
      <c r="O33" s="1347"/>
      <c r="P33" s="1347"/>
      <c r="Q33" s="1347"/>
      <c r="R33" s="1347"/>
      <c r="S33" s="1347"/>
      <c r="T33" s="1347"/>
      <c r="U33" s="1348"/>
      <c r="V33" s="1348"/>
      <c r="W33" s="1348"/>
      <c r="X33" s="1348"/>
      <c r="Y33" s="1348"/>
      <c r="Z33" s="1349"/>
      <c r="AA33" s="1349"/>
      <c r="AB33" s="1349"/>
      <c r="AC33" s="1349"/>
      <c r="AD33" s="1349"/>
      <c r="AE33" s="1349"/>
      <c r="AF33" s="1349"/>
      <c r="AG33" s="1349"/>
      <c r="AH33" s="1350"/>
      <c r="AI33" s="1349"/>
      <c r="AJ33" s="1350"/>
      <c r="AK33" s="1351"/>
      <c r="AZ33" s="3">
        <f>IF(ISNUMBER(MATCH(Z33,LANGUAGE!$C$138:$G$138,0)),1,IF(ISNUMBER(MATCH(Z33,LANGUAGE!$C$139:$G$139,0)),2,IF(ISNUMBER(MATCH(Z33,LANGUAGE!$C$140:$G$140,0)),3,0)))</f>
        <v>0</v>
      </c>
      <c r="BA33" s="3">
        <f>IF(ISNUMBER(MATCH(AJ33,LANGUAGE!$C$141:$G$141,0)),3,IF(ISNUMBER(MATCH(AJ33,LANGUAGE!$C$142:$G$142,0)),1,0))</f>
        <v>0</v>
      </c>
      <c r="BB33" s="3">
        <f t="shared" si="0"/>
        <v>0</v>
      </c>
      <c r="BD33" s="3" t="str">
        <f>IF(ISNUMBER(MATCH($AJ33,LANGUAGE!$C$141:$G$141,0)),$B33,"")</f>
        <v/>
      </c>
      <c r="BE33" s="3" t="str">
        <f>IF(ISNUMBER(MATCH($AJ33,LANGUAGE!$C$142:$G$142,0)),$B33,"")</f>
        <v/>
      </c>
    </row>
    <row r="34" spans="2:57" s="3" customFormat="1" ht="51.85" customHeight="1" x14ac:dyDescent="0.25">
      <c r="B34" s="255" t="s">
        <v>1804</v>
      </c>
      <c r="C34" s="1345" t="str">
        <f>HLOOKUP(LANGUAGE!$B$2,LANGUAGE!$C$14:$G$3515,2145)</f>
        <v>FMEA</v>
      </c>
      <c r="D34" s="1345"/>
      <c r="E34" s="1347" t="str">
        <f>HLOOKUP(LANGUAGE!$B$2,LANGUAGE!$C$14:$G$3515,2146)</f>
        <v>Are the requirements for the FMEA known?</v>
      </c>
      <c r="F34" s="1347"/>
      <c r="G34" s="1347"/>
      <c r="H34" s="1347"/>
      <c r="I34" s="1347"/>
      <c r="J34" s="1347"/>
      <c r="K34" s="1347"/>
      <c r="L34" s="1347"/>
      <c r="M34" s="1347" t="str">
        <f>HLOOKUP(LANGUAGE!$B$2,LANGUAGE!$C$14:$G$3515,2147)</f>
        <v>Brose FMEA - failure catalog is available and evaluated, BN586437 is available in latest version. Customer-specific requirements are known.</v>
      </c>
      <c r="N34" s="1347"/>
      <c r="O34" s="1347"/>
      <c r="P34" s="1347"/>
      <c r="Q34" s="1347"/>
      <c r="R34" s="1347"/>
      <c r="S34" s="1347"/>
      <c r="T34" s="1347"/>
      <c r="U34" s="1348"/>
      <c r="V34" s="1348"/>
      <c r="W34" s="1348"/>
      <c r="X34" s="1348"/>
      <c r="Y34" s="1348"/>
      <c r="Z34" s="1349"/>
      <c r="AA34" s="1349"/>
      <c r="AB34" s="1349"/>
      <c r="AC34" s="1349"/>
      <c r="AD34" s="1349"/>
      <c r="AE34" s="1349"/>
      <c r="AF34" s="1349"/>
      <c r="AG34" s="1349"/>
      <c r="AH34" s="1350"/>
      <c r="AI34" s="1349"/>
      <c r="AJ34" s="1350"/>
      <c r="AK34" s="1351"/>
      <c r="AZ34" s="3">
        <f>IF(ISNUMBER(MATCH(Z34,LANGUAGE!$C$138:$G$138,0)),1,IF(ISNUMBER(MATCH(Z34,LANGUAGE!$C$139:$G$139,0)),2,IF(ISNUMBER(MATCH(Z34,LANGUAGE!$C$140:$G$140,0)),3,0)))</f>
        <v>0</v>
      </c>
      <c r="BA34" s="3">
        <f>IF(ISNUMBER(MATCH(AJ34,LANGUAGE!$C$141:$G$141,0)),3,IF(ISNUMBER(MATCH(AJ34,LANGUAGE!$C$142:$G$142,0)),1,0))</f>
        <v>0</v>
      </c>
      <c r="BB34" s="3">
        <f t="shared" si="0"/>
        <v>0</v>
      </c>
      <c r="BD34" s="3" t="str">
        <f>IF(ISNUMBER(MATCH($AJ34,LANGUAGE!$C$141:$G$141,0)),$B34,"")</f>
        <v/>
      </c>
      <c r="BE34" s="3" t="str">
        <f>IF(ISNUMBER(MATCH($AJ34,LANGUAGE!$C$142:$G$142,0)),$B34,"")</f>
        <v/>
      </c>
    </row>
    <row r="35" spans="2:57" s="3" customFormat="1" ht="87.05" customHeight="1" x14ac:dyDescent="0.25">
      <c r="B35" s="254" t="s">
        <v>1805</v>
      </c>
      <c r="C35" s="1345" t="str">
        <f>HLOOKUP(LANGUAGE!$B$2,LANGUAGE!$C$14:$G$3515,2151)</f>
        <v>Testing</v>
      </c>
      <c r="D35" s="1345"/>
      <c r="E35" s="1347" t="str">
        <f>HLOOKUP(LANGUAGE!$B$2,LANGUAGE!$C$14:$G$3515,2152)</f>
        <v>Is there an agreed test plan for carrying out the test release? Have the required resources been taken into account for the planning?</v>
      </c>
      <c r="F35" s="1347"/>
      <c r="G35" s="1347"/>
      <c r="H35" s="1347"/>
      <c r="I35" s="1347"/>
      <c r="J35" s="1347"/>
      <c r="K35" s="1347"/>
      <c r="L35" s="1347"/>
      <c r="M35" s="1347" t="str">
        <f>HLOOKUP(LANGUAGE!$B$2,LANGUAGE!$C$14:$G$3515,2153)</f>
        <v>Test planning is available and has been agreed with Brose. Necessary test equipment is available or order is planned. Test equipment and human resources are available (or provided externally) and meet the requirements.</v>
      </c>
      <c r="N35" s="1347"/>
      <c r="O35" s="1347"/>
      <c r="P35" s="1347"/>
      <c r="Q35" s="1347"/>
      <c r="R35" s="1347"/>
      <c r="S35" s="1347"/>
      <c r="T35" s="1347"/>
      <c r="U35" s="1348"/>
      <c r="V35" s="1348"/>
      <c r="W35" s="1348"/>
      <c r="X35" s="1348"/>
      <c r="Y35" s="1348"/>
      <c r="Z35" s="1349"/>
      <c r="AA35" s="1349"/>
      <c r="AB35" s="1349"/>
      <c r="AC35" s="1349"/>
      <c r="AD35" s="1349"/>
      <c r="AE35" s="1349"/>
      <c r="AF35" s="1349"/>
      <c r="AG35" s="1349"/>
      <c r="AH35" s="1350"/>
      <c r="AI35" s="1349"/>
      <c r="AJ35" s="1350"/>
      <c r="AK35" s="1351"/>
      <c r="AZ35" s="3">
        <f>IF(ISNUMBER(MATCH(Z35,LANGUAGE!$C$138:$G$138,0)),1,IF(ISNUMBER(MATCH(Z35,LANGUAGE!$C$139:$G$139,0)),2,IF(ISNUMBER(MATCH(Z35,LANGUAGE!$C$140:$G$140,0)),3,0)))</f>
        <v>0</v>
      </c>
      <c r="BA35" s="3">
        <f>IF(ISNUMBER(MATCH(AJ35,LANGUAGE!$C$141:$G$141,0)),3,IF(ISNUMBER(MATCH(AJ35,LANGUAGE!$C$142:$G$142,0)),1,0))</f>
        <v>0</v>
      </c>
      <c r="BB35" s="3">
        <f t="shared" si="0"/>
        <v>0</v>
      </c>
      <c r="BD35" s="3" t="str">
        <f>IF(ISNUMBER(MATCH($AJ35,LANGUAGE!$C$141:$G$141,0)),$B35,"")</f>
        <v/>
      </c>
      <c r="BE35" s="3" t="str">
        <f>IF(ISNUMBER(MATCH($AJ35,LANGUAGE!$C$142:$G$142,0)),$B35,"")</f>
        <v/>
      </c>
    </row>
    <row r="36" spans="2:57" s="3" customFormat="1" ht="74.05" customHeight="1" thickBot="1" x14ac:dyDescent="0.3">
      <c r="B36" s="512" t="s">
        <v>1806</v>
      </c>
      <c r="C36" s="1392" t="str">
        <f>HLOOKUP(LANGUAGE!$B$2,LANGUAGE!$C$14:$G$3515,2157)</f>
        <v>Supplier management</v>
      </c>
      <c r="D36" s="1392"/>
      <c r="E36" s="1463" t="str">
        <f>HLOOKUP(LANGUAGE!$B$2,LANGUAGE!$C$14:$G$3515,2158)</f>
        <v>How is the involvement of subcontractors ensured during development phase?</v>
      </c>
      <c r="F36" s="1464"/>
      <c r="G36" s="1464"/>
      <c r="H36" s="1464"/>
      <c r="I36" s="1464"/>
      <c r="J36" s="1464"/>
      <c r="K36" s="1464"/>
      <c r="L36" s="1465"/>
      <c r="M36" s="1463" t="str">
        <f>HLOOKUP(LANGUAGE!$B$2,LANGUAGE!$C$14:$G$3515,2159)</f>
        <v>Examples: 
- measurement service provider
- simulations
- climatic chamber
- prototype builder</v>
      </c>
      <c r="N36" s="1464"/>
      <c r="O36" s="1464"/>
      <c r="P36" s="1464"/>
      <c r="Q36" s="1464"/>
      <c r="R36" s="1464"/>
      <c r="S36" s="1464"/>
      <c r="T36" s="1465"/>
      <c r="U36" s="1335"/>
      <c r="V36" s="1335"/>
      <c r="W36" s="1335"/>
      <c r="X36" s="1335"/>
      <c r="Y36" s="1335"/>
      <c r="Z36" s="1336"/>
      <c r="AA36" s="1336"/>
      <c r="AB36" s="1336"/>
      <c r="AC36" s="1336"/>
      <c r="AD36" s="1336"/>
      <c r="AE36" s="1336"/>
      <c r="AF36" s="1336"/>
      <c r="AG36" s="1336"/>
      <c r="AH36" s="1337"/>
      <c r="AI36" s="1336"/>
      <c r="AJ36" s="1337"/>
      <c r="AK36" s="1338"/>
      <c r="AZ36" s="3">
        <f>IF(ISNUMBER(MATCH(Z36,LANGUAGE!$C$138:$G$138,0)),1,IF(ISNUMBER(MATCH(Z36,LANGUAGE!$C$139:$G$139,0)),2,IF(ISNUMBER(MATCH(Z36,LANGUAGE!$C$140:$G$140,0)),3,0)))</f>
        <v>0</v>
      </c>
      <c r="BA36" s="3">
        <f>IF(ISNUMBER(MATCH(AJ36,LANGUAGE!$C$141:$G$141,0)),3,IF(ISNUMBER(MATCH(AJ36,LANGUAGE!$C$142:$G$142,0)),1,0))</f>
        <v>0</v>
      </c>
      <c r="BB36" s="3">
        <f t="shared" si="0"/>
        <v>0</v>
      </c>
      <c r="BD36" s="3" t="str">
        <f>IF(ISNUMBER(MATCH($AJ36,LANGUAGE!$C$141:$G$141,0)),$B36,"")</f>
        <v/>
      </c>
      <c r="BE36" s="3" t="str">
        <f>IF(ISNUMBER(MATCH($AJ36,LANGUAGE!$C$142:$G$142,0)),$B36,"")</f>
        <v/>
      </c>
    </row>
    <row r="37" spans="2:57" s="3" customFormat="1" ht="17.7" customHeight="1" thickBot="1" x14ac:dyDescent="0.3">
      <c r="M37" s="155"/>
      <c r="BD37" s="3" t="str">
        <f>IF(ISNUMBER(MATCH($AJ37,LANGUAGE!$C$141:$G$141,0)),$B37,"")</f>
        <v/>
      </c>
      <c r="BE37" s="3" t="str">
        <f>IF(ISNUMBER(MATCH($AJ37,LANGUAGE!$C$142:$G$142,0)),$B37,"")</f>
        <v/>
      </c>
    </row>
    <row r="38" spans="2:57" s="3" customFormat="1" ht="17.7" customHeight="1" x14ac:dyDescent="0.25">
      <c r="B38" s="1394" t="str">
        <f>HLOOKUP(LANGUAGE!$B$2,LANGUAGE!$C$14:$G$1500,114)</f>
        <v>Remarks</v>
      </c>
      <c r="C38" s="1395"/>
      <c r="D38" s="1395"/>
      <c r="E38" s="1395"/>
      <c r="F38" s="1395"/>
      <c r="G38" s="1395"/>
      <c r="H38" s="1395"/>
      <c r="I38" s="1395"/>
      <c r="J38" s="1395"/>
      <c r="K38" s="1395"/>
      <c r="L38" s="1395"/>
      <c r="M38" s="1395"/>
      <c r="N38" s="1395"/>
      <c r="O38" s="1395"/>
      <c r="P38" s="1395"/>
      <c r="Q38" s="1395"/>
      <c r="R38" s="1395"/>
      <c r="S38" s="1395"/>
      <c r="T38" s="1395"/>
      <c r="U38" s="1395"/>
      <c r="V38" s="1395"/>
      <c r="W38" s="1395"/>
      <c r="X38" s="1395"/>
      <c r="Y38" s="1395"/>
      <c r="Z38" s="1395"/>
      <c r="AA38" s="1395"/>
      <c r="AB38" s="1395"/>
      <c r="AC38" s="1395"/>
      <c r="AD38" s="1395"/>
      <c r="AE38" s="1395"/>
      <c r="AF38" s="1395"/>
      <c r="AG38" s="1395"/>
      <c r="AH38" s="1395"/>
      <c r="AI38" s="1395"/>
      <c r="AJ38" s="1395"/>
      <c r="AK38" s="1396"/>
    </row>
    <row r="39" spans="2:57" s="3" customFormat="1" ht="17.7" customHeight="1" x14ac:dyDescent="0.25">
      <c r="B39" s="1397"/>
      <c r="C39" s="1398"/>
      <c r="D39" s="1398"/>
      <c r="E39" s="1398"/>
      <c r="F39" s="1398"/>
      <c r="G39" s="1398"/>
      <c r="H39" s="1398"/>
      <c r="I39" s="1398"/>
      <c r="J39" s="1398"/>
      <c r="K39" s="1398"/>
      <c r="L39" s="1398"/>
      <c r="M39" s="1398"/>
      <c r="N39" s="1398"/>
      <c r="O39" s="1398"/>
      <c r="P39" s="1398"/>
      <c r="Q39" s="1398"/>
      <c r="R39" s="1398"/>
      <c r="S39" s="1398"/>
      <c r="T39" s="1398"/>
      <c r="U39" s="1398"/>
      <c r="V39" s="1398"/>
      <c r="W39" s="1398"/>
      <c r="X39" s="1398"/>
      <c r="Y39" s="1398"/>
      <c r="Z39" s="1398"/>
      <c r="AA39" s="1398"/>
      <c r="AB39" s="1398"/>
      <c r="AC39" s="1398"/>
      <c r="AD39" s="1398"/>
      <c r="AE39" s="1398"/>
      <c r="AF39" s="1398"/>
      <c r="AG39" s="1398"/>
      <c r="AH39" s="1398"/>
      <c r="AI39" s="1398"/>
      <c r="AJ39" s="1398"/>
      <c r="AK39" s="1399"/>
    </row>
    <row r="40" spans="2:57" s="3" customFormat="1" ht="17.7" customHeight="1" x14ac:dyDescent="0.25">
      <c r="B40" s="1397"/>
      <c r="C40" s="1398"/>
      <c r="D40" s="1398"/>
      <c r="E40" s="1398"/>
      <c r="F40" s="1398"/>
      <c r="G40" s="1398"/>
      <c r="H40" s="1398"/>
      <c r="I40" s="1398"/>
      <c r="J40" s="1398"/>
      <c r="K40" s="1398"/>
      <c r="L40" s="1398"/>
      <c r="M40" s="1398"/>
      <c r="N40" s="1398"/>
      <c r="O40" s="1398"/>
      <c r="P40" s="1398"/>
      <c r="Q40" s="1398"/>
      <c r="R40" s="1398"/>
      <c r="S40" s="1398"/>
      <c r="T40" s="1398"/>
      <c r="U40" s="1398"/>
      <c r="V40" s="1398"/>
      <c r="W40" s="1398"/>
      <c r="X40" s="1398"/>
      <c r="Y40" s="1398"/>
      <c r="Z40" s="1398"/>
      <c r="AA40" s="1398"/>
      <c r="AB40" s="1398"/>
      <c r="AC40" s="1398"/>
      <c r="AD40" s="1398"/>
      <c r="AE40" s="1398"/>
      <c r="AF40" s="1398"/>
      <c r="AG40" s="1398"/>
      <c r="AH40" s="1398"/>
      <c r="AI40" s="1398"/>
      <c r="AJ40" s="1398"/>
      <c r="AK40" s="1399"/>
    </row>
    <row r="41" spans="2:57" s="3" customFormat="1" ht="17.7" customHeight="1" thickBot="1" x14ac:dyDescent="0.3">
      <c r="B41" s="1400"/>
      <c r="C41" s="1401"/>
      <c r="D41" s="1401"/>
      <c r="E41" s="1401"/>
      <c r="F41" s="1401"/>
      <c r="G41" s="1401"/>
      <c r="H41" s="1401"/>
      <c r="I41" s="1401"/>
      <c r="J41" s="1401"/>
      <c r="K41" s="1401"/>
      <c r="L41" s="1401"/>
      <c r="M41" s="1401"/>
      <c r="N41" s="1401"/>
      <c r="O41" s="1401"/>
      <c r="P41" s="1401"/>
      <c r="Q41" s="1401"/>
      <c r="R41" s="1401"/>
      <c r="S41" s="1401"/>
      <c r="T41" s="1401"/>
      <c r="U41" s="1401"/>
      <c r="V41" s="1401"/>
      <c r="W41" s="1401"/>
      <c r="X41" s="1401"/>
      <c r="Y41" s="1401"/>
      <c r="Z41" s="1401"/>
      <c r="AA41" s="1401"/>
      <c r="AB41" s="1401"/>
      <c r="AC41" s="1401"/>
      <c r="AD41" s="1401"/>
      <c r="AE41" s="1401"/>
      <c r="AF41" s="1401"/>
      <c r="AG41" s="1401"/>
      <c r="AH41" s="1401"/>
      <c r="AI41" s="1401"/>
      <c r="AJ41" s="1401"/>
      <c r="AK41" s="1402"/>
    </row>
    <row r="42" spans="2:57" s="3" customFormat="1" ht="17.7" customHeight="1" thickBot="1" x14ac:dyDescent="0.3">
      <c r="M42" s="155"/>
    </row>
    <row r="43" spans="2:57" s="3" customFormat="1" ht="17.7" customHeight="1" x14ac:dyDescent="0.25">
      <c r="B43" s="1266" t="str">
        <f>HLOOKUP(LANGUAGE!$B$2,LANGUAGE!$C$14:$G$1500,116)</f>
        <v>Department</v>
      </c>
      <c r="C43" s="1267"/>
      <c r="D43" s="1267"/>
      <c r="E43" s="1267"/>
      <c r="F43" s="1267"/>
      <c r="G43" s="1267" t="str">
        <f>HLOOKUP(LANGUAGE!$B$2,LANGUAGE!$C$14:$G$1500,117)</f>
        <v>Participants Supplier</v>
      </c>
      <c r="H43" s="1267"/>
      <c r="I43" s="1267"/>
      <c r="J43" s="1267"/>
      <c r="K43" s="1267"/>
      <c r="L43" s="1267"/>
      <c r="M43" s="1267"/>
      <c r="N43" s="1267"/>
      <c r="O43" s="1267" t="str">
        <f>HLOOKUP(LANGUAGE!$B$2,LANGUAGE!$C$14:$G$1500,21)</f>
        <v>Date</v>
      </c>
      <c r="P43" s="1267"/>
      <c r="Q43" s="1267"/>
      <c r="R43" s="1268"/>
      <c r="U43" s="1266" t="str">
        <f>HLOOKUP(LANGUAGE!$B$2,LANGUAGE!$C$14:$G$1500,116)</f>
        <v>Department</v>
      </c>
      <c r="V43" s="1267"/>
      <c r="W43" s="1267"/>
      <c r="X43" s="1267"/>
      <c r="Y43" s="1267"/>
      <c r="Z43" s="1267" t="str">
        <f>HLOOKUP(LANGUAGE!$B$2,LANGUAGE!$C$14:$G$1500,118)</f>
        <v>Participants Brose</v>
      </c>
      <c r="AA43" s="1267"/>
      <c r="AB43" s="1267"/>
      <c r="AC43" s="1267"/>
      <c r="AD43" s="1267"/>
      <c r="AE43" s="1267"/>
      <c r="AF43" s="1267"/>
      <c r="AG43" s="1267"/>
      <c r="AH43" s="1267" t="str">
        <f>HLOOKUP(LANGUAGE!$B$2,LANGUAGE!$C$14:$G$1500,21)</f>
        <v>Date</v>
      </c>
      <c r="AI43" s="1267"/>
      <c r="AJ43" s="1267"/>
      <c r="AK43" s="1268"/>
    </row>
    <row r="44" spans="2:57" s="3" customFormat="1" ht="17.7" customHeight="1" x14ac:dyDescent="0.25">
      <c r="B44" s="1466"/>
      <c r="C44" s="1378"/>
      <c r="D44" s="1378"/>
      <c r="E44" s="1378"/>
      <c r="F44" s="1379"/>
      <c r="G44" s="1377"/>
      <c r="H44" s="1378"/>
      <c r="I44" s="1378"/>
      <c r="J44" s="1378"/>
      <c r="K44" s="1378"/>
      <c r="L44" s="1378"/>
      <c r="M44" s="1378"/>
      <c r="N44" s="1379"/>
      <c r="O44" s="1383" t="str">
        <f>IF(AG6="","",AG6)</f>
        <v/>
      </c>
      <c r="P44" s="1383"/>
      <c r="Q44" s="1383"/>
      <c r="R44" s="1384"/>
      <c r="U44" s="1466"/>
      <c r="V44" s="1378"/>
      <c r="W44" s="1378"/>
      <c r="X44" s="1378"/>
      <c r="Y44" s="1379"/>
      <c r="Z44" s="1377"/>
      <c r="AA44" s="1378"/>
      <c r="AB44" s="1378"/>
      <c r="AC44" s="1378"/>
      <c r="AD44" s="1378"/>
      <c r="AE44" s="1378"/>
      <c r="AF44" s="1378"/>
      <c r="AG44" s="1379"/>
      <c r="AH44" s="1383" t="str">
        <f>IF(AG6="","",AG6)</f>
        <v/>
      </c>
      <c r="AI44" s="1383"/>
      <c r="AJ44" s="1383"/>
      <c r="AK44" s="1384"/>
    </row>
    <row r="45" spans="2:57" s="3" customFormat="1" ht="17.7" customHeight="1" x14ac:dyDescent="0.25">
      <c r="B45" s="1467"/>
      <c r="C45" s="1381"/>
      <c r="D45" s="1381"/>
      <c r="E45" s="1381"/>
      <c r="F45" s="1382"/>
      <c r="G45" s="1380"/>
      <c r="H45" s="1381"/>
      <c r="I45" s="1381"/>
      <c r="J45" s="1381"/>
      <c r="K45" s="1381"/>
      <c r="L45" s="1381"/>
      <c r="M45" s="1381"/>
      <c r="N45" s="1382"/>
      <c r="O45" s="1383"/>
      <c r="P45" s="1383"/>
      <c r="Q45" s="1383"/>
      <c r="R45" s="1384"/>
      <c r="U45" s="1467"/>
      <c r="V45" s="1381"/>
      <c r="W45" s="1381"/>
      <c r="X45" s="1381"/>
      <c r="Y45" s="1382"/>
      <c r="Z45" s="1380"/>
      <c r="AA45" s="1381"/>
      <c r="AB45" s="1381"/>
      <c r="AC45" s="1381"/>
      <c r="AD45" s="1381"/>
      <c r="AE45" s="1381"/>
      <c r="AF45" s="1381"/>
      <c r="AG45" s="1382"/>
      <c r="AH45" s="1383"/>
      <c r="AI45" s="1383"/>
      <c r="AJ45" s="1383"/>
      <c r="AK45" s="1384"/>
    </row>
    <row r="46" spans="2:57" s="3" customFormat="1" ht="17.7" customHeight="1" x14ac:dyDescent="0.25">
      <c r="B46" s="1466"/>
      <c r="C46" s="1378"/>
      <c r="D46" s="1378"/>
      <c r="E46" s="1378"/>
      <c r="F46" s="1379"/>
      <c r="G46" s="1377"/>
      <c r="H46" s="1378"/>
      <c r="I46" s="1378"/>
      <c r="J46" s="1378"/>
      <c r="K46" s="1378"/>
      <c r="L46" s="1378"/>
      <c r="M46" s="1378"/>
      <c r="N46" s="1379"/>
      <c r="O46" s="1383"/>
      <c r="P46" s="1383"/>
      <c r="Q46" s="1383"/>
      <c r="R46" s="1384"/>
      <c r="U46" s="1466"/>
      <c r="V46" s="1378"/>
      <c r="W46" s="1378"/>
      <c r="X46" s="1378"/>
      <c r="Y46" s="1379"/>
      <c r="Z46" s="1377"/>
      <c r="AA46" s="1378"/>
      <c r="AB46" s="1378"/>
      <c r="AC46" s="1378"/>
      <c r="AD46" s="1378"/>
      <c r="AE46" s="1378"/>
      <c r="AF46" s="1378"/>
      <c r="AG46" s="1379"/>
      <c r="AH46" s="1383"/>
      <c r="AI46" s="1383"/>
      <c r="AJ46" s="1383"/>
      <c r="AK46" s="1384"/>
    </row>
    <row r="47" spans="2:57" s="3" customFormat="1" ht="17.7" customHeight="1" x14ac:dyDescent="0.25">
      <c r="B47" s="1467"/>
      <c r="C47" s="1381"/>
      <c r="D47" s="1381"/>
      <c r="E47" s="1381"/>
      <c r="F47" s="1382"/>
      <c r="G47" s="1380"/>
      <c r="H47" s="1381"/>
      <c r="I47" s="1381"/>
      <c r="J47" s="1381"/>
      <c r="K47" s="1381"/>
      <c r="L47" s="1381"/>
      <c r="M47" s="1381"/>
      <c r="N47" s="1382"/>
      <c r="O47" s="1383"/>
      <c r="P47" s="1383"/>
      <c r="Q47" s="1383"/>
      <c r="R47" s="1384"/>
      <c r="U47" s="1467"/>
      <c r="V47" s="1381"/>
      <c r="W47" s="1381"/>
      <c r="X47" s="1381"/>
      <c r="Y47" s="1382"/>
      <c r="Z47" s="1380"/>
      <c r="AA47" s="1381"/>
      <c r="AB47" s="1381"/>
      <c r="AC47" s="1381"/>
      <c r="AD47" s="1381"/>
      <c r="AE47" s="1381"/>
      <c r="AF47" s="1381"/>
      <c r="AG47" s="1382"/>
      <c r="AH47" s="1383"/>
      <c r="AI47" s="1383"/>
      <c r="AJ47" s="1383"/>
      <c r="AK47" s="1384"/>
    </row>
    <row r="48" spans="2:57" s="3" customFormat="1" ht="17.7" customHeight="1" x14ac:dyDescent="0.25">
      <c r="B48" s="1466"/>
      <c r="C48" s="1378"/>
      <c r="D48" s="1378"/>
      <c r="E48" s="1378"/>
      <c r="F48" s="1379"/>
      <c r="G48" s="1377"/>
      <c r="H48" s="1378"/>
      <c r="I48" s="1378"/>
      <c r="J48" s="1378"/>
      <c r="K48" s="1378"/>
      <c r="L48" s="1378"/>
      <c r="M48" s="1378"/>
      <c r="N48" s="1379"/>
      <c r="O48" s="1383"/>
      <c r="P48" s="1383"/>
      <c r="Q48" s="1383"/>
      <c r="R48" s="1384"/>
      <c r="U48" s="1466"/>
      <c r="V48" s="1378"/>
      <c r="W48" s="1378"/>
      <c r="X48" s="1378"/>
      <c r="Y48" s="1379"/>
      <c r="Z48" s="1377"/>
      <c r="AA48" s="1378"/>
      <c r="AB48" s="1378"/>
      <c r="AC48" s="1378"/>
      <c r="AD48" s="1378"/>
      <c r="AE48" s="1378"/>
      <c r="AF48" s="1378"/>
      <c r="AG48" s="1379"/>
      <c r="AH48" s="1383"/>
      <c r="AI48" s="1383"/>
      <c r="AJ48" s="1383"/>
      <c r="AK48" s="1384"/>
    </row>
    <row r="49" spans="2:37" s="3" customFormat="1" ht="17.7" customHeight="1" x14ac:dyDescent="0.25">
      <c r="B49" s="1467"/>
      <c r="C49" s="1381"/>
      <c r="D49" s="1381"/>
      <c r="E49" s="1381"/>
      <c r="F49" s="1382"/>
      <c r="G49" s="1380"/>
      <c r="H49" s="1381"/>
      <c r="I49" s="1381"/>
      <c r="J49" s="1381"/>
      <c r="K49" s="1381"/>
      <c r="L49" s="1381"/>
      <c r="M49" s="1381"/>
      <c r="N49" s="1382"/>
      <c r="O49" s="1383"/>
      <c r="P49" s="1383"/>
      <c r="Q49" s="1383"/>
      <c r="R49" s="1384"/>
      <c r="U49" s="1467"/>
      <c r="V49" s="1381"/>
      <c r="W49" s="1381"/>
      <c r="X49" s="1381"/>
      <c r="Y49" s="1382"/>
      <c r="Z49" s="1380"/>
      <c r="AA49" s="1381"/>
      <c r="AB49" s="1381"/>
      <c r="AC49" s="1381"/>
      <c r="AD49" s="1381"/>
      <c r="AE49" s="1381"/>
      <c r="AF49" s="1381"/>
      <c r="AG49" s="1382"/>
      <c r="AH49" s="1383"/>
      <c r="AI49" s="1383"/>
      <c r="AJ49" s="1383"/>
      <c r="AK49" s="1384"/>
    </row>
    <row r="50" spans="2:37" s="3" customFormat="1" ht="17.7" customHeight="1" x14ac:dyDescent="0.25">
      <c r="B50" s="1466"/>
      <c r="C50" s="1378"/>
      <c r="D50" s="1378"/>
      <c r="E50" s="1378"/>
      <c r="F50" s="1379"/>
      <c r="G50" s="1377"/>
      <c r="H50" s="1378"/>
      <c r="I50" s="1378"/>
      <c r="J50" s="1378"/>
      <c r="K50" s="1378"/>
      <c r="L50" s="1378"/>
      <c r="M50" s="1378"/>
      <c r="N50" s="1379"/>
      <c r="O50" s="1383"/>
      <c r="P50" s="1383"/>
      <c r="Q50" s="1383"/>
      <c r="R50" s="1384"/>
      <c r="U50" s="1466"/>
      <c r="V50" s="1378"/>
      <c r="W50" s="1378"/>
      <c r="X50" s="1378"/>
      <c r="Y50" s="1379"/>
      <c r="Z50" s="1377"/>
      <c r="AA50" s="1378"/>
      <c r="AB50" s="1378"/>
      <c r="AC50" s="1378"/>
      <c r="AD50" s="1378"/>
      <c r="AE50" s="1378"/>
      <c r="AF50" s="1378"/>
      <c r="AG50" s="1379"/>
      <c r="AH50" s="1383"/>
      <c r="AI50" s="1383"/>
      <c r="AJ50" s="1383"/>
      <c r="AK50" s="1384"/>
    </row>
    <row r="51" spans="2:37" s="3" customFormat="1" ht="17.7" customHeight="1" thickBot="1" x14ac:dyDescent="0.3">
      <c r="B51" s="1468"/>
      <c r="C51" s="1390"/>
      <c r="D51" s="1390"/>
      <c r="E51" s="1390"/>
      <c r="F51" s="1391"/>
      <c r="G51" s="1389"/>
      <c r="H51" s="1390"/>
      <c r="I51" s="1390"/>
      <c r="J51" s="1390"/>
      <c r="K51" s="1390"/>
      <c r="L51" s="1390"/>
      <c r="M51" s="1390"/>
      <c r="N51" s="1391"/>
      <c r="O51" s="1385"/>
      <c r="P51" s="1385"/>
      <c r="Q51" s="1385"/>
      <c r="R51" s="1386"/>
      <c r="U51" s="1468"/>
      <c r="V51" s="1390"/>
      <c r="W51" s="1390"/>
      <c r="X51" s="1390"/>
      <c r="Y51" s="1391"/>
      <c r="Z51" s="1389"/>
      <c r="AA51" s="1390"/>
      <c r="AB51" s="1390"/>
      <c r="AC51" s="1390"/>
      <c r="AD51" s="1390"/>
      <c r="AE51" s="1390"/>
      <c r="AF51" s="1390"/>
      <c r="AG51" s="1391"/>
      <c r="AH51" s="1385"/>
      <c r="AI51" s="1385"/>
      <c r="AJ51" s="1385"/>
      <c r="AK51" s="1386"/>
    </row>
    <row r="52" spans="2:37" ht="12.7" customHeight="1" x14ac:dyDescent="0.25">
      <c r="B52" s="159"/>
      <c r="C52" s="160"/>
      <c r="D52" s="160"/>
      <c r="E52" s="156"/>
      <c r="F52" s="156"/>
      <c r="G52" s="156"/>
      <c r="H52" s="156"/>
      <c r="I52" s="156"/>
      <c r="J52" s="156"/>
      <c r="K52" s="156"/>
      <c r="L52" s="156"/>
      <c r="M52" s="156"/>
      <c r="N52" s="156"/>
      <c r="O52" s="156"/>
      <c r="P52" s="156"/>
      <c r="Q52" s="156"/>
      <c r="R52" s="156"/>
      <c r="S52" s="156"/>
      <c r="T52" s="156"/>
      <c r="U52" s="156"/>
      <c r="V52" s="156"/>
      <c r="W52" s="158"/>
      <c r="X52" s="158"/>
      <c r="Y52" s="158"/>
      <c r="Z52" s="158"/>
      <c r="AA52" s="158"/>
      <c r="AB52" s="158"/>
      <c r="AC52" s="158"/>
      <c r="AD52" s="158"/>
      <c r="AE52" s="158"/>
      <c r="AF52" s="158"/>
      <c r="AG52" s="157"/>
    </row>
  </sheetData>
  <sheetProtection algorithmName="SHA-512" hashValue="kz8R/tlX+19nYMVJri+fg1h4RnrAL9DozA+W2xNu86iIkKCMwQEe80Fmwp+QpCKDWsLKzPm16nay2/WICW0dlA==" saltValue="gUtff0jgZb5Tvm9WfZ9l1g==" spinCount="100000" sheet="1" objects="1" scenarios="1"/>
  <mergeCells count="199">
    <mergeCell ref="B43:F43"/>
    <mergeCell ref="G43:N43"/>
    <mergeCell ref="O43:R43"/>
    <mergeCell ref="U43:Y43"/>
    <mergeCell ref="Z43:AG43"/>
    <mergeCell ref="AH43:AK43"/>
    <mergeCell ref="B48:F49"/>
    <mergeCell ref="G48:N49"/>
    <mergeCell ref="U48:Y49"/>
    <mergeCell ref="Z48:AG49"/>
    <mergeCell ref="B44:F45"/>
    <mergeCell ref="G44:N45"/>
    <mergeCell ref="O44:R51"/>
    <mergeCell ref="U44:Y45"/>
    <mergeCell ref="Z44:AG45"/>
    <mergeCell ref="AH44:AK51"/>
    <mergeCell ref="B46:F47"/>
    <mergeCell ref="G46:N47"/>
    <mergeCell ref="U46:Y47"/>
    <mergeCell ref="Z46:AG47"/>
    <mergeCell ref="B50:F51"/>
    <mergeCell ref="G50:N51"/>
    <mergeCell ref="U50:Y51"/>
    <mergeCell ref="Z50:AG51"/>
    <mergeCell ref="M35:T35"/>
    <mergeCell ref="U35:Y35"/>
    <mergeCell ref="Z35:AA35"/>
    <mergeCell ref="AB35:AD35"/>
    <mergeCell ref="AE35:AG35"/>
    <mergeCell ref="AH35:AI35"/>
    <mergeCell ref="AJ35:AK35"/>
    <mergeCell ref="C36:D36"/>
    <mergeCell ref="E36:L36"/>
    <mergeCell ref="M36:T36"/>
    <mergeCell ref="U36:Y36"/>
    <mergeCell ref="Z36:AA36"/>
    <mergeCell ref="AB36:AD36"/>
    <mergeCell ref="AE36:AG36"/>
    <mergeCell ref="B38:AK38"/>
    <mergeCell ref="B39:AK41"/>
    <mergeCell ref="AE33:AG33"/>
    <mergeCell ref="AH33:AI33"/>
    <mergeCell ref="AJ33:AK33"/>
    <mergeCell ref="C34:D34"/>
    <mergeCell ref="E34:L34"/>
    <mergeCell ref="M34:T34"/>
    <mergeCell ref="U34:Y34"/>
    <mergeCell ref="Z34:AA34"/>
    <mergeCell ref="AB34:AD34"/>
    <mergeCell ref="AE34:AG34"/>
    <mergeCell ref="C33:D33"/>
    <mergeCell ref="E33:L33"/>
    <mergeCell ref="M33:T33"/>
    <mergeCell ref="U33:Y33"/>
    <mergeCell ref="Z33:AA33"/>
    <mergeCell ref="AB33:AD33"/>
    <mergeCell ref="AH34:AI34"/>
    <mergeCell ref="AJ34:AK34"/>
    <mergeCell ref="AH36:AI36"/>
    <mergeCell ref="AJ36:AK36"/>
    <mergeCell ref="C35:D35"/>
    <mergeCell ref="E35:L35"/>
    <mergeCell ref="C32:D32"/>
    <mergeCell ref="E32:L32"/>
    <mergeCell ref="M32:T32"/>
    <mergeCell ref="U32:Y32"/>
    <mergeCell ref="Z32:AA32"/>
    <mergeCell ref="AB32:AD32"/>
    <mergeCell ref="AE32:AG32"/>
    <mergeCell ref="AH32:AI32"/>
    <mergeCell ref="AJ32:AK32"/>
    <mergeCell ref="C31:D31"/>
    <mergeCell ref="E31:L31"/>
    <mergeCell ref="M31:T31"/>
    <mergeCell ref="U31:Y31"/>
    <mergeCell ref="Z31:AA31"/>
    <mergeCell ref="AB31:AD31"/>
    <mergeCell ref="AE31:AG31"/>
    <mergeCell ref="AH31:AI31"/>
    <mergeCell ref="AJ31:AK31"/>
    <mergeCell ref="AE29:AG29"/>
    <mergeCell ref="AH29:AI29"/>
    <mergeCell ref="AJ29:AK29"/>
    <mergeCell ref="C30:D30"/>
    <mergeCell ref="E30:L30"/>
    <mergeCell ref="M30:T30"/>
    <mergeCell ref="U30:Y30"/>
    <mergeCell ref="Z30:AA30"/>
    <mergeCell ref="AB30:AD30"/>
    <mergeCell ref="AE30:AG30"/>
    <mergeCell ref="C29:D29"/>
    <mergeCell ref="E29:L29"/>
    <mergeCell ref="M29:T29"/>
    <mergeCell ref="U29:Y29"/>
    <mergeCell ref="Z29:AA29"/>
    <mergeCell ref="AB29:AD29"/>
    <mergeCell ref="AH30:AI30"/>
    <mergeCell ref="AJ30:AK30"/>
    <mergeCell ref="C28:D28"/>
    <mergeCell ref="E28:L28"/>
    <mergeCell ref="M28:T28"/>
    <mergeCell ref="U28:Y28"/>
    <mergeCell ref="Z28:AA28"/>
    <mergeCell ref="AB28:AD28"/>
    <mergeCell ref="AE28:AG28"/>
    <mergeCell ref="AH28:AI28"/>
    <mergeCell ref="AJ28:AK28"/>
    <mergeCell ref="B24:AK25"/>
    <mergeCell ref="B26:B27"/>
    <mergeCell ref="C26:D27"/>
    <mergeCell ref="E26:L27"/>
    <mergeCell ref="M26:T27"/>
    <mergeCell ref="U26:Y27"/>
    <mergeCell ref="Z26:AA27"/>
    <mergeCell ref="AB26:AD27"/>
    <mergeCell ref="AE26:AG27"/>
    <mergeCell ref="AH26:AI27"/>
    <mergeCell ref="AJ26:AK27"/>
    <mergeCell ref="C22:D22"/>
    <mergeCell ref="E22:L22"/>
    <mergeCell ref="M22:T22"/>
    <mergeCell ref="U22:Y22"/>
    <mergeCell ref="Z22:AA22"/>
    <mergeCell ref="AB22:AD22"/>
    <mergeCell ref="AE22:AG22"/>
    <mergeCell ref="AH22:AI22"/>
    <mergeCell ref="AJ22:AK22"/>
    <mergeCell ref="B18:AK19"/>
    <mergeCell ref="B20:B21"/>
    <mergeCell ref="C20:D21"/>
    <mergeCell ref="E20:L21"/>
    <mergeCell ref="M20:T21"/>
    <mergeCell ref="U20:Y21"/>
    <mergeCell ref="Z20:AA21"/>
    <mergeCell ref="AB20:AD21"/>
    <mergeCell ref="AE20:AG21"/>
    <mergeCell ref="AH20:AI21"/>
    <mergeCell ref="AJ20:AK21"/>
    <mergeCell ref="F15:H15"/>
    <mergeCell ref="I15:L15"/>
    <mergeCell ref="M15:O15"/>
    <mergeCell ref="Q15:U15"/>
    <mergeCell ref="V15:Z15"/>
    <mergeCell ref="AA15:AE15"/>
    <mergeCell ref="B14:E14"/>
    <mergeCell ref="F14:H14"/>
    <mergeCell ref="I14:L14"/>
    <mergeCell ref="M14:O14"/>
    <mergeCell ref="Q14:U14"/>
    <mergeCell ref="V14:Z14"/>
    <mergeCell ref="F13:H13"/>
    <mergeCell ref="I13:L13"/>
    <mergeCell ref="M13:O13"/>
    <mergeCell ref="Q13:U13"/>
    <mergeCell ref="V13:Z13"/>
    <mergeCell ref="AA13:AE13"/>
    <mergeCell ref="AA11:AE11"/>
    <mergeCell ref="AG11:AK15"/>
    <mergeCell ref="B12:E12"/>
    <mergeCell ref="F12:H12"/>
    <mergeCell ref="I12:L12"/>
    <mergeCell ref="M12:O12"/>
    <mergeCell ref="Q12:U12"/>
    <mergeCell ref="V12:Z12"/>
    <mergeCell ref="AA12:AE12"/>
    <mergeCell ref="B13:E13"/>
    <mergeCell ref="B11:E11"/>
    <mergeCell ref="F11:H11"/>
    <mergeCell ref="I11:L11"/>
    <mergeCell ref="M11:O11"/>
    <mergeCell ref="Q11:U11"/>
    <mergeCell ref="V11:Z11"/>
    <mergeCell ref="AA14:AE14"/>
    <mergeCell ref="B15:E15"/>
    <mergeCell ref="B9:O9"/>
    <mergeCell ref="Q9:AE9"/>
    <mergeCell ref="AG9:AK10"/>
    <mergeCell ref="B10:E10"/>
    <mergeCell ref="F10:H10"/>
    <mergeCell ref="I10:L10"/>
    <mergeCell ref="M10:O10"/>
    <mergeCell ref="Q10:U10"/>
    <mergeCell ref="V10:Z10"/>
    <mergeCell ref="AA10:AE10"/>
    <mergeCell ref="B1:O2"/>
    <mergeCell ref="P1:R1"/>
    <mergeCell ref="P2:R2"/>
    <mergeCell ref="B5:O5"/>
    <mergeCell ref="Q5:AE5"/>
    <mergeCell ref="AG5:AK5"/>
    <mergeCell ref="B6:F6"/>
    <mergeCell ref="G6:O6"/>
    <mergeCell ref="Q6:U6"/>
    <mergeCell ref="V6:AE6"/>
    <mergeCell ref="AG6:AK7"/>
    <mergeCell ref="B7:F7"/>
    <mergeCell ref="G7:O7"/>
    <mergeCell ref="Q7:U7"/>
    <mergeCell ref="V7:AE7"/>
  </mergeCells>
  <conditionalFormatting sqref="B18">
    <cfRule type="expression" dxfId="529" priority="11">
      <formula>MAX($AZ$22)=0</formula>
    </cfRule>
    <cfRule type="expression" dxfId="528" priority="12">
      <formula>MAX($AZ$22)=1</formula>
    </cfRule>
    <cfRule type="expression" dxfId="527" priority="13">
      <formula>MAX($AZ$22)=2</formula>
    </cfRule>
    <cfRule type="expression" dxfId="526" priority="14">
      <formula>MAX($AZ$22)=3</formula>
    </cfRule>
  </conditionalFormatting>
  <conditionalFormatting sqref="B24">
    <cfRule type="expression" dxfId="525" priority="23">
      <formula>MAX($AZ$29:$AZ$36)=0</formula>
    </cfRule>
    <cfRule type="expression" dxfId="524" priority="24">
      <formula>MAX($AZ$29:$AZ$36)=1</formula>
    </cfRule>
    <cfRule type="expression" dxfId="523" priority="25">
      <formula>MAX($AZ$29:$AZ$36)=2</formula>
    </cfRule>
    <cfRule type="expression" dxfId="522" priority="26">
      <formula>MAX($AZ$29:$AZ$36)=3</formula>
    </cfRule>
  </conditionalFormatting>
  <conditionalFormatting sqref="Z17">
    <cfRule type="expression" dxfId="521" priority="29">
      <formula>$AZ17=3</formula>
    </cfRule>
    <cfRule type="expression" dxfId="520" priority="30">
      <formula>$AZ17=2</formula>
    </cfRule>
    <cfRule type="expression" dxfId="519" priority="31">
      <formula>$AZ17=1</formula>
    </cfRule>
  </conditionalFormatting>
  <conditionalFormatting sqref="Z22">
    <cfRule type="expression" dxfId="518" priority="8">
      <formula>$AZ22=3</formula>
    </cfRule>
    <cfRule type="expression" dxfId="517" priority="9">
      <formula>$AZ22=2</formula>
    </cfRule>
    <cfRule type="expression" dxfId="516" priority="10">
      <formula>$AZ22=1</formula>
    </cfRule>
  </conditionalFormatting>
  <conditionalFormatting sqref="Z28:AA36">
    <cfRule type="expression" dxfId="515" priority="3">
      <formula>$AZ28=3</formula>
    </cfRule>
    <cfRule type="expression" dxfId="514" priority="4">
      <formula>$AZ28=2</formula>
    </cfRule>
    <cfRule type="expression" dxfId="513" priority="5">
      <formula>$AZ28=1</formula>
    </cfRule>
  </conditionalFormatting>
  <conditionalFormatting sqref="AG11">
    <cfRule type="expression" dxfId="512" priority="32">
      <formula>$BB$21=6</formula>
    </cfRule>
    <cfRule type="expression" dxfId="511" priority="33">
      <formula>$BB$21=5</formula>
    </cfRule>
    <cfRule type="expression" dxfId="510" priority="34">
      <formula>AND($BB$21&gt;0,$BB$21&lt;5)</formula>
    </cfRule>
  </conditionalFormatting>
  <conditionalFormatting sqref="AG11:AK15">
    <cfRule type="expression" dxfId="509" priority="35">
      <formula>$BB$21=10</formula>
    </cfRule>
  </conditionalFormatting>
  <conditionalFormatting sqref="AJ17">
    <cfRule type="expression" dxfId="508" priority="27">
      <formula>$BA17=3</formula>
    </cfRule>
    <cfRule type="expression" dxfId="507" priority="28">
      <formula>$BA17=1</formula>
    </cfRule>
  </conditionalFormatting>
  <conditionalFormatting sqref="AJ22">
    <cfRule type="expression" dxfId="506" priority="6">
      <formula>$BA22=3</formula>
    </cfRule>
    <cfRule type="expression" dxfId="505" priority="7">
      <formula>$BA22=1</formula>
    </cfRule>
  </conditionalFormatting>
  <conditionalFormatting sqref="AJ28:AK36">
    <cfRule type="expression" dxfId="504" priority="1">
      <formula>$BA28=3</formula>
    </cfRule>
    <cfRule type="expression" dxfId="503" priority="2">
      <formula>$BA28=1</formula>
    </cfRule>
  </conditionalFormatting>
  <dataValidations disablePrompts="1" count="2">
    <dataValidation type="list" allowBlank="1" showInputMessage="1" showErrorMessage="1" sqref="Z28:AA36 Z22:AA22 Z17:AA17" xr:uid="{00000000-0002-0000-0600-000000000000}">
      <formula1>Status_Bewertung</formula1>
    </dataValidation>
    <dataValidation type="list" allowBlank="1" showInputMessage="1" showErrorMessage="1" sqref="AJ28:AK36 AJ22:AK22 AJ17:AK17" xr:uid="{00000000-0002-0000-0600-000001000000}">
      <formula1>Status_Maßnahme</formula1>
    </dataValidation>
  </dataValidations>
  <printOptions horizontalCentered="1"/>
  <pageMargins left="0.70866141732283472" right="0.55118110236220474" top="0.98425196850393704" bottom="0.9055118110236221" header="0.23622047244094491" footer="0.27559055118110237"/>
  <pageSetup paperSize="8" scale="73" fitToHeight="2"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401" r:id="rId6" name="Drop Down 1">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92D050"/>
  </sheetPr>
  <dimension ref="A1:BJ57"/>
  <sheetViews>
    <sheetView showGridLines="0" topLeftCell="A35" zoomScaleNormal="100" zoomScaleSheetLayoutView="70" zoomScalePageLayoutView="55" workbookViewId="0">
      <selection activeCell="M164" sqref="M164:T166"/>
    </sheetView>
  </sheetViews>
  <sheetFormatPr baseColWidth="10" defaultColWidth="5.3984375" defaultRowHeight="13.15" x14ac:dyDescent="0.25"/>
  <cols>
    <col min="4" max="4" width="6.3984375" customWidth="1"/>
    <col min="43" max="48" width="0" hidden="1" customWidth="1"/>
    <col min="50" max="55" width="5.3984375" customWidth="1"/>
    <col min="56" max="56" width="7.19921875" customWidth="1"/>
    <col min="57" max="57" width="6.09765625" customWidth="1"/>
    <col min="58" max="58" width="7.09765625" customWidth="1"/>
    <col min="59" max="59" width="5.3984375" customWidth="1"/>
  </cols>
  <sheetData>
    <row r="1" spans="1:41" ht="17.7" customHeight="1" x14ac:dyDescent="0.25">
      <c r="A1" s="153"/>
      <c r="B1" s="1469" t="str">
        <f>HLOOKUP(LANGUAGE!$B$2,LANGUAGE!$C$14:$G$3493,2207)</f>
        <v>Development Supplier Quality Gate 2</v>
      </c>
      <c r="C1" s="1469"/>
      <c r="D1" s="1469"/>
      <c r="E1" s="1469"/>
      <c r="F1" s="1469"/>
      <c r="G1" s="1469"/>
      <c r="H1" s="1469"/>
      <c r="I1" s="1469"/>
      <c r="J1" s="1469"/>
      <c r="K1" s="1469"/>
      <c r="L1" s="1469"/>
      <c r="M1" s="1469"/>
      <c r="N1" s="1469"/>
      <c r="O1" s="1469"/>
      <c r="P1" s="1470" t="s">
        <v>2</v>
      </c>
      <c r="Q1" s="1470"/>
      <c r="R1" s="1470"/>
      <c r="S1" s="185"/>
      <c r="T1" s="185"/>
      <c r="U1" s="185"/>
      <c r="V1" s="185"/>
      <c r="W1" s="185"/>
      <c r="X1" s="185"/>
      <c r="Y1" s="185"/>
      <c r="Z1" s="174"/>
      <c r="AA1" s="174"/>
      <c r="AB1" s="174"/>
      <c r="AC1" s="174"/>
      <c r="AD1" s="174"/>
      <c r="AE1" s="174"/>
      <c r="AF1" s="174"/>
      <c r="AG1" s="174"/>
      <c r="AH1" s="174"/>
      <c r="AI1" s="174"/>
      <c r="AJ1" s="174"/>
      <c r="AK1" s="174"/>
      <c r="AL1" s="174"/>
    </row>
    <row r="2" spans="1:41" ht="21.8" customHeight="1" x14ac:dyDescent="0.25">
      <c r="A2" s="153"/>
      <c r="B2" s="1469"/>
      <c r="C2" s="1469"/>
      <c r="D2" s="1469"/>
      <c r="E2" s="1469"/>
      <c r="F2" s="1469"/>
      <c r="G2" s="1469"/>
      <c r="H2" s="1469"/>
      <c r="I2" s="1469"/>
      <c r="J2" s="1469"/>
      <c r="K2" s="1469"/>
      <c r="L2" s="1469"/>
      <c r="M2" s="1469"/>
      <c r="N2" s="1469"/>
      <c r="O2" s="1469"/>
      <c r="P2" s="1470" t="s">
        <v>1774</v>
      </c>
      <c r="Q2" s="1470"/>
      <c r="R2" s="1470"/>
      <c r="S2" s="185"/>
      <c r="T2" s="185"/>
      <c r="U2" s="185"/>
      <c r="V2" s="185"/>
      <c r="W2" s="185"/>
      <c r="X2" s="185"/>
      <c r="Y2" s="185"/>
      <c r="Z2" s="174"/>
      <c r="AA2" s="174"/>
      <c r="AB2" s="174"/>
      <c r="AC2" s="174"/>
      <c r="AD2" s="174"/>
      <c r="AE2" s="174"/>
      <c r="AF2" s="174"/>
      <c r="AG2" s="174"/>
      <c r="AH2" s="174"/>
      <c r="AI2" s="174"/>
      <c r="AJ2" s="174"/>
      <c r="AK2" s="174"/>
      <c r="AL2" s="174"/>
    </row>
    <row r="3" spans="1:41" ht="17.7" customHeight="1" x14ac:dyDescent="0.25">
      <c r="B3" s="201" t="str">
        <f>HLOOKUP(LANGUAGE!$B$2,LANGUAGE!$C$14:$G$3493,2211)</f>
        <v>Target: closure of development request</v>
      </c>
      <c r="C3" s="30"/>
      <c r="D3" s="30"/>
      <c r="E3" s="30"/>
      <c r="F3" s="30"/>
      <c r="G3" s="30"/>
      <c r="H3" s="30"/>
      <c r="I3" s="30"/>
      <c r="J3" s="30"/>
      <c r="K3" s="30"/>
      <c r="L3" s="30"/>
      <c r="M3" s="30"/>
      <c r="N3" s="30"/>
      <c r="O3" s="30"/>
      <c r="P3" s="30"/>
      <c r="Q3" s="221" t="str">
        <f>HLOOKUP(LANGUAGE!$B$2,LANGUAGE!$C$14:$G$1500,2)</f>
        <v>Attention!!!        Only yellow fields has to be filled</v>
      </c>
      <c r="T3" s="30"/>
      <c r="U3" s="30"/>
      <c r="V3" s="30"/>
      <c r="W3" s="30"/>
      <c r="X3" s="30"/>
      <c r="Y3" s="30"/>
      <c r="Z3" s="30"/>
      <c r="AA3" s="30"/>
      <c r="AB3" s="30"/>
      <c r="AC3" s="30"/>
      <c r="AD3" s="30"/>
      <c r="AE3" s="30"/>
      <c r="AF3" s="30"/>
      <c r="AG3" s="30"/>
    </row>
    <row r="4" spans="1:41" ht="17.7" customHeight="1" thickBot="1" x14ac:dyDescent="0.3">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row>
    <row r="5" spans="1:41" ht="17.7" customHeight="1" x14ac:dyDescent="0.25">
      <c r="B5" s="1416" t="str">
        <f>HLOOKUP(LANGUAGE!$B$2,LANGUAGE!$C$14:$G$1500,12)</f>
        <v>Project Data</v>
      </c>
      <c r="C5" s="1417"/>
      <c r="D5" s="1417"/>
      <c r="E5" s="1417"/>
      <c r="F5" s="1417"/>
      <c r="G5" s="1417"/>
      <c r="H5" s="1417"/>
      <c r="I5" s="1417"/>
      <c r="J5" s="1417"/>
      <c r="K5" s="1417"/>
      <c r="L5" s="1417"/>
      <c r="M5" s="1417"/>
      <c r="N5" s="1417"/>
      <c r="O5" s="1418"/>
      <c r="P5" s="252"/>
      <c r="Q5" s="1471" t="str">
        <f>HLOOKUP(LANGUAGE!$B$2,LANGUAGE!$C$14:$G$1500,27)</f>
        <v>Supplier Data</v>
      </c>
      <c r="R5" s="1472"/>
      <c r="S5" s="1472"/>
      <c r="T5" s="1472"/>
      <c r="U5" s="1472"/>
      <c r="V5" s="1472"/>
      <c r="W5" s="1472"/>
      <c r="X5" s="1472"/>
      <c r="Y5" s="1472"/>
      <c r="Z5" s="1472"/>
      <c r="AA5" s="1472"/>
      <c r="AB5" s="1472"/>
      <c r="AC5" s="1472"/>
      <c r="AD5" s="1472"/>
      <c r="AE5" s="1473"/>
      <c r="AF5" s="252"/>
      <c r="AG5" s="1266" t="str">
        <f>HLOOKUP(LANGUAGE!$B$2,LANGUAGE!$C$14:$G$1500,21)</f>
        <v>Date</v>
      </c>
      <c r="AH5" s="1267"/>
      <c r="AI5" s="1267"/>
      <c r="AJ5" s="1267"/>
      <c r="AK5" s="1268"/>
    </row>
    <row r="6" spans="1:41" ht="17.7" customHeight="1" x14ac:dyDescent="0.25">
      <c r="B6" s="1474" t="str">
        <f>HLOOKUP(LANGUAGE!$B$2,LANGUAGE!$C$14:$G$1500,13)</f>
        <v>Project</v>
      </c>
      <c r="C6" s="1475"/>
      <c r="D6" s="1475"/>
      <c r="E6" s="1475"/>
      <c r="F6" s="1475"/>
      <c r="G6" s="1476" t="str">
        <f>IF(Basic_Data!F6&lt;&gt;"",CONCATENATE(Basic_Data!F6," / ",Basic_Data!F7,""),"")</f>
        <v/>
      </c>
      <c r="H6" s="1476"/>
      <c r="I6" s="1476"/>
      <c r="J6" s="1476"/>
      <c r="K6" s="1476"/>
      <c r="L6" s="1476"/>
      <c r="M6" s="1476"/>
      <c r="N6" s="1476"/>
      <c r="O6" s="1477"/>
      <c r="P6" s="252"/>
      <c r="Q6" s="1474" t="str">
        <f>HLOOKUP(LANGUAGE!$B$2,LANGUAGE!$C$14:$G$1500,28)</f>
        <v>Supplier</v>
      </c>
      <c r="R6" s="1475"/>
      <c r="S6" s="1475"/>
      <c r="T6" s="1475"/>
      <c r="U6" s="1475"/>
      <c r="V6" s="1421" t="str">
        <f>IF(Basic_Data!R6&lt;&gt;"",CONCATENATE(Basic_Data!R6," (",Basic_Data!R7,")"),"")</f>
        <v/>
      </c>
      <c r="W6" s="1421"/>
      <c r="X6" s="1421"/>
      <c r="Y6" s="1421"/>
      <c r="Z6" s="1421"/>
      <c r="AA6" s="1421"/>
      <c r="AB6" s="1421"/>
      <c r="AC6" s="1421"/>
      <c r="AD6" s="1421"/>
      <c r="AE6" s="1422"/>
      <c r="AF6" s="252"/>
      <c r="AG6" s="1478"/>
      <c r="AH6" s="1479"/>
      <c r="AI6" s="1479"/>
      <c r="AJ6" s="1479"/>
      <c r="AK6" s="1480"/>
    </row>
    <row r="7" spans="1:41" ht="17.7" customHeight="1" thickBot="1" x14ac:dyDescent="0.3">
      <c r="B7" s="1423" t="str">
        <f>HLOOKUP(LANGUAGE!$B$2,LANGUAGE!$C$14:$G$1500,14)</f>
        <v>Part Name(s)</v>
      </c>
      <c r="C7" s="1424"/>
      <c r="D7" s="1424"/>
      <c r="E7" s="1424"/>
      <c r="F7" s="1424"/>
      <c r="G7" s="1481" t="str">
        <f>IF(Basic_Data!F8&lt;&gt;"",Basic_Data!F8,"")</f>
        <v/>
      </c>
      <c r="H7" s="1481"/>
      <c r="I7" s="1481"/>
      <c r="J7" s="1481"/>
      <c r="K7" s="1481"/>
      <c r="L7" s="1481"/>
      <c r="M7" s="1481"/>
      <c r="N7" s="1481"/>
      <c r="O7" s="1482"/>
      <c r="P7" s="252"/>
      <c r="Q7" s="1423" t="str">
        <f>HLOOKUP(LANGUAGE!$B$2,LANGUAGE!$C$14:$G$1500,29)</f>
        <v>Address</v>
      </c>
      <c r="R7" s="1424"/>
      <c r="S7" s="1424"/>
      <c r="T7" s="1424"/>
      <c r="U7" s="1424"/>
      <c r="V7" s="1481" t="str">
        <f>IF(Basic_Data!R8&lt;&gt;"",CONCATENATE(Basic_Data!R8,", ",Basic_Data!R9,", ",Basic_Data!R10,""),"")</f>
        <v/>
      </c>
      <c r="W7" s="1481"/>
      <c r="X7" s="1481"/>
      <c r="Y7" s="1481"/>
      <c r="Z7" s="1481"/>
      <c r="AA7" s="1481"/>
      <c r="AB7" s="1481"/>
      <c r="AC7" s="1481"/>
      <c r="AD7" s="1481"/>
      <c r="AE7" s="1482"/>
      <c r="AF7" s="252"/>
      <c r="AG7" s="1276"/>
      <c r="AH7" s="1277"/>
      <c r="AI7" s="1277"/>
      <c r="AJ7" s="1277"/>
      <c r="AK7" s="1278"/>
    </row>
    <row r="8" spans="1:41" ht="17.7" customHeight="1" thickBot="1" x14ac:dyDescent="0.3">
      <c r="B8" s="510"/>
      <c r="C8" s="510"/>
      <c r="D8" s="510"/>
      <c r="E8" s="252"/>
      <c r="F8" s="252"/>
      <c r="G8" s="252"/>
      <c r="H8" s="252"/>
      <c r="I8" s="252"/>
      <c r="J8" s="252"/>
      <c r="K8" s="252"/>
      <c r="L8" s="252"/>
      <c r="M8" s="252"/>
      <c r="N8" s="252"/>
      <c r="O8" s="252"/>
      <c r="P8" s="252"/>
      <c r="Q8" s="252"/>
      <c r="R8" s="252"/>
      <c r="S8" s="510"/>
      <c r="T8" s="510"/>
      <c r="U8" s="510"/>
      <c r="V8" s="510"/>
      <c r="W8" s="252"/>
      <c r="X8" s="252"/>
      <c r="Y8" s="252"/>
      <c r="Z8" s="252"/>
      <c r="AA8" s="252"/>
      <c r="AB8" s="252"/>
      <c r="AC8" s="252"/>
      <c r="AD8" s="252"/>
      <c r="AE8" s="252"/>
      <c r="AF8" s="252"/>
      <c r="AG8" s="252"/>
      <c r="AH8" s="154"/>
      <c r="AI8" s="154"/>
      <c r="AJ8" s="252"/>
      <c r="AK8" s="252"/>
    </row>
    <row r="9" spans="1:41" ht="17.7" customHeight="1" x14ac:dyDescent="0.25">
      <c r="B9" s="1416" t="str">
        <f>HLOOKUP(LANGUAGE!$B$2,LANGUAGE!$C$14:$G$1500,40)</f>
        <v>Material Data</v>
      </c>
      <c r="C9" s="1417"/>
      <c r="D9" s="1417"/>
      <c r="E9" s="1417"/>
      <c r="F9" s="1417"/>
      <c r="G9" s="1417"/>
      <c r="H9" s="1417"/>
      <c r="I9" s="1417"/>
      <c r="J9" s="1417"/>
      <c r="K9" s="1417"/>
      <c r="L9" s="1417"/>
      <c r="M9" s="1417"/>
      <c r="N9" s="1417"/>
      <c r="O9" s="1418"/>
      <c r="P9" s="252"/>
      <c r="Q9" s="1416" t="str">
        <f>HLOOKUP(LANGUAGE!$B$2,LANGUAGE!$C$14:$G$1500,54)</f>
        <v>Deadlines</v>
      </c>
      <c r="R9" s="1417"/>
      <c r="S9" s="1417"/>
      <c r="T9" s="1417"/>
      <c r="U9" s="1417"/>
      <c r="V9" s="1417"/>
      <c r="W9" s="1417"/>
      <c r="X9" s="1417"/>
      <c r="Y9" s="1417"/>
      <c r="Z9" s="1417"/>
      <c r="AA9" s="1417"/>
      <c r="AB9" s="1417"/>
      <c r="AC9" s="1417"/>
      <c r="AD9" s="1417"/>
      <c r="AE9" s="1418"/>
      <c r="AF9" s="252"/>
      <c r="AG9" s="1281" t="str">
        <f>HLOOKUP(LANGUAGE!$B$2,LANGUAGE!$C$14:$G$3493,2215)</f>
        <v>Overall status 
Development Supplier Quality Gate 2</v>
      </c>
      <c r="AH9" s="1282"/>
      <c r="AI9" s="1282"/>
      <c r="AJ9" s="1282"/>
      <c r="AK9" s="1283"/>
    </row>
    <row r="10" spans="1:41" ht="17.7" customHeight="1" x14ac:dyDescent="0.25">
      <c r="B10" s="1483" t="str">
        <f>HLOOKUP(LANGUAGE!$B$2,LANGUAGE!$C$14:$G$1500,41)</f>
        <v>Brose Part No.</v>
      </c>
      <c r="C10" s="1484"/>
      <c r="D10" s="1484"/>
      <c r="E10" s="1484"/>
      <c r="F10" s="1484" t="str">
        <f>HLOOKUP(LANGUAGE!$B$2,LANGUAGE!$C$14:$G$1500,42)</f>
        <v>Index</v>
      </c>
      <c r="G10" s="1484"/>
      <c r="H10" s="1484"/>
      <c r="I10" s="1485" t="str">
        <f>HLOOKUP(LANGUAGE!$B$2,LANGUAGE!$C$14:$G$1500,43)</f>
        <v>Brose Drawing No.</v>
      </c>
      <c r="J10" s="1485"/>
      <c r="K10" s="1485"/>
      <c r="L10" s="1485"/>
      <c r="M10" s="1484" t="str">
        <f>HLOOKUP(LANGUAGE!$B$2,LANGUAGE!$C$14:$G$1500,42)</f>
        <v>Index</v>
      </c>
      <c r="N10" s="1484"/>
      <c r="O10" s="1486"/>
      <c r="P10" s="252"/>
      <c r="Q10" s="1487" t="str">
        <f>HLOOKUP(LANGUAGE!$B$2,LANGUAGE!$C$14:$G$1500,55)</f>
        <v>Milestones</v>
      </c>
      <c r="R10" s="1488"/>
      <c r="S10" s="1488"/>
      <c r="T10" s="1488"/>
      <c r="U10" s="1488"/>
      <c r="V10" s="1488" t="str">
        <f>HLOOKUP(LANGUAGE!$B$2,LANGUAGE!$C$14:$G$1500,56)</f>
        <v>Target date (acc. Order)</v>
      </c>
      <c r="W10" s="1488"/>
      <c r="X10" s="1488"/>
      <c r="Y10" s="1488"/>
      <c r="Z10" s="1488"/>
      <c r="AA10" s="1488" t="str">
        <f>HLOOKUP(LANGUAGE!$B$2,LANGUAGE!$C$14:$G$1500,57)</f>
        <v>Actual date (acc. Timing plan)</v>
      </c>
      <c r="AB10" s="1488"/>
      <c r="AC10" s="1488"/>
      <c r="AD10" s="1488"/>
      <c r="AE10" s="1489"/>
      <c r="AF10" s="252"/>
      <c r="AG10" s="1284"/>
      <c r="AH10" s="1285"/>
      <c r="AI10" s="1285"/>
      <c r="AJ10" s="1285"/>
      <c r="AK10" s="1286"/>
      <c r="AO10" s="511"/>
    </row>
    <row r="11" spans="1:41" ht="17.7" customHeight="1" x14ac:dyDescent="0.25">
      <c r="B11" s="1444"/>
      <c r="C11" s="1445"/>
      <c r="D11" s="1445"/>
      <c r="E11" s="1446"/>
      <c r="F11" s="1447"/>
      <c r="G11" s="1445"/>
      <c r="H11" s="1446"/>
      <c r="I11" s="1447"/>
      <c r="J11" s="1445"/>
      <c r="K11" s="1445"/>
      <c r="L11" s="1446"/>
      <c r="M11" s="1447"/>
      <c r="N11" s="1445"/>
      <c r="O11" s="1448"/>
      <c r="P11" s="252"/>
      <c r="Q11" s="1449" t="str">
        <f>HLOOKUP(LANGUAGE!$B$2,LANGUAGE!$C$14:$G$2573,1958)</f>
        <v>nomination of development request</v>
      </c>
      <c r="R11" s="1450"/>
      <c r="S11" s="1450"/>
      <c r="T11" s="1450"/>
      <c r="U11" s="1450"/>
      <c r="V11" s="1451"/>
      <c r="W11" s="1452"/>
      <c r="X11" s="1452"/>
      <c r="Y11" s="1452"/>
      <c r="Z11" s="1453"/>
      <c r="AA11" s="1437"/>
      <c r="AB11" s="1438"/>
      <c r="AC11" s="1438"/>
      <c r="AD11" s="1438"/>
      <c r="AE11" s="1439"/>
      <c r="AF11" s="252"/>
      <c r="AG11" s="1302" t="str">
        <f>IF(AND(BB20&gt;0,BB20&lt;5),LANGUAGE!F4,IF(BB20=5,LANGUAGE!F5,IF(BB20=6,LANGUAGE!F6,IF(BB20=10,HLOOKUP(LANGUAGE!$B$2,LANGUAGE!$C$14:$G$1500,67),""))))</f>
        <v/>
      </c>
      <c r="AH11" s="1303"/>
      <c r="AI11" s="1303"/>
      <c r="AJ11" s="1303"/>
      <c r="AK11" s="1304"/>
    </row>
    <row r="12" spans="1:41" ht="17.7" customHeight="1" x14ac:dyDescent="0.25">
      <c r="B12" s="1440"/>
      <c r="C12" s="1120"/>
      <c r="D12" s="1120"/>
      <c r="E12" s="1432"/>
      <c r="F12" s="1119"/>
      <c r="G12" s="1441"/>
      <c r="H12" s="1442"/>
      <c r="I12" s="1119"/>
      <c r="J12" s="1441"/>
      <c r="K12" s="1441"/>
      <c r="L12" s="1442"/>
      <c r="M12" s="1119"/>
      <c r="N12" s="1441"/>
      <c r="O12" s="1443"/>
      <c r="P12" s="252"/>
      <c r="Q12" s="1296" t="str">
        <f>HLOOKUP(LANGUAGE!$B$2,LANGUAGE!$C$14:$G$2573,1959)</f>
        <v>Test release 0</v>
      </c>
      <c r="R12" s="1297"/>
      <c r="S12" s="1297"/>
      <c r="T12" s="1297"/>
      <c r="U12" s="1297"/>
      <c r="V12" s="1433"/>
      <c r="W12" s="1434"/>
      <c r="X12" s="1434"/>
      <c r="Y12" s="1434"/>
      <c r="Z12" s="1435"/>
      <c r="AA12" s="1433"/>
      <c r="AB12" s="1434"/>
      <c r="AC12" s="1434"/>
      <c r="AD12" s="1434"/>
      <c r="AE12" s="1436"/>
      <c r="AF12" s="252"/>
      <c r="AG12" s="1302"/>
      <c r="AH12" s="1303"/>
      <c r="AI12" s="1303"/>
      <c r="AJ12" s="1303"/>
      <c r="AK12" s="1304"/>
    </row>
    <row r="13" spans="1:41" ht="17.7" customHeight="1" x14ac:dyDescent="0.25">
      <c r="B13" s="1440"/>
      <c r="C13" s="1120"/>
      <c r="D13" s="1120"/>
      <c r="E13" s="1432"/>
      <c r="F13" s="1431"/>
      <c r="G13" s="1120"/>
      <c r="H13" s="1432"/>
      <c r="I13" s="1431"/>
      <c r="J13" s="1120"/>
      <c r="K13" s="1120"/>
      <c r="L13" s="1432"/>
      <c r="M13" s="1431"/>
      <c r="N13" s="1120"/>
      <c r="O13" s="1121"/>
      <c r="P13" s="252"/>
      <c r="Q13" s="1296" t="str">
        <f>HLOOKUP(LANGUAGE!$B$2,LANGUAGE!$C$14:$G$2573,1960)</f>
        <v>Release of drawing index 100</v>
      </c>
      <c r="R13" s="1297"/>
      <c r="S13" s="1297"/>
      <c r="T13" s="1297"/>
      <c r="U13" s="1297"/>
      <c r="V13" s="1433"/>
      <c r="W13" s="1434"/>
      <c r="X13" s="1434"/>
      <c r="Y13" s="1434"/>
      <c r="Z13" s="1435"/>
      <c r="AA13" s="1433"/>
      <c r="AB13" s="1434"/>
      <c r="AC13" s="1434"/>
      <c r="AD13" s="1434"/>
      <c r="AE13" s="1436"/>
      <c r="AF13" s="252"/>
      <c r="AG13" s="1302"/>
      <c r="AH13" s="1303"/>
      <c r="AI13" s="1303"/>
      <c r="AJ13" s="1303"/>
      <c r="AK13" s="1304"/>
    </row>
    <row r="14" spans="1:41" ht="17.7" customHeight="1" x14ac:dyDescent="0.25">
      <c r="B14" s="1440"/>
      <c r="C14" s="1120"/>
      <c r="D14" s="1120"/>
      <c r="E14" s="1432"/>
      <c r="F14" s="1431"/>
      <c r="G14" s="1120"/>
      <c r="H14" s="1432"/>
      <c r="I14" s="1431"/>
      <c r="J14" s="1120"/>
      <c r="K14" s="1120"/>
      <c r="L14" s="1432"/>
      <c r="M14" s="1431"/>
      <c r="N14" s="1120"/>
      <c r="O14" s="1121"/>
      <c r="P14" s="252"/>
      <c r="Q14" s="1296" t="str">
        <f>HLOOKUP(LANGUAGE!$B$2,LANGUAGE!$C$14:$G$2573,1961)</f>
        <v>Test release 1</v>
      </c>
      <c r="R14" s="1297"/>
      <c r="S14" s="1297"/>
      <c r="T14" s="1297"/>
      <c r="U14" s="1297"/>
      <c r="V14" s="1433"/>
      <c r="W14" s="1434"/>
      <c r="X14" s="1434"/>
      <c r="Y14" s="1434"/>
      <c r="Z14" s="1435"/>
      <c r="AA14" s="1433"/>
      <c r="AB14" s="1434"/>
      <c r="AC14" s="1434"/>
      <c r="AD14" s="1434"/>
      <c r="AE14" s="1436"/>
      <c r="AF14" s="252"/>
      <c r="AG14" s="1302"/>
      <c r="AH14" s="1303"/>
      <c r="AI14" s="1303"/>
      <c r="AJ14" s="1303"/>
      <c r="AK14" s="1304"/>
    </row>
    <row r="15" spans="1:41" ht="17.7" customHeight="1" thickBot="1" x14ac:dyDescent="0.3">
      <c r="B15" s="1454"/>
      <c r="C15" s="1125"/>
      <c r="D15" s="1125"/>
      <c r="E15" s="1455"/>
      <c r="F15" s="1456"/>
      <c r="G15" s="1125"/>
      <c r="H15" s="1455"/>
      <c r="I15" s="1456"/>
      <c r="J15" s="1125"/>
      <c r="K15" s="1125"/>
      <c r="L15" s="1455"/>
      <c r="M15" s="1456"/>
      <c r="N15" s="1125"/>
      <c r="O15" s="1126"/>
      <c r="P15" s="252"/>
      <c r="Q15" s="1318" t="str">
        <f>HLOOKUP(LANGUAGE!$B$2,LANGUAGE!$C$14:$G$2573,1962)</f>
        <v>Development release</v>
      </c>
      <c r="R15" s="1319"/>
      <c r="S15" s="1319"/>
      <c r="T15" s="1319"/>
      <c r="U15" s="1319"/>
      <c r="V15" s="1457"/>
      <c r="W15" s="1458"/>
      <c r="X15" s="1458"/>
      <c r="Y15" s="1458"/>
      <c r="Z15" s="1459"/>
      <c r="AA15" s="1457"/>
      <c r="AB15" s="1458"/>
      <c r="AC15" s="1458"/>
      <c r="AD15" s="1458"/>
      <c r="AE15" s="1460"/>
      <c r="AF15" s="252"/>
      <c r="AG15" s="1305"/>
      <c r="AH15" s="1306"/>
      <c r="AI15" s="1306"/>
      <c r="AJ15" s="1306"/>
      <c r="AK15" s="1307"/>
    </row>
    <row r="16" spans="1:41" ht="17.7" customHeight="1" thickBot="1" x14ac:dyDescent="0.3"/>
    <row r="17" spans="2:62" s="3" customFormat="1" ht="17.7" customHeight="1" x14ac:dyDescent="0.25">
      <c r="B17" s="1322" t="str">
        <f>HLOOKUP(LANGUAGE!$B$2,LANGUAGE!$C$14:$G$3493,2219)</f>
        <v>Feasibility</v>
      </c>
      <c r="C17" s="1323"/>
      <c r="D17" s="1323"/>
      <c r="E17" s="1323"/>
      <c r="F17" s="1323"/>
      <c r="G17" s="1323"/>
      <c r="H17" s="1323"/>
      <c r="I17" s="1323"/>
      <c r="J17" s="1323"/>
      <c r="K17" s="1323"/>
      <c r="L17" s="1323"/>
      <c r="M17" s="1323"/>
      <c r="N17" s="1323"/>
      <c r="O17" s="1323"/>
      <c r="P17" s="1323"/>
      <c r="Q17" s="1323"/>
      <c r="R17" s="1323"/>
      <c r="S17" s="1323"/>
      <c r="T17" s="1323"/>
      <c r="U17" s="1323"/>
      <c r="V17" s="1323"/>
      <c r="W17" s="1323"/>
      <c r="X17" s="1323"/>
      <c r="Y17" s="1323"/>
      <c r="Z17" s="1323"/>
      <c r="AA17" s="1323"/>
      <c r="AB17" s="1323"/>
      <c r="AC17" s="1323"/>
      <c r="AD17" s="1323"/>
      <c r="AE17" s="1323"/>
      <c r="AF17" s="1323"/>
      <c r="AG17" s="1323"/>
      <c r="AH17" s="1323"/>
      <c r="AI17" s="1323"/>
      <c r="AJ17" s="1323"/>
      <c r="AK17" s="1324"/>
      <c r="BD17" s="3" t="str">
        <f>LANGUAGE!G4</f>
        <v>in progress</v>
      </c>
      <c r="BE17" s="3" t="str">
        <f>LANGUAGE!G5</f>
        <v>completed</v>
      </c>
      <c r="BI17" s="142"/>
      <c r="BJ17" s="142"/>
    </row>
    <row r="18" spans="2:62" s="3" customFormat="1" ht="17.7" customHeight="1" x14ac:dyDescent="0.25">
      <c r="B18" s="1325"/>
      <c r="C18" s="1326"/>
      <c r="D18" s="1326"/>
      <c r="E18" s="1326"/>
      <c r="F18" s="1326"/>
      <c r="G18" s="1326"/>
      <c r="H18" s="1326"/>
      <c r="I18" s="1326"/>
      <c r="J18" s="1326"/>
      <c r="K18" s="1326"/>
      <c r="L18" s="1326"/>
      <c r="M18" s="1326"/>
      <c r="N18" s="1326"/>
      <c r="O18" s="1326"/>
      <c r="P18" s="1326"/>
      <c r="Q18" s="1326"/>
      <c r="R18" s="1326"/>
      <c r="S18" s="1326"/>
      <c r="T18" s="1326"/>
      <c r="U18" s="1326"/>
      <c r="V18" s="1326"/>
      <c r="W18" s="1326"/>
      <c r="X18" s="1326"/>
      <c r="Y18" s="1326"/>
      <c r="Z18" s="1326"/>
      <c r="AA18" s="1326"/>
      <c r="AB18" s="1326"/>
      <c r="AC18" s="1326"/>
      <c r="AD18" s="1326"/>
      <c r="AE18" s="1326"/>
      <c r="AF18" s="1326"/>
      <c r="AG18" s="1326"/>
      <c r="AH18" s="1326"/>
      <c r="AI18" s="1326"/>
      <c r="AJ18" s="1326"/>
      <c r="AK18" s="1327"/>
      <c r="BI18" s="142"/>
      <c r="BJ18" s="142"/>
    </row>
    <row r="19" spans="2:62" s="3" customFormat="1" ht="17.7" customHeight="1" x14ac:dyDescent="0.25">
      <c r="B19" s="1328" t="str">
        <f>HLOOKUP(LANGUAGE!$B$2,LANGUAGE!$C$14:$G$1500,91)</f>
        <v>No.</v>
      </c>
      <c r="C19" s="1329" t="str">
        <f>HLOOKUP(LANGUAGE!$B$2,LANGUAGE!$C$14:$G$1500,73)</f>
        <v>Topic</v>
      </c>
      <c r="D19" s="1329"/>
      <c r="E19" s="1329" t="str">
        <f>HLOOKUP(LANGUAGE!$B$2,LANGUAGE!$C$14:$G$1500,92)</f>
        <v>Question</v>
      </c>
      <c r="F19" s="1329"/>
      <c r="G19" s="1329"/>
      <c r="H19" s="1329"/>
      <c r="I19" s="1329"/>
      <c r="J19" s="1329"/>
      <c r="K19" s="1329"/>
      <c r="L19" s="1329"/>
      <c r="M19" s="1329" t="str">
        <f>HLOOKUP(LANGUAGE!$B$2,LANGUAGE!$C$14:$G$1500,93)</f>
        <v>Notes</v>
      </c>
      <c r="N19" s="1329"/>
      <c r="O19" s="1329"/>
      <c r="P19" s="1329"/>
      <c r="Q19" s="1329"/>
      <c r="R19" s="1329"/>
      <c r="S19" s="1329"/>
      <c r="T19" s="1329"/>
      <c r="U19" s="1330" t="str">
        <f>HLOOKUP(LANGUAGE!$B$2,LANGUAGE!$C$14:$G$1500,114)</f>
        <v>Remarks</v>
      </c>
      <c r="V19" s="1330"/>
      <c r="W19" s="1330"/>
      <c r="X19" s="1330"/>
      <c r="Y19" s="1330"/>
      <c r="Z19" s="1329" t="str">
        <f>HLOOKUP(LANGUAGE!$B$2,LANGUAGE!$C$14:$G$1500,74)</f>
        <v>Evaluation</v>
      </c>
      <c r="AA19" s="1329"/>
      <c r="AB19" s="1329" t="str">
        <f>HLOOKUP(LANGUAGE!$B$2,LANGUAGE!$C$14:$G$1500,95)</f>
        <v>Action</v>
      </c>
      <c r="AC19" s="1329"/>
      <c r="AD19" s="1329"/>
      <c r="AE19" s="1330" t="str">
        <f>HLOOKUP(LANGUAGE!$B$2,LANGUAGE!$C$14:$G$1500,96)</f>
        <v>Responsible</v>
      </c>
      <c r="AF19" s="1330"/>
      <c r="AG19" s="1330"/>
      <c r="AH19" s="1329" t="str">
        <f>HLOOKUP(LANGUAGE!$B$2,LANGUAGE!$C$14:$G$1500,21)</f>
        <v>Date</v>
      </c>
      <c r="AI19" s="1329"/>
      <c r="AJ19" s="1329" t="str">
        <f>HLOOKUP(LANGUAGE!$B$2,LANGUAGE!$C$14:$G$1500,75)</f>
        <v>Action status</v>
      </c>
      <c r="AK19" s="1331"/>
      <c r="BI19" s="142"/>
      <c r="BJ19" s="142"/>
    </row>
    <row r="20" spans="2:62" s="3" customFormat="1" ht="17.7" customHeight="1" x14ac:dyDescent="0.25">
      <c r="B20" s="1328"/>
      <c r="C20" s="1329"/>
      <c r="D20" s="1329"/>
      <c r="E20" s="1329"/>
      <c r="F20" s="1329"/>
      <c r="G20" s="1329"/>
      <c r="H20" s="1329"/>
      <c r="I20" s="1329"/>
      <c r="J20" s="1329"/>
      <c r="K20" s="1329"/>
      <c r="L20" s="1329"/>
      <c r="M20" s="1329"/>
      <c r="N20" s="1329"/>
      <c r="O20" s="1329"/>
      <c r="P20" s="1329"/>
      <c r="Q20" s="1329"/>
      <c r="R20" s="1329"/>
      <c r="S20" s="1329"/>
      <c r="T20" s="1329"/>
      <c r="U20" s="1330"/>
      <c r="V20" s="1330"/>
      <c r="W20" s="1330"/>
      <c r="X20" s="1330"/>
      <c r="Y20" s="1330"/>
      <c r="Z20" s="1329"/>
      <c r="AA20" s="1329"/>
      <c r="AB20" s="1329"/>
      <c r="AC20" s="1329"/>
      <c r="AD20" s="1329"/>
      <c r="AE20" s="1330"/>
      <c r="AF20" s="1330"/>
      <c r="AG20" s="1330"/>
      <c r="AH20" s="1329"/>
      <c r="AI20" s="1329"/>
      <c r="AJ20" s="1329"/>
      <c r="AK20" s="1331"/>
      <c r="BB20" s="3">
        <f>MAX(BB21:BB42)</f>
        <v>0</v>
      </c>
      <c r="BD20" s="3" t="str">
        <f>IF(BD21&lt;&gt;"",BD21&amp;" ","")&amp;IF(BD22&lt;&gt;"",BD22&amp;" ","")</f>
        <v/>
      </c>
      <c r="BE20" s="3" t="str">
        <f>IF(BE21&lt;&gt;"",BE21&amp;" ","")&amp;IF(BE22&lt;&gt;"",BE22&amp;" ","")</f>
        <v/>
      </c>
    </row>
    <row r="21" spans="2:62" s="3" customFormat="1" ht="82.5" customHeight="1" x14ac:dyDescent="0.25">
      <c r="B21" s="254" t="s">
        <v>1807</v>
      </c>
      <c r="C21" s="1461" t="str">
        <f>HLOOKUP(LANGUAGE!$B$2,LANGUAGE!$C$14:$G$3493,2220)</f>
        <v>Development</v>
      </c>
      <c r="D21" s="1462"/>
      <c r="E21" s="1347" t="str">
        <f>HLOOKUP(LANGUAGE!$B$2,LANGUAGE!$C$14:$G$3493,2221)</f>
        <v>Can the product still be developed in compliance with all relevant specifications and regulations (e.g., drawings, specifications, QSB, Brose standards, customer-specific requirements) without restrictions 
and with process reliability under consideration of assembly conditon and porpuse of use?</v>
      </c>
      <c r="F21" s="1347"/>
      <c r="G21" s="1347"/>
      <c r="H21" s="1347"/>
      <c r="I21" s="1347"/>
      <c r="J21" s="1347"/>
      <c r="K21" s="1347"/>
      <c r="L21" s="1347"/>
      <c r="M21" s="1347" t="str">
        <f>HLOOKUP(LANGUAGE!$B$2,LANGUAGE!$C$14:$G$3493,2222)</f>
        <v>Changes are reflected in the feasibility evaluation and confirmed further onwards.</v>
      </c>
      <c r="N21" s="1347"/>
      <c r="O21" s="1347"/>
      <c r="P21" s="1347"/>
      <c r="Q21" s="1347"/>
      <c r="R21" s="1347"/>
      <c r="S21" s="1347"/>
      <c r="T21" s="1347"/>
      <c r="U21" s="1348"/>
      <c r="V21" s="1348"/>
      <c r="W21" s="1348"/>
      <c r="X21" s="1348"/>
      <c r="Y21" s="1348"/>
      <c r="Z21" s="1349"/>
      <c r="AA21" s="1349"/>
      <c r="AB21" s="1349"/>
      <c r="AC21" s="1349"/>
      <c r="AD21" s="1349"/>
      <c r="AE21" s="1349"/>
      <c r="AF21" s="1349"/>
      <c r="AG21" s="1349"/>
      <c r="AH21" s="1350"/>
      <c r="AI21" s="1349"/>
      <c r="AJ21" s="1350"/>
      <c r="AK21" s="1351"/>
      <c r="AZ21" s="3">
        <f>IF(ISNUMBER(MATCH(Z21,LANGUAGE!$C$138:$G$138,0)),1,IF(ISNUMBER(MATCH(Z21,LANGUAGE!$C$139:$G$139,0)),2,IF(ISNUMBER(MATCH(Z21,LANGUAGE!$C$140:$G$140,0)),3,0)))</f>
        <v>0</v>
      </c>
      <c r="BA21" s="3">
        <f>IF(ISNUMBER(MATCH(AJ21,LANGUAGE!$C$141:$G$141,0)),3,IF(ISNUMBER(MATCH(AJ21,LANGUAGE!$C$142:$G$142,0)),1,0))</f>
        <v>0</v>
      </c>
      <c r="BB21" s="3">
        <f>IF(AND(AZ21&gt;1,BA21=0),10,AZ21+BA21)</f>
        <v>0</v>
      </c>
      <c r="BD21" s="3" t="str">
        <f>IF(ISNUMBER(MATCH($AJ21,LANGUAGE!$C$141:$G$141,0)),$B21,"")</f>
        <v/>
      </c>
      <c r="BE21" s="3" t="str">
        <f>IF(ISNUMBER(MATCH($AJ21,LANGUAGE!$C$142:$G$142,0)),$B21,"")</f>
        <v/>
      </c>
    </row>
    <row r="22" spans="2:62" s="3" customFormat="1" ht="63.1" customHeight="1" thickBot="1" x14ac:dyDescent="0.3">
      <c r="B22" s="515" t="s">
        <v>1808</v>
      </c>
      <c r="C22" s="1527" t="str">
        <f>HLOOKUP(LANGUAGE!$B$2,LANGUAGE!$C$14:$G$3493,2230)</f>
        <v>Feasibility</v>
      </c>
      <c r="D22" s="1527"/>
      <c r="E22" s="1528" t="str">
        <f>HLOOKUP(LANGUAGE!$B$2,LANGUAGE!$C$14:$G$3493,2231)</f>
        <v>Has a manufacturability assessment been performed for the current drawing status for the components defined in the development contract?</v>
      </c>
      <c r="F22" s="1528"/>
      <c r="G22" s="1528"/>
      <c r="H22" s="1528"/>
      <c r="I22" s="1528"/>
      <c r="J22" s="1528"/>
      <c r="K22" s="1528"/>
      <c r="L22" s="1528"/>
      <c r="M22" s="1528" t="str">
        <f>HLOOKUP(LANGUAGE!$B$2,LANGUAGE!$C$14:$G$3493,2232)</f>
        <v>- Manufacturability of the individual parts in the series process
- Assemblability
- Dismantlability
- Recycling rate</v>
      </c>
      <c r="N22" s="1528"/>
      <c r="O22" s="1528"/>
      <c r="P22" s="1528"/>
      <c r="Q22" s="1528"/>
      <c r="R22" s="1528"/>
      <c r="S22" s="1528"/>
      <c r="T22" s="1528"/>
      <c r="U22" s="1529"/>
      <c r="V22" s="1529"/>
      <c r="W22" s="1529"/>
      <c r="X22" s="1529"/>
      <c r="Y22" s="1529"/>
      <c r="Z22" s="1530"/>
      <c r="AA22" s="1530"/>
      <c r="AB22" s="1530"/>
      <c r="AC22" s="1530"/>
      <c r="AD22" s="1530"/>
      <c r="AE22" s="1530"/>
      <c r="AF22" s="1530"/>
      <c r="AG22" s="1530"/>
      <c r="AH22" s="1531"/>
      <c r="AI22" s="1530"/>
      <c r="AJ22" s="1531"/>
      <c r="AK22" s="1532"/>
      <c r="AZ22" s="3">
        <f>IF(ISNUMBER(MATCH(Z22,LANGUAGE!$C$138:$G$138,0)),1,IF(ISNUMBER(MATCH(Z22,LANGUAGE!$C$139:$G$139,0)),2,IF(ISNUMBER(MATCH(Z22,LANGUAGE!$C$140:$G$140,0)),3,0)))</f>
        <v>0</v>
      </c>
      <c r="BA22" s="3">
        <f>IF(ISNUMBER(MATCH(AJ22,LANGUAGE!$C$141:$G$141,0)),3,IF(ISNUMBER(MATCH(AJ22,LANGUAGE!$C$142:$G$142,0)),1,0))</f>
        <v>0</v>
      </c>
      <c r="BB22" s="3">
        <f>IF(AND(AZ22&gt;1,BA22=0),10,AZ22+BA22)</f>
        <v>0</v>
      </c>
      <c r="BD22" s="3" t="str">
        <f>IF(ISNUMBER(MATCH($AJ22,LANGUAGE!$C$141:$G$141,0)),$B22,"")</f>
        <v/>
      </c>
      <c r="BE22" s="3" t="str">
        <f>IF(ISNUMBER(MATCH($AJ22,LANGUAGE!$C$142:$G$142,0)),$B22,"")</f>
        <v/>
      </c>
    </row>
    <row r="23" spans="2:62" s="3" customFormat="1" ht="17.7" customHeight="1" thickBot="1" x14ac:dyDescent="0.3">
      <c r="M23" s="155"/>
    </row>
    <row r="24" spans="2:62" s="3" customFormat="1" ht="17.7" customHeight="1" x14ac:dyDescent="0.25">
      <c r="B24" s="1322" t="str">
        <f>HLOOKUP(LANGUAGE!$B$2,LANGUAGE!$C$14:$G$3493,2226)</f>
        <v>Project management</v>
      </c>
      <c r="C24" s="1323"/>
      <c r="D24" s="1323"/>
      <c r="E24" s="1323"/>
      <c r="F24" s="1323"/>
      <c r="G24" s="1323"/>
      <c r="H24" s="1323"/>
      <c r="I24" s="1323"/>
      <c r="J24" s="1323"/>
      <c r="K24" s="1323"/>
      <c r="L24" s="1323"/>
      <c r="M24" s="1323"/>
      <c r="N24" s="1323"/>
      <c r="O24" s="1323"/>
      <c r="P24" s="1323"/>
      <c r="Q24" s="1323"/>
      <c r="R24" s="1323"/>
      <c r="S24" s="1323"/>
      <c r="T24" s="1323"/>
      <c r="U24" s="1323"/>
      <c r="V24" s="1323"/>
      <c r="W24" s="1323"/>
      <c r="X24" s="1323"/>
      <c r="Y24" s="1323"/>
      <c r="Z24" s="1323"/>
      <c r="AA24" s="1323"/>
      <c r="AB24" s="1323"/>
      <c r="AC24" s="1323"/>
      <c r="AD24" s="1323"/>
      <c r="AE24" s="1323"/>
      <c r="AF24" s="1323"/>
      <c r="AG24" s="1323"/>
      <c r="AH24" s="1323"/>
      <c r="AI24" s="1323"/>
      <c r="AJ24" s="1323"/>
      <c r="AK24" s="1324"/>
    </row>
    <row r="25" spans="2:62" s="3" customFormat="1" ht="17.7" customHeight="1" x14ac:dyDescent="0.25">
      <c r="B25" s="1325"/>
      <c r="C25" s="1326"/>
      <c r="D25" s="1326"/>
      <c r="E25" s="1326"/>
      <c r="F25" s="1326"/>
      <c r="G25" s="1326"/>
      <c r="H25" s="1326"/>
      <c r="I25" s="1326"/>
      <c r="J25" s="1326"/>
      <c r="K25" s="1326"/>
      <c r="L25" s="1326"/>
      <c r="M25" s="1326"/>
      <c r="N25" s="1326"/>
      <c r="O25" s="1326"/>
      <c r="P25" s="1326"/>
      <c r="Q25" s="1326"/>
      <c r="R25" s="1326"/>
      <c r="S25" s="1326"/>
      <c r="T25" s="1326"/>
      <c r="U25" s="1326"/>
      <c r="V25" s="1326"/>
      <c r="W25" s="1326"/>
      <c r="X25" s="1326"/>
      <c r="Y25" s="1326"/>
      <c r="Z25" s="1326"/>
      <c r="AA25" s="1326"/>
      <c r="AB25" s="1326"/>
      <c r="AC25" s="1326"/>
      <c r="AD25" s="1326"/>
      <c r="AE25" s="1326"/>
      <c r="AF25" s="1326"/>
      <c r="AG25" s="1326"/>
      <c r="AH25" s="1326"/>
      <c r="AI25" s="1326"/>
      <c r="AJ25" s="1326"/>
      <c r="AK25" s="1327"/>
    </row>
    <row r="26" spans="2:62" s="3" customFormat="1" ht="17.7" customHeight="1" x14ac:dyDescent="0.25">
      <c r="B26" s="1328" t="str">
        <f>HLOOKUP(LANGUAGE!$B$2,LANGUAGE!$C$14:$G$1500,91)</f>
        <v>No.</v>
      </c>
      <c r="C26" s="1329" t="str">
        <f>HLOOKUP(LANGUAGE!$B$2,LANGUAGE!$C$14:$G$1500,73)</f>
        <v>Topic</v>
      </c>
      <c r="D26" s="1329"/>
      <c r="E26" s="1329" t="str">
        <f>HLOOKUP(LANGUAGE!$B$2,LANGUAGE!$C$14:$G$1500,92)</f>
        <v>Question</v>
      </c>
      <c r="F26" s="1329"/>
      <c r="G26" s="1329"/>
      <c r="H26" s="1329"/>
      <c r="I26" s="1329"/>
      <c r="J26" s="1329"/>
      <c r="K26" s="1329"/>
      <c r="L26" s="1329"/>
      <c r="M26" s="1329" t="str">
        <f>HLOOKUP(LANGUAGE!$B$2,LANGUAGE!$C$14:$G$1500,93)</f>
        <v>Notes</v>
      </c>
      <c r="N26" s="1329"/>
      <c r="O26" s="1329"/>
      <c r="P26" s="1329"/>
      <c r="Q26" s="1329"/>
      <c r="R26" s="1329"/>
      <c r="S26" s="1329"/>
      <c r="T26" s="1329"/>
      <c r="U26" s="1330" t="str">
        <f>HLOOKUP(LANGUAGE!$B$2,LANGUAGE!$C$14:$G$1500,114)</f>
        <v>Remarks</v>
      </c>
      <c r="V26" s="1330"/>
      <c r="W26" s="1330"/>
      <c r="X26" s="1330"/>
      <c r="Y26" s="1330"/>
      <c r="Z26" s="1329" t="str">
        <f>HLOOKUP(LANGUAGE!$B$2,LANGUAGE!$C$14:$G$1500,74)</f>
        <v>Evaluation</v>
      </c>
      <c r="AA26" s="1329"/>
      <c r="AB26" s="1329" t="str">
        <f>HLOOKUP(LANGUAGE!$B$2,LANGUAGE!$C$14:$G$1500,95)</f>
        <v>Action</v>
      </c>
      <c r="AC26" s="1329"/>
      <c r="AD26" s="1329"/>
      <c r="AE26" s="1330" t="str">
        <f>HLOOKUP(LANGUAGE!$B$2,LANGUAGE!$C$14:$G$1500,96)</f>
        <v>Responsible</v>
      </c>
      <c r="AF26" s="1330"/>
      <c r="AG26" s="1330"/>
      <c r="AH26" s="1329" t="str">
        <f>HLOOKUP(LANGUAGE!$B$2,LANGUAGE!$C$14:$G$1500,21)</f>
        <v>Date</v>
      </c>
      <c r="AI26" s="1329"/>
      <c r="AJ26" s="1329" t="str">
        <f>HLOOKUP(LANGUAGE!$B$2,LANGUAGE!$C$14:$G$1500,75)</f>
        <v>Action status</v>
      </c>
      <c r="AK26" s="1331"/>
    </row>
    <row r="27" spans="2:62" s="3" customFormat="1" ht="17.7" customHeight="1" x14ac:dyDescent="0.25">
      <c r="B27" s="1328"/>
      <c r="C27" s="1329"/>
      <c r="D27" s="1329"/>
      <c r="E27" s="1329"/>
      <c r="F27" s="1329"/>
      <c r="G27" s="1329"/>
      <c r="H27" s="1329"/>
      <c r="I27" s="1329"/>
      <c r="J27" s="1329"/>
      <c r="K27" s="1329"/>
      <c r="L27" s="1329"/>
      <c r="M27" s="1329"/>
      <c r="N27" s="1329"/>
      <c r="O27" s="1329"/>
      <c r="P27" s="1329"/>
      <c r="Q27" s="1329"/>
      <c r="R27" s="1329"/>
      <c r="S27" s="1329"/>
      <c r="T27" s="1329"/>
      <c r="U27" s="1330"/>
      <c r="V27" s="1330"/>
      <c r="W27" s="1330"/>
      <c r="X27" s="1330"/>
      <c r="Y27" s="1330"/>
      <c r="Z27" s="1329"/>
      <c r="AA27" s="1329"/>
      <c r="AB27" s="1329"/>
      <c r="AC27" s="1329"/>
      <c r="AD27" s="1329"/>
      <c r="AE27" s="1330"/>
      <c r="AF27" s="1330"/>
      <c r="AG27" s="1330"/>
      <c r="AH27" s="1329"/>
      <c r="AI27" s="1329"/>
      <c r="AJ27" s="1329"/>
      <c r="AK27" s="1331"/>
      <c r="BD27" s="3" t="str">
        <f>IF(BD28&lt;&gt;"",BD28&amp;" ","")&amp;IF(BD29&lt;&gt;"",BD29&amp;" ","")&amp;IF(BD30&lt;&gt;"",BD30&amp;" ","")&amp;IF(BD31&lt;&gt;"",BD31&amp;" ","")&amp;IF(BD32&lt;&gt;"",BD32&amp;" ","")&amp;IF(BD33&lt;&gt;"",BD33&amp;" ","")&amp;IF(BD34&lt;&gt;"",BD34&amp;" ","")</f>
        <v/>
      </c>
      <c r="BE27" s="3" t="str">
        <f>IF(BE28&lt;&gt;"",BE28&amp;" ","")&amp;IF(BE29&lt;&gt;"",BE29&amp;" ","")&amp;IF(BE30&lt;&gt;"",BE30&amp;" ","")&amp;IF(BE31&lt;&gt;"",BE31&amp;" ","")&amp;IF(BE32&lt;&gt;"",BE32&amp;" ","")&amp;IF(BE33&lt;&gt;"",BE33&amp;" ","")&amp;IF(BE34&lt;&gt;"",BE34&amp;" ","")</f>
        <v/>
      </c>
    </row>
    <row r="28" spans="2:62" s="3" customFormat="1" ht="67.5" customHeight="1" x14ac:dyDescent="0.25">
      <c r="B28" s="506" t="s">
        <v>1809</v>
      </c>
      <c r="C28" s="1461" t="str">
        <f>HLOOKUP(LANGUAGE!$B$2,LANGUAGE!$C$14:$G$3493,2227)</f>
        <v>Progress monitoring</v>
      </c>
      <c r="D28" s="1462"/>
      <c r="E28" s="1358" t="str">
        <f>HLOOKUP(LANGUAGE!$B$2,LANGUAGE!$C$14:$G$3493,2228)</f>
        <v>Are all items from DSQG 1 completed or holding scheduled actions? Do the due dates match with the agreed schedule?</v>
      </c>
      <c r="F28" s="1359"/>
      <c r="G28" s="1359"/>
      <c r="H28" s="1359"/>
      <c r="I28" s="1359"/>
      <c r="J28" s="1359"/>
      <c r="K28" s="1359"/>
      <c r="L28" s="1360"/>
      <c r="M28" s="1358" t="str">
        <f>HLOOKUP(LANGUAGE!$B$2,LANGUAGE!$C$14:$G$3493,2229)</f>
        <v>All actions from DSQG 1 must be scheduled or completed on time.</v>
      </c>
      <c r="N28" s="1359"/>
      <c r="O28" s="1359"/>
      <c r="P28" s="1359"/>
      <c r="Q28" s="1359"/>
      <c r="R28" s="1359"/>
      <c r="S28" s="1359"/>
      <c r="T28" s="1360"/>
      <c r="U28" s="1348"/>
      <c r="V28" s="1348"/>
      <c r="W28" s="1348"/>
      <c r="X28" s="1348"/>
      <c r="Y28" s="1348"/>
      <c r="Z28" s="1349"/>
      <c r="AA28" s="1349"/>
      <c r="AB28" s="1349"/>
      <c r="AC28" s="1349"/>
      <c r="AD28" s="1349"/>
      <c r="AE28" s="1349"/>
      <c r="AF28" s="1349"/>
      <c r="AG28" s="1349"/>
      <c r="AH28" s="1350"/>
      <c r="AI28" s="1349"/>
      <c r="AJ28" s="1350"/>
      <c r="AK28" s="1351"/>
      <c r="AZ28" s="3">
        <f>IF(ISNUMBER(MATCH(Z28,LANGUAGE!$C$138:$G$138,0)),1,IF(ISNUMBER(MATCH(Z28,LANGUAGE!$C$139:$G$139,0)),2,IF(ISNUMBER(MATCH(Z28,LANGUAGE!$C$140:$G$140,0)),3,0)))</f>
        <v>0</v>
      </c>
      <c r="BA28" s="3">
        <f>IF(ISNUMBER(MATCH(AJ28,LANGUAGE!$C$141:$G$141,0)),3,IF(ISNUMBER(MATCH(AJ28,LANGUAGE!$C$142:$G$142,0)),1,0))</f>
        <v>0</v>
      </c>
      <c r="BB28" s="3">
        <f t="shared" ref="BB28" si="0">IF(AND(AZ28&gt;1,BA28=0),10,AZ28+BA28)</f>
        <v>0</v>
      </c>
      <c r="BD28" s="3" t="str">
        <f>IF(ISNUMBER(MATCH($AJ28,LANGUAGE!$C$141:$G$141,0)),$B28,"")</f>
        <v/>
      </c>
      <c r="BE28" s="3" t="str">
        <f>IF(ISNUMBER(MATCH($AJ28,LANGUAGE!$C$142:$G$142,0)),$B28,"")</f>
        <v/>
      </c>
    </row>
    <row r="29" spans="2:62" s="3" customFormat="1" ht="126.8" customHeight="1" x14ac:dyDescent="0.25">
      <c r="B29" s="508" t="s">
        <v>1810</v>
      </c>
      <c r="C29" s="1490" t="str">
        <f>HLOOKUP(LANGUAGE!$B$2,LANGUAGE!$C$14:$G$3493,2236)</f>
        <v>D-FMEA</v>
      </c>
      <c r="D29" s="1490"/>
      <c r="E29" s="1373" t="str">
        <f>HLOOKUP(LANGUAGE!$B$2,LANGUAGE!$C$14:$G$3493,2237)</f>
        <v>Is the D-FMEA and the interface FMEA completed?
Have the special characteristics been checked for consistency? (PLP)
Are the special characteristics incl. customer interfaces considered and evaluated?</v>
      </c>
      <c r="F29" s="1373"/>
      <c r="G29" s="1373"/>
      <c r="H29" s="1373"/>
      <c r="I29" s="1373"/>
      <c r="J29" s="1373"/>
      <c r="K29" s="1373"/>
      <c r="L29" s="1373"/>
      <c r="M29" s="1373" t="str">
        <f>HLOOKUP(LANGUAGE!$B$2,LANGUAGE!$C$14:$G$3493,2238)</f>
        <v>Supplier FMEA checksheet without measures.
"Link Brose templates"
FMEA review has taken place, risks/tasks with agreed measures
Target/actual comparison of special characteristics between Brose and supplier
Evaluation according to BN 586437-xxx</v>
      </c>
      <c r="N29" s="1373"/>
      <c r="O29" s="1373"/>
      <c r="P29" s="1373"/>
      <c r="Q29" s="1373"/>
      <c r="R29" s="1373"/>
      <c r="S29" s="1373"/>
      <c r="T29" s="1373"/>
      <c r="U29" s="1491"/>
      <c r="V29" s="1491"/>
      <c r="W29" s="1491"/>
      <c r="X29" s="1491"/>
      <c r="Y29" s="1491"/>
      <c r="Z29" s="1492"/>
      <c r="AA29" s="1492"/>
      <c r="AB29" s="1493"/>
      <c r="AC29" s="1493"/>
      <c r="AD29" s="1493"/>
      <c r="AE29" s="1493"/>
      <c r="AF29" s="1493"/>
      <c r="AG29" s="1493"/>
      <c r="AH29" s="1494"/>
      <c r="AI29" s="1493"/>
      <c r="AJ29" s="1495"/>
      <c r="AK29" s="1496"/>
      <c r="AZ29" s="3">
        <f>IF(ISNUMBER(MATCH(Z29,LANGUAGE!$C$138:$G$138,0)),1,IF(ISNUMBER(MATCH(Z29,LANGUAGE!$C$139:$G$139,0)),2,IF(ISNUMBER(MATCH(Z29,LANGUAGE!$C$140:$G$140,0)),3,0)))</f>
        <v>0</v>
      </c>
      <c r="BA29" s="3">
        <f>IF(ISNUMBER(MATCH(AJ29,LANGUAGE!$C$141:$G$141,0)),3,IF(ISNUMBER(MATCH(AJ29,LANGUAGE!$C$142:$G$142,0)),1,0))</f>
        <v>0</v>
      </c>
      <c r="BB29" s="3">
        <f>IF(AND(AZ29&gt;1,BA29=0),10,AZ29+BA29)</f>
        <v>0</v>
      </c>
      <c r="BD29" s="3" t="str">
        <f>IF(ISNUMBER(MATCH($AJ29,LANGUAGE!$C$141:$G$141,0)),$B29,"")</f>
        <v/>
      </c>
      <c r="BE29" s="3" t="str">
        <f>IF(ISNUMBER(MATCH($AJ29,LANGUAGE!$C$142:$G$142,0)),$B29,"")</f>
        <v/>
      </c>
    </row>
    <row r="30" spans="2:62" s="3" customFormat="1" ht="48.7" customHeight="1" x14ac:dyDescent="0.25">
      <c r="B30" s="255" t="s">
        <v>1811</v>
      </c>
      <c r="C30" s="1345" t="str">
        <f>HLOOKUP(LANGUAGE!$B$2,LANGUAGE!$C$14:$G$3493,2242)</f>
        <v>Development history</v>
      </c>
      <c r="D30" s="1345"/>
      <c r="E30" s="1358" t="str">
        <f>HLOOKUP(LANGUAGE!$B$2,LANGUAGE!$C$14:$G$3493,2243)</f>
        <v>Is there a development history sheet for the product?</v>
      </c>
      <c r="F30" s="1359"/>
      <c r="G30" s="1359"/>
      <c r="H30" s="1359"/>
      <c r="I30" s="1359"/>
      <c r="J30" s="1359"/>
      <c r="K30" s="1359"/>
      <c r="L30" s="1360"/>
      <c r="M30" s="1358" t="str">
        <f>HLOOKUP(LANGUAGE!$B$2,LANGUAGE!$C$14:$G$3493,2244)</f>
        <v>The supplier must provide a documented development history.</v>
      </c>
      <c r="N30" s="1359"/>
      <c r="O30" s="1359"/>
      <c r="P30" s="1359"/>
      <c r="Q30" s="1359"/>
      <c r="R30" s="1359"/>
      <c r="S30" s="1359"/>
      <c r="T30" s="1360"/>
      <c r="U30" s="1497"/>
      <c r="V30" s="1498"/>
      <c r="W30" s="1498"/>
      <c r="X30" s="1498"/>
      <c r="Y30" s="1499"/>
      <c r="Z30" s="1500"/>
      <c r="AA30" s="1501"/>
      <c r="AB30" s="1502"/>
      <c r="AC30" s="1503"/>
      <c r="AD30" s="1504"/>
      <c r="AE30" s="1502"/>
      <c r="AF30" s="1503"/>
      <c r="AG30" s="1504"/>
      <c r="AH30" s="1505"/>
      <c r="AI30" s="1506"/>
      <c r="AJ30" s="1502"/>
      <c r="AK30" s="1507"/>
      <c r="AZ30" s="3">
        <f>IF(ISNUMBER(MATCH(Z30,LANGUAGE!$C$138:$G$138,0)),1,IF(ISNUMBER(MATCH(Z30,LANGUAGE!$C$139:$G$139,0)),2,IF(ISNUMBER(MATCH(Z30,LANGUAGE!$C$140:$G$140,0)),3,0)))</f>
        <v>0</v>
      </c>
      <c r="BA30" s="3">
        <f>IF(ISNUMBER(MATCH(AJ30,LANGUAGE!$C$141:$G$141,0)),3,IF(ISNUMBER(MATCH(AJ30,LANGUAGE!$C$142:$G$142,0)),1,0))</f>
        <v>0</v>
      </c>
      <c r="BB30" s="3">
        <f t="shared" ref="BB30:BB34" si="1">IF(AND(AZ30&gt;1,BA30=0),10,AZ30+BA30)</f>
        <v>0</v>
      </c>
      <c r="BD30" s="3" t="str">
        <f>IF(ISNUMBER(MATCH($AJ30,LANGUAGE!$C$141:$G$141,0)),$B30,"")</f>
        <v/>
      </c>
      <c r="BE30" s="3" t="str">
        <f>IF(ISNUMBER(MATCH($AJ30,LANGUAGE!$C$142:$G$142,0)),$B30,"")</f>
        <v/>
      </c>
    </row>
    <row r="31" spans="2:62" s="3" customFormat="1" ht="46.5" customHeight="1" x14ac:dyDescent="0.25">
      <c r="B31" s="255" t="s">
        <v>1812</v>
      </c>
      <c r="C31" s="1345" t="str">
        <f>HLOOKUP(LANGUAGE!$B$2,LANGUAGE!$C$14:$G$3493,2248)</f>
        <v>DVP&amp;R</v>
      </c>
      <c r="D31" s="1345"/>
      <c r="E31" s="1358" t="str">
        <f>HLOOKUP(LANGUAGE!$B$2,LANGUAGE!$C$14:$G$3493,2249)</f>
        <v>Have all the scopes agreed in the DVP been successfully completed and released?</v>
      </c>
      <c r="F31" s="1359"/>
      <c r="G31" s="1359"/>
      <c r="H31" s="1359"/>
      <c r="I31" s="1359"/>
      <c r="J31" s="1359"/>
      <c r="K31" s="1359"/>
      <c r="L31" s="1360"/>
      <c r="M31" s="1358" t="str">
        <f>HLOOKUP(LANGUAGE!$B$2,LANGUAGE!$C$14:$G$3493,2250)</f>
        <v>Test release are passed. Status of components and deviations are documented.</v>
      </c>
      <c r="N31" s="1359"/>
      <c r="O31" s="1359"/>
      <c r="P31" s="1359"/>
      <c r="Q31" s="1359"/>
      <c r="R31" s="1359"/>
      <c r="S31" s="1359"/>
      <c r="T31" s="1360"/>
      <c r="U31" s="1497"/>
      <c r="V31" s="1498"/>
      <c r="W31" s="1498"/>
      <c r="X31" s="1498"/>
      <c r="Y31" s="1499"/>
      <c r="Z31" s="1500"/>
      <c r="AA31" s="1501"/>
      <c r="AB31" s="1502"/>
      <c r="AC31" s="1503"/>
      <c r="AD31" s="1504"/>
      <c r="AE31" s="1502"/>
      <c r="AF31" s="1503"/>
      <c r="AG31" s="1504"/>
      <c r="AH31" s="1505"/>
      <c r="AI31" s="1506"/>
      <c r="AJ31" s="1502"/>
      <c r="AK31" s="1507"/>
      <c r="AZ31" s="3">
        <f>IF(ISNUMBER(MATCH(Z31,LANGUAGE!$C$138:$G$138,0)),1,IF(ISNUMBER(MATCH(Z31,LANGUAGE!$C$139:$G$139,0)),2,IF(ISNUMBER(MATCH(Z31,LANGUAGE!$C$140:$G$140,0)),3,0)))</f>
        <v>0</v>
      </c>
      <c r="BA31" s="3">
        <f>IF(ISNUMBER(MATCH(AJ31,LANGUAGE!$C$141:$G$141,0)),3,IF(ISNUMBER(MATCH(AJ31,LANGUAGE!$C$142:$G$142,0)),1,0))</f>
        <v>0</v>
      </c>
      <c r="BB31" s="3">
        <f t="shared" si="1"/>
        <v>0</v>
      </c>
      <c r="BD31" s="3" t="str">
        <f>IF(ISNUMBER(MATCH($AJ31,LANGUAGE!$C$141:$G$141,0)),$B31,"")</f>
        <v/>
      </c>
      <c r="BE31" s="3" t="str">
        <f>IF(ISNUMBER(MATCH($AJ31,LANGUAGE!$C$142:$G$142,0)),$B31,"")</f>
        <v/>
      </c>
    </row>
    <row r="32" spans="2:62" s="3" customFormat="1" ht="66.05" customHeight="1" x14ac:dyDescent="0.25">
      <c r="B32" s="255" t="s">
        <v>1813</v>
      </c>
      <c r="C32" s="1345" t="str">
        <f>HLOOKUP(LANGUAGE!$B$2,LANGUAGE!$C$14:$G$3493,2254)</f>
        <v>Tool/ Process design concept</v>
      </c>
      <c r="D32" s="1345"/>
      <c r="E32" s="1358" t="str">
        <f>HLOOKUP(LANGUAGE!$B$2,LANGUAGE!$C$14:$G$3493,2255)</f>
        <v>Are the results from prototype tools/ pre-series systems incl. LL available for future series equipment and have these findings been taken into account in the development?</v>
      </c>
      <c r="F32" s="1359"/>
      <c r="G32" s="1359"/>
      <c r="H32" s="1359"/>
      <c r="I32" s="1359"/>
      <c r="J32" s="1359"/>
      <c r="K32" s="1359"/>
      <c r="L32" s="1360"/>
      <c r="M32" s="1358" t="str">
        <f>HLOOKUP(LANGUAGE!$B$2,LANGUAGE!$C$14:$G$3493,2256)</f>
        <v>The supplier have to submit a tool design/ system concept.</v>
      </c>
      <c r="N32" s="1359"/>
      <c r="O32" s="1359"/>
      <c r="P32" s="1359"/>
      <c r="Q32" s="1359"/>
      <c r="R32" s="1359"/>
      <c r="S32" s="1359"/>
      <c r="T32" s="1360"/>
      <c r="U32" s="1497"/>
      <c r="V32" s="1498"/>
      <c r="W32" s="1498"/>
      <c r="X32" s="1498"/>
      <c r="Y32" s="1499"/>
      <c r="Z32" s="1500"/>
      <c r="AA32" s="1501"/>
      <c r="AB32" s="1502"/>
      <c r="AC32" s="1503"/>
      <c r="AD32" s="1504"/>
      <c r="AE32" s="1502"/>
      <c r="AF32" s="1503"/>
      <c r="AG32" s="1504"/>
      <c r="AH32" s="1505"/>
      <c r="AI32" s="1506"/>
      <c r="AJ32" s="1502"/>
      <c r="AK32" s="1507"/>
      <c r="AZ32" s="3">
        <f>IF(ISNUMBER(MATCH(Z32,LANGUAGE!$C$138:$G$138,0)),1,IF(ISNUMBER(MATCH(Z32,LANGUAGE!$C$139:$G$139,0)),2,IF(ISNUMBER(MATCH(Z32,LANGUAGE!$C$140:$G$140,0)),3,0)))</f>
        <v>0</v>
      </c>
      <c r="BA32" s="3">
        <f>IF(ISNUMBER(MATCH(AJ32,LANGUAGE!$C$141:$G$141,0)),3,IF(ISNUMBER(MATCH(AJ32,LANGUAGE!$C$142:$G$142,0)),1,0))</f>
        <v>0</v>
      </c>
      <c r="BB32" s="3">
        <f t="shared" si="1"/>
        <v>0</v>
      </c>
      <c r="BD32" s="3" t="str">
        <f>IF(ISNUMBER(MATCH($AJ32,LANGUAGE!$C$141:$G$141,0)),$B32,"")</f>
        <v/>
      </c>
      <c r="BE32" s="3" t="str">
        <f>IF(ISNUMBER(MATCH($AJ32,LANGUAGE!$C$142:$G$142,0)),$B32,"")</f>
        <v/>
      </c>
    </row>
    <row r="33" spans="2:57" s="3" customFormat="1" ht="93" customHeight="1" x14ac:dyDescent="0.25">
      <c r="B33" s="255" t="s">
        <v>1814</v>
      </c>
      <c r="C33" s="1345" t="str">
        <f>HLOOKUP(LANGUAGE!$B$2,LANGUAGE!$C$14:$G$3493,2260)</f>
        <v>Maturity assessment</v>
      </c>
      <c r="D33" s="1345"/>
      <c r="E33" s="1358" t="str">
        <f>HLOOKUP(LANGUAGE!$B$2,LANGUAGE!$C$14:$G$3493,2261)</f>
        <v>Is there a fully comprehensive risk assessment for the product?</v>
      </c>
      <c r="F33" s="1359"/>
      <c r="G33" s="1359"/>
      <c r="H33" s="1359"/>
      <c r="I33" s="1359"/>
      <c r="J33" s="1359"/>
      <c r="K33" s="1359"/>
      <c r="L33" s="1360"/>
      <c r="M33" s="1358" t="str">
        <f>HLOOKUP(LANGUAGE!$B$2,LANGUAGE!$C$14:$G$3493,2262)</f>
        <v>Risk assessments:
- FMEA
- Deviations
- Changes incl. non-validated adjustments
- ect.</v>
      </c>
      <c r="N33" s="1359"/>
      <c r="O33" s="1359"/>
      <c r="P33" s="1359"/>
      <c r="Q33" s="1359"/>
      <c r="R33" s="1359"/>
      <c r="S33" s="1359"/>
      <c r="T33" s="1360"/>
      <c r="U33" s="1497"/>
      <c r="V33" s="1498"/>
      <c r="W33" s="1498"/>
      <c r="X33" s="1498"/>
      <c r="Y33" s="1499"/>
      <c r="Z33" s="1500"/>
      <c r="AA33" s="1501"/>
      <c r="AB33" s="1502"/>
      <c r="AC33" s="1503"/>
      <c r="AD33" s="1504"/>
      <c r="AE33" s="1502"/>
      <c r="AF33" s="1503"/>
      <c r="AG33" s="1504"/>
      <c r="AH33" s="1505"/>
      <c r="AI33" s="1506"/>
      <c r="AJ33" s="1502"/>
      <c r="AK33" s="1507"/>
      <c r="AZ33" s="3">
        <f>IF(ISNUMBER(MATCH(Z33,LANGUAGE!$C$138:$G$138,0)),1,IF(ISNUMBER(MATCH(Z33,LANGUAGE!$C$139:$G$139,0)),2,IF(ISNUMBER(MATCH(Z33,LANGUAGE!$C$140:$G$140,0)),3,0)))</f>
        <v>0</v>
      </c>
      <c r="BA33" s="3">
        <f>IF(ISNUMBER(MATCH(AJ33,LANGUAGE!$C$141:$G$141,0)),3,IF(ISNUMBER(MATCH(AJ33,LANGUAGE!$C$142:$G$142,0)),1,0))</f>
        <v>0</v>
      </c>
      <c r="BB33" s="3">
        <f t="shared" si="1"/>
        <v>0</v>
      </c>
      <c r="BD33" s="3" t="str">
        <f>IF(ISNUMBER(MATCH($AJ33,LANGUAGE!$C$141:$G$141,0)),$B33,"")</f>
        <v/>
      </c>
      <c r="BE33" s="3" t="str">
        <f>IF(ISNUMBER(MATCH($AJ33,LANGUAGE!$C$142:$G$142,0)),$B33,"")</f>
        <v/>
      </c>
    </row>
    <row r="34" spans="2:57" s="3" customFormat="1" ht="177.85" customHeight="1" x14ac:dyDescent="0.25">
      <c r="B34" s="255" t="s">
        <v>1815</v>
      </c>
      <c r="C34" s="1345" t="str">
        <f>HLOOKUP(LANGUAGE!$B$2,LANGUAGE!$C$14:$G$3493,2266)</f>
        <v>Development release</v>
      </c>
      <c r="D34" s="1345"/>
      <c r="E34" s="1347" t="str">
        <f>HLOOKUP(LANGUAGE!$B$2,LANGUAGE!$C$14:$G$3493,2267)</f>
        <v>Does Brose have given a development release for the product?</v>
      </c>
      <c r="F34" s="1347"/>
      <c r="G34" s="1347"/>
      <c r="H34" s="1347"/>
      <c r="I34" s="1347"/>
      <c r="J34" s="1347"/>
      <c r="K34" s="1347"/>
      <c r="L34" s="1347"/>
      <c r="M34" s="1347" t="str">
        <f>HLOOKUP(LANGUAGE!$B$2,LANGUAGE!$C$14:$G$3493,2268)</f>
        <v>- Released drawing (assembly / single components / 
   subassembly) incl. identified special /safety critical 
   characteristics
[single components drawing and calculation according development contract appendix 3]
- Revised/ additional specifications (e.g. measuring 
  instructions ...)
- Consideration of product specific characteristics (e.g. 
   stress measurements, ESD classification, technical 
   cleanliness, handling cleanliness, handling instructions ...)
- IMDS cover sheet according to recommendation 
  sheet 23
- Tolerance calculations and results</v>
      </c>
      <c r="N34" s="1347"/>
      <c r="O34" s="1347"/>
      <c r="P34" s="1347"/>
      <c r="Q34" s="1347"/>
      <c r="R34" s="1347"/>
      <c r="S34" s="1347"/>
      <c r="T34" s="1347"/>
      <c r="U34" s="1508"/>
      <c r="V34" s="1508"/>
      <c r="W34" s="1508"/>
      <c r="X34" s="1508"/>
      <c r="Y34" s="1508"/>
      <c r="Z34" s="1509"/>
      <c r="AA34" s="1510"/>
      <c r="AB34" s="1511"/>
      <c r="AC34" s="1511"/>
      <c r="AD34" s="1511"/>
      <c r="AE34" s="1511"/>
      <c r="AF34" s="1511"/>
      <c r="AG34" s="1511"/>
      <c r="AH34" s="1512"/>
      <c r="AI34" s="1511"/>
      <c r="AJ34" s="1511"/>
      <c r="AK34" s="1513"/>
      <c r="AZ34" s="3">
        <f>IF(ISNUMBER(MATCH(Z34,LANGUAGE!$C$138:$G$138,0)),1,IF(ISNUMBER(MATCH(Z34,LANGUAGE!$C$139:$G$139,0)),2,IF(ISNUMBER(MATCH(Z34,LANGUAGE!$C$140:$G$140,0)),3,0)))</f>
        <v>0</v>
      </c>
      <c r="BA34" s="3">
        <f>IF(ISNUMBER(MATCH(AJ34,LANGUAGE!$C$141:$G$141,0)),3,IF(ISNUMBER(MATCH(AJ34,LANGUAGE!$C$142:$G$142,0)),1,0))</f>
        <v>0</v>
      </c>
      <c r="BB34" s="3">
        <f t="shared" si="1"/>
        <v>0</v>
      </c>
      <c r="BD34" s="3" t="str">
        <f>IF(ISNUMBER(MATCH($AJ34,LANGUAGE!$C$141:$G$141,0)),$B34,"")</f>
        <v/>
      </c>
      <c r="BE34" s="3" t="str">
        <f>IF(ISNUMBER(MATCH($AJ34,LANGUAGE!$C$142:$G$142,0)),$B34,"")</f>
        <v/>
      </c>
    </row>
    <row r="35" spans="2:57" s="3" customFormat="1" ht="17.7" customHeight="1" thickBot="1" x14ac:dyDescent="0.3">
      <c r="B35" s="258"/>
      <c r="C35" s="258"/>
      <c r="D35" s="258"/>
      <c r="E35" s="258"/>
      <c r="F35" s="258"/>
      <c r="G35" s="258"/>
      <c r="H35" s="258"/>
      <c r="I35" s="258"/>
      <c r="J35" s="258"/>
      <c r="K35" s="258"/>
      <c r="L35" s="258"/>
      <c r="M35" s="259"/>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row>
    <row r="36" spans="2:57" s="3" customFormat="1" ht="17.7" customHeight="1" x14ac:dyDescent="0.25">
      <c r="B36" s="1406" t="str">
        <f>HLOOKUP(LANGUAGE!$B$2,LANGUAGE!$C$14:$G$3493,2281)</f>
        <v>Quality</v>
      </c>
      <c r="C36" s="1407"/>
      <c r="D36" s="1407"/>
      <c r="E36" s="1407"/>
      <c r="F36" s="1407"/>
      <c r="G36" s="1407"/>
      <c r="H36" s="1407"/>
      <c r="I36" s="1407"/>
      <c r="J36" s="1407"/>
      <c r="K36" s="1407"/>
      <c r="L36" s="1407"/>
      <c r="M36" s="1407"/>
      <c r="N36" s="1407"/>
      <c r="O36" s="1407"/>
      <c r="P36" s="1407"/>
      <c r="Q36" s="1407"/>
      <c r="R36" s="1407"/>
      <c r="S36" s="1407"/>
      <c r="T36" s="1407"/>
      <c r="U36" s="1407"/>
      <c r="V36" s="1407"/>
      <c r="W36" s="1407"/>
      <c r="X36" s="1407"/>
      <c r="Y36" s="1407"/>
      <c r="Z36" s="1407"/>
      <c r="AA36" s="1407"/>
      <c r="AB36" s="1407"/>
      <c r="AC36" s="1407"/>
      <c r="AD36" s="1407"/>
      <c r="AE36" s="1407"/>
      <c r="AF36" s="1407"/>
      <c r="AG36" s="1407"/>
      <c r="AH36" s="1407"/>
      <c r="AI36" s="1407"/>
      <c r="AJ36" s="1407"/>
      <c r="AK36" s="1408"/>
    </row>
    <row r="37" spans="2:57" s="3" customFormat="1" ht="17.7" customHeight="1" x14ac:dyDescent="0.25">
      <c r="B37" s="1409"/>
      <c r="C37" s="1410"/>
      <c r="D37" s="1410"/>
      <c r="E37" s="1410"/>
      <c r="F37" s="1410"/>
      <c r="G37" s="1410"/>
      <c r="H37" s="1410"/>
      <c r="I37" s="1410"/>
      <c r="J37" s="1410"/>
      <c r="K37" s="1410"/>
      <c r="L37" s="1410"/>
      <c r="M37" s="1410"/>
      <c r="N37" s="1410"/>
      <c r="O37" s="1410"/>
      <c r="P37" s="1410"/>
      <c r="Q37" s="1410"/>
      <c r="R37" s="1410"/>
      <c r="S37" s="1410"/>
      <c r="T37" s="1410"/>
      <c r="U37" s="1410"/>
      <c r="V37" s="1410"/>
      <c r="W37" s="1410"/>
      <c r="X37" s="1410"/>
      <c r="Y37" s="1410"/>
      <c r="Z37" s="1410"/>
      <c r="AA37" s="1410"/>
      <c r="AB37" s="1410"/>
      <c r="AC37" s="1410"/>
      <c r="AD37" s="1410"/>
      <c r="AE37" s="1410"/>
      <c r="AF37" s="1410"/>
      <c r="AG37" s="1410"/>
      <c r="AH37" s="1410"/>
      <c r="AI37" s="1410"/>
      <c r="AJ37" s="1410"/>
      <c r="AK37" s="1411"/>
    </row>
    <row r="38" spans="2:57" s="3" customFormat="1" ht="17.7" customHeight="1" x14ac:dyDescent="0.25">
      <c r="B38" s="1002" t="str">
        <f>HLOOKUP(LANGUAGE!$B$2,LANGUAGE!$C$14:$G$1500,91)</f>
        <v>No.</v>
      </c>
      <c r="C38" s="1412" t="str">
        <f>HLOOKUP(LANGUAGE!$B$2,LANGUAGE!$C$14:$G$1500,73)</f>
        <v>Topic</v>
      </c>
      <c r="D38" s="1412"/>
      <c r="E38" s="1003" t="str">
        <f>HLOOKUP(LANGUAGE!$B$2,LANGUAGE!$C$14:$G$1500,92)</f>
        <v>Question</v>
      </c>
      <c r="F38" s="1003"/>
      <c r="G38" s="1003"/>
      <c r="H38" s="1003"/>
      <c r="I38" s="1003"/>
      <c r="J38" s="1003"/>
      <c r="K38" s="1003"/>
      <c r="L38" s="1003"/>
      <c r="M38" s="1003" t="str">
        <f>HLOOKUP(LANGUAGE!$B$2,LANGUAGE!$C$14:$G$1500,93)</f>
        <v>Notes</v>
      </c>
      <c r="N38" s="1003"/>
      <c r="O38" s="1003"/>
      <c r="P38" s="1003"/>
      <c r="Q38" s="1003"/>
      <c r="R38" s="1003"/>
      <c r="S38" s="1003"/>
      <c r="T38" s="1003"/>
      <c r="U38" s="1203" t="str">
        <f>HLOOKUP(LANGUAGE!$B$2,LANGUAGE!$C$14:$G$1500,114)</f>
        <v>Remarks</v>
      </c>
      <c r="V38" s="1203"/>
      <c r="W38" s="1203"/>
      <c r="X38" s="1203"/>
      <c r="Y38" s="1203"/>
      <c r="Z38" s="1003" t="str">
        <f>HLOOKUP(LANGUAGE!$B$2,LANGUAGE!$C$14:$G$1500,74)</f>
        <v>Evaluation</v>
      </c>
      <c r="AA38" s="1003"/>
      <c r="AB38" s="1003" t="str">
        <f>HLOOKUP(LANGUAGE!$B$2,LANGUAGE!$C$14:$G$1500,95)</f>
        <v>Action</v>
      </c>
      <c r="AC38" s="1003"/>
      <c r="AD38" s="1003"/>
      <c r="AE38" s="1203" t="str">
        <f>HLOOKUP(LANGUAGE!$B$2,LANGUAGE!$C$14:$G$1500,96)</f>
        <v>Responsible</v>
      </c>
      <c r="AF38" s="1203"/>
      <c r="AG38" s="1203"/>
      <c r="AH38" s="1003" t="str">
        <f>HLOOKUP(LANGUAGE!$B$2,LANGUAGE!$C$14:$G$1500,21)</f>
        <v>Date</v>
      </c>
      <c r="AI38" s="1003"/>
      <c r="AJ38" s="1003" t="str">
        <f>HLOOKUP(LANGUAGE!$B$2,LANGUAGE!$C$14:$G$1500,75)</f>
        <v>Action status</v>
      </c>
      <c r="AK38" s="1413"/>
    </row>
    <row r="39" spans="2:57" s="3" customFormat="1" ht="17.7" customHeight="1" x14ac:dyDescent="0.25">
      <c r="B39" s="1002"/>
      <c r="C39" s="1412"/>
      <c r="D39" s="1412"/>
      <c r="E39" s="1003"/>
      <c r="F39" s="1003"/>
      <c r="G39" s="1003"/>
      <c r="H39" s="1003"/>
      <c r="I39" s="1003"/>
      <c r="J39" s="1003"/>
      <c r="K39" s="1003"/>
      <c r="L39" s="1003"/>
      <c r="M39" s="1003"/>
      <c r="N39" s="1003"/>
      <c r="O39" s="1003"/>
      <c r="P39" s="1003"/>
      <c r="Q39" s="1003"/>
      <c r="R39" s="1003"/>
      <c r="S39" s="1003"/>
      <c r="T39" s="1003"/>
      <c r="U39" s="1203"/>
      <c r="V39" s="1203"/>
      <c r="W39" s="1203"/>
      <c r="X39" s="1203"/>
      <c r="Y39" s="1203"/>
      <c r="Z39" s="1003"/>
      <c r="AA39" s="1003"/>
      <c r="AB39" s="1003"/>
      <c r="AC39" s="1003"/>
      <c r="AD39" s="1003"/>
      <c r="AE39" s="1203"/>
      <c r="AF39" s="1203"/>
      <c r="AG39" s="1203"/>
      <c r="AH39" s="1003"/>
      <c r="AI39" s="1003"/>
      <c r="AJ39" s="1003"/>
      <c r="AK39" s="1413"/>
      <c r="BD39" s="3" t="str">
        <f>IF(BD40&lt;&gt;"",BD40&amp;" ","")&amp;IF(BD41&lt;&gt;"",BD41&amp;" ","")</f>
        <v/>
      </c>
      <c r="BE39" s="3" t="str">
        <f>IF(BE40&lt;&gt;"",BE40&amp;" ","")&amp;IF(BE41&lt;&gt;"",BE41&amp;" ","")</f>
        <v/>
      </c>
    </row>
    <row r="40" spans="2:57" s="3" customFormat="1" ht="45.7" customHeight="1" x14ac:dyDescent="0.25">
      <c r="B40" s="249" t="s">
        <v>1816</v>
      </c>
      <c r="C40" s="1345" t="str">
        <f>HLOOKUP(LANGUAGE!$B$2,LANGUAGE!$C$14:$G$3493,2285)</f>
        <v>Measurement alignment</v>
      </c>
      <c r="D40" s="1345"/>
      <c r="E40" s="1347" t="str">
        <f>HLOOKUP(LANGUAGE!$B$2,LANGUAGE!$C$14:$G$3493,2286)</f>
        <v>Are all properties/ characteristics measurable and are measurement instructions/ alignments incl. parameters agreed.</v>
      </c>
      <c r="F40" s="1347"/>
      <c r="G40" s="1347"/>
      <c r="H40" s="1347"/>
      <c r="I40" s="1347"/>
      <c r="J40" s="1347"/>
      <c r="K40" s="1347"/>
      <c r="L40" s="1347"/>
      <c r="M40" s="1347" t="str">
        <f>HLOOKUP(LANGUAGE!$B$2,LANGUAGE!$C$14:$G$3493,2287)</f>
        <v>- Reference planes for 3D
- Calculatory parameters (e.g. acoustic parameters)</v>
      </c>
      <c r="N40" s="1347"/>
      <c r="O40" s="1347"/>
      <c r="P40" s="1347"/>
      <c r="Q40" s="1347"/>
      <c r="R40" s="1347"/>
      <c r="S40" s="1347"/>
      <c r="T40" s="1347"/>
      <c r="U40" s="1508"/>
      <c r="V40" s="1508"/>
      <c r="W40" s="1508"/>
      <c r="X40" s="1508"/>
      <c r="Y40" s="1508"/>
      <c r="Z40" s="1509"/>
      <c r="AA40" s="1510"/>
      <c r="AB40" s="1511"/>
      <c r="AC40" s="1511"/>
      <c r="AD40" s="1511"/>
      <c r="AE40" s="1511"/>
      <c r="AF40" s="1511"/>
      <c r="AG40" s="1511"/>
      <c r="AH40" s="1512"/>
      <c r="AI40" s="1511"/>
      <c r="AJ40" s="1511"/>
      <c r="AK40" s="1513"/>
      <c r="AZ40" s="3">
        <f>IF(ISNUMBER(MATCH(Z40,LANGUAGE!$C$138:$G$138,0)),1,IF(ISNUMBER(MATCH(Z40,LANGUAGE!$C$139:$G$139,0)),2,IF(ISNUMBER(MATCH(Z40,LANGUAGE!$C$140:$G$140,0)),3,0)))</f>
        <v>0</v>
      </c>
      <c r="BA40" s="3">
        <f>IF(ISNUMBER(MATCH(AJ40,LANGUAGE!$C$141:$G$141,0)),3,IF(ISNUMBER(MATCH(AJ40,LANGUAGE!$C$142:$G$142,0)),1,0))</f>
        <v>0</v>
      </c>
      <c r="BB40" s="3">
        <f>IF(AND(AZ40&gt;1,BA40=0),10,AZ40+BA40)</f>
        <v>0</v>
      </c>
      <c r="BD40" s="3" t="str">
        <f>IF(ISNUMBER(MATCH($AJ40,LANGUAGE!$C$141:$G$141,0)),$B40,"")</f>
        <v/>
      </c>
      <c r="BE40" s="3" t="str">
        <f>IF(ISNUMBER(MATCH($AJ40,LANGUAGE!$C$142:$G$142,0)),$B40,"")</f>
        <v/>
      </c>
    </row>
    <row r="41" spans="2:57" s="3" customFormat="1" ht="35.1" customHeight="1" thickBot="1" x14ac:dyDescent="0.3">
      <c r="B41" s="247" t="s">
        <v>1817</v>
      </c>
      <c r="C41" s="1392" t="str">
        <f>HLOOKUP(LANGUAGE!$B$2,LANGUAGE!$C$14:$G$3493,2291)</f>
        <v>Traceability</v>
      </c>
      <c r="D41" s="1392"/>
      <c r="E41" s="1334" t="str">
        <f>HLOOKUP(LANGUAGE!$B$2,LANGUAGE!$C$14:$G$3493,2292)</f>
        <v>Has the traceability concept for industrialization been defined and approved by Brose?</v>
      </c>
      <c r="F41" s="1334"/>
      <c r="G41" s="1334"/>
      <c r="H41" s="1334"/>
      <c r="I41" s="1334"/>
      <c r="J41" s="1334"/>
      <c r="K41" s="1334"/>
      <c r="L41" s="1334"/>
      <c r="M41" s="1334" t="str">
        <f>HLOOKUP(LANGUAGE!$B$2,LANGUAGE!$C$14:$G$3493,2293)</f>
        <v>Specifications given by Brose are complied and deviations are approved separately.</v>
      </c>
      <c r="N41" s="1334"/>
      <c r="O41" s="1334"/>
      <c r="P41" s="1334"/>
      <c r="Q41" s="1334"/>
      <c r="R41" s="1334"/>
      <c r="S41" s="1334"/>
      <c r="T41" s="1334"/>
      <c r="U41" s="1414"/>
      <c r="V41" s="1414"/>
      <c r="W41" s="1414"/>
      <c r="X41" s="1414"/>
      <c r="Y41" s="1414"/>
      <c r="Z41" s="1514"/>
      <c r="AA41" s="1415"/>
      <c r="AB41" s="1404"/>
      <c r="AC41" s="1404"/>
      <c r="AD41" s="1404"/>
      <c r="AE41" s="1404"/>
      <c r="AF41" s="1404"/>
      <c r="AG41" s="1404"/>
      <c r="AH41" s="1403"/>
      <c r="AI41" s="1404"/>
      <c r="AJ41" s="1404"/>
      <c r="AK41" s="1405"/>
      <c r="AZ41" s="3">
        <f>IF(ISNUMBER(MATCH(Z41,LANGUAGE!$C$138:$G$138,0)),1,IF(ISNUMBER(MATCH(Z41,LANGUAGE!$C$139:$G$139,0)),2,IF(ISNUMBER(MATCH(Z41,LANGUAGE!$C$140:$G$140,0)),3,0)))</f>
        <v>0</v>
      </c>
      <c r="BA41" s="3">
        <f>IF(ISNUMBER(MATCH(AJ41,LANGUAGE!$C$141:$G$141,0)),3,IF(ISNUMBER(MATCH(AJ41,LANGUAGE!$C$142:$G$142,0)),1,0))</f>
        <v>0</v>
      </c>
      <c r="BB41" s="3">
        <f>IF(AND(AZ41&gt;1,BA41=0),10,AZ41+BA41)</f>
        <v>0</v>
      </c>
      <c r="BD41" s="3" t="str">
        <f>IF(ISNUMBER(MATCH($AJ41,LANGUAGE!$C$141:$G$141,0)),$B41,"")</f>
        <v/>
      </c>
      <c r="BE41" s="3" t="str">
        <f>IF(ISNUMBER(MATCH($AJ41,LANGUAGE!$C$142:$G$142,0)),$B41,"")</f>
        <v/>
      </c>
    </row>
    <row r="42" spans="2:57" s="3" customFormat="1" ht="17.7" customHeight="1" thickBot="1" x14ac:dyDescent="0.3">
      <c r="B42" s="258"/>
      <c r="C42" s="258"/>
      <c r="D42" s="258"/>
      <c r="E42" s="258"/>
      <c r="F42" s="258"/>
      <c r="G42" s="258"/>
      <c r="H42" s="258"/>
      <c r="I42" s="258"/>
      <c r="J42" s="258"/>
      <c r="K42" s="258"/>
      <c r="L42" s="258"/>
      <c r="M42" s="259"/>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258"/>
    </row>
    <row r="43" spans="2:57" s="3" customFormat="1" ht="17.7" customHeight="1" x14ac:dyDescent="0.25">
      <c r="B43" s="363" t="str">
        <f>HLOOKUP(LANGUAGE!$B$2,LANGUAGE!$C$14:$G$1500,114)</f>
        <v>Remarks</v>
      </c>
      <c r="C43" s="364"/>
      <c r="D43" s="364"/>
      <c r="E43" s="364"/>
      <c r="F43" s="364"/>
      <c r="G43" s="364"/>
      <c r="H43" s="364"/>
      <c r="I43" s="364"/>
      <c r="J43" s="364"/>
      <c r="K43" s="364"/>
      <c r="L43" s="364"/>
      <c r="M43" s="365"/>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6"/>
    </row>
    <row r="44" spans="2:57" s="3" customFormat="1" ht="17.7" customHeight="1" x14ac:dyDescent="0.25">
      <c r="B44" s="1521"/>
      <c r="C44" s="1522"/>
      <c r="D44" s="1522"/>
      <c r="E44" s="1522"/>
      <c r="F44" s="1522"/>
      <c r="G44" s="1522"/>
      <c r="H44" s="1522"/>
      <c r="I44" s="1522"/>
      <c r="J44" s="1522"/>
      <c r="K44" s="1522"/>
      <c r="L44" s="1522"/>
      <c r="M44" s="1522"/>
      <c r="N44" s="1522"/>
      <c r="O44" s="1522"/>
      <c r="P44" s="1522"/>
      <c r="Q44" s="1522"/>
      <c r="R44" s="1522"/>
      <c r="S44" s="1522"/>
      <c r="T44" s="1522"/>
      <c r="U44" s="1522"/>
      <c r="V44" s="1522"/>
      <c r="W44" s="1522"/>
      <c r="X44" s="1522"/>
      <c r="Y44" s="1522"/>
      <c r="Z44" s="1522"/>
      <c r="AA44" s="1522"/>
      <c r="AB44" s="1522"/>
      <c r="AC44" s="1522"/>
      <c r="AD44" s="1522"/>
      <c r="AE44" s="1522"/>
      <c r="AF44" s="1522"/>
      <c r="AG44" s="1522"/>
      <c r="AH44" s="1522"/>
      <c r="AI44" s="1522"/>
      <c r="AJ44" s="1522"/>
      <c r="AK44" s="1523"/>
    </row>
    <row r="45" spans="2:57" s="3" customFormat="1" ht="17.7" customHeight="1" x14ac:dyDescent="0.25">
      <c r="B45" s="1521"/>
      <c r="C45" s="1522"/>
      <c r="D45" s="1522"/>
      <c r="E45" s="1522"/>
      <c r="F45" s="1522"/>
      <c r="G45" s="1522"/>
      <c r="H45" s="1522"/>
      <c r="I45" s="1522"/>
      <c r="J45" s="1522"/>
      <c r="K45" s="1522"/>
      <c r="L45" s="1522"/>
      <c r="M45" s="1522"/>
      <c r="N45" s="1522"/>
      <c r="O45" s="1522"/>
      <c r="P45" s="1522"/>
      <c r="Q45" s="1522"/>
      <c r="R45" s="1522"/>
      <c r="S45" s="1522"/>
      <c r="T45" s="1522"/>
      <c r="U45" s="1522"/>
      <c r="V45" s="1522"/>
      <c r="W45" s="1522"/>
      <c r="X45" s="1522"/>
      <c r="Y45" s="1522"/>
      <c r="Z45" s="1522"/>
      <c r="AA45" s="1522"/>
      <c r="AB45" s="1522"/>
      <c r="AC45" s="1522"/>
      <c r="AD45" s="1522"/>
      <c r="AE45" s="1522"/>
      <c r="AF45" s="1522"/>
      <c r="AG45" s="1522"/>
      <c r="AH45" s="1522"/>
      <c r="AI45" s="1522"/>
      <c r="AJ45" s="1522"/>
      <c r="AK45" s="1523"/>
    </row>
    <row r="46" spans="2:57" s="3" customFormat="1" ht="17.7" customHeight="1" thickBot="1" x14ac:dyDescent="0.3">
      <c r="B46" s="1524"/>
      <c r="C46" s="1525"/>
      <c r="D46" s="1525"/>
      <c r="E46" s="1525"/>
      <c r="F46" s="1525"/>
      <c r="G46" s="1525"/>
      <c r="H46" s="1525"/>
      <c r="I46" s="1525"/>
      <c r="J46" s="1525"/>
      <c r="K46" s="1525"/>
      <c r="L46" s="1525"/>
      <c r="M46" s="1525"/>
      <c r="N46" s="1525"/>
      <c r="O46" s="1525"/>
      <c r="P46" s="1525"/>
      <c r="Q46" s="1525"/>
      <c r="R46" s="1525"/>
      <c r="S46" s="1525"/>
      <c r="T46" s="1525"/>
      <c r="U46" s="1525"/>
      <c r="V46" s="1525"/>
      <c r="W46" s="1525"/>
      <c r="X46" s="1525"/>
      <c r="Y46" s="1525"/>
      <c r="Z46" s="1525"/>
      <c r="AA46" s="1525"/>
      <c r="AB46" s="1525"/>
      <c r="AC46" s="1525"/>
      <c r="AD46" s="1525"/>
      <c r="AE46" s="1525"/>
      <c r="AF46" s="1525"/>
      <c r="AG46" s="1525"/>
      <c r="AH46" s="1525"/>
      <c r="AI46" s="1525"/>
      <c r="AJ46" s="1525"/>
      <c r="AK46" s="1526"/>
    </row>
    <row r="47" spans="2:57" s="3" customFormat="1" ht="17.7" customHeight="1" thickBot="1" x14ac:dyDescent="0.3">
      <c r="B47" s="258"/>
      <c r="C47" s="258"/>
      <c r="D47" s="258"/>
      <c r="E47" s="258"/>
      <c r="F47" s="258"/>
      <c r="G47" s="258"/>
      <c r="H47" s="258"/>
      <c r="I47" s="258"/>
      <c r="J47" s="258"/>
      <c r="K47" s="258"/>
      <c r="L47" s="258"/>
      <c r="M47" s="259"/>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row>
    <row r="48" spans="2:57" s="3" customFormat="1" ht="17.7" customHeight="1" x14ac:dyDescent="0.25">
      <c r="B48" s="1266" t="str">
        <f>HLOOKUP(LANGUAGE!$B$2,LANGUAGE!$C$14:$G$1500,116)</f>
        <v>Department</v>
      </c>
      <c r="C48" s="1267"/>
      <c r="D48" s="1267"/>
      <c r="E48" s="1267"/>
      <c r="F48" s="1267"/>
      <c r="G48" s="1267" t="str">
        <f>HLOOKUP(LANGUAGE!$B$2,LANGUAGE!$C$14:$G$1500,117)</f>
        <v>Participants Supplier</v>
      </c>
      <c r="H48" s="1267"/>
      <c r="I48" s="1267"/>
      <c r="J48" s="1267"/>
      <c r="K48" s="1267"/>
      <c r="L48" s="1267"/>
      <c r="M48" s="1267"/>
      <c r="N48" s="1267"/>
      <c r="O48" s="1267" t="str">
        <f>HLOOKUP(LANGUAGE!$B$2,LANGUAGE!$C$14:$G$1500,21)</f>
        <v>Date</v>
      </c>
      <c r="P48" s="1267"/>
      <c r="Q48" s="1267"/>
      <c r="R48" s="1268"/>
      <c r="U48" s="1266" t="str">
        <f>HLOOKUP(LANGUAGE!$B$2,LANGUAGE!$C$14:$G$1500,116)</f>
        <v>Department</v>
      </c>
      <c r="V48" s="1267"/>
      <c r="W48" s="1267"/>
      <c r="X48" s="1267"/>
      <c r="Y48" s="1267"/>
      <c r="Z48" s="1267" t="str">
        <f>HLOOKUP(LANGUAGE!$B$2,LANGUAGE!$C$14:$G$1500,118)</f>
        <v>Participants Brose</v>
      </c>
      <c r="AA48" s="1267"/>
      <c r="AB48" s="1267"/>
      <c r="AC48" s="1267"/>
      <c r="AD48" s="1267"/>
      <c r="AE48" s="1267"/>
      <c r="AF48" s="1267"/>
      <c r="AG48" s="1267"/>
      <c r="AH48" s="1267" t="str">
        <f>HLOOKUP(LANGUAGE!$B$2,LANGUAGE!$C$14:$G$1500,21)</f>
        <v>Date</v>
      </c>
      <c r="AI48" s="1267"/>
      <c r="AJ48" s="1267"/>
      <c r="AK48" s="1268"/>
    </row>
    <row r="49" spans="2:37" s="3" customFormat="1" ht="17.7" customHeight="1" x14ac:dyDescent="0.25">
      <c r="B49" s="1466"/>
      <c r="C49" s="1378"/>
      <c r="D49" s="1378"/>
      <c r="E49" s="1378"/>
      <c r="F49" s="1379"/>
      <c r="G49" s="1377"/>
      <c r="H49" s="1378"/>
      <c r="I49" s="1378"/>
      <c r="J49" s="1378"/>
      <c r="K49" s="1378"/>
      <c r="L49" s="1378"/>
      <c r="M49" s="1378"/>
      <c r="N49" s="1379"/>
      <c r="O49" s="1515" t="str">
        <f>IF(AG6="","",AG6)</f>
        <v/>
      </c>
      <c r="P49" s="1516"/>
      <c r="Q49" s="1516"/>
      <c r="R49" s="1517"/>
      <c r="S49" s="258"/>
      <c r="T49" s="258"/>
      <c r="U49" s="1466"/>
      <c r="V49" s="1378"/>
      <c r="W49" s="1378"/>
      <c r="X49" s="1378"/>
      <c r="Y49" s="1379"/>
      <c r="Z49" s="1377"/>
      <c r="AA49" s="1378"/>
      <c r="AB49" s="1378"/>
      <c r="AC49" s="1378"/>
      <c r="AD49" s="1378"/>
      <c r="AE49" s="1378"/>
      <c r="AF49" s="1378"/>
      <c r="AG49" s="1379"/>
      <c r="AH49" s="1515" t="str">
        <f>IF(AG6="","",AG6)</f>
        <v/>
      </c>
      <c r="AI49" s="1516"/>
      <c r="AJ49" s="1516"/>
      <c r="AK49" s="1517"/>
    </row>
    <row r="50" spans="2:37" s="3" customFormat="1" ht="17.7" customHeight="1" x14ac:dyDescent="0.25">
      <c r="B50" s="1467"/>
      <c r="C50" s="1381"/>
      <c r="D50" s="1381"/>
      <c r="E50" s="1381"/>
      <c r="F50" s="1382"/>
      <c r="G50" s="1380"/>
      <c r="H50" s="1381"/>
      <c r="I50" s="1381"/>
      <c r="J50" s="1381"/>
      <c r="K50" s="1381"/>
      <c r="L50" s="1381"/>
      <c r="M50" s="1381"/>
      <c r="N50" s="1382"/>
      <c r="O50" s="1515"/>
      <c r="P50" s="1516"/>
      <c r="Q50" s="1516"/>
      <c r="R50" s="1517"/>
      <c r="S50" s="258"/>
      <c r="T50" s="258"/>
      <c r="U50" s="1467"/>
      <c r="V50" s="1381"/>
      <c r="W50" s="1381"/>
      <c r="X50" s="1381"/>
      <c r="Y50" s="1382"/>
      <c r="Z50" s="1380"/>
      <c r="AA50" s="1381"/>
      <c r="AB50" s="1381"/>
      <c r="AC50" s="1381"/>
      <c r="AD50" s="1381"/>
      <c r="AE50" s="1381"/>
      <c r="AF50" s="1381"/>
      <c r="AG50" s="1382"/>
      <c r="AH50" s="1515"/>
      <c r="AI50" s="1516"/>
      <c r="AJ50" s="1516"/>
      <c r="AK50" s="1517"/>
    </row>
    <row r="51" spans="2:37" s="3" customFormat="1" ht="17.7" customHeight="1" x14ac:dyDescent="0.25">
      <c r="B51" s="1466"/>
      <c r="C51" s="1378"/>
      <c r="D51" s="1378"/>
      <c r="E51" s="1378"/>
      <c r="F51" s="1379"/>
      <c r="G51" s="1377"/>
      <c r="H51" s="1378"/>
      <c r="I51" s="1378"/>
      <c r="J51" s="1378"/>
      <c r="K51" s="1378"/>
      <c r="L51" s="1378"/>
      <c r="M51" s="1378"/>
      <c r="N51" s="1379"/>
      <c r="O51" s="1515"/>
      <c r="P51" s="1516"/>
      <c r="Q51" s="1516"/>
      <c r="R51" s="1517"/>
      <c r="S51" s="258"/>
      <c r="T51" s="258"/>
      <c r="U51" s="1466"/>
      <c r="V51" s="1378"/>
      <c r="W51" s="1378"/>
      <c r="X51" s="1378"/>
      <c r="Y51" s="1379"/>
      <c r="Z51" s="1377"/>
      <c r="AA51" s="1378"/>
      <c r="AB51" s="1378"/>
      <c r="AC51" s="1378"/>
      <c r="AD51" s="1378"/>
      <c r="AE51" s="1378"/>
      <c r="AF51" s="1378"/>
      <c r="AG51" s="1379"/>
      <c r="AH51" s="1515"/>
      <c r="AI51" s="1516"/>
      <c r="AJ51" s="1516"/>
      <c r="AK51" s="1517"/>
    </row>
    <row r="52" spans="2:37" s="3" customFormat="1" ht="17.7" customHeight="1" x14ac:dyDescent="0.25">
      <c r="B52" s="1467"/>
      <c r="C52" s="1381"/>
      <c r="D52" s="1381"/>
      <c r="E52" s="1381"/>
      <c r="F52" s="1382"/>
      <c r="G52" s="1380"/>
      <c r="H52" s="1381"/>
      <c r="I52" s="1381"/>
      <c r="J52" s="1381"/>
      <c r="K52" s="1381"/>
      <c r="L52" s="1381"/>
      <c r="M52" s="1381"/>
      <c r="N52" s="1382"/>
      <c r="O52" s="1515"/>
      <c r="P52" s="1516"/>
      <c r="Q52" s="1516"/>
      <c r="R52" s="1517"/>
      <c r="S52" s="258"/>
      <c r="T52" s="258"/>
      <c r="U52" s="1467"/>
      <c r="V52" s="1381"/>
      <c r="W52" s="1381"/>
      <c r="X52" s="1381"/>
      <c r="Y52" s="1382"/>
      <c r="Z52" s="1380"/>
      <c r="AA52" s="1381"/>
      <c r="AB52" s="1381"/>
      <c r="AC52" s="1381"/>
      <c r="AD52" s="1381"/>
      <c r="AE52" s="1381"/>
      <c r="AF52" s="1381"/>
      <c r="AG52" s="1382"/>
      <c r="AH52" s="1515"/>
      <c r="AI52" s="1516"/>
      <c r="AJ52" s="1516"/>
      <c r="AK52" s="1517"/>
    </row>
    <row r="53" spans="2:37" s="3" customFormat="1" ht="17.7" customHeight="1" x14ac:dyDescent="0.25">
      <c r="B53" s="1466"/>
      <c r="C53" s="1378"/>
      <c r="D53" s="1378"/>
      <c r="E53" s="1378"/>
      <c r="F53" s="1379"/>
      <c r="G53" s="1377"/>
      <c r="H53" s="1378"/>
      <c r="I53" s="1378"/>
      <c r="J53" s="1378"/>
      <c r="K53" s="1378"/>
      <c r="L53" s="1378"/>
      <c r="M53" s="1378"/>
      <c r="N53" s="1379"/>
      <c r="O53" s="1515"/>
      <c r="P53" s="1516"/>
      <c r="Q53" s="1516"/>
      <c r="R53" s="1517"/>
      <c r="S53" s="258"/>
      <c r="T53" s="258"/>
      <c r="U53" s="1466"/>
      <c r="V53" s="1378"/>
      <c r="W53" s="1378"/>
      <c r="X53" s="1378"/>
      <c r="Y53" s="1379"/>
      <c r="Z53" s="1377"/>
      <c r="AA53" s="1378"/>
      <c r="AB53" s="1378"/>
      <c r="AC53" s="1378"/>
      <c r="AD53" s="1378"/>
      <c r="AE53" s="1378"/>
      <c r="AF53" s="1378"/>
      <c r="AG53" s="1379"/>
      <c r="AH53" s="1515"/>
      <c r="AI53" s="1516"/>
      <c r="AJ53" s="1516"/>
      <c r="AK53" s="1517"/>
    </row>
    <row r="54" spans="2:37" s="3" customFormat="1" ht="17.7" customHeight="1" x14ac:dyDescent="0.25">
      <c r="B54" s="1467"/>
      <c r="C54" s="1381"/>
      <c r="D54" s="1381"/>
      <c r="E54" s="1381"/>
      <c r="F54" s="1382"/>
      <c r="G54" s="1380"/>
      <c r="H54" s="1381"/>
      <c r="I54" s="1381"/>
      <c r="J54" s="1381"/>
      <c r="K54" s="1381"/>
      <c r="L54" s="1381"/>
      <c r="M54" s="1381"/>
      <c r="N54" s="1382"/>
      <c r="O54" s="1515"/>
      <c r="P54" s="1516"/>
      <c r="Q54" s="1516"/>
      <c r="R54" s="1517"/>
      <c r="S54" s="258"/>
      <c r="T54" s="258"/>
      <c r="U54" s="1467"/>
      <c r="V54" s="1381"/>
      <c r="W54" s="1381"/>
      <c r="X54" s="1381"/>
      <c r="Y54" s="1382"/>
      <c r="Z54" s="1380"/>
      <c r="AA54" s="1381"/>
      <c r="AB54" s="1381"/>
      <c r="AC54" s="1381"/>
      <c r="AD54" s="1381"/>
      <c r="AE54" s="1381"/>
      <c r="AF54" s="1381"/>
      <c r="AG54" s="1382"/>
      <c r="AH54" s="1515"/>
      <c r="AI54" s="1516"/>
      <c r="AJ54" s="1516"/>
      <c r="AK54" s="1517"/>
    </row>
    <row r="55" spans="2:37" s="3" customFormat="1" ht="17.7" customHeight="1" x14ac:dyDescent="0.25">
      <c r="B55" s="1466"/>
      <c r="C55" s="1378"/>
      <c r="D55" s="1378"/>
      <c r="E55" s="1378"/>
      <c r="F55" s="1379"/>
      <c r="G55" s="1377"/>
      <c r="H55" s="1378"/>
      <c r="I55" s="1378"/>
      <c r="J55" s="1378"/>
      <c r="K55" s="1378"/>
      <c r="L55" s="1378"/>
      <c r="M55" s="1378"/>
      <c r="N55" s="1379"/>
      <c r="O55" s="1515"/>
      <c r="P55" s="1516"/>
      <c r="Q55" s="1516"/>
      <c r="R55" s="1517"/>
      <c r="S55" s="258"/>
      <c r="T55" s="258"/>
      <c r="U55" s="1466"/>
      <c r="V55" s="1378"/>
      <c r="W55" s="1378"/>
      <c r="X55" s="1378"/>
      <c r="Y55" s="1379"/>
      <c r="Z55" s="1377"/>
      <c r="AA55" s="1378"/>
      <c r="AB55" s="1378"/>
      <c r="AC55" s="1378"/>
      <c r="AD55" s="1378"/>
      <c r="AE55" s="1378"/>
      <c r="AF55" s="1378"/>
      <c r="AG55" s="1379"/>
      <c r="AH55" s="1515"/>
      <c r="AI55" s="1516"/>
      <c r="AJ55" s="1516"/>
      <c r="AK55" s="1517"/>
    </row>
    <row r="56" spans="2:37" s="3" customFormat="1" ht="17.7" customHeight="1" thickBot="1" x14ac:dyDescent="0.3">
      <c r="B56" s="1468"/>
      <c r="C56" s="1390"/>
      <c r="D56" s="1390"/>
      <c r="E56" s="1390"/>
      <c r="F56" s="1391"/>
      <c r="G56" s="1389"/>
      <c r="H56" s="1390"/>
      <c r="I56" s="1390"/>
      <c r="J56" s="1390"/>
      <c r="K56" s="1390"/>
      <c r="L56" s="1390"/>
      <c r="M56" s="1390"/>
      <c r="N56" s="1391"/>
      <c r="O56" s="1518"/>
      <c r="P56" s="1519"/>
      <c r="Q56" s="1519"/>
      <c r="R56" s="1520"/>
      <c r="S56" s="258"/>
      <c r="T56" s="258"/>
      <c r="U56" s="1468"/>
      <c r="V56" s="1390"/>
      <c r="W56" s="1390"/>
      <c r="X56" s="1390"/>
      <c r="Y56" s="1391"/>
      <c r="Z56" s="1389"/>
      <c r="AA56" s="1390"/>
      <c r="AB56" s="1390"/>
      <c r="AC56" s="1390"/>
      <c r="AD56" s="1390"/>
      <c r="AE56" s="1390"/>
      <c r="AF56" s="1390"/>
      <c r="AG56" s="1391"/>
      <c r="AH56" s="1518"/>
      <c r="AI56" s="1519"/>
      <c r="AJ56" s="1519"/>
      <c r="AK56" s="1520"/>
    </row>
    <row r="57" spans="2:37" x14ac:dyDescent="0.25">
      <c r="B57" s="260"/>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row>
  </sheetData>
  <sheetProtection algorithmName="SHA-512" hashValue="pzW7JM0P2yQZ3E5fHzjHgsVr1UobPnMO6V5XQifrosyLlyheQ4vr9/O22uzAAbXSLpJ2DYKwhn4Sh5pQl9/HNg==" saltValue="ApNS5OL2WIRP3MhAXopByg==" spinCount="100000" sheet="1" objects="1" scenarios="1"/>
  <mergeCells count="218">
    <mergeCell ref="C22:D22"/>
    <mergeCell ref="E22:L22"/>
    <mergeCell ref="M22:T22"/>
    <mergeCell ref="U22:Y22"/>
    <mergeCell ref="Z22:AA22"/>
    <mergeCell ref="AB22:AD22"/>
    <mergeCell ref="AE22:AG22"/>
    <mergeCell ref="AH22:AI22"/>
    <mergeCell ref="AJ22:AK22"/>
    <mergeCell ref="U53:Y54"/>
    <mergeCell ref="Z53:AG54"/>
    <mergeCell ref="B55:F56"/>
    <mergeCell ref="G55:N56"/>
    <mergeCell ref="U55:Y56"/>
    <mergeCell ref="Z55:AG56"/>
    <mergeCell ref="B49:F50"/>
    <mergeCell ref="G49:N50"/>
    <mergeCell ref="O49:R56"/>
    <mergeCell ref="U49:Y50"/>
    <mergeCell ref="C41:D41"/>
    <mergeCell ref="E41:L41"/>
    <mergeCell ref="M41:T41"/>
    <mergeCell ref="U41:Y41"/>
    <mergeCell ref="Z41:AA41"/>
    <mergeCell ref="AB41:AD41"/>
    <mergeCell ref="AE41:AG41"/>
    <mergeCell ref="AH41:AI41"/>
    <mergeCell ref="Z49:AG50"/>
    <mergeCell ref="AH49:AK56"/>
    <mergeCell ref="B51:F52"/>
    <mergeCell ref="G51:N52"/>
    <mergeCell ref="U51:Y52"/>
    <mergeCell ref="Z51:AG52"/>
    <mergeCell ref="B44:AK46"/>
    <mergeCell ref="B48:F48"/>
    <mergeCell ref="G48:N48"/>
    <mergeCell ref="O48:R48"/>
    <mergeCell ref="U48:Y48"/>
    <mergeCell ref="Z48:AG48"/>
    <mergeCell ref="AH48:AK48"/>
    <mergeCell ref="B53:F54"/>
    <mergeCell ref="G53:N54"/>
    <mergeCell ref="AJ41:AK41"/>
    <mergeCell ref="C40:D40"/>
    <mergeCell ref="E40:L40"/>
    <mergeCell ref="M40:T40"/>
    <mergeCell ref="U40:Y40"/>
    <mergeCell ref="Z40:AA40"/>
    <mergeCell ref="AB40:AD40"/>
    <mergeCell ref="AE40:AG40"/>
    <mergeCell ref="AH40:AI40"/>
    <mergeCell ref="AJ40:AK40"/>
    <mergeCell ref="B36:AK37"/>
    <mergeCell ref="B38:B39"/>
    <mergeCell ref="C38:D39"/>
    <mergeCell ref="E38:L39"/>
    <mergeCell ref="M38:T39"/>
    <mergeCell ref="U38:Y39"/>
    <mergeCell ref="Z38:AA39"/>
    <mergeCell ref="AB38:AD39"/>
    <mergeCell ref="AE38:AG39"/>
    <mergeCell ref="AH38:AI39"/>
    <mergeCell ref="AJ38:AK39"/>
    <mergeCell ref="C34:D34"/>
    <mergeCell ref="E34:L34"/>
    <mergeCell ref="M34:T34"/>
    <mergeCell ref="U34:Y34"/>
    <mergeCell ref="Z34:AA34"/>
    <mergeCell ref="AB34:AD34"/>
    <mergeCell ref="AE34:AG34"/>
    <mergeCell ref="AH34:AI34"/>
    <mergeCell ref="AJ34:AK34"/>
    <mergeCell ref="AE32:AG32"/>
    <mergeCell ref="AH32:AI32"/>
    <mergeCell ref="AJ32:AK32"/>
    <mergeCell ref="C33:D33"/>
    <mergeCell ref="E33:L33"/>
    <mergeCell ref="M33:T33"/>
    <mergeCell ref="U33:Y33"/>
    <mergeCell ref="Z33:AA33"/>
    <mergeCell ref="AB33:AD33"/>
    <mergeCell ref="AE33:AG33"/>
    <mergeCell ref="C32:D32"/>
    <mergeCell ref="E32:L32"/>
    <mergeCell ref="M32:T32"/>
    <mergeCell ref="U32:Y32"/>
    <mergeCell ref="Z32:AA32"/>
    <mergeCell ref="AB32:AD32"/>
    <mergeCell ref="AH33:AI33"/>
    <mergeCell ref="AJ33:AK33"/>
    <mergeCell ref="C31:D31"/>
    <mergeCell ref="E31:L31"/>
    <mergeCell ref="M31:T31"/>
    <mergeCell ref="U31:Y31"/>
    <mergeCell ref="Z31:AA31"/>
    <mergeCell ref="AB31:AD31"/>
    <mergeCell ref="AE31:AG31"/>
    <mergeCell ref="AH31:AI31"/>
    <mergeCell ref="AJ31:AK31"/>
    <mergeCell ref="C30:D30"/>
    <mergeCell ref="E30:L30"/>
    <mergeCell ref="M30:T30"/>
    <mergeCell ref="U30:Y30"/>
    <mergeCell ref="Z30:AA30"/>
    <mergeCell ref="AB30:AD30"/>
    <mergeCell ref="AE30:AG30"/>
    <mergeCell ref="AH30:AI30"/>
    <mergeCell ref="AJ30:AK30"/>
    <mergeCell ref="C29:D29"/>
    <mergeCell ref="E29:L29"/>
    <mergeCell ref="M29:T29"/>
    <mergeCell ref="U29:Y29"/>
    <mergeCell ref="Z29:AA29"/>
    <mergeCell ref="AB29:AD29"/>
    <mergeCell ref="AE29:AG29"/>
    <mergeCell ref="AH29:AI29"/>
    <mergeCell ref="AJ29:AK29"/>
    <mergeCell ref="C28:D28"/>
    <mergeCell ref="E28:L28"/>
    <mergeCell ref="M28:T28"/>
    <mergeCell ref="U28:Y28"/>
    <mergeCell ref="Z28:AA28"/>
    <mergeCell ref="AB28:AD28"/>
    <mergeCell ref="AE28:AG28"/>
    <mergeCell ref="AH28:AI28"/>
    <mergeCell ref="AJ28:AK28"/>
    <mergeCell ref="B24:AK25"/>
    <mergeCell ref="B26:B27"/>
    <mergeCell ref="C26:D27"/>
    <mergeCell ref="E26:L27"/>
    <mergeCell ref="M26:T27"/>
    <mergeCell ref="U26:Y27"/>
    <mergeCell ref="Z26:AA27"/>
    <mergeCell ref="AB26:AD27"/>
    <mergeCell ref="AE26:AG27"/>
    <mergeCell ref="AH26:AI27"/>
    <mergeCell ref="AJ26:AK27"/>
    <mergeCell ref="C21:D21"/>
    <mergeCell ref="E21:L21"/>
    <mergeCell ref="M21:T21"/>
    <mergeCell ref="U21:Y21"/>
    <mergeCell ref="Z21:AA21"/>
    <mergeCell ref="AB21:AD21"/>
    <mergeCell ref="AE21:AG21"/>
    <mergeCell ref="AH21:AI21"/>
    <mergeCell ref="AJ21:AK21"/>
    <mergeCell ref="B17:AK18"/>
    <mergeCell ref="B19:B20"/>
    <mergeCell ref="C19:D20"/>
    <mergeCell ref="E19:L20"/>
    <mergeCell ref="M19:T20"/>
    <mergeCell ref="U19:Y20"/>
    <mergeCell ref="Z19:AA20"/>
    <mergeCell ref="AB19:AD20"/>
    <mergeCell ref="AE19:AG20"/>
    <mergeCell ref="AH19:AI20"/>
    <mergeCell ref="AJ19:AK20"/>
    <mergeCell ref="F15:H15"/>
    <mergeCell ref="I15:L15"/>
    <mergeCell ref="M15:O15"/>
    <mergeCell ref="Q15:U15"/>
    <mergeCell ref="V15:Z15"/>
    <mergeCell ref="AA15:AE15"/>
    <mergeCell ref="B14:E14"/>
    <mergeCell ref="F14:H14"/>
    <mergeCell ref="I14:L14"/>
    <mergeCell ref="M14:O14"/>
    <mergeCell ref="Q14:U14"/>
    <mergeCell ref="V14:Z14"/>
    <mergeCell ref="F13:H13"/>
    <mergeCell ref="I13:L13"/>
    <mergeCell ref="M13:O13"/>
    <mergeCell ref="Q13:U13"/>
    <mergeCell ref="V13:Z13"/>
    <mergeCell ref="AA13:AE13"/>
    <mergeCell ref="AA11:AE11"/>
    <mergeCell ref="AG11:AK15"/>
    <mergeCell ref="B12:E12"/>
    <mergeCell ref="F12:H12"/>
    <mergeCell ref="I12:L12"/>
    <mergeCell ref="M12:O12"/>
    <mergeCell ref="Q12:U12"/>
    <mergeCell ref="V12:Z12"/>
    <mergeCell ref="AA12:AE12"/>
    <mergeCell ref="B13:E13"/>
    <mergeCell ref="B11:E11"/>
    <mergeCell ref="F11:H11"/>
    <mergeCell ref="I11:L11"/>
    <mergeCell ref="M11:O11"/>
    <mergeCell ref="Q11:U11"/>
    <mergeCell ref="V11:Z11"/>
    <mergeCell ref="AA14:AE14"/>
    <mergeCell ref="B15:E15"/>
    <mergeCell ref="B9:O9"/>
    <mergeCell ref="Q9:AE9"/>
    <mergeCell ref="AG9:AK10"/>
    <mergeCell ref="B10:E10"/>
    <mergeCell ref="F10:H10"/>
    <mergeCell ref="I10:L10"/>
    <mergeCell ref="M10:O10"/>
    <mergeCell ref="Q10:U10"/>
    <mergeCell ref="V10:Z10"/>
    <mergeCell ref="AA10:AE10"/>
    <mergeCell ref="B1:O2"/>
    <mergeCell ref="P1:R1"/>
    <mergeCell ref="P2:R2"/>
    <mergeCell ref="B5:O5"/>
    <mergeCell ref="Q5:AE5"/>
    <mergeCell ref="AG5:AK5"/>
    <mergeCell ref="B6:F6"/>
    <mergeCell ref="G6:O6"/>
    <mergeCell ref="Q6:U6"/>
    <mergeCell ref="V6:AE6"/>
    <mergeCell ref="AG6:AK7"/>
    <mergeCell ref="B7:F7"/>
    <mergeCell ref="G7:O7"/>
    <mergeCell ref="Q7:U7"/>
    <mergeCell ref="V7:AE7"/>
  </mergeCells>
  <conditionalFormatting sqref="B17">
    <cfRule type="expression" dxfId="502" priority="32">
      <formula>MAX($AZ$21:$AZ$22)=0</formula>
    </cfRule>
    <cfRule type="expression" dxfId="501" priority="33">
      <formula>MAX($AZ$21:$AZ$22)=1</formula>
    </cfRule>
    <cfRule type="expression" dxfId="500" priority="34">
      <formula>MAX($AZ$21:$AZ$22)=2</formula>
    </cfRule>
    <cfRule type="expression" dxfId="499" priority="35">
      <formula>MAX($AZ$21:$AZ$22)=3</formula>
    </cfRule>
  </conditionalFormatting>
  <conditionalFormatting sqref="B24">
    <cfRule type="expression" dxfId="498" priority="1001">
      <formula>MAX($AZ$28:$AZ$34)=0</formula>
    </cfRule>
    <cfRule type="expression" dxfId="497" priority="1004">
      <formula>MAX($AZ$28:$AZ$34)=3</formula>
    </cfRule>
    <cfRule type="expression" dxfId="496" priority="1002">
      <formula>MAX($AZ$28:$AZ$34)=1</formula>
    </cfRule>
    <cfRule type="expression" dxfId="495" priority="1003">
      <formula>MAX($AZ$28:$AZ$34)=2</formula>
    </cfRule>
  </conditionalFormatting>
  <conditionalFormatting sqref="B36">
    <cfRule type="expression" dxfId="494" priority="38">
      <formula>MAX($AZ$40:$AZ$41)=2</formula>
    </cfRule>
    <cfRule type="expression" dxfId="493" priority="39">
      <formula>MAX($AZ$40:$AZ$41)=3</formula>
    </cfRule>
    <cfRule type="expression" dxfId="492" priority="36">
      <formula>MAX($AZ$40:$AZ$41)=0</formula>
    </cfRule>
    <cfRule type="expression" dxfId="491" priority="37">
      <formula>MAX($AZ$40:$AZ$41)=1</formula>
    </cfRule>
  </conditionalFormatting>
  <conditionalFormatting sqref="Z30:Z33">
    <cfRule type="expression" dxfId="490" priority="54">
      <formula>$AZ30=1</formula>
    </cfRule>
    <cfRule type="expression" dxfId="489" priority="53">
      <formula>$AZ30=2</formula>
    </cfRule>
    <cfRule type="expression" dxfId="488" priority="52">
      <formula>$AZ30=3</formula>
    </cfRule>
  </conditionalFormatting>
  <conditionalFormatting sqref="Z21:AA22">
    <cfRule type="expression" dxfId="487" priority="11">
      <formula>$AZ21=3</formula>
    </cfRule>
    <cfRule type="expression" dxfId="486" priority="12">
      <formula>$AZ21=2</formula>
    </cfRule>
    <cfRule type="expression" dxfId="485" priority="13">
      <formula>$AZ21=1</formula>
    </cfRule>
  </conditionalFormatting>
  <conditionalFormatting sqref="Z28:AA28">
    <cfRule type="expression" dxfId="484" priority="25">
      <formula>$AZ28=2</formula>
    </cfRule>
    <cfRule type="expression" dxfId="483" priority="26">
      <formula>$AZ28=1</formula>
    </cfRule>
  </conditionalFormatting>
  <conditionalFormatting sqref="Z28:AA29">
    <cfRule type="expression" dxfId="482" priority="24">
      <formula>$AZ28=3</formula>
    </cfRule>
  </conditionalFormatting>
  <conditionalFormatting sqref="Z29:AA29">
    <cfRule type="expression" dxfId="481" priority="64">
      <formula>$AZ29=1</formula>
    </cfRule>
    <cfRule type="expression" dxfId="480" priority="63">
      <formula>$AZ29=2</formula>
    </cfRule>
  </conditionalFormatting>
  <conditionalFormatting sqref="Z34:AA34">
    <cfRule type="expression" dxfId="479" priority="69">
      <formula>$AZ34=1</formula>
    </cfRule>
    <cfRule type="expression" dxfId="478" priority="67">
      <formula>$AZ34=3</formula>
    </cfRule>
    <cfRule type="expression" dxfId="477" priority="68">
      <formula>$AZ34=2</formula>
    </cfRule>
  </conditionalFormatting>
  <conditionalFormatting sqref="Z40:AA41">
    <cfRule type="expression" dxfId="476" priority="16">
      <formula>$AZ40=1</formula>
    </cfRule>
    <cfRule type="expression" dxfId="475" priority="15">
      <formula>$AZ40=2</formula>
    </cfRule>
    <cfRule type="expression" dxfId="474" priority="14">
      <formula>$AZ40=3</formula>
    </cfRule>
  </conditionalFormatting>
  <conditionalFormatting sqref="AG11">
    <cfRule type="expression" dxfId="473" priority="71">
      <formula>$BB$20=6</formula>
    </cfRule>
    <cfRule type="expression" dxfId="472" priority="73">
      <formula>AND($BB$20&gt;0,$BB$20&lt;5)</formula>
    </cfRule>
    <cfRule type="expression" dxfId="471" priority="72">
      <formula>$BB$20=5</formula>
    </cfRule>
  </conditionalFormatting>
  <conditionalFormatting sqref="AG11:AK15">
    <cfRule type="expression" dxfId="470" priority="70">
      <formula>$BB$20=10</formula>
    </cfRule>
  </conditionalFormatting>
  <conditionalFormatting sqref="AJ30:AJ33">
    <cfRule type="expression" dxfId="469" priority="51">
      <formula>$BA30=1</formula>
    </cfRule>
    <cfRule type="expression" dxfId="468" priority="50">
      <formula>$BA30=3</formula>
    </cfRule>
  </conditionalFormatting>
  <conditionalFormatting sqref="AJ21:AK22">
    <cfRule type="expression" dxfId="467" priority="10">
      <formula>$BA21=1</formula>
    </cfRule>
    <cfRule type="expression" dxfId="466" priority="9">
      <formula>$BA21=3</formula>
    </cfRule>
  </conditionalFormatting>
  <conditionalFormatting sqref="AJ28:AK29">
    <cfRule type="expression" dxfId="465" priority="22">
      <formula>$BA28=3</formula>
    </cfRule>
    <cfRule type="expression" dxfId="464" priority="23">
      <formula>$BA28=1</formula>
    </cfRule>
  </conditionalFormatting>
  <conditionalFormatting sqref="AJ34:AK34">
    <cfRule type="expression" dxfId="463" priority="45">
      <formula>$BA34=3</formula>
    </cfRule>
    <cfRule type="expression" dxfId="462" priority="46">
      <formula>$BA34=1</formula>
    </cfRule>
  </conditionalFormatting>
  <conditionalFormatting sqref="AJ40:AK41">
    <cfRule type="expression" dxfId="461" priority="18">
      <formula>$BA40=1</formula>
    </cfRule>
    <cfRule type="expression" dxfId="460" priority="17">
      <formula>$BA40=3</formula>
    </cfRule>
  </conditionalFormatting>
  <dataValidations disablePrompts="1" count="2">
    <dataValidation type="list" allowBlank="1" showInputMessage="1" showErrorMessage="1" sqref="AJ40:AK41 AJ29:AJ34 AJ28:AK28 AJ21:AK22 AK29 AK34" xr:uid="{00000000-0002-0000-0700-000000000000}">
      <formula1>Status_Maßnahme</formula1>
    </dataValidation>
    <dataValidation type="list" allowBlank="1" showInputMessage="1" showErrorMessage="1" sqref="Z40:AA41 Z28:AA28 Z21:AA22 AA29 Z29:Z34 AA34" xr:uid="{00000000-0002-0000-0700-000001000000}">
      <formula1>Status_Bewertung</formula1>
    </dataValidation>
  </dataValidations>
  <printOptions horizontalCentered="1"/>
  <pageMargins left="0.70866141732283472" right="0.55118110236220474" top="0.98425196850393704" bottom="0.9055118110236221" header="0.23622047244094491" footer="0.27559055118110237"/>
  <pageSetup paperSize="8" scale="73" fitToHeight="2"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rowBreaks count="1" manualBreakCount="1">
    <brk id="31" min="1" max="36" man="1"/>
  </rowBreaks>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3425" r:id="rId6" name="Drop Down 1">
              <controlPr defaultSize="0" autoLine="0" autoPict="0">
                <anchor moveWithCells="1">
                  <from>
                    <xdr:col>20</xdr:col>
                    <xdr:colOff>79513</xdr:colOff>
                    <xdr:row>0</xdr:row>
                    <xdr:rowOff>103367</xdr:rowOff>
                  </from>
                  <to>
                    <xdr:col>23</xdr:col>
                    <xdr:colOff>254442</xdr:colOff>
                    <xdr:row>1</xdr:row>
                    <xdr:rowOff>143123</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8" tint="0.39997558519241921"/>
    <pageSetUpPr fitToPage="1"/>
  </sheetPr>
  <dimension ref="A1:AN37"/>
  <sheetViews>
    <sheetView showGridLines="0" showZeros="0" zoomScaleNormal="100" zoomScaleSheetLayoutView="70" zoomScalePageLayoutView="70" workbookViewId="0">
      <selection activeCell="M164" sqref="M164:T166"/>
    </sheetView>
  </sheetViews>
  <sheetFormatPr baseColWidth="10" defaultColWidth="5.3984375" defaultRowHeight="13.15" x14ac:dyDescent="0.25"/>
  <cols>
    <col min="1" max="16384" width="5.3984375" style="8"/>
  </cols>
  <sheetData>
    <row r="1" spans="1:40" ht="17.7" customHeight="1" x14ac:dyDescent="0.25">
      <c r="A1" s="175"/>
      <c r="B1" s="1139" t="str">
        <f>HLOOKUP(LANGUAGE!$B$2,LANGUAGE!$C$14:$G$1500,312)</f>
        <v>Supplier Quality Gates Overview</v>
      </c>
      <c r="C1" s="1139"/>
      <c r="D1" s="1139"/>
      <c r="E1" s="1139"/>
      <c r="F1" s="1139"/>
      <c r="G1" s="1139"/>
      <c r="H1" s="1139"/>
      <c r="I1" s="1139"/>
      <c r="J1" s="1139"/>
      <c r="K1" s="1139"/>
      <c r="L1" s="1139"/>
      <c r="M1" s="1139"/>
      <c r="N1" s="1139"/>
      <c r="O1" s="1139"/>
      <c r="P1" s="1024" t="s">
        <v>2</v>
      </c>
      <c r="Q1" s="1024"/>
      <c r="R1" s="1024"/>
      <c r="S1" s="263"/>
      <c r="T1" s="263"/>
      <c r="U1" s="263"/>
      <c r="V1" s="263"/>
      <c r="W1" s="263"/>
      <c r="X1" s="263"/>
      <c r="Y1" s="263"/>
      <c r="Z1" s="176"/>
      <c r="AA1" s="176"/>
      <c r="AB1" s="176"/>
      <c r="AC1" s="176"/>
      <c r="AD1" s="176"/>
      <c r="AE1" s="176"/>
      <c r="AF1" s="176"/>
      <c r="AG1" s="176"/>
      <c r="AH1" s="176"/>
      <c r="AI1" s="176"/>
      <c r="AJ1" s="176"/>
      <c r="AK1" s="176"/>
      <c r="AL1" s="176"/>
      <c r="AM1" s="176"/>
      <c r="AN1" s="176"/>
    </row>
    <row r="2" spans="1:40" ht="17.7" customHeight="1" x14ac:dyDescent="0.25">
      <c r="A2" s="175"/>
      <c r="B2" s="1139"/>
      <c r="C2" s="1139"/>
      <c r="D2" s="1139"/>
      <c r="E2" s="1139"/>
      <c r="F2" s="1139"/>
      <c r="G2" s="1139"/>
      <c r="H2" s="1139"/>
      <c r="I2" s="1139"/>
      <c r="J2" s="1139"/>
      <c r="K2" s="1139"/>
      <c r="L2" s="1139"/>
      <c r="M2" s="1139"/>
      <c r="N2" s="1139"/>
      <c r="O2" s="1139"/>
      <c r="P2" s="1024" t="s">
        <v>1774</v>
      </c>
      <c r="Q2" s="1024"/>
      <c r="R2" s="1024"/>
      <c r="S2" s="263"/>
      <c r="T2" s="263"/>
      <c r="U2" s="263"/>
      <c r="V2" s="263"/>
      <c r="W2" s="263"/>
      <c r="X2" s="263"/>
      <c r="Y2" s="263"/>
      <c r="Z2" s="176"/>
      <c r="AA2" s="176"/>
      <c r="AB2" s="176"/>
      <c r="AC2" s="176"/>
      <c r="AD2" s="176"/>
      <c r="AE2" s="176"/>
      <c r="AF2" s="176"/>
      <c r="AG2" s="176"/>
      <c r="AH2" s="176"/>
      <c r="AI2" s="176"/>
      <c r="AJ2" s="176"/>
      <c r="AK2" s="176"/>
      <c r="AL2" s="176"/>
      <c r="AM2" s="176"/>
      <c r="AN2" s="176"/>
    </row>
    <row r="3" spans="1:40" ht="17.7" customHeight="1" x14ac:dyDescent="0.25">
      <c r="B3" s="1541" t="str">
        <f>HLOOKUP(LANGUAGE!$B$2,LANGUAGE!$C$14:$G$1500,323)</f>
        <v>Target:to ensure the maturaty level of the project and if necessary to implement actions to assure OK PPAP on time.</v>
      </c>
      <c r="C3" s="1541"/>
      <c r="D3" s="1541"/>
      <c r="E3" s="1541"/>
      <c r="F3" s="1541"/>
      <c r="G3" s="1541"/>
      <c r="H3" s="1541"/>
      <c r="I3" s="1541"/>
      <c r="J3" s="1541"/>
      <c r="K3" s="1541"/>
      <c r="L3" s="1541"/>
      <c r="M3" s="1541"/>
      <c r="N3" s="1541"/>
      <c r="O3" s="1541"/>
      <c r="P3" s="1541"/>
      <c r="Q3" s="1541"/>
      <c r="R3" s="1541"/>
      <c r="S3" s="1541"/>
      <c r="T3" s="1541"/>
      <c r="U3" s="1541"/>
      <c r="V3" s="1541"/>
      <c r="W3" s="1541"/>
      <c r="X3" s="1541"/>
      <c r="Y3" s="1541"/>
      <c r="Z3" s="1541"/>
      <c r="AA3" s="1541"/>
      <c r="AB3" s="1541"/>
      <c r="AC3" s="1541"/>
      <c r="AD3" s="1541"/>
      <c r="AE3" s="1541"/>
      <c r="AF3" s="1541"/>
      <c r="AG3" s="1541"/>
      <c r="AH3" s="1541"/>
      <c r="AI3" s="1541"/>
      <c r="AJ3" s="1541"/>
      <c r="AK3" s="1541"/>
      <c r="AL3" s="1541"/>
      <c r="AM3" s="1541"/>
    </row>
    <row r="4" spans="1:40" ht="17.7" customHeight="1" thickBot="1" x14ac:dyDescent="0.3">
      <c r="B4" s="219"/>
    </row>
    <row r="5" spans="1:40" ht="17.7" customHeight="1" x14ac:dyDescent="0.25">
      <c r="B5" s="1050" t="str">
        <f>HLOOKUP(LANGUAGE!$B$2,LANGUAGE!$C$14:$G$1500,12)</f>
        <v>Project Data</v>
      </c>
      <c r="C5" s="1051"/>
      <c r="D5" s="1051"/>
      <c r="E5" s="1051"/>
      <c r="F5" s="1051"/>
      <c r="G5" s="1051"/>
      <c r="H5" s="1051"/>
      <c r="I5" s="1051"/>
      <c r="J5" s="1051"/>
      <c r="K5" s="1051"/>
      <c r="L5" s="1051"/>
      <c r="M5" s="1052"/>
      <c r="O5" s="1050" t="str">
        <f>HLOOKUP(LANGUAGE!$B$2,LANGUAGE!$C$14:$G$1500,27)</f>
        <v>Supplier Data</v>
      </c>
      <c r="P5" s="1051"/>
      <c r="Q5" s="1051"/>
      <c r="R5" s="1051"/>
      <c r="S5" s="1051"/>
      <c r="T5" s="1051"/>
      <c r="U5" s="1051"/>
      <c r="V5" s="1051"/>
      <c r="W5" s="1051"/>
      <c r="X5" s="1051"/>
      <c r="Y5" s="1051"/>
      <c r="Z5" s="1052"/>
    </row>
    <row r="6" spans="1:40" ht="17.7" customHeight="1" x14ac:dyDescent="0.25">
      <c r="B6" s="1565" t="str">
        <f>HLOOKUP(LANGUAGE!$B$2,LANGUAGE!$C$14:$G$1500,13)</f>
        <v>Project</v>
      </c>
      <c r="C6" s="1566"/>
      <c r="D6" s="1566"/>
      <c r="E6" s="1566"/>
      <c r="F6" s="1086" t="str">
        <f>IF(Basic_Data!F6&lt;&gt;"",CONCATENATE(Basic_Data!F6," / ",Basic_Data!F7,""),"")</f>
        <v/>
      </c>
      <c r="G6" s="1086"/>
      <c r="H6" s="1086"/>
      <c r="I6" s="1086"/>
      <c r="J6" s="1086"/>
      <c r="K6" s="1086"/>
      <c r="L6" s="1086"/>
      <c r="M6" s="1568"/>
      <c r="O6" s="1565" t="str">
        <f>HLOOKUP(LANGUAGE!$B$2,LANGUAGE!$C$14:$G$1500,28)</f>
        <v>Supplier</v>
      </c>
      <c r="P6" s="1566"/>
      <c r="Q6" s="1566"/>
      <c r="R6" s="1566"/>
      <c r="S6" s="1086" t="str">
        <f>IF(Basic_Data!R6&lt;&gt;"",CONCATENATE(Basic_Data!R6," (",Basic_Data!R7,")"),"")</f>
        <v/>
      </c>
      <c r="T6" s="1086"/>
      <c r="U6" s="1086"/>
      <c r="V6" s="1086"/>
      <c r="W6" s="1086"/>
      <c r="X6" s="1086"/>
      <c r="Y6" s="1086"/>
      <c r="Z6" s="1568"/>
      <c r="AC6" s="226"/>
    </row>
    <row r="7" spans="1:40" ht="17.7" customHeight="1" thickBot="1" x14ac:dyDescent="0.3">
      <c r="B7" s="1569" t="str">
        <f>HLOOKUP(LANGUAGE!$B$2,LANGUAGE!$C$14:$G$1500,14)</f>
        <v>Part Name(s)</v>
      </c>
      <c r="C7" s="1570"/>
      <c r="D7" s="1570"/>
      <c r="E7" s="1571"/>
      <c r="F7" s="1083" t="str">
        <f>IF(Basic_Data!F8&lt;&gt;"",Basic_Data!F8,"")</f>
        <v/>
      </c>
      <c r="G7" s="1083"/>
      <c r="H7" s="1083"/>
      <c r="I7" s="1083"/>
      <c r="J7" s="1083"/>
      <c r="K7" s="1083"/>
      <c r="L7" s="1083"/>
      <c r="M7" s="1567"/>
      <c r="O7" s="1563" t="str">
        <f>HLOOKUP(LANGUAGE!$B$2,LANGUAGE!$C$14:$G$1500,29)</f>
        <v>Address</v>
      </c>
      <c r="P7" s="1564"/>
      <c r="Q7" s="1564"/>
      <c r="R7" s="1564"/>
      <c r="S7" s="1083" t="str">
        <f>IF(Basic_Data!R8&lt;&gt;"",CONCATENATE(Basic_Data!R8,", ",Basic_Data!R9,", ",Basic_Data!R10,""),"")</f>
        <v/>
      </c>
      <c r="T7" s="1083"/>
      <c r="U7" s="1083"/>
      <c r="V7" s="1083"/>
      <c r="W7" s="1083"/>
      <c r="X7" s="1083"/>
      <c r="Y7" s="1083"/>
      <c r="Z7" s="1567"/>
    </row>
    <row r="8" spans="1:40" ht="17.7" customHeight="1" thickBot="1" x14ac:dyDescent="0.3"/>
    <row r="9" spans="1:40" ht="17.7" customHeight="1" x14ac:dyDescent="0.25">
      <c r="B9" s="1554" t="str">
        <f>HLOOKUP(LANGUAGE!$B$2,LANGUAGE!$C$14:$G$1500,335)</f>
        <v>SQG 1</v>
      </c>
      <c r="C9" s="1555"/>
      <c r="D9" s="1555"/>
      <c r="E9" s="1555"/>
      <c r="F9" s="1555"/>
      <c r="G9" s="1555"/>
      <c r="H9" s="1555"/>
      <c r="I9" s="1555"/>
      <c r="J9" s="1555"/>
      <c r="K9" s="1555"/>
      <c r="L9" s="1555"/>
      <c r="M9" s="1556"/>
      <c r="N9" s="177"/>
      <c r="O9" s="1554" t="str">
        <f>HLOOKUP(LANGUAGE!$B$2,LANGUAGE!$C$14:$G$1500,336)</f>
        <v>SQG 2</v>
      </c>
      <c r="P9" s="1555"/>
      <c r="Q9" s="1555"/>
      <c r="R9" s="1555"/>
      <c r="S9" s="1555"/>
      <c r="T9" s="1555"/>
      <c r="U9" s="1555"/>
      <c r="V9" s="1555"/>
      <c r="W9" s="1555"/>
      <c r="X9" s="1555"/>
      <c r="Y9" s="1555"/>
      <c r="Z9" s="1556"/>
      <c r="AA9" s="658"/>
      <c r="AB9" s="1554" t="str">
        <f>HLOOKUP(LANGUAGE!$B$2,LANGUAGE!$C$14:$G$1500,337)</f>
        <v>SQG 3</v>
      </c>
      <c r="AC9" s="1555"/>
      <c r="AD9" s="1555"/>
      <c r="AE9" s="1555"/>
      <c r="AF9" s="1555"/>
      <c r="AG9" s="1555"/>
      <c r="AH9" s="1555"/>
      <c r="AI9" s="1555"/>
      <c r="AJ9" s="1555"/>
      <c r="AK9" s="1555"/>
      <c r="AL9" s="1555"/>
      <c r="AM9" s="1556"/>
    </row>
    <row r="10" spans="1:40" ht="17.7" customHeight="1" x14ac:dyDescent="0.25">
      <c r="B10" s="1150" t="str">
        <f>HLOOKUP(LANGUAGE!$B$2,LANGUAGE!$C$14:$G$1500,41)</f>
        <v>Brose Part No.</v>
      </c>
      <c r="C10" s="1151"/>
      <c r="D10" s="1151"/>
      <c r="E10" s="1152"/>
      <c r="F10" s="1156" t="str">
        <f>HLOOKUP(LANGUAGE!$B$2,LANGUAGE!$C$14:$G$1500,42)</f>
        <v>Index</v>
      </c>
      <c r="G10" s="1152"/>
      <c r="H10" s="1158" t="str">
        <f>HLOOKUP(LANGUAGE!$B$2,LANGUAGE!$C$14:$G$1500,43)</f>
        <v>Brose Drawing No.</v>
      </c>
      <c r="I10" s="1159"/>
      <c r="J10" s="1159"/>
      <c r="K10" s="1160"/>
      <c r="L10" s="1164" t="str">
        <f>HLOOKUP(LANGUAGE!$B$2,LANGUAGE!$C$14:$G$1500,42)</f>
        <v>Index</v>
      </c>
      <c r="M10" s="1165"/>
      <c r="N10" s="177"/>
      <c r="O10" s="1150" t="str">
        <f>HLOOKUP(LANGUAGE!$B$2,LANGUAGE!$C$14:$G$1500,41)</f>
        <v>Brose Part No.</v>
      </c>
      <c r="P10" s="1151"/>
      <c r="Q10" s="1151"/>
      <c r="R10" s="1152"/>
      <c r="S10" s="1156" t="str">
        <f>HLOOKUP(LANGUAGE!$B$2,LANGUAGE!$C$14:$G$1500,42)</f>
        <v>Index</v>
      </c>
      <c r="T10" s="1152"/>
      <c r="U10" s="1158" t="str">
        <f>HLOOKUP(LANGUAGE!$B$2,LANGUAGE!$C$14:$G$1500,43)</f>
        <v>Brose Drawing No.</v>
      </c>
      <c r="V10" s="1159"/>
      <c r="W10" s="1159"/>
      <c r="X10" s="1160"/>
      <c r="Y10" s="1164" t="str">
        <f>HLOOKUP(LANGUAGE!$B$2,LANGUAGE!$C$14:$G$1500,42)</f>
        <v>Index</v>
      </c>
      <c r="Z10" s="1165"/>
      <c r="AA10" s="658"/>
      <c r="AB10" s="1150" t="str">
        <f>HLOOKUP(LANGUAGE!$B$2,LANGUAGE!$C$14:$G$1500,41)</f>
        <v>Brose Part No.</v>
      </c>
      <c r="AC10" s="1151"/>
      <c r="AD10" s="1151"/>
      <c r="AE10" s="1152"/>
      <c r="AF10" s="1156" t="str">
        <f>HLOOKUP(LANGUAGE!$B$2,LANGUAGE!$C$14:$G$1500,42)</f>
        <v>Index</v>
      </c>
      <c r="AG10" s="1152"/>
      <c r="AH10" s="1158" t="str">
        <f>HLOOKUP(LANGUAGE!$B$2,LANGUAGE!$C$14:$G$1500,43)</f>
        <v>Brose Drawing No.</v>
      </c>
      <c r="AI10" s="1159"/>
      <c r="AJ10" s="1159"/>
      <c r="AK10" s="1160"/>
      <c r="AL10" s="1164" t="str">
        <f>HLOOKUP(LANGUAGE!$B$2,LANGUAGE!$C$14:$G$1500,42)</f>
        <v>Index</v>
      </c>
      <c r="AM10" s="1165"/>
    </row>
    <row r="11" spans="1:40" ht="17.7" customHeight="1" x14ac:dyDescent="0.25">
      <c r="B11" s="1153"/>
      <c r="C11" s="1154"/>
      <c r="D11" s="1154"/>
      <c r="E11" s="1155"/>
      <c r="F11" s="1157"/>
      <c r="G11" s="1155"/>
      <c r="H11" s="1161"/>
      <c r="I11" s="1162"/>
      <c r="J11" s="1162"/>
      <c r="K11" s="1163"/>
      <c r="L11" s="1166"/>
      <c r="M11" s="1167"/>
      <c r="N11" s="177"/>
      <c r="O11" s="1153"/>
      <c r="P11" s="1154"/>
      <c r="Q11" s="1154"/>
      <c r="R11" s="1155"/>
      <c r="S11" s="1157"/>
      <c r="T11" s="1155"/>
      <c r="U11" s="1161"/>
      <c r="V11" s="1162"/>
      <c r="W11" s="1162"/>
      <c r="X11" s="1163"/>
      <c r="Y11" s="1166"/>
      <c r="Z11" s="1167"/>
      <c r="AA11" s="658"/>
      <c r="AB11" s="1153"/>
      <c r="AC11" s="1154"/>
      <c r="AD11" s="1154"/>
      <c r="AE11" s="1155"/>
      <c r="AF11" s="1157"/>
      <c r="AG11" s="1155"/>
      <c r="AH11" s="1161"/>
      <c r="AI11" s="1162"/>
      <c r="AJ11" s="1162"/>
      <c r="AK11" s="1163"/>
      <c r="AL11" s="1166"/>
      <c r="AM11" s="1167"/>
    </row>
    <row r="12" spans="1:40" ht="17.25" customHeight="1" x14ac:dyDescent="0.25">
      <c r="B12" s="1169" t="str">
        <f>IF(SQG_1!B11="","",SQG_1!B11)</f>
        <v/>
      </c>
      <c r="C12" s="1170"/>
      <c r="D12" s="1170"/>
      <c r="E12" s="1170"/>
      <c r="F12" s="1170" t="str">
        <f>IF(SQG_1!F11="","",SQG_1!F11)</f>
        <v/>
      </c>
      <c r="G12" s="1170"/>
      <c r="H12" s="1170" t="str">
        <f>IF(SQG_1!I11="","",SQG_1!I11)</f>
        <v/>
      </c>
      <c r="I12" s="1170"/>
      <c r="J12" s="1170"/>
      <c r="K12" s="1170"/>
      <c r="L12" s="1170" t="str">
        <f>IF(SQG_1!M11="","",SQG_1!M11)</f>
        <v/>
      </c>
      <c r="M12" s="1171"/>
      <c r="O12" s="1169" t="str">
        <f>IF(SQG_2!B11="","",SQG_2!B11)</f>
        <v/>
      </c>
      <c r="P12" s="1170"/>
      <c r="Q12" s="1170"/>
      <c r="R12" s="1170"/>
      <c r="S12" s="1170" t="str">
        <f>IF(SQG_2!F11="","",SQG_2!F11)</f>
        <v/>
      </c>
      <c r="T12" s="1170"/>
      <c r="U12" s="1170" t="str">
        <f>IF(SQG_2!I11="","",SQG_2!I11)</f>
        <v/>
      </c>
      <c r="V12" s="1170"/>
      <c r="W12" s="1170"/>
      <c r="X12" s="1170"/>
      <c r="Y12" s="1170" t="str">
        <f>IF(SQG_2!M11="","",SQG_2!M11)</f>
        <v/>
      </c>
      <c r="Z12" s="1171"/>
      <c r="AB12" s="1169" t="str">
        <f>IF(SQG_3!B11="","",SQG_3!B11)</f>
        <v/>
      </c>
      <c r="AC12" s="1170"/>
      <c r="AD12" s="1170"/>
      <c r="AE12" s="1170"/>
      <c r="AF12" s="1170" t="str">
        <f>IF(SQG_3!F11="","",SQG_3!F11)</f>
        <v/>
      </c>
      <c r="AG12" s="1170"/>
      <c r="AH12" s="1170" t="str">
        <f>IF(SQG_3!I11="","",SQG_3!I11)</f>
        <v/>
      </c>
      <c r="AI12" s="1170"/>
      <c r="AJ12" s="1170"/>
      <c r="AK12" s="1170"/>
      <c r="AL12" s="1170" t="str">
        <f>IF(SQG_3!M11="","",SQG_3!M11)</f>
        <v/>
      </c>
      <c r="AM12" s="1171"/>
    </row>
    <row r="13" spans="1:40" ht="17.7" customHeight="1" x14ac:dyDescent="0.25">
      <c r="B13" s="1168" t="str">
        <f>IF(SQG_1!B12="","",SQG_1!B12)</f>
        <v/>
      </c>
      <c r="C13" s="1145"/>
      <c r="D13" s="1145"/>
      <c r="E13" s="1145"/>
      <c r="F13" s="1145" t="str">
        <f>IF(SQG_1!F12="","",SQG_1!F12)</f>
        <v/>
      </c>
      <c r="G13" s="1145"/>
      <c r="H13" s="1145" t="str">
        <f>IF(SQG_1!I12="","",SQG_1!I12)</f>
        <v/>
      </c>
      <c r="I13" s="1145"/>
      <c r="J13" s="1145"/>
      <c r="K13" s="1145"/>
      <c r="L13" s="1145" t="str">
        <f>IF(SQG_1!M12="","",SQG_1!M12)</f>
        <v/>
      </c>
      <c r="M13" s="1146"/>
      <c r="O13" s="1172" t="str">
        <f>IF(SQG_2!B12="","",SQG_2!B12)</f>
        <v/>
      </c>
      <c r="P13" s="1173"/>
      <c r="Q13" s="1173"/>
      <c r="R13" s="1173"/>
      <c r="S13" s="1173" t="str">
        <f>IF(SQG_2!F12="","",SQG_2!F12)</f>
        <v/>
      </c>
      <c r="T13" s="1173"/>
      <c r="U13" s="1173" t="str">
        <f>IF(SQG_2!I12="","",SQG_2!I12)</f>
        <v/>
      </c>
      <c r="V13" s="1173"/>
      <c r="W13" s="1173"/>
      <c r="X13" s="1173"/>
      <c r="Y13" s="1173" t="str">
        <f>IF(SQG_2!M12="","",SQG_2!M12)</f>
        <v/>
      </c>
      <c r="Z13" s="1174"/>
      <c r="AB13" s="1168" t="str">
        <f>IF(SQG_3!B12="","",SQG_3!B12)</f>
        <v/>
      </c>
      <c r="AC13" s="1145"/>
      <c r="AD13" s="1145"/>
      <c r="AE13" s="1145"/>
      <c r="AF13" s="1145" t="str">
        <f>IF(SQG_3!F12="","",SQG_3!F12)</f>
        <v/>
      </c>
      <c r="AG13" s="1145"/>
      <c r="AH13" s="1145" t="str">
        <f>IF(SQG_3!I12="","",SQG_3!I12)</f>
        <v/>
      </c>
      <c r="AI13" s="1145"/>
      <c r="AJ13" s="1145"/>
      <c r="AK13" s="1145"/>
      <c r="AL13" s="1145" t="str">
        <f>IF(SQG_3!M12="","",SQG_3!M12)</f>
        <v/>
      </c>
      <c r="AM13" s="1146"/>
    </row>
    <row r="14" spans="1:40" ht="17.7" customHeight="1" x14ac:dyDescent="0.25">
      <c r="B14" s="1168" t="str">
        <f>IF(SQG_1!B13="","",SQG_1!B13)</f>
        <v/>
      </c>
      <c r="C14" s="1145"/>
      <c r="D14" s="1145"/>
      <c r="E14" s="1145"/>
      <c r="F14" s="1145" t="str">
        <f>IF(SQG_1!F13="","",SQG_1!F13)</f>
        <v/>
      </c>
      <c r="G14" s="1145"/>
      <c r="H14" s="1145" t="str">
        <f>IF(SQG_1!I13="","",SQG_1!I13)</f>
        <v/>
      </c>
      <c r="I14" s="1145"/>
      <c r="J14" s="1145"/>
      <c r="K14" s="1145"/>
      <c r="L14" s="1145" t="str">
        <f>IF(SQG_1!M13="","",SQG_1!M13)</f>
        <v/>
      </c>
      <c r="M14" s="1146"/>
      <c r="O14" s="1168" t="str">
        <f>IF(SQG_2!B13="","",SQG_2!B13)</f>
        <v/>
      </c>
      <c r="P14" s="1145"/>
      <c r="Q14" s="1145"/>
      <c r="R14" s="1145"/>
      <c r="S14" s="1145" t="str">
        <f>IF(SQG_2!F13="","",SQG_2!F13)</f>
        <v/>
      </c>
      <c r="T14" s="1145"/>
      <c r="U14" s="1145" t="str">
        <f>IF(SQG_2!I13="","",SQG_2!I13)</f>
        <v/>
      </c>
      <c r="V14" s="1145"/>
      <c r="W14" s="1145"/>
      <c r="X14" s="1145"/>
      <c r="Y14" s="1145" t="str">
        <f>IF(SQG_2!M13="","",SQG_2!M13)</f>
        <v/>
      </c>
      <c r="Z14" s="1146"/>
      <c r="AB14" s="1168" t="str">
        <f>IF(SQG_3!B13="","",SQG_3!B13)</f>
        <v/>
      </c>
      <c r="AC14" s="1145"/>
      <c r="AD14" s="1145"/>
      <c r="AE14" s="1145"/>
      <c r="AF14" s="1145" t="str">
        <f>IF(SQG_3!F13="","",SQG_3!F13)</f>
        <v/>
      </c>
      <c r="AG14" s="1145"/>
      <c r="AH14" s="1145" t="str">
        <f>IF(SQG_3!I13="","",SQG_3!I13)</f>
        <v/>
      </c>
      <c r="AI14" s="1145"/>
      <c r="AJ14" s="1145"/>
      <c r="AK14" s="1145"/>
      <c r="AL14" s="1145" t="str">
        <f>IF(SQG_3!M13="","",SQG_3!M13)</f>
        <v/>
      </c>
      <c r="AM14" s="1146"/>
    </row>
    <row r="15" spans="1:40" ht="17.7" customHeight="1" x14ac:dyDescent="0.25">
      <c r="B15" s="1168" t="str">
        <f>IF(SQG_1!B14="","",SQG_1!B14)</f>
        <v/>
      </c>
      <c r="C15" s="1145"/>
      <c r="D15" s="1145"/>
      <c r="E15" s="1145"/>
      <c r="F15" s="1145" t="str">
        <f>IF(SQG_1!F14="","",SQG_1!F14)</f>
        <v/>
      </c>
      <c r="G15" s="1145"/>
      <c r="H15" s="1145" t="str">
        <f>IF(SQG_1!I14="","",SQG_1!I14)</f>
        <v/>
      </c>
      <c r="I15" s="1145"/>
      <c r="J15" s="1145"/>
      <c r="K15" s="1145"/>
      <c r="L15" s="1145" t="str">
        <f>IF(SQG_1!M14="","",SQG_1!M14)</f>
        <v/>
      </c>
      <c r="M15" s="1146"/>
      <c r="O15" s="1168" t="str">
        <f>IF(SQG_2!B14="","",SQG_2!B14)</f>
        <v/>
      </c>
      <c r="P15" s="1145"/>
      <c r="Q15" s="1145"/>
      <c r="R15" s="1145"/>
      <c r="S15" s="1145" t="str">
        <f>IF(SQG_2!F14="","",SQG_2!F14)</f>
        <v/>
      </c>
      <c r="T15" s="1145"/>
      <c r="U15" s="1145" t="str">
        <f>IF(SQG_2!I14="","",SQG_2!I14)</f>
        <v/>
      </c>
      <c r="V15" s="1145"/>
      <c r="W15" s="1145"/>
      <c r="X15" s="1145"/>
      <c r="Y15" s="1145" t="str">
        <f>IF(SQG_2!M14="","",SQG_2!M14)</f>
        <v/>
      </c>
      <c r="Z15" s="1146"/>
      <c r="AB15" s="1168" t="str">
        <f>IF(SQG_3!B14="","",SQG_3!B14)</f>
        <v/>
      </c>
      <c r="AC15" s="1145"/>
      <c r="AD15" s="1145"/>
      <c r="AE15" s="1145"/>
      <c r="AF15" s="1145" t="str">
        <f>IF(SQG_3!F14="","",SQG_3!F14)</f>
        <v/>
      </c>
      <c r="AG15" s="1145"/>
      <c r="AH15" s="1145" t="str">
        <f>IF(SQG_3!I14="","",SQG_3!I14)</f>
        <v/>
      </c>
      <c r="AI15" s="1145"/>
      <c r="AJ15" s="1145"/>
      <c r="AK15" s="1145"/>
      <c r="AL15" s="1145" t="str">
        <f>IF(SQG_3!M14="","",SQG_3!M14)</f>
        <v/>
      </c>
      <c r="AM15" s="1146"/>
    </row>
    <row r="16" spans="1:40" ht="17.7" customHeight="1" x14ac:dyDescent="0.25">
      <c r="B16" s="1177" t="str">
        <f>IF(SQG_1!B15="","",SQG_1!B15)</f>
        <v/>
      </c>
      <c r="C16" s="1175"/>
      <c r="D16" s="1175"/>
      <c r="E16" s="1175"/>
      <c r="F16" s="1175" t="str">
        <f>IF(SQG_1!F15="","",SQG_1!F15)</f>
        <v/>
      </c>
      <c r="G16" s="1175"/>
      <c r="H16" s="1175" t="str">
        <f>IF(SQG_1!I15="","",SQG_1!I15)</f>
        <v/>
      </c>
      <c r="I16" s="1175"/>
      <c r="J16" s="1175"/>
      <c r="K16" s="1175"/>
      <c r="L16" s="1175" t="str">
        <f>IF(SQG_1!M15="","",SQG_1!M15)</f>
        <v/>
      </c>
      <c r="M16" s="1176"/>
      <c r="O16" s="1177" t="str">
        <f>IF(SQG_2!B15="","",SQG_2!B15)</f>
        <v/>
      </c>
      <c r="P16" s="1175"/>
      <c r="Q16" s="1175"/>
      <c r="R16" s="1175"/>
      <c r="S16" s="1175" t="str">
        <f>IF(SQG_2!F15="","",SQG_2!F15)</f>
        <v/>
      </c>
      <c r="T16" s="1175"/>
      <c r="U16" s="1175" t="str">
        <f>IF(SQG_2!I15="","",SQG_2!I15)</f>
        <v/>
      </c>
      <c r="V16" s="1175"/>
      <c r="W16" s="1175"/>
      <c r="X16" s="1175"/>
      <c r="Y16" s="1175" t="str">
        <f>IF(SQG_2!M15="","",SQG_2!M15)</f>
        <v/>
      </c>
      <c r="Z16" s="1176"/>
      <c r="AB16" s="1177" t="str">
        <f>IF(SQG_3!B15="","",SQG_3!B15)</f>
        <v/>
      </c>
      <c r="AC16" s="1175"/>
      <c r="AD16" s="1175"/>
      <c r="AE16" s="1175"/>
      <c r="AF16" s="1175" t="str">
        <f>IF(SQG_3!F15="","",SQG_3!F15)</f>
        <v/>
      </c>
      <c r="AG16" s="1175"/>
      <c r="AH16" s="1175" t="str">
        <f>IF(SQG_3!I15="","",SQG_3!I15)</f>
        <v/>
      </c>
      <c r="AI16" s="1175"/>
      <c r="AJ16" s="1175"/>
      <c r="AK16" s="1175"/>
      <c r="AL16" s="1175" t="str">
        <f>IF(SQG_3!M15="","",SQG_3!M15)</f>
        <v/>
      </c>
      <c r="AM16" s="1176"/>
    </row>
    <row r="17" spans="2:39" ht="17.7" customHeight="1" x14ac:dyDescent="0.25">
      <c r="B17" s="245"/>
      <c r="C17" s="9"/>
      <c r="D17" s="9"/>
      <c r="E17" s="9"/>
      <c r="F17" s="9"/>
      <c r="G17" s="9"/>
      <c r="H17" s="9"/>
      <c r="I17" s="9"/>
      <c r="J17" s="9"/>
      <c r="K17" s="9"/>
      <c r="L17" s="9"/>
      <c r="M17" s="246"/>
      <c r="N17" s="9"/>
      <c r="O17" s="245"/>
      <c r="P17" s="9"/>
      <c r="Q17" s="9"/>
      <c r="R17" s="9"/>
      <c r="S17" s="9"/>
      <c r="T17" s="9"/>
      <c r="U17" s="9"/>
      <c r="V17" s="9"/>
      <c r="W17" s="9"/>
      <c r="X17" s="9"/>
      <c r="Y17" s="9"/>
      <c r="Z17" s="246"/>
      <c r="AB17" s="245"/>
      <c r="AC17" s="9"/>
      <c r="AD17" s="9"/>
      <c r="AE17" s="9"/>
      <c r="AF17" s="9"/>
      <c r="AG17" s="9"/>
      <c r="AH17" s="9"/>
      <c r="AI17" s="9"/>
      <c r="AJ17" s="9"/>
      <c r="AK17" s="9"/>
      <c r="AL17" s="9"/>
      <c r="AM17" s="246"/>
    </row>
    <row r="18" spans="2:39" ht="17.7" customHeight="1" x14ac:dyDescent="0.25">
      <c r="B18" s="1002" t="str">
        <f>HLOOKUP(LANGUAGE!$B$2,LANGUAGE!$C$14:$G$1500,73)</f>
        <v>Topic</v>
      </c>
      <c r="C18" s="1003"/>
      <c r="D18" s="1003"/>
      <c r="E18" s="1003"/>
      <c r="F18" s="1203" t="str">
        <f>HLOOKUP(LANGUAGE!$B$2,LANGUAGE!$C$14:$G$1500,74)</f>
        <v>Evaluation</v>
      </c>
      <c r="G18" s="1203"/>
      <c r="H18" s="1203" t="str">
        <f>HLOOKUP(LANGUAGE!$B$2,LANGUAGE!$C$14:$G$1500,75)</f>
        <v>Action status</v>
      </c>
      <c r="I18" s="1203"/>
      <c r="J18" s="1203"/>
      <c r="K18" s="1203"/>
      <c r="L18" s="1203"/>
      <c r="M18" s="1204"/>
      <c r="N18" s="9"/>
      <c r="O18" s="1002" t="str">
        <f>HLOOKUP(LANGUAGE!$B$2,LANGUAGE!$C$14:$G$1500,73)</f>
        <v>Topic</v>
      </c>
      <c r="P18" s="1003"/>
      <c r="Q18" s="1003"/>
      <c r="R18" s="1003"/>
      <c r="S18" s="1203" t="str">
        <f>HLOOKUP(LANGUAGE!$B$2,LANGUAGE!$C$14:$G$1500,74)</f>
        <v>Evaluation</v>
      </c>
      <c r="T18" s="1203"/>
      <c r="U18" s="1203" t="str">
        <f>HLOOKUP(LANGUAGE!$B$2,LANGUAGE!$C$14:$G$1500,75)</f>
        <v>Action status</v>
      </c>
      <c r="V18" s="1203"/>
      <c r="W18" s="1203"/>
      <c r="X18" s="1203"/>
      <c r="Y18" s="1203"/>
      <c r="Z18" s="1204"/>
      <c r="AB18" s="1002" t="str">
        <f>HLOOKUP(LANGUAGE!$B$2,LANGUAGE!$C$14:$G$1500,73)</f>
        <v>Topic</v>
      </c>
      <c r="AC18" s="1003"/>
      <c r="AD18" s="1003"/>
      <c r="AE18" s="1003"/>
      <c r="AF18" s="1203" t="str">
        <f>HLOOKUP(LANGUAGE!$B$2,LANGUAGE!$C$14:$G$1500,74)</f>
        <v>Evaluation</v>
      </c>
      <c r="AG18" s="1203"/>
      <c r="AH18" s="1203" t="str">
        <f>HLOOKUP(LANGUAGE!$B$2,LANGUAGE!$C$14:$G$1500,75)</f>
        <v>Action status</v>
      </c>
      <c r="AI18" s="1203"/>
      <c r="AJ18" s="1203"/>
      <c r="AK18" s="1203"/>
      <c r="AL18" s="1203"/>
      <c r="AM18" s="1204"/>
    </row>
    <row r="19" spans="2:39" ht="17.7" customHeight="1" x14ac:dyDescent="0.25">
      <c r="B19" s="1217" t="str">
        <f>HLOOKUP(LANGUAGE!$B$2,LANGUAGE!$C$14:$G$1500,76)</f>
        <v>Commercial</v>
      </c>
      <c r="C19" s="1218"/>
      <c r="D19" s="1218"/>
      <c r="E19" s="1219"/>
      <c r="F19" s="1561"/>
      <c r="G19" s="1562"/>
      <c r="H19" s="1224" t="str">
        <f>(IF(SQG_1!BD22&lt;&gt;"",SQG_1!BD18&amp;" "&amp;SQG_1!BD22,""))&amp;CHAR(10)&amp;(IF(SQG_1!BE22&lt;&gt;"",SQG_1!BE18&amp;" "&amp;SQG_1!BE22,""))</f>
        <v xml:space="preserve">
</v>
      </c>
      <c r="I19" s="1225"/>
      <c r="J19" s="1225"/>
      <c r="K19" s="1225"/>
      <c r="L19" s="1225"/>
      <c r="M19" s="1226"/>
      <c r="O19" s="1200"/>
      <c r="P19" s="1201"/>
      <c r="Q19" s="1201"/>
      <c r="R19" s="1201"/>
      <c r="S19" s="1201"/>
      <c r="T19" s="1201"/>
      <c r="U19" s="1201"/>
      <c r="V19" s="1201"/>
      <c r="W19" s="1201"/>
      <c r="X19" s="1201"/>
      <c r="Y19" s="1201"/>
      <c r="Z19" s="1202"/>
      <c r="AB19" s="1200"/>
      <c r="AC19" s="1201"/>
      <c r="AD19" s="1201"/>
      <c r="AE19" s="1201"/>
      <c r="AF19" s="1201"/>
      <c r="AG19" s="1201"/>
      <c r="AH19" s="1201"/>
      <c r="AI19" s="1201"/>
      <c r="AJ19" s="1201"/>
      <c r="AK19" s="1201"/>
      <c r="AL19" s="1201"/>
      <c r="AM19" s="1202"/>
    </row>
    <row r="20" spans="2:39" ht="17.7" customHeight="1" x14ac:dyDescent="0.25">
      <c r="B20" s="1187"/>
      <c r="C20" s="1188"/>
      <c r="D20" s="1188"/>
      <c r="E20" s="1189"/>
      <c r="F20" s="1222"/>
      <c r="G20" s="1223"/>
      <c r="H20" s="1227"/>
      <c r="I20" s="1228"/>
      <c r="J20" s="1228"/>
      <c r="K20" s="1228"/>
      <c r="L20" s="1228"/>
      <c r="M20" s="1229"/>
      <c r="O20" s="1181"/>
      <c r="P20" s="1182"/>
      <c r="Q20" s="1182"/>
      <c r="R20" s="1182"/>
      <c r="S20" s="1182"/>
      <c r="T20" s="1182"/>
      <c r="U20" s="1182"/>
      <c r="V20" s="1182"/>
      <c r="W20" s="1182"/>
      <c r="X20" s="1182"/>
      <c r="Y20" s="1182"/>
      <c r="Z20" s="1183"/>
      <c r="AB20" s="1181"/>
      <c r="AC20" s="1182"/>
      <c r="AD20" s="1182"/>
      <c r="AE20" s="1182"/>
      <c r="AF20" s="1182"/>
      <c r="AG20" s="1182"/>
      <c r="AH20" s="1182"/>
      <c r="AI20" s="1182"/>
      <c r="AJ20" s="1182"/>
      <c r="AK20" s="1182"/>
      <c r="AL20" s="1182"/>
      <c r="AM20" s="1183"/>
    </row>
    <row r="21" spans="2:39" ht="17.7" customHeight="1" x14ac:dyDescent="0.25">
      <c r="B21" s="1184" t="str">
        <f>HLOOKUP(LANGUAGE!$B$2,LANGUAGE!$C$14:$G$1500,77)</f>
        <v>Project management</v>
      </c>
      <c r="C21" s="1185"/>
      <c r="D21" s="1185"/>
      <c r="E21" s="1186"/>
      <c r="F21" s="1220"/>
      <c r="G21" s="1221"/>
      <c r="H21" s="1205" t="str">
        <f>(IF(SQG_1!BD27&lt;&gt;"",SQG_1!BD18&amp;" "&amp;SQG_1!BD27,""))&amp;CHAR(10)&amp;(IF(SQG_1!BE27&lt;&gt;"",SQG_1!BE18&amp;" "&amp;SQG_1!BE27,""))</f>
        <v xml:space="preserve">
</v>
      </c>
      <c r="I21" s="1206"/>
      <c r="J21" s="1206"/>
      <c r="K21" s="1206"/>
      <c r="L21" s="1206"/>
      <c r="M21" s="1207"/>
      <c r="O21" s="1184" t="str">
        <f>HLOOKUP(LANGUAGE!$B$2,LANGUAGE!$C$14:$G$1500,77)</f>
        <v>Project management</v>
      </c>
      <c r="P21" s="1185"/>
      <c r="Q21" s="1185"/>
      <c r="R21" s="1186"/>
      <c r="S21" s="1220"/>
      <c r="T21" s="1221"/>
      <c r="U21" s="1205" t="str">
        <f>(IF(SQG_2!BD21&lt;&gt;"",SQG_2!BD18&amp;" "&amp;SQG_2!BD21,""))&amp;CHAR(10)&amp;(IF(SQG_2!BE21&lt;&gt;"",SQG_2!BE18&amp;" "&amp;SQG_2!BE21,""))</f>
        <v xml:space="preserve">
</v>
      </c>
      <c r="V21" s="1206"/>
      <c r="W21" s="1206"/>
      <c r="X21" s="1206"/>
      <c r="Y21" s="1206"/>
      <c r="Z21" s="1207"/>
      <c r="AB21" s="1184" t="str">
        <f>HLOOKUP(LANGUAGE!$B$2,LANGUAGE!$C$14:$G$1500,77)</f>
        <v>Project management</v>
      </c>
      <c r="AC21" s="1185"/>
      <c r="AD21" s="1185"/>
      <c r="AE21" s="1186"/>
      <c r="AF21" s="1220"/>
      <c r="AG21" s="1221"/>
      <c r="AH21" s="1205" t="str">
        <f>(IF(SQG_3!BD21&lt;&gt;"",SQG_3!BD18&amp;" "&amp;SQG_3!BD21,""))&amp;CHAR(10)&amp;(IF(SQG_3!BE21&lt;&gt;"",SQG_3!BE18&amp;" "&amp;SQG_3!BE21,""))</f>
        <v xml:space="preserve">
</v>
      </c>
      <c r="AI21" s="1206"/>
      <c r="AJ21" s="1206"/>
      <c r="AK21" s="1206"/>
      <c r="AL21" s="1206"/>
      <c r="AM21" s="1207"/>
    </row>
    <row r="22" spans="2:39" ht="17.7" customHeight="1" x14ac:dyDescent="0.25">
      <c r="B22" s="1187"/>
      <c r="C22" s="1188"/>
      <c r="D22" s="1188"/>
      <c r="E22" s="1189"/>
      <c r="F22" s="1222"/>
      <c r="G22" s="1223"/>
      <c r="H22" s="1208"/>
      <c r="I22" s="1209"/>
      <c r="J22" s="1209"/>
      <c r="K22" s="1209"/>
      <c r="L22" s="1209"/>
      <c r="M22" s="1210"/>
      <c r="O22" s="1187"/>
      <c r="P22" s="1188"/>
      <c r="Q22" s="1188"/>
      <c r="R22" s="1189"/>
      <c r="S22" s="1222"/>
      <c r="T22" s="1223"/>
      <c r="U22" s="1208"/>
      <c r="V22" s="1209"/>
      <c r="W22" s="1209"/>
      <c r="X22" s="1209"/>
      <c r="Y22" s="1209"/>
      <c r="Z22" s="1210"/>
      <c r="AB22" s="1187"/>
      <c r="AC22" s="1188"/>
      <c r="AD22" s="1188"/>
      <c r="AE22" s="1189"/>
      <c r="AF22" s="1222"/>
      <c r="AG22" s="1223"/>
      <c r="AH22" s="1208"/>
      <c r="AI22" s="1209"/>
      <c r="AJ22" s="1209"/>
      <c r="AK22" s="1209"/>
      <c r="AL22" s="1209"/>
      <c r="AM22" s="1210"/>
    </row>
    <row r="23" spans="2:39" ht="17.7" customHeight="1" x14ac:dyDescent="0.25">
      <c r="B23" s="1184" t="str">
        <f>HLOOKUP(LANGUAGE!$B$2,LANGUAGE!$C$14:$G$1500,78)</f>
        <v>Quality</v>
      </c>
      <c r="C23" s="1185"/>
      <c r="D23" s="1185"/>
      <c r="E23" s="1186"/>
      <c r="F23" s="1220"/>
      <c r="G23" s="1221"/>
      <c r="H23" s="1205" t="str">
        <f>(IF(SQG_1!BD40&lt;&gt;"",SQG_1!BD18&amp;" "&amp;SQG_1!BD40,""))&amp;CHAR(10)&amp;(IF(SQG_1!BE40&lt;&gt;"",SQG_1!BE18&amp;" "&amp;SQG_1!BE40,""))</f>
        <v xml:space="preserve">
</v>
      </c>
      <c r="I23" s="1206"/>
      <c r="J23" s="1206"/>
      <c r="K23" s="1206"/>
      <c r="L23" s="1206"/>
      <c r="M23" s="1207"/>
      <c r="O23" s="1184" t="str">
        <f>HLOOKUP(LANGUAGE!$B$2,LANGUAGE!$C$14:$G$1500,78)</f>
        <v>Quality</v>
      </c>
      <c r="P23" s="1185"/>
      <c r="Q23" s="1185"/>
      <c r="R23" s="1186"/>
      <c r="S23" s="1220"/>
      <c r="T23" s="1221"/>
      <c r="U23" s="1205" t="str">
        <f>(IF(SQG_2!BD32&lt;&gt;"",SQG_2!BD18&amp;" "&amp;SQG_2!BD32,""))&amp;CHAR(10)&amp;(IF(SQG_2!BE32&lt;&gt;"",SQG_2!BE18&amp;" "&amp;SQG_2!BE32,""))</f>
        <v xml:space="preserve">
</v>
      </c>
      <c r="V23" s="1206"/>
      <c r="W23" s="1206"/>
      <c r="X23" s="1206"/>
      <c r="Y23" s="1206"/>
      <c r="Z23" s="1207"/>
      <c r="AB23" s="1184" t="str">
        <f>HLOOKUP(LANGUAGE!$B$2,LANGUAGE!$C$14:$G$1500,78)</f>
        <v>Quality</v>
      </c>
      <c r="AC23" s="1185"/>
      <c r="AD23" s="1185"/>
      <c r="AE23" s="1186"/>
      <c r="AF23" s="1220"/>
      <c r="AG23" s="1221"/>
      <c r="AH23" s="1205" t="str">
        <f>(IF(SQG_3!BD32&lt;&gt;"",SQG_3!BD18&amp;" "&amp;SQG_3!BD32,""))&amp;CHAR(10)&amp;(IF(SQG_3!BE32&lt;&gt;"",SQG_3!BE18&amp;" "&amp;SQG_3!BE32,""))</f>
        <v xml:space="preserve">
</v>
      </c>
      <c r="AI23" s="1206"/>
      <c r="AJ23" s="1206"/>
      <c r="AK23" s="1206"/>
      <c r="AL23" s="1206"/>
      <c r="AM23" s="1207"/>
    </row>
    <row r="24" spans="2:39" ht="17.7" customHeight="1" x14ac:dyDescent="0.25">
      <c r="B24" s="1187"/>
      <c r="C24" s="1188"/>
      <c r="D24" s="1188"/>
      <c r="E24" s="1189"/>
      <c r="F24" s="1222"/>
      <c r="G24" s="1223"/>
      <c r="H24" s="1208"/>
      <c r="I24" s="1209"/>
      <c r="J24" s="1209"/>
      <c r="K24" s="1209"/>
      <c r="L24" s="1209"/>
      <c r="M24" s="1210"/>
      <c r="O24" s="1187"/>
      <c r="P24" s="1188"/>
      <c r="Q24" s="1188"/>
      <c r="R24" s="1189"/>
      <c r="S24" s="1222"/>
      <c r="T24" s="1223"/>
      <c r="U24" s="1208"/>
      <c r="V24" s="1209"/>
      <c r="W24" s="1209"/>
      <c r="X24" s="1209"/>
      <c r="Y24" s="1209"/>
      <c r="Z24" s="1210"/>
      <c r="AB24" s="1187"/>
      <c r="AC24" s="1188"/>
      <c r="AD24" s="1188"/>
      <c r="AE24" s="1189"/>
      <c r="AF24" s="1222"/>
      <c r="AG24" s="1223"/>
      <c r="AH24" s="1208"/>
      <c r="AI24" s="1209"/>
      <c r="AJ24" s="1209"/>
      <c r="AK24" s="1209"/>
      <c r="AL24" s="1209"/>
      <c r="AM24" s="1210"/>
    </row>
    <row r="25" spans="2:39" ht="17.7" customHeight="1" x14ac:dyDescent="0.25">
      <c r="B25" s="1184" t="str">
        <f>HLOOKUP(LANGUAGE!$B$2,LANGUAGE!$C$14:$G$1500,79)</f>
        <v>Sub-supplier</v>
      </c>
      <c r="C25" s="1185"/>
      <c r="D25" s="1185"/>
      <c r="E25" s="1186"/>
      <c r="F25" s="1220"/>
      <c r="G25" s="1221"/>
      <c r="H25" s="1205" t="str">
        <f>(IF(SQG_1!BD53&lt;&gt;"",SQG_1!BD18&amp;" "&amp;SQG_1!BD53,""))&amp;CHAR(10)&amp;(IF(SQG_1!BE53&lt;&gt;"",SQG_1!BE18&amp;" "&amp;SQG_1!BE53,""))</f>
        <v xml:space="preserve">
</v>
      </c>
      <c r="I25" s="1206"/>
      <c r="J25" s="1206"/>
      <c r="K25" s="1206"/>
      <c r="L25" s="1206"/>
      <c r="M25" s="1207"/>
      <c r="O25" s="1200"/>
      <c r="P25" s="1201"/>
      <c r="Q25" s="1201"/>
      <c r="R25" s="1201"/>
      <c r="S25" s="1201"/>
      <c r="T25" s="1201"/>
      <c r="U25" s="1201"/>
      <c r="V25" s="1201"/>
      <c r="W25" s="1201"/>
      <c r="X25" s="1201"/>
      <c r="Y25" s="1201"/>
      <c r="Z25" s="1202"/>
      <c r="AB25" s="1200"/>
      <c r="AC25" s="1201"/>
      <c r="AD25" s="1201"/>
      <c r="AE25" s="1201"/>
      <c r="AF25" s="1201"/>
      <c r="AG25" s="1201"/>
      <c r="AH25" s="1201"/>
      <c r="AI25" s="1201"/>
      <c r="AJ25" s="1201"/>
      <c r="AK25" s="1201"/>
      <c r="AL25" s="1201"/>
      <c r="AM25" s="1202"/>
    </row>
    <row r="26" spans="2:39" ht="17.7" customHeight="1" thickBot="1" x14ac:dyDescent="0.3">
      <c r="B26" s="1217"/>
      <c r="C26" s="1218"/>
      <c r="D26" s="1218"/>
      <c r="E26" s="1219"/>
      <c r="F26" s="1561"/>
      <c r="G26" s="1562"/>
      <c r="H26" s="1230"/>
      <c r="I26" s="1231"/>
      <c r="J26" s="1231"/>
      <c r="K26" s="1231"/>
      <c r="L26" s="1231"/>
      <c r="M26" s="1232"/>
      <c r="O26" s="1181"/>
      <c r="P26" s="1182"/>
      <c r="Q26" s="1182"/>
      <c r="R26" s="1182"/>
      <c r="S26" s="1182"/>
      <c r="T26" s="1182"/>
      <c r="U26" s="1182"/>
      <c r="V26" s="1182"/>
      <c r="W26" s="1182"/>
      <c r="X26" s="1182"/>
      <c r="Y26" s="1182"/>
      <c r="Z26" s="1183"/>
      <c r="AB26" s="1181"/>
      <c r="AC26" s="1182"/>
      <c r="AD26" s="1182"/>
      <c r="AE26" s="1182"/>
      <c r="AF26" s="1182"/>
      <c r="AG26" s="1182"/>
      <c r="AH26" s="1182"/>
      <c r="AI26" s="1182"/>
      <c r="AJ26" s="1182"/>
      <c r="AK26" s="1182"/>
      <c r="AL26" s="1182"/>
      <c r="AM26" s="1183"/>
    </row>
    <row r="27" spans="2:39" ht="17.7" customHeight="1" x14ac:dyDescent="0.25">
      <c r="B27" s="1542" t="str">
        <f>HLOOKUP(LANGUAGE!$B$2,LANGUAGE!$C$14:$G$1500,80)</f>
        <v>Overal status</v>
      </c>
      <c r="C27" s="1543"/>
      <c r="D27" s="1543"/>
      <c r="E27" s="1543"/>
      <c r="F27" s="1242" t="str">
        <f>SQG_1!AG11</f>
        <v/>
      </c>
      <c r="G27" s="1243"/>
      <c r="H27" s="1546" t="str">
        <f>COUNTIFS(SQG_1!AZ22:AZ54,3,SQG_1!BA22:BA54,3)&amp;" "&amp;LANGUAGE!F6&amp;" &amp; "&amp;COUNTIFS(SQG_1!AZ22:AZ54,2,SQG_1!BA22:BA54,3)&amp;" "&amp;LANGUAGE!F5</f>
        <v>0 red &amp; 0 yellow</v>
      </c>
      <c r="I27" s="1546"/>
      <c r="J27" s="1546"/>
      <c r="K27" s="1546"/>
      <c r="L27" s="1546"/>
      <c r="M27" s="1547"/>
      <c r="O27" s="1542" t="str">
        <f>HLOOKUP(LANGUAGE!$B$2,LANGUAGE!$C$14:$G$1500,80)</f>
        <v>Overal status</v>
      </c>
      <c r="P27" s="1543"/>
      <c r="Q27" s="1543"/>
      <c r="R27" s="1543"/>
      <c r="S27" s="1242" t="str">
        <f>SQG_2!AG11</f>
        <v/>
      </c>
      <c r="T27" s="1243"/>
      <c r="U27" s="1546" t="str">
        <f>COUNTIFS(SQG_2!AZ22:AZ37,"3",SQG_2!BA22:BA37,"3")&amp;" "&amp;LANGUAGE!F6&amp;" &amp; "&amp;COUNTIFS(SQG_2!AZ22:AZ37,"2",SQG_2!BA22:BA37,"3")&amp;" "&amp;LANGUAGE!F5</f>
        <v>0 red &amp; 0 yellow</v>
      </c>
      <c r="V27" s="1546"/>
      <c r="W27" s="1546"/>
      <c r="X27" s="1546"/>
      <c r="Y27" s="1546"/>
      <c r="Z27" s="1547"/>
      <c r="AB27" s="1542" t="str">
        <f>HLOOKUP(LANGUAGE!$B$2,LANGUAGE!$C$14:$G$1500,80)</f>
        <v>Overal status</v>
      </c>
      <c r="AC27" s="1543"/>
      <c r="AD27" s="1543"/>
      <c r="AE27" s="1543"/>
      <c r="AF27" s="1242" t="str">
        <f>SQG_3!AG11</f>
        <v/>
      </c>
      <c r="AG27" s="1243"/>
      <c r="AH27" s="1546" t="str">
        <f>COUNTIFS(SQG_3!AZ22:AZ43,"3",SQG_3!BA22:BA43,"3")&amp;" "&amp;LANGUAGE!F6&amp;" &amp; "&amp;COUNTIFS(SQG_3!AZ22:AZ43,"2",SQG_3!BA22:BA43,"3")&amp;" "&amp;LANGUAGE!F5</f>
        <v>0 red &amp; 0 yellow</v>
      </c>
      <c r="AI27" s="1546"/>
      <c r="AJ27" s="1546"/>
      <c r="AK27" s="1546"/>
      <c r="AL27" s="1546"/>
      <c r="AM27" s="1547"/>
    </row>
    <row r="28" spans="2:39" ht="17.7" customHeight="1" thickBot="1" x14ac:dyDescent="0.3">
      <c r="B28" s="1544"/>
      <c r="C28" s="1545"/>
      <c r="D28" s="1545"/>
      <c r="E28" s="1545"/>
      <c r="F28" s="1244"/>
      <c r="G28" s="1245"/>
      <c r="H28" s="1548"/>
      <c r="I28" s="1548"/>
      <c r="J28" s="1548"/>
      <c r="K28" s="1548"/>
      <c r="L28" s="1548"/>
      <c r="M28" s="1549"/>
      <c r="O28" s="1544"/>
      <c r="P28" s="1545"/>
      <c r="Q28" s="1545"/>
      <c r="R28" s="1545"/>
      <c r="S28" s="1244"/>
      <c r="T28" s="1245"/>
      <c r="U28" s="1548"/>
      <c r="V28" s="1548"/>
      <c r="W28" s="1548"/>
      <c r="X28" s="1548"/>
      <c r="Y28" s="1548"/>
      <c r="Z28" s="1549"/>
      <c r="AB28" s="1544"/>
      <c r="AC28" s="1545"/>
      <c r="AD28" s="1545"/>
      <c r="AE28" s="1545"/>
      <c r="AF28" s="1244"/>
      <c r="AG28" s="1245"/>
      <c r="AH28" s="1548"/>
      <c r="AI28" s="1548"/>
      <c r="AJ28" s="1548"/>
      <c r="AK28" s="1548"/>
      <c r="AL28" s="1548"/>
      <c r="AM28" s="1549"/>
    </row>
    <row r="29" spans="2:39" ht="17.7" customHeight="1" thickBot="1" x14ac:dyDescent="0.3"/>
    <row r="30" spans="2:39" ht="17.7" customHeight="1" x14ac:dyDescent="0.25">
      <c r="B30" s="1542" t="str">
        <f>HLOOKUP(LANGUAGE!$B$2,LANGUAGE!$C$14:$G$1500,114)</f>
        <v>Remarks</v>
      </c>
      <c r="C30" s="1543"/>
      <c r="D30" s="1543"/>
      <c r="E30" s="1543"/>
      <c r="F30" s="1533">
        <f>SQG_1!B57</f>
        <v>0</v>
      </c>
      <c r="G30" s="1533"/>
      <c r="H30" s="1533"/>
      <c r="I30" s="1533"/>
      <c r="J30" s="1533"/>
      <c r="K30" s="1533"/>
      <c r="L30" s="1533"/>
      <c r="M30" s="1534"/>
      <c r="N30" s="250"/>
      <c r="O30" s="1542" t="str">
        <f>HLOOKUP(LANGUAGE!$B$2,LANGUAGE!$C$14:$G$1500,114)</f>
        <v>Remarks</v>
      </c>
      <c r="P30" s="1543"/>
      <c r="Q30" s="1543"/>
      <c r="R30" s="1543"/>
      <c r="S30" s="1533">
        <f>SQG_2!B43</f>
        <v>0</v>
      </c>
      <c r="T30" s="1533"/>
      <c r="U30" s="1533"/>
      <c r="V30" s="1533"/>
      <c r="W30" s="1533"/>
      <c r="X30" s="1533"/>
      <c r="Y30" s="1533"/>
      <c r="Z30" s="1534"/>
      <c r="AA30" s="250"/>
      <c r="AB30" s="1542" t="str">
        <f>HLOOKUP(LANGUAGE!$B$2,LANGUAGE!$C$14:$G$1500,114)</f>
        <v>Remarks</v>
      </c>
      <c r="AC30" s="1543"/>
      <c r="AD30" s="1543"/>
      <c r="AE30" s="1543"/>
      <c r="AF30" s="1533">
        <f>SQG_3!B46</f>
        <v>0</v>
      </c>
      <c r="AG30" s="1533"/>
      <c r="AH30" s="1533"/>
      <c r="AI30" s="1533"/>
      <c r="AJ30" s="1533"/>
      <c r="AK30" s="1533"/>
      <c r="AL30" s="1533"/>
      <c r="AM30" s="1534"/>
    </row>
    <row r="31" spans="2:39" ht="17.7" customHeight="1" x14ac:dyDescent="0.25">
      <c r="B31" s="1550"/>
      <c r="C31" s="1551"/>
      <c r="D31" s="1551"/>
      <c r="E31" s="1551"/>
      <c r="F31" s="1535"/>
      <c r="G31" s="1535"/>
      <c r="H31" s="1535"/>
      <c r="I31" s="1535"/>
      <c r="J31" s="1535"/>
      <c r="K31" s="1535"/>
      <c r="L31" s="1535"/>
      <c r="M31" s="1536"/>
      <c r="N31" s="250"/>
      <c r="O31" s="1550"/>
      <c r="P31" s="1551"/>
      <c r="Q31" s="1551"/>
      <c r="R31" s="1551"/>
      <c r="S31" s="1535"/>
      <c r="T31" s="1535"/>
      <c r="U31" s="1535"/>
      <c r="V31" s="1535"/>
      <c r="W31" s="1535"/>
      <c r="X31" s="1535"/>
      <c r="Y31" s="1535"/>
      <c r="Z31" s="1536"/>
      <c r="AA31" s="250"/>
      <c r="AB31" s="1550"/>
      <c r="AC31" s="1551"/>
      <c r="AD31" s="1551"/>
      <c r="AE31" s="1551"/>
      <c r="AF31" s="1535"/>
      <c r="AG31" s="1535"/>
      <c r="AH31" s="1535"/>
      <c r="AI31" s="1535"/>
      <c r="AJ31" s="1535"/>
      <c r="AK31" s="1535"/>
      <c r="AL31" s="1535"/>
      <c r="AM31" s="1536"/>
    </row>
    <row r="32" spans="2:39" ht="17.7" customHeight="1" x14ac:dyDescent="0.25">
      <c r="B32" s="1552"/>
      <c r="C32" s="1553"/>
      <c r="D32" s="1553"/>
      <c r="E32" s="1553"/>
      <c r="F32" s="1537"/>
      <c r="G32" s="1537"/>
      <c r="H32" s="1537"/>
      <c r="I32" s="1537"/>
      <c r="J32" s="1537"/>
      <c r="K32" s="1537"/>
      <c r="L32" s="1537"/>
      <c r="M32" s="1538"/>
      <c r="N32" s="250"/>
      <c r="O32" s="1552"/>
      <c r="P32" s="1553"/>
      <c r="Q32" s="1553"/>
      <c r="R32" s="1553"/>
      <c r="S32" s="1537"/>
      <c r="T32" s="1537"/>
      <c r="U32" s="1537"/>
      <c r="V32" s="1537"/>
      <c r="W32" s="1537"/>
      <c r="X32" s="1537"/>
      <c r="Y32" s="1537"/>
      <c r="Z32" s="1538"/>
      <c r="AA32" s="250"/>
      <c r="AB32" s="1552"/>
      <c r="AC32" s="1553"/>
      <c r="AD32" s="1553"/>
      <c r="AE32" s="1553"/>
      <c r="AF32" s="1537"/>
      <c r="AG32" s="1537"/>
      <c r="AH32" s="1537"/>
      <c r="AI32" s="1537"/>
      <c r="AJ32" s="1537"/>
      <c r="AK32" s="1537"/>
      <c r="AL32" s="1537"/>
      <c r="AM32" s="1538"/>
    </row>
    <row r="33" spans="2:39" ht="17.7" customHeight="1" thickBot="1" x14ac:dyDescent="0.3">
      <c r="B33" s="1544"/>
      <c r="C33" s="1545"/>
      <c r="D33" s="1545"/>
      <c r="E33" s="1545"/>
      <c r="F33" s="1539"/>
      <c r="G33" s="1539"/>
      <c r="H33" s="1539"/>
      <c r="I33" s="1539"/>
      <c r="J33" s="1539"/>
      <c r="K33" s="1539"/>
      <c r="L33" s="1539"/>
      <c r="M33" s="1540"/>
      <c r="N33" s="250"/>
      <c r="O33" s="1544"/>
      <c r="P33" s="1545"/>
      <c r="Q33" s="1545"/>
      <c r="R33" s="1545"/>
      <c r="S33" s="1539"/>
      <c r="T33" s="1539"/>
      <c r="U33" s="1539"/>
      <c r="V33" s="1539"/>
      <c r="W33" s="1539"/>
      <c r="X33" s="1539"/>
      <c r="Y33" s="1539"/>
      <c r="Z33" s="1540"/>
      <c r="AA33" s="250"/>
      <c r="AB33" s="1544"/>
      <c r="AC33" s="1545"/>
      <c r="AD33" s="1545"/>
      <c r="AE33" s="1545"/>
      <c r="AF33" s="1539"/>
      <c r="AG33" s="1539"/>
      <c r="AH33" s="1539"/>
      <c r="AI33" s="1539"/>
      <c r="AJ33" s="1539"/>
      <c r="AK33" s="1539"/>
      <c r="AL33" s="1539"/>
      <c r="AM33" s="1540"/>
    </row>
    <row r="34" spans="2:39" ht="17.7" customHeight="1" thickBot="1" x14ac:dyDescent="0.3">
      <c r="B34" s="658"/>
      <c r="C34" s="658"/>
      <c r="D34" s="658"/>
      <c r="E34" s="658"/>
      <c r="F34" s="250"/>
      <c r="G34" s="250"/>
      <c r="H34" s="250"/>
      <c r="I34" s="250"/>
      <c r="J34" s="250"/>
      <c r="K34" s="250"/>
      <c r="L34" s="250"/>
      <c r="M34" s="250"/>
      <c r="N34" s="250"/>
      <c r="O34" s="659"/>
      <c r="P34" s="659"/>
      <c r="Q34" s="659"/>
      <c r="R34" s="659"/>
      <c r="S34" s="250"/>
      <c r="T34" s="250"/>
      <c r="U34" s="250"/>
      <c r="V34" s="250"/>
      <c r="W34" s="250"/>
      <c r="X34" s="250"/>
      <c r="Y34" s="250"/>
      <c r="Z34" s="250"/>
      <c r="AA34" s="250"/>
      <c r="AB34" s="658"/>
      <c r="AC34" s="658"/>
      <c r="AD34" s="658"/>
      <c r="AE34" s="658"/>
      <c r="AF34" s="250"/>
      <c r="AG34" s="250"/>
      <c r="AH34" s="250"/>
      <c r="AI34" s="250"/>
      <c r="AJ34" s="250"/>
      <c r="AK34" s="250"/>
      <c r="AL34" s="250"/>
      <c r="AM34" s="250"/>
    </row>
    <row r="35" spans="2:39" ht="17.7" customHeight="1" thickBot="1" x14ac:dyDescent="0.3">
      <c r="B35" s="1557" t="str">
        <f>HLOOKUP(LANGUAGE!$B$2,LANGUAGE!$C$14:$G$1500,21)</f>
        <v>Date</v>
      </c>
      <c r="C35" s="1558"/>
      <c r="D35" s="1558"/>
      <c r="E35" s="1558"/>
      <c r="F35" s="1559" t="str">
        <f>IF(SQG_1!AG6,SQG_1!AG6,"")</f>
        <v/>
      </c>
      <c r="G35" s="1559"/>
      <c r="H35" s="1559"/>
      <c r="I35" s="1559"/>
      <c r="J35" s="1559"/>
      <c r="K35" s="1559"/>
      <c r="L35" s="1559"/>
      <c r="M35" s="1560"/>
      <c r="N35" s="251"/>
      <c r="O35" s="1557" t="str">
        <f>HLOOKUP(LANGUAGE!$B$2,LANGUAGE!$C$14:$G$1500,21)</f>
        <v>Date</v>
      </c>
      <c r="P35" s="1558"/>
      <c r="Q35" s="1558"/>
      <c r="R35" s="1558"/>
      <c r="S35" s="1559" t="str">
        <f>IF(SQG_2!AG6,SQG_2!AG6,"")</f>
        <v/>
      </c>
      <c r="T35" s="1559"/>
      <c r="U35" s="1559"/>
      <c r="V35" s="1559"/>
      <c r="W35" s="1559"/>
      <c r="X35" s="1559"/>
      <c r="Y35" s="1559"/>
      <c r="Z35" s="1560"/>
      <c r="AA35" s="250"/>
      <c r="AB35" s="1557" t="str">
        <f>HLOOKUP(LANGUAGE!$B$2,LANGUAGE!$C$14:$G$1500,21)</f>
        <v>Date</v>
      </c>
      <c r="AC35" s="1558"/>
      <c r="AD35" s="1558"/>
      <c r="AE35" s="1558"/>
      <c r="AF35" s="1559" t="str">
        <f>IF(SQG_3!$AG$6,SQG_3!$AG$6,"")</f>
        <v/>
      </c>
      <c r="AG35" s="1559"/>
      <c r="AH35" s="1559"/>
      <c r="AI35" s="1559"/>
      <c r="AJ35" s="1559"/>
      <c r="AK35" s="1559"/>
      <c r="AL35" s="1559"/>
      <c r="AM35" s="1560"/>
    </row>
    <row r="36" spans="2:39" ht="17.7" customHeight="1" x14ac:dyDescent="0.25"/>
    <row r="37" spans="2:39" x14ac:dyDescent="0.25">
      <c r="B37" s="183"/>
    </row>
  </sheetData>
  <sheetProtection algorithmName="SHA-512" hashValue="ISXZBfe0zf9aDr8mJ+hWq0WkTAWWQQyvSnOcvj75qDT8W0YLD074Jdx7rQ/XhG7zBIGMpGTlwx5NhStYhhifzw==" saltValue="2LPUJrtzHzO9r7XTOTH2WA==" spinCount="100000" sheet="1" objects="1" scenarios="1"/>
  <mergeCells count="147">
    <mergeCell ref="F18:G18"/>
    <mergeCell ref="B18:E18"/>
    <mergeCell ref="O15:R15"/>
    <mergeCell ref="S15:T15"/>
    <mergeCell ref="U15:X15"/>
    <mergeCell ref="Y15:Z15"/>
    <mergeCell ref="U16:X16"/>
    <mergeCell ref="Y16:Z16"/>
    <mergeCell ref="O16:R16"/>
    <mergeCell ref="P1:R1"/>
    <mergeCell ref="P2:R2"/>
    <mergeCell ref="B1:O2"/>
    <mergeCell ref="B5:M5"/>
    <mergeCell ref="O9:Z9"/>
    <mergeCell ref="O12:R12"/>
    <mergeCell ref="S12:T12"/>
    <mergeCell ref="U12:X12"/>
    <mergeCell ref="Y12:Z12"/>
    <mergeCell ref="O5:Z5"/>
    <mergeCell ref="O7:R7"/>
    <mergeCell ref="O6:R6"/>
    <mergeCell ref="S7:Z7"/>
    <mergeCell ref="S6:Z6"/>
    <mergeCell ref="F7:M7"/>
    <mergeCell ref="F6:M6"/>
    <mergeCell ref="L10:M11"/>
    <mergeCell ref="H10:K11"/>
    <mergeCell ref="F10:G11"/>
    <mergeCell ref="B10:E11"/>
    <mergeCell ref="B6:E6"/>
    <mergeCell ref="B7:E7"/>
    <mergeCell ref="B9:M9"/>
    <mergeCell ref="B35:E35"/>
    <mergeCell ref="O35:R35"/>
    <mergeCell ref="B12:E12"/>
    <mergeCell ref="F12:G12"/>
    <mergeCell ref="H12:K12"/>
    <mergeCell ref="L12:M12"/>
    <mergeCell ref="F27:G28"/>
    <mergeCell ref="B27:E28"/>
    <mergeCell ref="F30:M33"/>
    <mergeCell ref="B30:E33"/>
    <mergeCell ref="O30:R33"/>
    <mergeCell ref="H27:M28"/>
    <mergeCell ref="B13:E13"/>
    <mergeCell ref="F13:G13"/>
    <mergeCell ref="B14:E14"/>
    <mergeCell ref="H13:K13"/>
    <mergeCell ref="L13:M13"/>
    <mergeCell ref="B15:E15"/>
    <mergeCell ref="F15:G15"/>
    <mergeCell ref="H15:K15"/>
    <mergeCell ref="L15:M15"/>
    <mergeCell ref="B16:E16"/>
    <mergeCell ref="F16:G16"/>
    <mergeCell ref="H16:K16"/>
    <mergeCell ref="B19:E20"/>
    <mergeCell ref="H19:M20"/>
    <mergeCell ref="F19:G20"/>
    <mergeCell ref="B21:E22"/>
    <mergeCell ref="B23:E24"/>
    <mergeCell ref="B25:E26"/>
    <mergeCell ref="F21:G22"/>
    <mergeCell ref="F23:G24"/>
    <mergeCell ref="F25:G26"/>
    <mergeCell ref="H21:M22"/>
    <mergeCell ref="H23:M24"/>
    <mergeCell ref="H25:M26"/>
    <mergeCell ref="AH10:AK11"/>
    <mergeCell ref="AL10:AM11"/>
    <mergeCell ref="AB12:AE12"/>
    <mergeCell ref="AF12:AG12"/>
    <mergeCell ref="AH12:AK12"/>
    <mergeCell ref="AL12:AM12"/>
    <mergeCell ref="F35:M35"/>
    <mergeCell ref="O10:R11"/>
    <mergeCell ref="S10:T11"/>
    <mergeCell ref="U10:X11"/>
    <mergeCell ref="Y10:Z11"/>
    <mergeCell ref="O14:R14"/>
    <mergeCell ref="S14:T14"/>
    <mergeCell ref="U14:X14"/>
    <mergeCell ref="Y14:Z14"/>
    <mergeCell ref="O27:R28"/>
    <mergeCell ref="S27:T28"/>
    <mergeCell ref="U27:Z28"/>
    <mergeCell ref="S35:Z35"/>
    <mergeCell ref="O13:R13"/>
    <mergeCell ref="S13:T13"/>
    <mergeCell ref="U13:X13"/>
    <mergeCell ref="Y13:Z13"/>
    <mergeCell ref="F14:G14"/>
    <mergeCell ref="AB35:AE35"/>
    <mergeCell ref="AF35:AM35"/>
    <mergeCell ref="AL16:AM16"/>
    <mergeCell ref="AB18:AE18"/>
    <mergeCell ref="AF18:AG18"/>
    <mergeCell ref="AH18:AM18"/>
    <mergeCell ref="AF16:AG16"/>
    <mergeCell ref="AH16:AK16"/>
    <mergeCell ref="AB25:AM26"/>
    <mergeCell ref="S30:Z33"/>
    <mergeCell ref="S18:T18"/>
    <mergeCell ref="U18:Z18"/>
    <mergeCell ref="B3:AM3"/>
    <mergeCell ref="AB27:AE28"/>
    <mergeCell ref="AF27:AG28"/>
    <mergeCell ref="AH27:AM28"/>
    <mergeCell ref="AB30:AE33"/>
    <mergeCell ref="AF30:AM33"/>
    <mergeCell ref="AB13:AE13"/>
    <mergeCell ref="AF13:AG13"/>
    <mergeCell ref="AH13:AK13"/>
    <mergeCell ref="AL13:AM13"/>
    <mergeCell ref="AB14:AE14"/>
    <mergeCell ref="AF14:AG14"/>
    <mergeCell ref="AH14:AK14"/>
    <mergeCell ref="AL14:AM14"/>
    <mergeCell ref="AB15:AE15"/>
    <mergeCell ref="AF15:AG15"/>
    <mergeCell ref="AH15:AK15"/>
    <mergeCell ref="AL15:AM15"/>
    <mergeCell ref="AB9:AM9"/>
    <mergeCell ref="AB10:AE11"/>
    <mergeCell ref="AF10:AG11"/>
    <mergeCell ref="O25:Z26"/>
    <mergeCell ref="H14:K14"/>
    <mergeCell ref="L14:M14"/>
    <mergeCell ref="S16:T16"/>
    <mergeCell ref="AB21:AE22"/>
    <mergeCell ref="AB23:AE24"/>
    <mergeCell ref="AF23:AG24"/>
    <mergeCell ref="AF21:AG22"/>
    <mergeCell ref="AH21:AM22"/>
    <mergeCell ref="AH23:AM24"/>
    <mergeCell ref="AB19:AM20"/>
    <mergeCell ref="O21:R22"/>
    <mergeCell ref="O23:R24"/>
    <mergeCell ref="S21:T22"/>
    <mergeCell ref="U21:Z22"/>
    <mergeCell ref="U23:Z24"/>
    <mergeCell ref="S23:T24"/>
    <mergeCell ref="O19:Z20"/>
    <mergeCell ref="AB16:AE16"/>
    <mergeCell ref="L16:M16"/>
    <mergeCell ref="O18:R18"/>
    <mergeCell ref="H18:M18"/>
  </mergeCells>
  <printOptions horizontalCentered="1"/>
  <pageMargins left="0.39370078740157483" right="0.39370078740157483" top="0.9055118110236221" bottom="0.9055118110236221" header="0.23622047244094491" footer="0.23622047244094491"/>
  <pageSetup paperSize="9" scale="61" orientation="landscape" r:id="rId1"/>
  <headerFooter scaleWithDoc="0">
    <oddHeader>&amp;L&amp;"Univers,Fett"&amp;13&amp;R&amp;"Univers,Fett"&amp;16&amp;"Univers,Mittel"&amp;10
&amp;G</oddHeader>
    <oddFooter xml:space="preserve">&amp;L&amp;8Verantwortlicher: NN/NN
Verfasser: ZEK-LQ/Heller, Dirk
Datei: &amp;F
&amp;6Copyright by Brose. Alle Rechte vorbehalten&amp;C&amp;8
&amp;R&amp;8Stand: 11. Apr. 2025
Index: 216
Seite: &amp;P/&amp;N
</oddFooter>
  </headerFooter>
  <customProperties>
    <customPr name="_pios_id" r:id="rId2"/>
  </customPropertie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3796" r:id="rId6" name="Drop Down 4">
              <controlPr defaultSize="0" autoLine="0" autoPict="0">
                <anchor moveWithCells="1">
                  <from>
                    <xdr:col>20</xdr:col>
                    <xdr:colOff>79513</xdr:colOff>
                    <xdr:row>0</xdr:row>
                    <xdr:rowOff>103367</xdr:rowOff>
                  </from>
                  <to>
                    <xdr:col>23</xdr:col>
                    <xdr:colOff>246490</xdr:colOff>
                    <xdr:row>1</xdr:row>
                    <xdr:rowOff>143123</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3" id="{A8912973-F4CE-4C1D-AE69-E3FF3093D90A}">
            <xm:f>MAX(SQG_1!$AZ$22)=0</xm:f>
            <x14:dxf>
              <fill>
                <patternFill>
                  <bgColor theme="0" tint="-0.14996795556505021"/>
                </patternFill>
              </fill>
            </x14:dxf>
          </x14:cfRule>
          <x14:cfRule type="expression" priority="77" id="{3916F08F-8962-4EF9-AC25-1E9495983B53}">
            <xm:f>MAX(SQG_1!$AZ$22)=1</xm:f>
            <x14:dxf>
              <fill>
                <patternFill>
                  <bgColor rgb="FF00FF00"/>
                </patternFill>
              </fill>
            </x14:dxf>
          </x14:cfRule>
          <x14:cfRule type="expression" priority="78" id="{C7D734AD-F7A5-4BF2-8C5D-B4BA1FF20FA2}">
            <xm:f>MAX(SQG_1!$AZ$22)=2</xm:f>
            <x14:dxf>
              <fill>
                <patternFill>
                  <bgColor rgb="FFFFFF00"/>
                </patternFill>
              </fill>
            </x14:dxf>
          </x14:cfRule>
          <x14:cfRule type="expression" priority="79" id="{69EE5993-F0F6-4633-B015-15101D18A7D8}">
            <xm:f>MAX(SQG_1!$AZ$22)=3</xm:f>
            <x14:dxf>
              <fill>
                <patternFill>
                  <bgColor rgb="FFFF0000"/>
                </patternFill>
              </fill>
            </x14:dxf>
          </x14:cfRule>
          <xm:sqref>F19</xm:sqref>
        </x14:conditionalFormatting>
        <x14:conditionalFormatting xmlns:xm="http://schemas.microsoft.com/office/excel/2006/main">
          <x14:cfRule type="expression" priority="67" id="{982E59F4-C6AA-48CC-976D-385DB000ED4D}">
            <xm:f>MAX(SQG_1!$AZ$28:$AZ$35)=3</xm:f>
            <x14:dxf>
              <fill>
                <patternFill>
                  <bgColor rgb="FFFF0000"/>
                </patternFill>
              </fill>
            </x14:dxf>
          </x14:cfRule>
          <x14:cfRule type="expression" priority="66" id="{2F4A6C8F-815A-4651-9FD5-7602993C3F32}">
            <xm:f>MAX(SQG_1!$AZ$28:$AZ$35)=2</xm:f>
            <x14:dxf>
              <fill>
                <patternFill>
                  <bgColor rgb="FFFFFF00"/>
                </patternFill>
              </fill>
            </x14:dxf>
          </x14:cfRule>
          <x14:cfRule type="expression" priority="65" id="{8C04F0BD-B498-41D8-83F6-5808F366BB46}">
            <xm:f>MAX(SQG_1!$AZ$28:$AZ$35)=1</xm:f>
            <x14:dxf>
              <fill>
                <patternFill>
                  <bgColor rgb="FF00FF00"/>
                </patternFill>
              </fill>
            </x14:dxf>
          </x14:cfRule>
          <x14:cfRule type="expression" priority="64" id="{1D8BD797-DAB7-4DF4-8F97-477AC3005B81}">
            <xm:f>MAX(SQG_1!$AZ$28:$AZ$35)=0</xm:f>
            <x14:dxf>
              <fill>
                <patternFill>
                  <bgColor theme="0" tint="-0.14996795556505021"/>
                </patternFill>
              </fill>
            </x14:dxf>
          </x14:cfRule>
          <xm:sqref>F21</xm:sqref>
        </x14:conditionalFormatting>
        <x14:conditionalFormatting xmlns:xm="http://schemas.microsoft.com/office/excel/2006/main">
          <x14:cfRule type="expression" priority="72" id="{500F979F-10BC-4720-9BED-072A7CF3950F}">
            <xm:f>MAX(SQG_1!$AZ$41:$AZ$47)=0</xm:f>
            <x14:dxf>
              <fill>
                <patternFill>
                  <bgColor theme="0" tint="-0.14996795556505021"/>
                </patternFill>
              </fill>
            </x14:dxf>
          </x14:cfRule>
          <x14:cfRule type="expression" priority="599" id="{86583339-26E9-45B9-AD9D-A00E6F987004}">
            <xm:f>MAX(SQG_1!$AZ$41:$AZ$47)=1</xm:f>
            <x14:dxf>
              <fill>
                <patternFill>
                  <bgColor rgb="FF00FF00"/>
                </patternFill>
              </fill>
            </x14:dxf>
          </x14:cfRule>
          <x14:cfRule type="expression" priority="605" id="{E2F2E198-2DB7-484D-B6DD-10F6C9D0D8ED}">
            <xm:f>MAX(SQG_1!$AZ$41:$AZ$47)=2</xm:f>
            <x14:dxf>
              <fill>
                <patternFill>
                  <bgColor rgb="FFFFFF00"/>
                </patternFill>
              </fill>
            </x14:dxf>
          </x14:cfRule>
          <x14:cfRule type="expression" priority="606" id="{C9708462-2B4D-4258-9DD3-2477774C244F}">
            <xm:f>MAX(SQG_1!$AZ$41:$AZ$47)=3</xm:f>
            <x14:dxf>
              <fill>
                <patternFill>
                  <bgColor rgb="FFFF0000"/>
                </patternFill>
              </fill>
            </x14:dxf>
          </x14:cfRule>
          <xm:sqref>F23</xm:sqref>
        </x14:conditionalFormatting>
        <x14:conditionalFormatting xmlns:xm="http://schemas.microsoft.com/office/excel/2006/main">
          <x14:cfRule type="expression" priority="71" id="{1F62A564-E491-4745-9588-A26F716C90B2}">
            <xm:f>MAX(SQG_1!$AZ$54)=3</xm:f>
            <x14:dxf>
              <fill>
                <patternFill>
                  <bgColor rgb="FFFF0000"/>
                </patternFill>
              </fill>
            </x14:dxf>
          </x14:cfRule>
          <x14:cfRule type="expression" priority="70" id="{6BCFAAE1-AF48-4AE6-B65F-82392386F5E9}">
            <xm:f>MAX(SQG_1!$AZ$54)=2</xm:f>
            <x14:dxf>
              <fill>
                <patternFill>
                  <bgColor rgb="FFFFFF00"/>
                </patternFill>
              </fill>
            </x14:dxf>
          </x14:cfRule>
          <x14:cfRule type="expression" priority="69" id="{31CE50A7-FDE2-4E61-9250-47E3557AF29C}">
            <xm:f>MAX(SQG_1!$AZ$54)=1</xm:f>
            <x14:dxf>
              <fill>
                <patternFill>
                  <bgColor rgb="FF00FF00"/>
                </patternFill>
              </fill>
            </x14:dxf>
          </x14:cfRule>
          <x14:cfRule type="expression" priority="68" id="{C37642F1-32EC-4AB3-B943-19A1585F2A5A}">
            <xm:f>MAX(SQG_1!$AZ$54)=0</xm:f>
            <x14:dxf>
              <fill>
                <patternFill>
                  <bgColor theme="0" tint="-0.14996795556505021"/>
                </patternFill>
              </fill>
            </x14:dxf>
          </x14:cfRule>
          <xm:sqref>F25</xm:sqref>
        </x14:conditionalFormatting>
        <x14:conditionalFormatting xmlns:xm="http://schemas.microsoft.com/office/excel/2006/main">
          <x14:cfRule type="cellIs" priority="939" operator="equal" id="{2844B9F5-9718-4038-B6AC-C15D5501DA46}">
            <xm:f>LANGUAGE!$F$4</xm:f>
            <x14:dxf>
              <font>
                <strike val="0"/>
                <color rgb="FF00FF00"/>
              </font>
              <fill>
                <patternFill>
                  <bgColor rgb="FF00FF00"/>
                </patternFill>
              </fill>
            </x14:dxf>
          </x14:cfRule>
          <x14:cfRule type="cellIs" priority="937" operator="equal" id="{6D7417FF-E815-46C0-A071-1CB27F213EDD}">
            <xm:f>LANGUAGE!$F$6</xm:f>
            <x14:dxf>
              <font>
                <color rgb="FFFF0000"/>
              </font>
              <fill>
                <patternFill>
                  <bgColor rgb="FFFF0000"/>
                </patternFill>
              </fill>
            </x14:dxf>
          </x14:cfRule>
          <x14:cfRule type="cellIs" priority="938" operator="equal" id="{BFC65B7D-EDD3-4C0E-B80F-A666B74173DA}">
            <xm:f>LANGUAGE!$F$5</xm:f>
            <x14:dxf>
              <font>
                <color rgb="FFFFFF00"/>
              </font>
              <fill>
                <patternFill>
                  <bgColor rgb="FFFFFF00"/>
                </patternFill>
              </fill>
            </x14:dxf>
          </x14:cfRule>
          <xm:sqref>F27</xm:sqref>
        </x14:conditionalFormatting>
        <x14:conditionalFormatting xmlns:xm="http://schemas.microsoft.com/office/excel/2006/main">
          <x14:cfRule type="expression" priority="12" id="{DF9815FE-AE9B-448C-8CF7-1E003AE8023C}">
            <xm:f>MAX(SQG_2!$AZ$22:$AZ$26)=0</xm:f>
            <x14:dxf>
              <fill>
                <patternFill>
                  <bgColor theme="0" tint="-0.14996795556505021"/>
                </patternFill>
              </fill>
            </x14:dxf>
          </x14:cfRule>
          <x14:cfRule type="expression" priority="13" id="{1CF18DCF-1400-44F7-86F3-AE8DDEFEBD4F}">
            <xm:f>MAX(SQG_2!$AZ$22:$AZ$26)=1</xm:f>
            <x14:dxf>
              <fill>
                <patternFill>
                  <bgColor rgb="FF00FF00"/>
                </patternFill>
              </fill>
            </x14:dxf>
          </x14:cfRule>
          <x14:cfRule type="expression" priority="14" id="{FCA6D81D-F92F-4E72-91BB-45C605A3E114}">
            <xm:f>MAX(SQG_2!$AZ$22:$AZ$26)=2</xm:f>
            <x14:dxf>
              <fill>
                <patternFill>
                  <bgColor rgb="FFFFFF00"/>
                </patternFill>
              </fill>
            </x14:dxf>
          </x14:cfRule>
          <x14:cfRule type="expression" priority="15" id="{787C92B8-BF6D-4731-B818-F36913D9D66B}">
            <xm:f>MAX(SQG_2!$AZ$22:$AZ$26)=3</xm:f>
            <x14:dxf>
              <fill>
                <patternFill>
                  <bgColor rgb="FFFF0000"/>
                </patternFill>
              </fill>
            </x14:dxf>
          </x14:cfRule>
          <xm:sqref>S21</xm:sqref>
        </x14:conditionalFormatting>
        <x14:conditionalFormatting xmlns:xm="http://schemas.microsoft.com/office/excel/2006/main">
          <x14:cfRule type="expression" priority="20" id="{D6106972-077A-4E8D-A21A-B25367FA2D17}">
            <xm:f>MAX(SQG_2!$AZ$33:$AZ$37)=0</xm:f>
            <x14:dxf>
              <fill>
                <patternFill>
                  <bgColor theme="0" tint="-0.14996795556505021"/>
                </patternFill>
              </fill>
            </x14:dxf>
          </x14:cfRule>
          <x14:cfRule type="expression" priority="25" id="{86D6F255-E2C5-44ED-8310-E01B82A46764}">
            <xm:f>MAX(SQG_2!$AZ$33:$AZ$37)=1</xm:f>
            <x14:dxf>
              <fill>
                <patternFill>
                  <bgColor rgb="FF00FF00"/>
                </patternFill>
              </fill>
            </x14:dxf>
          </x14:cfRule>
          <x14:cfRule type="expression" priority="26" id="{D0EA0749-B574-4BDA-9509-2E7D3591144E}">
            <xm:f>MAX(SQG_2!$AZ$33:$AZ$37)=2</xm:f>
            <x14:dxf>
              <fill>
                <patternFill>
                  <bgColor rgb="FFFFFF00"/>
                </patternFill>
              </fill>
            </x14:dxf>
          </x14:cfRule>
          <x14:cfRule type="expression" priority="27" id="{5792571C-0668-49E4-A807-2FA88E23447C}">
            <xm:f>MAX(SQG_2!$AZ$33:$AZ$37)=3</xm:f>
            <x14:dxf>
              <fill>
                <patternFill>
                  <bgColor rgb="FFFF0000"/>
                </patternFill>
              </fill>
            </x14:dxf>
          </x14:cfRule>
          <xm:sqref>S23</xm:sqref>
        </x14:conditionalFormatting>
        <x14:conditionalFormatting xmlns:xm="http://schemas.microsoft.com/office/excel/2006/main">
          <x14:cfRule type="cellIs" priority="30" operator="equal" id="{461335C2-BFA2-43A6-8953-842DB69FD615}">
            <xm:f>LANGUAGE!$F$4</xm:f>
            <x14:dxf>
              <font>
                <strike val="0"/>
                <color rgb="FF00FF00"/>
              </font>
              <fill>
                <patternFill>
                  <bgColor rgb="FF00FF00"/>
                </patternFill>
              </fill>
            </x14:dxf>
          </x14:cfRule>
          <x14:cfRule type="cellIs" priority="28" operator="equal" id="{936080AA-2885-4A1A-BD8D-7DE6B1EABF57}">
            <xm:f>LANGUAGE!$F$6</xm:f>
            <x14:dxf>
              <font>
                <color rgb="FFFF0000"/>
              </font>
              <fill>
                <patternFill>
                  <bgColor rgb="FFFF0000"/>
                </patternFill>
              </fill>
            </x14:dxf>
          </x14:cfRule>
          <x14:cfRule type="cellIs" priority="29" operator="equal" id="{C96D70E5-D32D-4FD2-9711-49E530F802F7}">
            <xm:f>LANGUAGE!$F$5</xm:f>
            <x14:dxf>
              <font>
                <color rgb="FFFFFF00"/>
              </font>
              <fill>
                <patternFill>
                  <bgColor rgb="FFFFFF00"/>
                </patternFill>
              </fill>
            </x14:dxf>
          </x14:cfRule>
          <xm:sqref>S27</xm:sqref>
        </x14:conditionalFormatting>
        <x14:conditionalFormatting xmlns:xm="http://schemas.microsoft.com/office/excel/2006/main">
          <x14:cfRule type="expression" priority="3" id="{C86B61E1-23E9-422A-9B00-8BB12B1808E4}">
            <xm:f>MAX(SQG_3!$AZ$22:$AZ$27)=2</xm:f>
            <x14:dxf>
              <fill>
                <patternFill>
                  <bgColor rgb="FFFFFF00"/>
                </patternFill>
              </fill>
            </x14:dxf>
          </x14:cfRule>
          <x14:cfRule type="expression" priority="2" id="{62EC6BBD-970C-4808-8165-AA902F950919}">
            <xm:f>MAX(SQG_3!$AZ$22:$AZ$27)=1</xm:f>
            <x14:dxf>
              <fill>
                <patternFill>
                  <bgColor rgb="FF00FF00"/>
                </patternFill>
              </fill>
            </x14:dxf>
          </x14:cfRule>
          <x14:cfRule type="expression" priority="4" id="{2A3C7CC9-2531-4DD9-B00F-0889058CF961}">
            <xm:f>MAX(SQG_3!$AZ$22:$AZ$27)=3</xm:f>
            <x14:dxf>
              <fill>
                <patternFill>
                  <bgColor rgb="FFFF0000"/>
                </patternFill>
              </fill>
            </x14:dxf>
          </x14:cfRule>
          <x14:cfRule type="expression" priority="1" id="{6BFD1717-593B-4499-A163-24B357CFADF7}">
            <xm:f>MAX(SQG_3!$AZ$22:$AZ$27)=0</xm:f>
            <x14:dxf>
              <fill>
                <patternFill>
                  <bgColor theme="0" tint="-0.14996795556505021"/>
                </patternFill>
              </fill>
            </x14:dxf>
          </x14:cfRule>
          <xm:sqref>AF21</xm:sqref>
        </x14:conditionalFormatting>
        <x14:conditionalFormatting xmlns:xm="http://schemas.microsoft.com/office/excel/2006/main">
          <x14:cfRule type="expression" priority="8" id="{DACAC4FE-915D-44CE-9407-9A9D1B0511DE}">
            <xm:f>MAX(SQG_3!$AZ$33:$AZ$43)=3</xm:f>
            <x14:dxf>
              <fill>
                <patternFill>
                  <bgColor rgb="FFFF0000"/>
                </patternFill>
              </fill>
            </x14:dxf>
          </x14:cfRule>
          <x14:cfRule type="expression" priority="7" id="{31C10B84-3FF7-4BD3-976D-E6053D9F7F77}">
            <xm:f>MAX(SQG_3!$AZ$33:$AZ$43)=2</xm:f>
            <x14:dxf>
              <fill>
                <patternFill>
                  <bgColor rgb="FFFFFF00"/>
                </patternFill>
              </fill>
            </x14:dxf>
          </x14:cfRule>
          <x14:cfRule type="expression" priority="6" id="{5A4CB9AD-287E-413C-BB9B-8ED9E6CD1AC5}">
            <xm:f>MAX(SQG_3!$AZ$33:$AZ$43)=1</xm:f>
            <x14:dxf>
              <fill>
                <patternFill>
                  <bgColor rgb="FF00FF00"/>
                </patternFill>
              </fill>
            </x14:dxf>
          </x14:cfRule>
          <x14:cfRule type="expression" priority="5" id="{5572FA7D-A004-4E59-80C1-11BB74FCFFA1}">
            <xm:f>MAX(SQG_3!$AZ$33:$AZ$43)=0</xm:f>
            <x14:dxf>
              <fill>
                <patternFill>
                  <bgColor theme="0" tint="-0.14996795556505021"/>
                </patternFill>
              </fill>
            </x14:dxf>
          </x14:cfRule>
          <xm:sqref>AF23</xm:sqref>
        </x14:conditionalFormatting>
        <x14:conditionalFormatting xmlns:xm="http://schemas.microsoft.com/office/excel/2006/main">
          <x14:cfRule type="cellIs" priority="11" operator="equal" id="{51016A1E-8958-4CBC-A0B4-7442977F8BB4}">
            <xm:f>LANGUAGE!$F$4</xm:f>
            <x14:dxf>
              <font>
                <strike val="0"/>
                <color rgb="FF00FF00"/>
              </font>
              <fill>
                <patternFill>
                  <bgColor rgb="FF00FF00"/>
                </patternFill>
              </fill>
            </x14:dxf>
          </x14:cfRule>
          <x14:cfRule type="cellIs" priority="10" operator="equal" id="{4ED9FF7A-A6FF-4B1A-B8C3-E9144FD45764}">
            <xm:f>LANGUAGE!$F$5</xm:f>
            <x14:dxf>
              <font>
                <color rgb="FFFFFF00"/>
              </font>
              <fill>
                <patternFill>
                  <bgColor rgb="FFFFFF00"/>
                </patternFill>
              </fill>
            </x14:dxf>
          </x14:cfRule>
          <x14:cfRule type="cellIs" priority="9" operator="equal" id="{32D60284-8A9E-4E51-AEA3-228E9C7EFAD1}">
            <xm:f>LANGUAGE!$F$6</xm:f>
            <x14:dxf>
              <font>
                <color rgb="FFFF0000"/>
              </font>
              <fill>
                <patternFill>
                  <bgColor rgb="FFFF0000"/>
                </patternFill>
              </fill>
            </x14:dxf>
          </x14:cfRule>
          <xm:sqref>AF27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D2EAB907869A14383CB75E9DFB04C10" ma:contentTypeVersion="19" ma:contentTypeDescription="Create a new document." ma:contentTypeScope="" ma:versionID="ebcc7109d806b02575d3c06e30985483">
  <xsd:schema xmlns:xsd="http://www.w3.org/2001/XMLSchema" xmlns:xs="http://www.w3.org/2001/XMLSchema" xmlns:p="http://schemas.microsoft.com/office/2006/metadata/properties" xmlns:ns2="816d22e5-93b6-44cf-a50c-293f858cd7d7" xmlns:ns3="e5a5c70b-14ad-4d46-81f6-8676a668313a" targetNamespace="http://schemas.microsoft.com/office/2006/metadata/properties" ma:root="true" ma:fieldsID="fecc336cf57900b21709b52f19886535" ns2:_="" ns3:_="">
    <xsd:import namespace="816d22e5-93b6-44cf-a50c-293f858cd7d7"/>
    <xsd:import namespace="e5a5c70b-14ad-4d46-81f6-8676a668313a"/>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d22e5-93b6-44cf-a50c-293f858cd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e0e97c-4968-40d3-a9d9-6b699292d5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a5c70b-14ad-4d46-81f6-8676a668313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0941c2-f939-4b41-8802-7636a9db2366}" ma:internalName="TaxCatchAll" ma:showField="CatchAllData" ma:web="e5a5c70b-14ad-4d46-81f6-8676a66831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5a5c70b-14ad-4d46-81f6-8676a668313a">
      <UserInfo>
        <DisplayName>Abou-Rakha, Atif</DisplayName>
        <AccountId>12</AccountId>
        <AccountType/>
      </UserInfo>
      <UserInfo>
        <DisplayName>Schluchter, Philipp</DisplayName>
        <AccountId>16</AccountId>
        <AccountType/>
      </UserInfo>
    </SharedWithUsers>
    <TaxCatchAll xmlns="e5a5c70b-14ad-4d46-81f6-8676a668313a" xsi:nil="true"/>
    <lcf76f155ced4ddcb4097134ff3c332f xmlns="816d22e5-93b6-44cf-a50c-293f858cd7d7">
      <Terms xmlns="http://schemas.microsoft.com/office/infopath/2007/PartnerControls"/>
    </lcf76f155ced4ddcb4097134ff3c332f>
  </documentManagement>
</p:properties>
</file>

<file path=customXml/item4.xml><?xml version="1.0" encoding="utf-8"?>
<BroseExcelWorkbookSettings xmlns:xsi="http://www.w3.org/2001/XMLSchema-instance" xmlns:xsd="http://www.w3.org/2001/XMLSchema" xmlns="http://brose.net/Office/BroseWorkbookSettings">
  <SheetSettings>
    <item>
      <key>
        <string xmlns="">LQG1</string>
      </key>
      <value>
        <BroseDocumentSettings xmlns="http://brose.net/Office/BroseDocumentSettings">
          <Creator>Winzbeck, Benedikt</Creator>
          <DisplayDate>Modified</DisplayDate>
          <Function>ZPL-AW</Function>
          <LanguageFooter>Deutsch</LanguageFooter>
          <Logo>Black</Logo>
          <PageCount>PageXFromYCount</PageCount>
          <Sensitivity>NoSensitivity</Sensitivity>
          <ShowCopyright>true</ShowCopyright>
          <ShowCreator>true</ShowCreator>
          <ShowFooter>true</ShowFooter>
          <ShowFunction>false</ShowFunction>
          <ShowIndex>true</ShowIndex>
          <ShowSavePath>true</ShowSavePath>
          <ShowSheetName>true</ShowSheetName>
        </BroseDocumentSettings>
      </value>
    </item>
    <item>
      <key>
        <string xmlns="">Result</string>
      </key>
      <value>
        <BroseDocumentSettings xmlns="http://brose.net/Office/BroseDocumentSettings">
          <Creator>Winzbeck, Benedikt</Creator>
          <DisplayDate>Modified</DisplayDate>
          <Function>ZPL-AW</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Bewertungskriterien</string>
      </key>
      <value>
        <BroseDocumentSettings xmlns="http://brose.net/Office/BroseDocumentSettings">
          <Creator>Winzbeck, Benedikt</Creator>
          <DisplayDate>Modified</DisplayDate>
          <Function>ZPL-AW</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LQG2</string>
      </key>
      <value>
        <BroseDocumentSettings xmlns="http://brose.net/Office/BroseDocumentSettings">
          <Creator>Winzbeck, Benedikt</Creator>
          <DisplayDate>Modified</DisplayDate>
          <Function>ZPL-AW</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LQG3</string>
      </key>
      <value>
        <BroseDocumentSettings xmlns="http://brose.net/Office/BroseDocumentSettings">
          <Creator>Winzbeck, Benedikt</Creator>
          <DisplayDate>Modified</DisplayDate>
          <Function>ZPL-AW</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SQG1</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SQG1 (2)</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SQG2</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SQG2 (2)</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SQG3</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Sheet2</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 Instructions</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Sheet3</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Ergebnis</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Ergebnis (2)</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SQG1 (3)</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Instructions - Anweisungen</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Result (2)</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SQG3 (2)</string>
      </key>
      <value>
        <BroseDocumentSettings xmlns="http://brose.net/Office/BroseDocumentSettings">
          <Creator>Winzbeck, Benedikt</Creator>
          <DisplayDate>Modified</DisplayDate>
          <Function>ZPL-AW</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Timing Plan</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Contacts</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Drawing Review</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Packaging</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Tooling</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Mixed Parts Audit</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FRT Result</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FRT release &amp;Initial Sample</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FRT Gewichte</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FRT Weights</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FRT Process Approval</string>
      </key>
      <value>
        <BroseDocumentSettings xmlns="http://brose.net/Office/BroseDocumentSettings">
          <Creator>Phillips, Jeffrey</Creator>
          <DisplayDate>Modified</DisplayDate>
          <Function>NA/TQU</Function>
          <LanguageFooter>English USA</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Tabelle2</string>
      </key>
      <value>
        <BroseDocumentSettings xmlns="http://brose.net/Office/BroseDocumentSettings">
          <Creator>Wolf, Nicolas</Creator>
          <DisplayDate>Modified</DisplayDate>
          <Function>TQU</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Process release &amp;Initial Sample</string>
      </key>
      <value>
        <BroseDocumentSettings xmlns="http://brose.net/Office/BroseDocumentSettings">
          <Creator>Wolf, Nicolas</Creator>
          <DisplayDate>Modified</DisplayDate>
          <Function>TQU</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Process release &amp;Initial Sa (2</string>
      </key>
      <value>
        <BroseDocumentSettings xmlns="http://brose.net/Office/BroseDocumentSettings">
          <Creator>Wolf, Nicolas</Creator>
          <DisplayDate>Modified</DisplayDate>
          <Function>TQU</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Gewichte</string>
      </key>
      <value>
        <BroseDocumentSettings xmlns="http://brose.net/Office/BroseDocumentSettings">
          <Creator>Wolf, Nicolas</Creator>
          <DisplayDate>Modified</DisplayDate>
          <Function>TQU</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Weights</string>
      </key>
      <value>
        <BroseDocumentSettings xmlns="http://brose.net/Office/BroseDocumentSettings">
          <Creator>Wolf, Nicolas</Creator>
          <DisplayDate>Modified</DisplayDate>
          <Function>TQU</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Result </string>
      </key>
      <value>
        <BroseDocumentSettings xmlns="http://brose.net/Office/BroseDocumentSettings">
          <Creator>Wolf, Nicolas</Creator>
          <DisplayDate>Modified</DisplayDate>
          <Function>TQU</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Tabelle1</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BasicDataSupplier</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FRT-Result</string>
      </key>
      <value>
        <BroseDocumentSettings xmlns="http://brose.net/Office/BroseDocumentSettings">
          <Creator>Schneider, Annika</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SQG-Result</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FRT-Result </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Full-Run-Test</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LQG-Ergebnis</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BasicData_Contacts</string>
      </key>
      <value>
        <BroseDocumentSettings xmlns="http://brose.net/Office/BroseDocumentSettings">
          <Creator>Schneider, Annika</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TP Anleitung</string>
      </key>
      <value>
        <BroseDocumentSettings xmlns="http://brose.net/Office/BroseDocumentSettings">
          <Creator>Schneider, Annika</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TP</string>
      </key>
      <value>
        <BroseDocumentSettings xmlns="http://brose.net/Office/BroseDocumentSettings">
          <Creator>Schneider, Annika</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TP Introduction</string>
      </key>
      <value>
        <BroseDocumentSettings xmlns="http://brose.net/Office/BroseDocumentSettings">
          <Creator>Schneider, Annika</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TP Status</string>
      </key>
      <value>
        <BroseDocumentSettings xmlns="http://brose.net/Office/BroseDocumentSettings">
          <Creator>Schneider, Annika</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TP DE</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TP EN</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optional Mixed Parts Audit</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optional Drawing Review</string>
      </key>
      <value>
        <BroseDocumentSettings xmlns="http://brose.net/Office/BroseDocumentSettings">
          <Creator>Müller, Stefan (ZQU)</Creator>
          <DisplayDate>Modified</DisplayDate>
          <Function>ZQU-PF</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SQG-Result- LQG-Ergebnis</string>
      </key>
      <value>
        <BroseDocumentSettings xmlns="http://brose.net/Office/BroseDocumentSettings">
          <Creator>Yakar, Soner</Creator>
          <DisplayDate>Modified</DisplayDate>
          <Function>ZQU-LQ</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SQG1-LQG1</string>
      </key>
      <value>
        <BroseDocumentSettings xmlns="http://brose.net/Office/BroseDocumentSettings">
          <Creator>Yakar, Soner</Creator>
          <DisplayDate>Modified</DisplayDate>
          <Function>ZQU-LQ</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SQG2-LQG2</string>
      </key>
      <value>
        <BroseDocumentSettings xmlns="http://brose.net/Office/BroseDocumentSettings">
          <Creator>Yakar, Soner</Creator>
          <DisplayDate>Modified</DisplayDate>
          <Function>ZQU-LQ</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SQG3-LQG3</string>
      </key>
      <value>
        <BroseDocumentSettings xmlns="http://brose.net/Office/BroseDocumentSettings">
          <Creator>Yakar, Soner</Creator>
          <DisplayDate>Modified</DisplayDate>
          <Function>ZQU-LQ</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FRT-Result -FRT-Ergebnis</string>
      </key>
      <value>
        <BroseDocumentSettings xmlns="http://brose.net/Office/BroseDocumentSettings">
          <Creator>Demircioglu, Selcuk</Creator>
          <DisplayDate>Modified</DisplayDate>
          <Function>ZQU-LQ</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item>
      <key>
        <string xmlns="">Hilfstabelle SQG DEEN</string>
      </key>
      <value>
        <BroseDocumentSettings xmlns="http://brose.net/Office/BroseDocumentSettings">
          <Creator>Demircioglu, Selcuk</Creator>
          <DisplayDate>Modified</DisplayDate>
          <Function>ZQU-LQ</Function>
          <LanguageFooter>Deutsch</LanguageFooter>
          <Logo>Black</Logo>
          <PageCount>PageXFromYCount</PageCount>
          <Sensitivity>NoSensitivity</Sensitivity>
          <ShowCopyright>true</ShowCopyright>
          <ShowCreator>true</ShowCreator>
          <ShowFooter>true</ShowFooter>
          <ShowFunction>true</ShowFunction>
          <ShowIndex>true</ShowIndex>
          <ShowSavePath>true</ShowSavePath>
          <ShowSheetName>true</ShowSheetName>
        </BroseDocumentSettings>
      </value>
    </item>
  </SheetSettings>
</BroseExcelWorkbookSettings>
</file>

<file path=customXml/item5.xml><?xml version="1.0" encoding="utf-8"?>
<BroseExcelMarginSettings xmlns:xsi="http://www.w3.org/2001/XMLSchema-instance" xmlns:xsd="http://www.w3.org/2001/XMLSchema" xmlns="http://brose.net/Office/BroseExcelMarginSettings">
  <SheetSettings>
    <item>
      <key>
        <string xmlns="">Tabelle1</string>
      </key>
      <value>
        <ExcelMargins xmlns="" TopMargin="56.692913399999995" BottomMargin="56.692913399999995" LeftMargin="50.4" RightMargin="50.4" HeaderDistance="21.599999999999998" FooterDistance="21.599999999999998"/>
      </value>
    </item>
    <item>
      <key>
        <string xmlns="">LQG3</string>
      </key>
      <value>
        <ExcelMargins xmlns="" TopMargin="70.866141732283467" BottomMargin="53.858267716535437" LeftMargin="45.354330708661415" RightMargin="17.007874015748033" HeaderDistance="22.677165354330707" FooterDistance="22.677165354330707"/>
      </value>
    </item>
    <item>
      <key>
        <string xmlns="">LQG2</string>
      </key>
      <value>
        <ExcelMargins xmlns="" TopMargin="70.866141732283467" BottomMargin="53.858267716535437" LeftMargin="31.181102362204726" RightMargin="17.007874015748033" HeaderDistance="22.677165354330707" FooterDistance="22.677165354330707"/>
      </value>
    </item>
    <item>
      <key>
        <string xmlns="">LQG1</string>
      </key>
      <value>
        <ExcelMargins xmlns="" TopMargin="70.866141732283467" BottomMargin="59.527559055118118" LeftMargin="51.0236220472441" RightMargin="17.007874015748033" HeaderDistance="17.007874015748033" FooterDistance="17.007874015748033"/>
      </value>
    </item>
    <item>
      <key>
        <string xmlns="">Result</string>
      </key>
      <value>
        <ExcelMargins xmlns="" TopMargin="70.866141732283467" BottomMargin="70.866141732283467" LeftMargin="53.858267716535437" RightMargin="42.519685039370081" HeaderDistance="19.84251968503937" FooterDistance="22.677165354330707"/>
      </value>
    </item>
    <item>
      <key>
        <string xmlns="">Bewertungskriterien</string>
      </key>
      <value>
        <ExcelMargins xmlns="" TopMargin="85.039370078740163" BottomMargin="70.866141732283467" LeftMargin="53.858267716535437" RightMargin="39.685039370078741" HeaderDistance="19.84251968503937" FooterDistance="19.84251968503937"/>
      </value>
    </item>
    <item>
      <key>
        <string xmlns="">SQG2</string>
      </key>
      <value>
        <ExcelMargins xmlns="" TopMargin="73.7007874015748" BottomMargin="59.527559055118118" LeftMargin="45.354330708661415" RightMargin="17.007874015748033" HeaderDistance="22.677165354330707" FooterDistance="22.677165354330707"/>
      </value>
    </item>
    <item>
      <key>
        <string xmlns="">SQG1</string>
      </key>
      <value>
        <ExcelMargins xmlns="" TopMargin="70.866141732283467" BottomMargin="63.36" LeftMargin="17.28" RightMargin="17.007874015748033" HeaderDistance="22.677165354330707" FooterDistance="22.677165354330707"/>
      </value>
    </item>
    <item>
      <key>
        <string xmlns="">SQG3</string>
      </key>
      <value>
        <ExcelMargins xmlns="" TopMargin="70.866141732283467" BottomMargin="53.858267716535437" LeftMargin="45.354330708661415" RightMargin="17.007874015748033" HeaderDistance="22.677165354330707" FooterDistance="22.677165354330707"/>
      </value>
    </item>
    <item>
      <key>
        <string xmlns="">Sheet2</string>
      </key>
      <value>
        <ExcelMargins xmlns="" TopMargin="54" BottomMargin="54" LeftMargin="50.4" RightMargin="50.4" HeaderDistance="21.599999999999998" FooterDistance="21.599999999999998"/>
      </value>
    </item>
    <item>
      <key>
        <string xmlns="">Sheet3</string>
      </key>
      <value>
        <ExcelMargins xmlns="" TopMargin="54" BottomMargin="54" LeftMargin="50.4" RightMargin="50.4" HeaderDistance="21.599999999999998" FooterDistance="21.599999999999998"/>
      </value>
    </item>
    <item>
      <key>
        <string xmlns="">SQG Instructions</string>
      </key>
      <value>
        <ExcelMargins xmlns="" TopMargin="54" BottomMargin="54" LeftMargin="50.4" RightMargin="50.4" HeaderDistance="21.599999999999998" FooterDistance="21.599999999999998"/>
      </value>
    </item>
    <item>
      <key>
        <string xmlns="">Instructions - Anweisungen</string>
      </key>
      <value>
        <ExcelMargins xmlns="" TopMargin="68.031496062992133" BottomMargin="64.8" LeftMargin="51.0236220472441" RightMargin="66.240000000000009" HeaderDistance="22.677165354330707" FooterDistance="29.52"/>
      </value>
    </item>
    <item>
      <key>
        <string xmlns="">Ergebnis</string>
      </key>
      <value>
        <ExcelMargins xmlns="" TopMargin="70.866141732283467" BottomMargin="70.866141732283467" LeftMargin="53.858267716535437" RightMargin="42.519685039370081" HeaderDistance="19.84251968503937" FooterDistance="22.677165354330707"/>
      </value>
    </item>
    <item>
      <key>
        <string xmlns="">FRT Weights</string>
      </key>
      <value>
        <ExcelMargins xmlns="" TopMargin="70.86614173214285" BottomMargin="65.196849041907029" LeftMargin="51.023620695478463" RightMargin="39.6850386941678" HeaderDistance="17.007874691546476" FooterDistance="19.8425193470839"/>
      </value>
    </item>
    <item>
      <key>
        <string xmlns="">FRT Gewichte</string>
      </key>
      <value>
        <ExcelMargins xmlns="" TopMargin="70.86614173214285" BottomMargin="65.196849041907029" LeftMargin="51.023620695478463" RightMargin="39.6850386941678" HeaderDistance="17.007874691546476" FooterDistance="19.8425193470839"/>
      </value>
    </item>
    <item>
      <key>
        <string xmlns="">FRT release &amp;Initial Sample</string>
      </key>
      <value>
        <ExcelMargins xmlns="" TopMargin="70.86614173214285" BottomMargin="65.196849041907029" LeftMargin="51.023620695478463" RightMargin="39.6850386941678" HeaderDistance="17.007874691546476" FooterDistance="19.8425193470839"/>
      </value>
    </item>
    <item>
      <key>
        <string xmlns="">FRT Result</string>
      </key>
      <value>
        <ExcelMargins xmlns="" TopMargin="70.86614173214285" BottomMargin="65.196849041907029" LeftMargin="51.023620695478463" RightMargin="39.6850386941678" HeaderDistance="17.007874691546476" FooterDistance="19.8425193470839"/>
      </value>
    </item>
    <item>
      <key>
        <string xmlns="">Mixed Parts Audit</string>
      </key>
      <value>
        <ExcelMargins xmlns="" TopMargin="56.692913385826778" BottomMargin="14.173228346456694" LeftMargin="36.8503937007874" RightMargin="11.338582677165354" HeaderDistance="5.6692913385826769" FooterDistance="11.338582677165354"/>
      </value>
    </item>
    <item>
      <key>
        <string xmlns="">Tooling</string>
      </key>
      <value>
        <ExcelMargins xmlns="" TopMargin="54" BottomMargin="54" LeftMargin="50.4" RightMargin="50.4" HeaderDistance="21.599999999999998" FooterDistance="21.599999999999998"/>
      </value>
    </item>
    <item>
      <key>
        <string xmlns="">Packaging</string>
      </key>
      <value>
        <ExcelMargins xmlns="" TopMargin="70.86614173214285" BottomMargin="65.196849041907029" LeftMargin="51.023620695478463" RightMargin="39.6850386941678" HeaderDistance="17.007874691546476" FooterDistance="19.8425193470839"/>
      </value>
    </item>
    <item>
      <key>
        <string xmlns="">Drawing Review</string>
      </key>
      <value>
        <ExcelMargins xmlns="" TopMargin="70.866141732283467" BottomMargin="65.196850393700785" LeftMargin="48.96" RightMargin="39.685039370078741" HeaderDistance="17.007874015748033" FooterDistance="19.84251968503937"/>
      </value>
    </item>
    <item>
      <key>
        <string xmlns="">Contacts</string>
      </key>
      <value>
        <ExcelMargins xmlns="" TopMargin="70.86614173214285" BottomMargin="65.196849041907029" LeftMargin="51.023620695478463" RightMargin="39.6850386941678" HeaderDistance="17.007874691546476" FooterDistance="19.8425193470839"/>
      </value>
    </item>
    <item>
      <key>
        <string xmlns="">Timing Plan</string>
      </key>
      <value>
        <ExcelMargins xmlns="" TopMargin="54" BottomMargin="54" LeftMargin="50.4" RightMargin="50.4" HeaderDistance="21.599999999999998" FooterDistance="21.599999999999998"/>
      </value>
    </item>
    <item>
      <key>
        <string xmlns="">FRT Process Approval</string>
      </key>
      <value>
        <ExcelMargins xmlns="" TopMargin="70.86614173214285" BottomMargin="65.196849041907029" LeftMargin="51.023620695478463" RightMargin="39.6850386941678" HeaderDistance="17.007874691546476" FooterDistance="19.8425193470839"/>
      </value>
    </item>
    <item>
      <key>
        <string xmlns="">Tabelle2</string>
      </key>
      <value>
        <ExcelMargins xmlns="" TopMargin="56.692913399999995" BottomMargin="56.692913399999995" LeftMargin="50.4" RightMargin="50.4" HeaderDistance="21.599999999999998" FooterDistance="21.599999999999998"/>
      </value>
    </item>
    <item>
      <key>
        <string xmlns="">Process release &amp;Initial Sample</string>
      </key>
      <value>
        <ExcelMargins xmlns="" TopMargin="70.86614173214285" BottomMargin="65.196849041907029" LeftMargin="51.023620695478463" RightMargin="39.6850386941678" HeaderDistance="17.007874691546476" FooterDistance="19.8425193470839"/>
      </value>
    </item>
    <item>
      <key>
        <string xmlns="">Result </string>
      </key>
      <value>
        <ExcelMargins xmlns="" TopMargin="70.86614173214285" BottomMargin="65.196849041907029" LeftMargin="51.023620695478463" RightMargin="39.6850386941678" HeaderDistance="17.007874691546476" FooterDistance="19.8425193470839"/>
      </value>
    </item>
    <item>
      <key>
        <string xmlns="">Weights</string>
      </key>
      <value>
        <ExcelMargins xmlns="" TopMargin="70.866141732283467" BottomMargin="65.196850393700785" LeftMargin="51.0236220472441" RightMargin="39.685039370078741" HeaderDistance="17.007874015748033" FooterDistance="19.84251968503937"/>
      </value>
    </item>
    <item>
      <key>
        <string xmlns="">Gewichte</string>
      </key>
      <value>
        <ExcelMargins xmlns="" TopMargin="70.866141732283467" BottomMargin="65.196850393700785" LeftMargin="51.0236220472441" RightMargin="39.685039370078741" HeaderDistance="17.007874015748033" FooterDistance="19.84251968503937"/>
      </value>
    </item>
    <item>
      <key>
        <string xmlns="">BasicDataSupplier</string>
      </key>
      <value>
        <ExcelMargins xmlns="" TopMargin="56.692913399999995" BottomMargin="56.692913399999995" LeftMargin="50.4" RightMargin="50.4" HeaderDistance="21.599999999999998" FooterDistance="21.599999999999998"/>
      </value>
    </item>
    <item>
      <key>
        <string xmlns="">FRT-Result</string>
      </key>
      <value>
        <ExcelMargins xmlns="" TopMargin="70.866141732283467" BottomMargin="70.866141732283467" LeftMargin="53.858267716535437" RightMargin="42.519685039370081" HeaderDistance="19.84251968503937" FooterDistance="22.677165354330707"/>
      </value>
    </item>
    <item>
      <key>
        <string xmlns="">Full-Run-Test</string>
      </key>
      <value>
        <ExcelMargins xmlns="" TopMargin="70.866141732283467" BottomMargin="65.196850393700785" LeftMargin="51.0236220472441" RightMargin="39.685039370078741" HeaderDistance="17.007874015748033" FooterDistance="19.84251968503937"/>
      </value>
    </item>
    <item>
      <key>
        <string xmlns="">FRT-Result </string>
      </key>
      <value>
        <ExcelMargins xmlns="" TopMargin="70.866141732283467" BottomMargin="65.196850393700785" LeftMargin="51.0236220472441" RightMargin="39.685039370078741" HeaderDistance="17.007874015748033" FooterDistance="19.84251968503937"/>
      </value>
    </item>
    <item>
      <key>
        <string xmlns="">LQG-Ergebnis</string>
      </key>
      <value>
        <ExcelMargins xmlns="" TopMargin="70.866141732283467" BottomMargin="70.866141732283467" LeftMargin="53.858267716535437" RightMargin="42.519685039370081" HeaderDistance="19.84251968503937" FooterDistance="22.677165354330707"/>
      </value>
    </item>
    <item>
      <key>
        <string xmlns="">SQG-Result</string>
      </key>
      <value>
        <ExcelMargins xmlns="" TopMargin="70.866141732283467" BottomMargin="70.866141732283467" LeftMargin="39.685039370078741" RightMargin="42.519685039370081" HeaderDistance="19.84251968503937" FooterDistance="22.677165354330707"/>
      </value>
    </item>
    <item>
      <key>
        <string xmlns="">TP Status</string>
      </key>
      <value>
        <ExcelMargins xmlns="" TopMargin="28.346456692913389" BottomMargin="36.8503937007874" LeftMargin="36.8503937007874" RightMargin="25.511811023622052" HeaderDistance="2.8346456692913384" FooterDistance="5.6692913385826769"/>
      </value>
    </item>
    <item>
      <key>
        <string xmlns="">TP Introduction</string>
      </key>
      <value>
        <ExcelMargins xmlns="" TopMargin="28.346456692913389" BottomMargin="36.8503937007874" LeftMargin="36.8503937007874" RightMargin="25.511811023622052" HeaderDistance="2.8346456692913384" FooterDistance="5.6692913385826769"/>
      </value>
    </item>
    <item>
      <key>
        <string xmlns="">TP</string>
      </key>
      <value>
        <ExcelMargins xmlns="" TopMargin="28.346456692913389" BottomMargin="36.8503937007874" LeftMargin="36.8503937007874" RightMargin="25.511811023622052" HeaderDistance="2.8346456692913384" FooterDistance="5.6692913385826769"/>
      </value>
    </item>
    <item>
      <key>
        <string xmlns="">TP Anleitung</string>
      </key>
      <value>
        <ExcelMargins xmlns="" TopMargin="28.346456692913389" BottomMargin="36.8503937007874" LeftMargin="36.8503937007874" RightMargin="25.511811023622052" HeaderDistance="2.8346456692913384" FooterDistance="5.6692913385826769"/>
      </value>
    </item>
    <item>
      <key>
        <string xmlns="">BasicData_Contacts</string>
      </key>
      <value>
        <ExcelMargins xmlns="" TopMargin="70.866141732283467" BottomMargin="65.196850393700785" LeftMargin="51.0236220472441" RightMargin="39.685039370078741" HeaderDistance="17.007874015748033" FooterDistance="19.84251968503937"/>
      </value>
    </item>
    <item>
      <key>
        <string xmlns="">TP EN</string>
      </key>
      <value>
        <ExcelMargins xmlns="" TopMargin="62.362204724409452" BottomMargin="53.858267716535437" LeftMargin="28.346456692913389" RightMargin="25.511811023622052" HeaderDistance="0" FooterDistance="5.6692913385826769"/>
      </value>
    </item>
    <item>
      <key>
        <string xmlns="">TP DE</string>
      </key>
      <value>
        <ExcelMargins xmlns="" TopMargin="59.527559055118118" BottomMargin="51.0236220472441" LeftMargin="36.8503937007874" RightMargin="25.511811023622052" HeaderDistance="0" FooterDistance="5.6692913385826769"/>
      </value>
    </item>
    <item>
      <key>
        <string xmlns="">optional Drawing Review</string>
      </key>
      <value>
        <ExcelMargins xmlns="" TopMargin="70.866141732283467" BottomMargin="65.196850393700785" LeftMargin="48.96" RightMargin="39.685039370078741" HeaderDistance="17.007874015748033" FooterDistance="19.84251968503937"/>
      </value>
    </item>
    <item>
      <key>
        <string xmlns="">optional Mixed Parts Audit</string>
      </key>
      <value>
        <ExcelMargins xmlns="" TopMargin="56.692913385826778" BottomMargin="14.173228346456694" LeftMargin="36.8503937007874" RightMargin="11.338582677165354" HeaderDistance="5.6692913385826769" FooterDistance="11.338582677165354"/>
      </value>
    </item>
    <item>
      <key>
        <string xmlns="">optional Timingplan -Terminplan</string>
      </key>
      <value>
        <ExcelMargins xmlns="" TopMargin="62.362204724409452" BottomMargin="53.858267716535437" LeftMargin="28.346456692913389" RightMargin="25.511811023622052" HeaderDistance="0" FooterDistance="5.6692913385826769"/>
      </value>
    </item>
    <item>
      <key>
        <string xmlns="">optional TP DE</string>
      </key>
      <value>
        <ExcelMargins xmlns="" TopMargin="59.527559055118118" BottomMargin="51.0236220472441" LeftMargin="36.8503937007874" RightMargin="25.511811023622052" HeaderDistance="0" FooterDistance="5.6692913385826769"/>
      </value>
    </item>
    <item>
      <key>
        <string xmlns="">Weights- Gewichte</string>
      </key>
      <value>
        <ExcelMargins xmlns="" TopMargin="70.866141732283467" BottomMargin="65.196850393700785" LeftMargin="51.0236220472441" RightMargin="39.685039370078741" HeaderDistance="17.007874015748033" FooterDistance="19.84251968503937"/>
      </value>
    </item>
    <item>
      <key>
        <string xmlns="">FRT-Result -FRT-Ergebnis</string>
      </key>
      <value>
        <ExcelMargins xmlns="" TopMargin="70.866141732283467" BottomMargin="65.196850393700785" LeftMargin="51.0236220472441" RightMargin="39.685039370078741" HeaderDistance="17.007874015748033" FooterDistance="19.84251968503937"/>
      </value>
    </item>
    <item>
      <key>
        <string xmlns="">SQG3-LQG3</string>
      </key>
      <value>
        <ExcelMargins xmlns="" TopMargin="70.866141732283467" BottomMargin="53.858267716535437" LeftMargin="45.354330708661415" RightMargin="17.007874015748033" HeaderDistance="22.677165354330707" FooterDistance="22.677165354330707"/>
      </value>
    </item>
    <item>
      <key>
        <string xmlns="">SQG2-LQG2</string>
      </key>
      <value>
        <ExcelMargins xmlns="" TopMargin="73.7007874015748" BottomMargin="59.527559055118118" LeftMargin="45.354330708661415" RightMargin="17.007874015748033" HeaderDistance="22.677165354330707" FooterDistance="22.677165354330707"/>
      </value>
    </item>
    <item>
      <key>
        <string xmlns="">SQG1-LQG1</string>
      </key>
      <value>
        <ExcelMargins xmlns="" TopMargin="70.866141732283467" BottomMargin="63.36" LeftMargin="17.28" RightMargin="17.007874015748033" HeaderDistance="22.677165354330707" FooterDistance="22.677165354330707"/>
      </value>
    </item>
    <item>
      <key>
        <string xmlns="">SQG-Result- LQG-Ergebnis</string>
      </key>
      <value>
        <ExcelMargins xmlns="" TopMargin="70.866141732283467" BottomMargin="70.866141732283467" LeftMargin="39.685039370078741" RightMargin="42.519685039370081" HeaderDistance="19.84251968503937" FooterDistance="22.677165354330707"/>
      </value>
    </item>
    <item>
      <key>
        <string xmlns="">Hilfstabelle SQG DEEN</string>
      </key>
      <value>
        <ExcelMargins xmlns="" TopMargin="56.692913399999995" BottomMargin="56.692913399999995" LeftMargin="50.4" RightMargin="50.4" HeaderDistance="21.599999999999998" FooterDistance="21.599999999999998"/>
      </value>
    </item>
    <item>
      <key>
        <string xmlns="">BasicData_Contacts - BasisDaten</string>
      </key>
      <value>
        <ExcelMargins xmlns="" TopMargin="70.866141732283467" BottomMargin="65.196850393700785" LeftMargin="51.0236220472441" RightMargin="39.685039370078741" HeaderDistance="17.007874015748033" FooterDistance="19.84251968503937"/>
      </value>
    </item>
  </SheetSettings>
</BroseExcelMarginSettings>
</file>

<file path=customXml/itemProps1.xml><?xml version="1.0" encoding="utf-8"?>
<ds:datastoreItem xmlns:ds="http://schemas.openxmlformats.org/officeDocument/2006/customXml" ds:itemID="{8383C5F3-AE54-47CF-A496-7304EC6A086D}">
  <ds:schemaRefs>
    <ds:schemaRef ds:uri="http://schemas.microsoft.com/sharepoint/v3/contenttype/forms"/>
  </ds:schemaRefs>
</ds:datastoreItem>
</file>

<file path=customXml/itemProps2.xml><?xml version="1.0" encoding="utf-8"?>
<ds:datastoreItem xmlns:ds="http://schemas.openxmlformats.org/officeDocument/2006/customXml" ds:itemID="{E35662B9-EACB-4656-A7D2-89E1A09D8A33}"/>
</file>

<file path=customXml/itemProps3.xml><?xml version="1.0" encoding="utf-8"?>
<ds:datastoreItem xmlns:ds="http://schemas.openxmlformats.org/officeDocument/2006/customXml" ds:itemID="{F69F8066-52B8-4E6F-8189-DDFD41190DDB}">
  <ds:schemaRefs>
    <ds:schemaRef ds:uri="http://purl.org/dc/elements/1.1/"/>
    <ds:schemaRef ds:uri="f93f78d5-0526-4689-8ccb-1abdb7e44db6"/>
    <ds:schemaRef ds:uri="http://schemas.microsoft.com/office/infopath/2007/PartnerControls"/>
    <ds:schemaRef ds:uri="http://www.w3.org/XML/1998/namespace"/>
    <ds:schemaRef ds:uri="http://purl.org/dc/dcmitype/"/>
    <ds:schemaRef ds:uri="http://schemas.microsoft.com/office/2006/documentManagement/types"/>
    <ds:schemaRef ds:uri="http://schemas.microsoft.com/office/2006/metadata/properties"/>
    <ds:schemaRef ds:uri="http://purl.org/dc/terms/"/>
    <ds:schemaRef ds:uri="http://schemas.openxmlformats.org/package/2006/metadata/core-properties"/>
    <ds:schemaRef ds:uri="4f030276-c3cd-46d2-8165-890fd377b52f"/>
    <ds:schemaRef ds:uri="http://schemas.microsoft.com/sharepoint/v3"/>
  </ds:schemaRefs>
</ds:datastoreItem>
</file>

<file path=customXml/itemProps4.xml><?xml version="1.0" encoding="utf-8"?>
<ds:datastoreItem xmlns:ds="http://schemas.openxmlformats.org/officeDocument/2006/customXml" ds:itemID="{3BE32243-C824-4B5D-B7CE-1A92FB56625A}">
  <ds:schemaRefs>
    <ds:schemaRef ds:uri="http://www.w3.org/2001/XMLSchema"/>
    <ds:schemaRef ds:uri="http://brose.net/Office/BroseWorkbookSettings"/>
    <ds:schemaRef ds:uri=""/>
    <ds:schemaRef ds:uri="http://brose.net/Office/BroseDocumentSettings"/>
  </ds:schemaRefs>
</ds:datastoreItem>
</file>

<file path=customXml/itemProps5.xml><?xml version="1.0" encoding="utf-8"?>
<ds:datastoreItem xmlns:ds="http://schemas.openxmlformats.org/officeDocument/2006/customXml" ds:itemID="{1586A46F-D0D2-49BA-9F04-24D85DF3972C}">
  <ds:schemaRefs>
    <ds:schemaRef ds:uri="http://www.w3.org/2001/XMLSchema"/>
    <ds:schemaRef ds:uri="http://brose.net/Office/BroseExcelMarginSettings"/>
    <ds:schemaRef ds:uri=""/>
  </ds:schemaRefs>
</ds:datastoreItem>
</file>

<file path=docMetadata/LabelInfo.xml><?xml version="1.0" encoding="utf-8"?>
<clbl:labelList xmlns:clbl="http://schemas.microsoft.com/office/2020/mipLabelMetadata">
  <clbl:label id="{c527ff3f-f379-4557-98ee-38f2c2bb9537}" enabled="0" method="" siteId="{c527ff3f-f379-4557-98ee-38f2c2bb953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34</vt:i4>
      </vt:variant>
    </vt:vector>
  </HeadingPairs>
  <TitlesOfParts>
    <vt:vector size="63" baseType="lpstr">
      <vt:lpstr>LANGUAGE</vt:lpstr>
      <vt:lpstr>Hilfstabelle SQG DEEN</vt:lpstr>
      <vt:lpstr>Instruction</vt:lpstr>
      <vt:lpstr>Basic_Data</vt:lpstr>
      <vt:lpstr>DSQG_Result</vt:lpstr>
      <vt:lpstr>DSQG_0</vt:lpstr>
      <vt:lpstr>DSQG_1</vt:lpstr>
      <vt:lpstr>DSQG_2</vt:lpstr>
      <vt:lpstr>SQG_Result</vt:lpstr>
      <vt:lpstr>SQG_1</vt:lpstr>
      <vt:lpstr>SQG_2</vt:lpstr>
      <vt:lpstr>SQG_3</vt:lpstr>
      <vt:lpstr>LQG-Ergebnis</vt:lpstr>
      <vt:lpstr>LQG1</vt:lpstr>
      <vt:lpstr>LQG2</vt:lpstr>
      <vt:lpstr>LQG3</vt:lpstr>
      <vt:lpstr>FRT</vt:lpstr>
      <vt:lpstr>Gewichte</vt:lpstr>
      <vt:lpstr>optional TP DE</vt:lpstr>
      <vt:lpstr>Weights</vt:lpstr>
      <vt:lpstr>opt. Timing</vt:lpstr>
      <vt:lpstr>opt. Mixed_Part_Audit</vt:lpstr>
      <vt:lpstr>opt. Drawing_Review</vt:lpstr>
      <vt:lpstr>opt. MA_1</vt:lpstr>
      <vt:lpstr>opt. MA_2</vt:lpstr>
      <vt:lpstr>opt. MA_3</vt:lpstr>
      <vt:lpstr>Failure Provocation Check</vt:lpstr>
      <vt:lpstr>Listen_Lists</vt:lpstr>
      <vt:lpstr>Version History</vt:lpstr>
      <vt:lpstr>Auswahlfeld_FRT_Durchführung</vt:lpstr>
      <vt:lpstr>Auswahlfeld_FRT_Wiederholung</vt:lpstr>
      <vt:lpstr>contact_persons</vt:lpstr>
      <vt:lpstr>Basic_Data!Druckbereich</vt:lpstr>
      <vt:lpstr>DSQG_0!Druckbereich</vt:lpstr>
      <vt:lpstr>DSQG_1!Druckbereich</vt:lpstr>
      <vt:lpstr>DSQG_2!Druckbereich</vt:lpstr>
      <vt:lpstr>DSQG_Result!Druckbereich</vt:lpstr>
      <vt:lpstr>FRT!Druckbereich</vt:lpstr>
      <vt:lpstr>Gewichte!Druckbereich</vt:lpstr>
      <vt:lpstr>Instruction!Druckbereich</vt:lpstr>
      <vt:lpstr>LANGUAGE!Druckbereich</vt:lpstr>
      <vt:lpstr>'LQG1'!Druckbereich</vt:lpstr>
      <vt:lpstr>'LQG2'!Druckbereich</vt:lpstr>
      <vt:lpstr>'LQG3'!Druckbereich</vt:lpstr>
      <vt:lpstr>'LQG-Ergebnis'!Druckbereich</vt:lpstr>
      <vt:lpstr>'opt. Drawing_Review'!Druckbereich</vt:lpstr>
      <vt:lpstr>'opt. MA_1'!Druckbereich</vt:lpstr>
      <vt:lpstr>'opt. MA_2'!Druckbereich</vt:lpstr>
      <vt:lpstr>'opt. MA_3'!Druckbereich</vt:lpstr>
      <vt:lpstr>'opt. Mixed_Part_Audit'!Druckbereich</vt:lpstr>
      <vt:lpstr>'opt. Timing'!Druckbereich</vt:lpstr>
      <vt:lpstr>'optional TP DE'!Druckbereich</vt:lpstr>
      <vt:lpstr>SQG_1!Druckbereich</vt:lpstr>
      <vt:lpstr>SQG_2!Druckbereich</vt:lpstr>
      <vt:lpstr>SQG_3!Druckbereich</vt:lpstr>
      <vt:lpstr>SQG_Result!Druckbereich</vt:lpstr>
      <vt:lpstr>Weights!Druckbereich</vt:lpstr>
      <vt:lpstr>'opt. Timing'!Drucktitel</vt:lpstr>
      <vt:lpstr>'optional TP DE'!Drucktitel</vt:lpstr>
      <vt:lpstr>FuL</vt:lpstr>
      <vt:lpstr>MPR</vt:lpstr>
      <vt:lpstr>Status_Bewertung</vt:lpstr>
      <vt:lpstr>Status_Maßnahme</vt:lpstr>
    </vt:vector>
  </TitlesOfParts>
  <Manager>Böhmer, Claudia#boehmcl</Manager>
  <Company>Brose Fahrzeugteile GmbH &amp; Co. KG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Lieferanten Quality Gates</dc:title>
  <dc:subject/>
  <dc:creator>Heller, Dirk</dc:creator>
  <cp:keywords/>
  <dc:description/>
  <cp:lastModifiedBy>Böhmer, Claudia</cp:lastModifiedBy>
  <cp:revision/>
  <dcterms:created xsi:type="dcterms:W3CDTF">2001-06-28T16:23:12Z</dcterms:created>
  <dcterms:modified xsi:type="dcterms:W3CDTF">2026-08-04T13:01:04Z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aveDate">
    <vt:lpwstr>26. Okt. 12</vt:lpwstr>
  </property>
  <property fmtid="{D5CDD505-2E9C-101B-9397-08002B2CF9AE}" pid="3" name="CreateDate">
    <vt:lpwstr>22. Jan. 10</vt:lpwstr>
  </property>
  <property fmtid="{D5CDD505-2E9C-101B-9397-08002B2CF9AE}" pid="4" name="Original">
    <vt:lpwstr>SupplierQualityGates.xlt</vt:lpwstr>
  </property>
  <property fmtid="{D5CDD505-2E9C-101B-9397-08002B2CF9AE}" pid="5" name="sysVersion">
    <vt:lpwstr>2.0</vt:lpwstr>
  </property>
  <property fmtid="{D5CDD505-2E9C-101B-9397-08002B2CF9AE}" pid="6" name="sysIndex">
    <vt:lpwstr>216</vt:lpwstr>
  </property>
  <property fmtid="{D5CDD505-2E9C-101B-9397-08002B2CF9AE}" pid="7" name="sysCurrentUsername">
    <vt:lpwstr>Heller, Dirk</vt:lpwstr>
  </property>
  <property fmtid="{D5CDD505-2E9C-101B-9397-08002B2CF9AE}" pid="8" name="sysCurrentUserFunction">
    <vt:lpwstr>ZEK-LQ</vt:lpwstr>
  </property>
  <property fmtid="{D5CDD505-2E9C-101B-9397-08002B2CF9AE}" pid="9" name="sysCurrentUserLocation">
    <vt:lpwstr>BAM</vt:lpwstr>
  </property>
  <property fmtid="{D5CDD505-2E9C-101B-9397-08002B2CF9AE}" pid="10" name="sysFilePathFull">
    <vt:lpwstr>G:\Func\ZQU\26_Lief_freigabe\Werkstudent\02 Ansprechpartner\01 Betreuer\20170518_Draft Supplier Quality Gate Global Template 2017_Edit15_SY_SD_2.xlsx</vt:lpwstr>
  </property>
  <property fmtid="{D5CDD505-2E9C-101B-9397-08002B2CF9AE}" pid="11" name="sysDontSetMargins">
    <vt:lpwstr>true</vt:lpwstr>
  </property>
  <property fmtid="{D5CDD505-2E9C-101B-9397-08002B2CF9AE}" pid="12" name="sysManager">
    <vt:lpwstr>Böhmer, Claudia#boehmcl</vt:lpwstr>
  </property>
  <property fmtid="{D5CDD505-2E9C-101B-9397-08002B2CF9AE}" pid="13" name="Document Number">
    <vt:lpwstr>EX-09959</vt:lpwstr>
  </property>
  <property fmtid="{D5CDD505-2E9C-101B-9397-08002B2CF9AE}" pid="14" name="ContentTypeId">
    <vt:lpwstr>0x010100BD2EAB907869A14383CB75E9DFB04C10</vt:lpwstr>
  </property>
  <property fmtid="{D5CDD505-2E9C-101B-9397-08002B2CF9AE}" pid="15" name="sysCurrentResponsible">
    <vt:lpwstr>NN</vt:lpwstr>
  </property>
  <property fmtid="{D5CDD505-2E9C-101B-9397-08002B2CF9AE}" pid="16" name="sysCurrentResponsibleFunction">
    <vt:lpwstr>NN</vt:lpwstr>
  </property>
  <property fmtid="{D5CDD505-2E9C-101B-9397-08002B2CF9AE}" pid="17" name="MediaServiceImageTags">
    <vt:lpwstr/>
  </property>
</Properties>
</file>